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3"/>
  <workbookPr defaultThemeVersion="124226"/>
  <mc:AlternateContent xmlns:mc="http://schemas.openxmlformats.org/markup-compatibility/2006">
    <mc:Choice Requires="x15">
      <x15ac:absPath xmlns:x15ac="http://schemas.microsoft.com/office/spreadsheetml/2010/11/ac" url="/Users/a/Desktop/"/>
    </mc:Choice>
  </mc:AlternateContent>
  <xr:revisionPtr revIDLastSave="0" documentId="8_{9D42BE50-9E20-1946-BAB1-9D954A419A59}" xr6:coauthVersionLast="45" xr6:coauthVersionMax="45" xr10:uidLastSave="{00000000-0000-0000-0000-000000000000}"/>
  <bookViews>
    <workbookView xWindow="0" yWindow="0" windowWidth="28800" windowHeight="18000" activeTab="1" xr2:uid="{00000000-000D-0000-FFFF-FFFF00000000}"/>
  </bookViews>
  <sheets>
    <sheet name="Interview" sheetId="5" r:id="rId1"/>
    <sheet name="Costs" sheetId="1" r:id="rId2"/>
    <sheet name="Utilisation rate workouts " sheetId="3" r:id="rId3"/>
    <sheet name="% of time allocation workouts" sheetId="2" r:id="rId4"/>
    <sheet name="Aggregate RHD total cost to GSH" sheetId="4"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46" i="1" l="1"/>
  <c r="I246" i="1" s="1"/>
  <c r="D467" i="1" l="1"/>
  <c r="D466" i="1"/>
  <c r="D463" i="1"/>
  <c r="D462" i="1"/>
  <c r="D461" i="1"/>
  <c r="D460" i="1"/>
  <c r="D459" i="1"/>
  <c r="D456" i="1"/>
  <c r="D455" i="1"/>
  <c r="D454" i="1"/>
  <c r="D453" i="1"/>
  <c r="D450" i="1"/>
  <c r="D449" i="1"/>
  <c r="D448" i="1"/>
  <c r="D447" i="1"/>
  <c r="D446" i="1"/>
  <c r="D443" i="1"/>
  <c r="D442" i="1"/>
  <c r="D441" i="1"/>
  <c r="D440" i="1"/>
  <c r="D439" i="1"/>
  <c r="D438" i="1"/>
  <c r="D437" i="1"/>
  <c r="D436" i="1"/>
  <c r="D435" i="1"/>
  <c r="D434" i="1"/>
  <c r="D433" i="1"/>
  <c r="D432" i="1"/>
  <c r="D431" i="1"/>
  <c r="D430" i="1"/>
  <c r="D429" i="1"/>
  <c r="D428" i="1"/>
  <c r="D427" i="1"/>
  <c r="F424" i="1"/>
  <c r="F423" i="1"/>
  <c r="G418" i="1"/>
  <c r="G410" i="1"/>
  <c r="G409" i="1"/>
  <c r="G408" i="1"/>
  <c r="G407" i="1"/>
  <c r="F402" i="1"/>
  <c r="F401" i="1"/>
  <c r="F400" i="1"/>
  <c r="F399" i="1"/>
  <c r="F398" i="1"/>
  <c r="F397" i="1"/>
  <c r="F396" i="1"/>
  <c r="F395" i="1"/>
  <c r="F394" i="1"/>
  <c r="F393" i="1"/>
  <c r="D378" i="1"/>
  <c r="D377" i="1"/>
  <c r="D376" i="1"/>
  <c r="D375" i="1"/>
  <c r="D374" i="1"/>
  <c r="D373" i="1"/>
  <c r="D372" i="1"/>
  <c r="D371" i="1"/>
  <c r="D370" i="1"/>
  <c r="D369" i="1"/>
  <c r="D368" i="1"/>
  <c r="D367" i="1"/>
  <c r="D364" i="1"/>
  <c r="D363" i="1"/>
  <c r="D362" i="1"/>
  <c r="D361" i="1"/>
  <c r="D360" i="1"/>
  <c r="D359" i="1"/>
  <c r="D358" i="1"/>
  <c r="D357" i="1"/>
  <c r="D356" i="1"/>
  <c r="D355" i="1"/>
  <c r="D354" i="1"/>
  <c r="D353" i="1"/>
  <c r="D352" i="1"/>
  <c r="D351" i="1"/>
  <c r="D350" i="1"/>
  <c r="D349" i="1"/>
  <c r="D348" i="1"/>
  <c r="D345" i="1"/>
  <c r="D344" i="1"/>
  <c r="D343" i="1"/>
  <c r="D342" i="1"/>
  <c r="D341" i="1"/>
  <c r="D340" i="1"/>
  <c r="D339" i="1"/>
  <c r="D338" i="1"/>
  <c r="D337" i="1"/>
  <c r="D336" i="1"/>
  <c r="D335" i="1"/>
  <c r="D334" i="1"/>
  <c r="F332" i="1"/>
  <c r="F331" i="1"/>
  <c r="G326" i="1"/>
  <c r="G318" i="1"/>
  <c r="F313" i="1"/>
  <c r="F312" i="1"/>
  <c r="F311" i="1"/>
  <c r="F310" i="1"/>
  <c r="F309" i="1"/>
  <c r="F308" i="1"/>
  <c r="F307" i="1"/>
  <c r="D299" i="1"/>
  <c r="D298" i="1"/>
  <c r="D295" i="1"/>
  <c r="D294" i="1"/>
  <c r="D293" i="1"/>
  <c r="D292" i="1"/>
  <c r="D291" i="1"/>
  <c r="D290" i="1"/>
  <c r="D287" i="1"/>
  <c r="D286" i="1"/>
  <c r="D285" i="1"/>
  <c r="D284" i="1"/>
  <c r="D283" i="1"/>
  <c r="D282" i="1"/>
  <c r="D281" i="1"/>
  <c r="D280" i="1"/>
  <c r="D279" i="1"/>
  <c r="D278" i="1"/>
  <c r="D277" i="1"/>
  <c r="D276" i="1"/>
  <c r="D275" i="1"/>
  <c r="D272" i="1"/>
  <c r="D271" i="1"/>
  <c r="D270" i="1"/>
  <c r="D269" i="1"/>
  <c r="D268" i="1"/>
  <c r="D267" i="1"/>
  <c r="D266" i="1"/>
  <c r="D265" i="1"/>
  <c r="D264" i="1"/>
  <c r="D263" i="1"/>
  <c r="D262" i="1"/>
  <c r="D261" i="1"/>
  <c r="F257" i="1"/>
  <c r="F256" i="1"/>
  <c r="G250" i="1"/>
  <c r="G242" i="1"/>
  <c r="E235" i="1"/>
  <c r="E234" i="1"/>
  <c r="E233" i="1"/>
  <c r="E232" i="1"/>
  <c r="E229" i="1"/>
  <c r="E228" i="1"/>
  <c r="E227" i="1"/>
  <c r="E226" i="1"/>
  <c r="E223" i="1"/>
  <c r="E222" i="1"/>
  <c r="E221" i="1"/>
  <c r="E220" i="1"/>
  <c r="E219" i="1"/>
  <c r="E218" i="1"/>
  <c r="G209" i="1"/>
  <c r="F204" i="1"/>
  <c r="F203" i="1"/>
  <c r="F202" i="1"/>
  <c r="F201" i="1"/>
  <c r="F200" i="1"/>
  <c r="F199" i="1"/>
  <c r="F198" i="1"/>
  <c r="F197" i="1"/>
  <c r="F196" i="1"/>
  <c r="F22" i="1"/>
  <c r="G22" i="1" s="1"/>
  <c r="F23" i="1"/>
  <c r="G23" i="1" s="1"/>
  <c r="F24" i="1"/>
  <c r="G24" i="1" s="1"/>
  <c r="F25" i="1"/>
  <c r="G25" i="1" s="1"/>
  <c r="F26" i="1"/>
  <c r="G26" i="1" s="1"/>
  <c r="F27" i="1"/>
  <c r="G27" i="1" s="1"/>
  <c r="F28" i="1"/>
  <c r="G28" i="1" s="1"/>
  <c r="F29" i="1"/>
  <c r="G29" i="1"/>
  <c r="F30" i="1"/>
  <c r="G30" i="1" s="1"/>
  <c r="F31" i="1"/>
  <c r="G31" i="1" s="1"/>
  <c r="F32" i="1"/>
  <c r="G32" i="1" s="1"/>
  <c r="F33" i="1"/>
  <c r="G33" i="1" s="1"/>
  <c r="D104" i="1" l="1"/>
  <c r="D188" i="1" l="1"/>
  <c r="D187" i="1"/>
  <c r="D186" i="1"/>
  <c r="D185" i="1"/>
  <c r="D182" i="1"/>
  <c r="D181" i="1"/>
  <c r="D180" i="1"/>
  <c r="D179" i="1"/>
  <c r="D178" i="1"/>
  <c r="D177" i="1"/>
  <c r="D176" i="1"/>
  <c r="D173" i="1"/>
  <c r="D172" i="1"/>
  <c r="D171" i="1"/>
  <c r="D170" i="1"/>
  <c r="D169" i="1"/>
  <c r="D168" i="1"/>
  <c r="D167" i="1"/>
  <c r="D166" i="1"/>
  <c r="D165" i="1"/>
  <c r="D164" i="1"/>
  <c r="D163" i="1"/>
  <c r="D162" i="1"/>
  <c r="D161" i="1"/>
  <c r="D159" i="1"/>
  <c r="D156" i="1"/>
  <c r="D155" i="1"/>
  <c r="D154" i="1"/>
  <c r="D153" i="1"/>
  <c r="D152" i="1"/>
  <c r="D151" i="1"/>
  <c r="D150" i="1"/>
  <c r="D149" i="1"/>
  <c r="D148" i="1"/>
  <c r="D147" i="1"/>
  <c r="D146" i="1"/>
  <c r="D145" i="1"/>
  <c r="D132" i="1"/>
  <c r="D142" i="1"/>
  <c r="D141" i="1"/>
  <c r="D140" i="1"/>
  <c r="D139" i="1"/>
  <c r="D138" i="1"/>
  <c r="D137" i="1"/>
  <c r="D136" i="1"/>
  <c r="D135" i="1"/>
  <c r="D134" i="1"/>
  <c r="D133" i="1"/>
  <c r="D131" i="1"/>
  <c r="D130" i="1"/>
  <c r="D129" i="1"/>
  <c r="D126" i="1"/>
  <c r="D125" i="1"/>
  <c r="D124" i="1"/>
  <c r="D123" i="1"/>
  <c r="D122" i="1"/>
  <c r="D121" i="1"/>
  <c r="D120" i="1"/>
  <c r="D119" i="1"/>
  <c r="D118" i="1"/>
  <c r="D117" i="1"/>
  <c r="D116" i="1"/>
  <c r="D115" i="1"/>
  <c r="D114" i="1"/>
  <c r="D113" i="1"/>
  <c r="D110" i="1"/>
  <c r="D109" i="1"/>
  <c r="D108" i="1"/>
  <c r="D107" i="1"/>
  <c r="D105" i="1"/>
  <c r="D103" i="1"/>
  <c r="D102" i="1"/>
  <c r="D101" i="1"/>
  <c r="D100" i="1"/>
  <c r="D99" i="1"/>
  <c r="D98" i="1"/>
  <c r="D97" i="1"/>
  <c r="D96" i="1"/>
  <c r="D95" i="1"/>
  <c r="D94" i="1" l="1"/>
  <c r="D93" i="1"/>
  <c r="D92" i="1"/>
  <c r="D91" i="1"/>
  <c r="D90" i="1"/>
  <c r="D89" i="1"/>
  <c r="D88" i="1"/>
  <c r="D87" i="1"/>
  <c r="D86" i="1"/>
  <c r="F82" i="1"/>
  <c r="F81" i="1"/>
  <c r="E75" i="1"/>
  <c r="G71" i="1"/>
  <c r="E64" i="1"/>
  <c r="E63" i="1"/>
  <c r="E62" i="1"/>
  <c r="E61" i="1"/>
  <c r="E58" i="1"/>
  <c r="E57" i="1"/>
  <c r="E56" i="1"/>
  <c r="E55" i="1"/>
  <c r="E54" i="1"/>
  <c r="E51" i="1"/>
  <c r="E50" i="1"/>
  <c r="E49" i="1"/>
  <c r="E48" i="1"/>
  <c r="E47" i="1"/>
  <c r="G38" i="1"/>
  <c r="F75" i="1" l="1"/>
  <c r="H71" i="1"/>
  <c r="E224" i="1"/>
  <c r="E52" i="1"/>
  <c r="E59" i="1"/>
  <c r="E65" i="1"/>
  <c r="H47" i="1"/>
  <c r="H48" i="1"/>
  <c r="H49" i="1"/>
  <c r="H50" i="1"/>
  <c r="H51" i="1"/>
  <c r="H54" i="1"/>
  <c r="H55" i="1"/>
  <c r="H56" i="1"/>
  <c r="H57" i="1"/>
  <c r="H58" i="1"/>
  <c r="H61" i="1"/>
  <c r="H62" i="1"/>
  <c r="H63" i="1"/>
  <c r="H64" i="1"/>
  <c r="E230" i="1"/>
  <c r="E236" i="1"/>
  <c r="H250" i="1"/>
  <c r="H242" i="1"/>
  <c r="E66" i="1" l="1"/>
  <c r="E237" i="1"/>
  <c r="I71" i="1" l="1"/>
  <c r="H467" i="1" l="1"/>
  <c r="E467" i="1"/>
  <c r="F467" i="1" s="1"/>
  <c r="I467" i="1" s="1"/>
  <c r="I466" i="1"/>
  <c r="H466" i="1"/>
  <c r="E466" i="1"/>
  <c r="H463" i="1"/>
  <c r="E463" i="1"/>
  <c r="F463" i="1" s="1"/>
  <c r="I463" i="1" s="1"/>
  <c r="H462" i="1"/>
  <c r="E462" i="1"/>
  <c r="F462" i="1" s="1"/>
  <c r="I462" i="1" s="1"/>
  <c r="H461" i="1"/>
  <c r="E461" i="1"/>
  <c r="I460" i="1"/>
  <c r="H460" i="1"/>
  <c r="E460" i="1"/>
  <c r="H459" i="1"/>
  <c r="E459" i="1"/>
  <c r="F459" i="1" s="1"/>
  <c r="I459" i="1" s="1"/>
  <c r="H456" i="1"/>
  <c r="E456" i="1"/>
  <c r="F456" i="1" s="1"/>
  <c r="I456" i="1" s="1"/>
  <c r="H455" i="1"/>
  <c r="E455" i="1"/>
  <c r="F455" i="1" s="1"/>
  <c r="I455" i="1" s="1"/>
  <c r="H454" i="1"/>
  <c r="E454" i="1"/>
  <c r="H453" i="1"/>
  <c r="E453" i="1"/>
  <c r="F453" i="1" s="1"/>
  <c r="I453" i="1" s="1"/>
  <c r="H450" i="1"/>
  <c r="E450" i="1"/>
  <c r="F450" i="1" s="1"/>
  <c r="I450" i="1" s="1"/>
  <c r="H449" i="1"/>
  <c r="E449" i="1"/>
  <c r="F449" i="1" s="1"/>
  <c r="I449" i="1" s="1"/>
  <c r="H448" i="1"/>
  <c r="E448" i="1"/>
  <c r="H447" i="1"/>
  <c r="E447" i="1"/>
  <c r="F447" i="1" s="1"/>
  <c r="I447" i="1" s="1"/>
  <c r="H446" i="1"/>
  <c r="E446" i="1"/>
  <c r="F446" i="1" s="1"/>
  <c r="I446" i="1" s="1"/>
  <c r="H443" i="1"/>
  <c r="E443" i="1"/>
  <c r="F443" i="1" s="1"/>
  <c r="I443" i="1" s="1"/>
  <c r="H442" i="1"/>
  <c r="E442" i="1"/>
  <c r="F442" i="1" s="1"/>
  <c r="I442" i="1" s="1"/>
  <c r="H441" i="1"/>
  <c r="E441" i="1"/>
  <c r="F441" i="1" s="1"/>
  <c r="I441" i="1" s="1"/>
  <c r="H440" i="1"/>
  <c r="E440" i="1"/>
  <c r="F440" i="1" s="1"/>
  <c r="I440" i="1" s="1"/>
  <c r="H439" i="1"/>
  <c r="E439" i="1"/>
  <c r="F439" i="1" s="1"/>
  <c r="I439" i="1" s="1"/>
  <c r="H438" i="1"/>
  <c r="E438" i="1"/>
  <c r="F438" i="1" s="1"/>
  <c r="I438" i="1" s="1"/>
  <c r="H437" i="1"/>
  <c r="E437" i="1"/>
  <c r="F437" i="1" s="1"/>
  <c r="I437" i="1" s="1"/>
  <c r="H436" i="1"/>
  <c r="E436" i="1"/>
  <c r="F436" i="1" s="1"/>
  <c r="I436" i="1" s="1"/>
  <c r="H435" i="1"/>
  <c r="E435" i="1"/>
  <c r="F435" i="1" s="1"/>
  <c r="I435" i="1" s="1"/>
  <c r="H434" i="1"/>
  <c r="E434" i="1"/>
  <c r="F434" i="1" s="1"/>
  <c r="I434" i="1" s="1"/>
  <c r="H433" i="1"/>
  <c r="E433" i="1"/>
  <c r="F433" i="1" s="1"/>
  <c r="I433" i="1" s="1"/>
  <c r="H432" i="1"/>
  <c r="E432" i="1"/>
  <c r="F432" i="1" s="1"/>
  <c r="I432" i="1" s="1"/>
  <c r="H431" i="1"/>
  <c r="E431" i="1"/>
  <c r="H430" i="1"/>
  <c r="E430" i="1"/>
  <c r="F430" i="1" s="1"/>
  <c r="I430" i="1" s="1"/>
  <c r="H429" i="1"/>
  <c r="E429" i="1"/>
  <c r="F429" i="1" s="1"/>
  <c r="I429" i="1" s="1"/>
  <c r="H428" i="1"/>
  <c r="E428" i="1"/>
  <c r="F428" i="1" s="1"/>
  <c r="I428" i="1" s="1"/>
  <c r="H427" i="1"/>
  <c r="E427" i="1"/>
  <c r="F427" i="1" s="1"/>
  <c r="I427" i="1" s="1"/>
  <c r="G424" i="1"/>
  <c r="I418" i="1"/>
  <c r="C445" i="2"/>
  <c r="B445" i="2"/>
  <c r="C432" i="2"/>
  <c r="B432" i="2"/>
  <c r="C419" i="2"/>
  <c r="B419" i="2"/>
  <c r="C406" i="2"/>
  <c r="B406" i="2"/>
  <c r="C393" i="2"/>
  <c r="B393" i="2"/>
  <c r="C380" i="2"/>
  <c r="B380" i="2"/>
  <c r="C367" i="2"/>
  <c r="B367" i="2"/>
  <c r="C354" i="2"/>
  <c r="B354" i="2"/>
  <c r="C341" i="2"/>
  <c r="B341" i="2"/>
  <c r="C327" i="2"/>
  <c r="B327" i="2"/>
  <c r="C314" i="2"/>
  <c r="B314" i="2"/>
  <c r="C302" i="2"/>
  <c r="G394" i="1"/>
  <c r="G395" i="1"/>
  <c r="G396" i="1"/>
  <c r="G397" i="1"/>
  <c r="G398" i="1"/>
  <c r="G399" i="1"/>
  <c r="G400" i="1"/>
  <c r="G401" i="1"/>
  <c r="G402" i="1"/>
  <c r="G393" i="1"/>
  <c r="C42" i="3"/>
  <c r="B42" i="3"/>
  <c r="E394" i="1" l="1"/>
  <c r="K430" i="1"/>
  <c r="K434" i="1"/>
  <c r="K438" i="1"/>
  <c r="K442" i="1"/>
  <c r="K448" i="1"/>
  <c r="K454" i="1"/>
  <c r="K461" i="1"/>
  <c r="K467" i="1"/>
  <c r="K427" i="1"/>
  <c r="K431" i="1"/>
  <c r="K435" i="1"/>
  <c r="K439" i="1"/>
  <c r="K443" i="1"/>
  <c r="K449" i="1"/>
  <c r="K455" i="1"/>
  <c r="K462" i="1"/>
  <c r="K428" i="1"/>
  <c r="K432" i="1"/>
  <c r="K436" i="1"/>
  <c r="K440" i="1"/>
  <c r="K446" i="1"/>
  <c r="K450" i="1"/>
  <c r="K459" i="1"/>
  <c r="K463" i="1"/>
  <c r="K429" i="1"/>
  <c r="K433" i="1"/>
  <c r="K437" i="1"/>
  <c r="K441" i="1"/>
  <c r="K447" i="1"/>
  <c r="K453" i="1"/>
  <c r="K460" i="1"/>
  <c r="K466" i="1"/>
  <c r="K424" i="1"/>
  <c r="H424" i="1" s="1"/>
  <c r="J424" i="1" s="1"/>
  <c r="G414" i="1" s="1"/>
  <c r="H414" i="1" s="1"/>
  <c r="E397" i="1"/>
  <c r="E402" i="1"/>
  <c r="E398" i="1"/>
  <c r="E393" i="1"/>
  <c r="E401" i="1"/>
  <c r="E396" i="1"/>
  <c r="E400" i="1"/>
  <c r="H410" i="1"/>
  <c r="I410" i="1" s="1"/>
  <c r="F355" i="2"/>
  <c r="G355" i="2" s="1"/>
  <c r="H396" i="1" s="1"/>
  <c r="I396" i="1" s="1"/>
  <c r="F407" i="2"/>
  <c r="G407" i="2" s="1"/>
  <c r="H399" i="1" s="1"/>
  <c r="I399" i="1" s="1"/>
  <c r="H407" i="1"/>
  <c r="I407" i="1" s="1"/>
  <c r="H408" i="1"/>
  <c r="I408" i="1" s="1"/>
  <c r="E395" i="1"/>
  <c r="E399" i="1"/>
  <c r="H409" i="1"/>
  <c r="I409" i="1" s="1"/>
  <c r="D423" i="1"/>
  <c r="K456" i="1" s="1"/>
  <c r="J447" i="1"/>
  <c r="M447" i="1" s="1"/>
  <c r="J453" i="1"/>
  <c r="J455" i="1"/>
  <c r="M455" i="1" s="1"/>
  <c r="J459" i="1"/>
  <c r="M459" i="1" s="1"/>
  <c r="J441" i="1"/>
  <c r="M441" i="1" s="1"/>
  <c r="J450" i="1"/>
  <c r="M450" i="1" s="1"/>
  <c r="J442" i="1"/>
  <c r="M442" i="1" s="1"/>
  <c r="J438" i="1"/>
  <c r="M438" i="1" s="1"/>
  <c r="J466" i="1"/>
  <c r="M466" i="1" s="1"/>
  <c r="J427" i="1"/>
  <c r="J446" i="1"/>
  <c r="J449" i="1"/>
  <c r="J460" i="1"/>
  <c r="F461" i="1"/>
  <c r="I461" i="1" s="1"/>
  <c r="J461" i="1" s="1"/>
  <c r="M461" i="1" s="1"/>
  <c r="F431" i="1"/>
  <c r="I431" i="1" s="1"/>
  <c r="J431" i="1" s="1"/>
  <c r="M431" i="1" s="1"/>
  <c r="J435" i="1"/>
  <c r="M435" i="1" s="1"/>
  <c r="J440" i="1"/>
  <c r="M440" i="1" s="1"/>
  <c r="J456" i="1"/>
  <c r="M456" i="1" s="1"/>
  <c r="J430" i="1"/>
  <c r="M430" i="1" s="1"/>
  <c r="J434" i="1"/>
  <c r="M434" i="1" s="1"/>
  <c r="J429" i="1"/>
  <c r="M429" i="1" s="1"/>
  <c r="J433" i="1"/>
  <c r="M433" i="1" s="1"/>
  <c r="J437" i="1"/>
  <c r="M437" i="1" s="1"/>
  <c r="F448" i="1"/>
  <c r="I448" i="1" s="1"/>
  <c r="J448" i="1" s="1"/>
  <c r="M448" i="1" s="1"/>
  <c r="F454" i="1"/>
  <c r="I454" i="1" s="1"/>
  <c r="J454" i="1" s="1"/>
  <c r="M454" i="1" s="1"/>
  <c r="J428" i="1"/>
  <c r="M428" i="1" s="1"/>
  <c r="J432" i="1"/>
  <c r="M432" i="1" s="1"/>
  <c r="J436" i="1"/>
  <c r="M436" i="1" s="1"/>
  <c r="J462" i="1"/>
  <c r="M462" i="1" s="1"/>
  <c r="J439" i="1"/>
  <c r="M439" i="1" s="1"/>
  <c r="J443" i="1"/>
  <c r="M443" i="1" s="1"/>
  <c r="J463" i="1"/>
  <c r="M463" i="1" s="1"/>
  <c r="J467" i="1"/>
  <c r="M467" i="1" s="1"/>
  <c r="F315" i="2"/>
  <c r="G315" i="2" s="1"/>
  <c r="H393" i="1" s="1"/>
  <c r="F328" i="2"/>
  <c r="G328" i="2" s="1"/>
  <c r="H394" i="1" s="1"/>
  <c r="F368" i="2"/>
  <c r="G368" i="2" s="1"/>
  <c r="H397" i="1" s="1"/>
  <c r="I397" i="1" s="1"/>
  <c r="F381" i="2"/>
  <c r="G381" i="2" s="1"/>
  <c r="H398" i="1" s="1"/>
  <c r="I398" i="1" s="1"/>
  <c r="F420" i="2"/>
  <c r="G420" i="2" s="1"/>
  <c r="H400" i="1" s="1"/>
  <c r="F433" i="2"/>
  <c r="G433" i="2" s="1"/>
  <c r="H401" i="1" s="1"/>
  <c r="I401" i="1" s="1"/>
  <c r="F342" i="2"/>
  <c r="G342" i="2" s="1"/>
  <c r="H395" i="1" s="1"/>
  <c r="I395" i="1" s="1"/>
  <c r="F394" i="2"/>
  <c r="G394" i="2" s="1"/>
  <c r="F446" i="2"/>
  <c r="G446" i="2" s="1"/>
  <c r="H402" i="1" s="1"/>
  <c r="I402" i="1" s="1"/>
  <c r="I414" i="1" l="1"/>
  <c r="E423" i="1"/>
  <c r="G423" i="1" s="1"/>
  <c r="H403" i="1"/>
  <c r="J444" i="1"/>
  <c r="J464" i="1"/>
  <c r="J457" i="1"/>
  <c r="J468" i="1"/>
  <c r="J451" i="1"/>
  <c r="M460" i="1"/>
  <c r="M464" i="1" s="1"/>
  <c r="M468" i="1"/>
  <c r="M446" i="1"/>
  <c r="M453" i="1"/>
  <c r="M457" i="1" s="1"/>
  <c r="L449" i="1"/>
  <c r="M449" i="1"/>
  <c r="L455" i="1"/>
  <c r="L447" i="1"/>
  <c r="M427" i="1"/>
  <c r="M444" i="1" s="1"/>
  <c r="L441" i="1"/>
  <c r="L459" i="1"/>
  <c r="L450" i="1"/>
  <c r="L453" i="1"/>
  <c r="L466" i="1"/>
  <c r="L438" i="1"/>
  <c r="L456" i="1"/>
  <c r="L460" i="1"/>
  <c r="L435" i="1"/>
  <c r="L442" i="1"/>
  <c r="L446" i="1"/>
  <c r="L427" i="1"/>
  <c r="L431" i="1"/>
  <c r="L440" i="1"/>
  <c r="L461" i="1"/>
  <c r="L448" i="1"/>
  <c r="L454" i="1"/>
  <c r="L463" i="1"/>
  <c r="L462" i="1"/>
  <c r="L433" i="1"/>
  <c r="L430" i="1"/>
  <c r="L443" i="1"/>
  <c r="L436" i="1"/>
  <c r="L429" i="1"/>
  <c r="L439" i="1"/>
  <c r="L432" i="1"/>
  <c r="L467" i="1"/>
  <c r="L428" i="1"/>
  <c r="L437" i="1"/>
  <c r="L434" i="1"/>
  <c r="I393" i="1"/>
  <c r="I400" i="1"/>
  <c r="K423" i="1" l="1"/>
  <c r="L423" i="1" s="1"/>
  <c r="J469" i="1"/>
  <c r="L468" i="1"/>
  <c r="M451" i="1"/>
  <c r="M469" i="1" s="1"/>
  <c r="L464" i="1"/>
  <c r="L457" i="1"/>
  <c r="L451" i="1"/>
  <c r="L444" i="1"/>
  <c r="H423" i="1" l="1"/>
  <c r="J423" i="1" s="1"/>
  <c r="L469" i="1"/>
  <c r="B6" i="4" s="1"/>
  <c r="H385" i="1"/>
  <c r="E385" i="1"/>
  <c r="F385" i="1" s="1"/>
  <c r="I385" i="1" s="1"/>
  <c r="H384" i="1"/>
  <c r="E384" i="1"/>
  <c r="F384" i="1" s="1"/>
  <c r="I384" i="1" s="1"/>
  <c r="H383" i="1"/>
  <c r="E383" i="1"/>
  <c r="F383" i="1" s="1"/>
  <c r="I383" i="1" s="1"/>
  <c r="H382" i="1"/>
  <c r="E382" i="1"/>
  <c r="F382" i="1" s="1"/>
  <c r="I382" i="1" s="1"/>
  <c r="H381" i="1"/>
  <c r="E381" i="1"/>
  <c r="F381" i="1" s="1"/>
  <c r="I381" i="1" s="1"/>
  <c r="H378" i="1"/>
  <c r="E378" i="1"/>
  <c r="H377" i="1"/>
  <c r="E377" i="1"/>
  <c r="H376" i="1"/>
  <c r="E376" i="1"/>
  <c r="F376" i="1" s="1"/>
  <c r="I376" i="1" s="1"/>
  <c r="H375" i="1"/>
  <c r="E375" i="1"/>
  <c r="F375" i="1" s="1"/>
  <c r="I375" i="1" s="1"/>
  <c r="H374" i="1"/>
  <c r="E374" i="1"/>
  <c r="H373" i="1"/>
  <c r="E373" i="1"/>
  <c r="H372" i="1"/>
  <c r="E372" i="1"/>
  <c r="F372" i="1" s="1"/>
  <c r="I372" i="1" s="1"/>
  <c r="H371" i="1"/>
  <c r="E371" i="1"/>
  <c r="F371" i="1" s="1"/>
  <c r="I371" i="1" s="1"/>
  <c r="H370" i="1"/>
  <c r="E370" i="1"/>
  <c r="H369" i="1"/>
  <c r="E369" i="1"/>
  <c r="H368" i="1"/>
  <c r="E368" i="1"/>
  <c r="F368" i="1" s="1"/>
  <c r="I368" i="1" s="1"/>
  <c r="H367" i="1"/>
  <c r="E367" i="1"/>
  <c r="F367" i="1" s="1"/>
  <c r="I367" i="1" s="1"/>
  <c r="H364" i="1"/>
  <c r="E364" i="1"/>
  <c r="H363" i="1"/>
  <c r="E363" i="1"/>
  <c r="H362" i="1"/>
  <c r="E362" i="1"/>
  <c r="F362" i="1" s="1"/>
  <c r="I362" i="1" s="1"/>
  <c r="H361" i="1"/>
  <c r="E361" i="1"/>
  <c r="F361" i="1" s="1"/>
  <c r="I361" i="1" s="1"/>
  <c r="H360" i="1"/>
  <c r="E360" i="1"/>
  <c r="F360" i="1" s="1"/>
  <c r="I360" i="1" s="1"/>
  <c r="H359" i="1"/>
  <c r="E359" i="1"/>
  <c r="F359" i="1" s="1"/>
  <c r="I359" i="1" s="1"/>
  <c r="H358" i="1"/>
  <c r="E358" i="1"/>
  <c r="F358" i="1" s="1"/>
  <c r="I358" i="1" s="1"/>
  <c r="H357" i="1"/>
  <c r="E357" i="1"/>
  <c r="F357" i="1" s="1"/>
  <c r="I357" i="1" s="1"/>
  <c r="H356" i="1"/>
  <c r="E356" i="1"/>
  <c r="F356" i="1" s="1"/>
  <c r="I356" i="1" s="1"/>
  <c r="H355" i="1"/>
  <c r="E355" i="1"/>
  <c r="F355" i="1" s="1"/>
  <c r="I355" i="1" s="1"/>
  <c r="H354" i="1"/>
  <c r="E354" i="1"/>
  <c r="F354" i="1" s="1"/>
  <c r="I354" i="1" s="1"/>
  <c r="H353" i="1"/>
  <c r="E353" i="1"/>
  <c r="F353" i="1" s="1"/>
  <c r="I353" i="1" s="1"/>
  <c r="H352" i="1"/>
  <c r="E352" i="1"/>
  <c r="F352" i="1" s="1"/>
  <c r="I352" i="1" s="1"/>
  <c r="H351" i="1"/>
  <c r="E351" i="1"/>
  <c r="F351" i="1" s="1"/>
  <c r="I351" i="1" s="1"/>
  <c r="H350" i="1"/>
  <c r="E350" i="1"/>
  <c r="F350" i="1" s="1"/>
  <c r="I350" i="1" s="1"/>
  <c r="H349" i="1"/>
  <c r="E349" i="1"/>
  <c r="F349" i="1" s="1"/>
  <c r="I349" i="1" s="1"/>
  <c r="H348" i="1"/>
  <c r="E348" i="1"/>
  <c r="F348" i="1" s="1"/>
  <c r="I348" i="1" s="1"/>
  <c r="H345" i="1"/>
  <c r="E345" i="1"/>
  <c r="F345" i="1" s="1"/>
  <c r="I345" i="1" s="1"/>
  <c r="H344" i="1"/>
  <c r="E344" i="1"/>
  <c r="F344" i="1" s="1"/>
  <c r="I344" i="1" s="1"/>
  <c r="H343" i="1"/>
  <c r="E343" i="1"/>
  <c r="F343" i="1" s="1"/>
  <c r="I343" i="1" s="1"/>
  <c r="H342" i="1"/>
  <c r="E342" i="1"/>
  <c r="F342" i="1" s="1"/>
  <c r="I342" i="1" s="1"/>
  <c r="H341" i="1"/>
  <c r="E341" i="1"/>
  <c r="F341" i="1" s="1"/>
  <c r="I341" i="1" s="1"/>
  <c r="H340" i="1"/>
  <c r="E340" i="1"/>
  <c r="F340" i="1" s="1"/>
  <c r="I340" i="1" s="1"/>
  <c r="H339" i="1"/>
  <c r="E339" i="1"/>
  <c r="F339" i="1" s="1"/>
  <c r="I339" i="1" s="1"/>
  <c r="H338" i="1"/>
  <c r="E338" i="1"/>
  <c r="F338" i="1" s="1"/>
  <c r="I338" i="1" s="1"/>
  <c r="H337" i="1"/>
  <c r="E337" i="1"/>
  <c r="F337" i="1" s="1"/>
  <c r="I337" i="1" s="1"/>
  <c r="H336" i="1"/>
  <c r="E336" i="1"/>
  <c r="F336" i="1" s="1"/>
  <c r="I336" i="1" s="1"/>
  <c r="H335" i="1"/>
  <c r="E335" i="1"/>
  <c r="F335" i="1" s="1"/>
  <c r="I335" i="1" s="1"/>
  <c r="H334" i="1"/>
  <c r="E334" i="1"/>
  <c r="F334" i="1" s="1"/>
  <c r="I334" i="1" s="1"/>
  <c r="G332" i="1"/>
  <c r="K332" i="1" s="1"/>
  <c r="I331" i="1"/>
  <c r="I326" i="1"/>
  <c r="F363" i="1" l="1"/>
  <c r="I363" i="1" s="1"/>
  <c r="J363" i="1" s="1"/>
  <c r="M363" i="1" s="1"/>
  <c r="F364" i="1"/>
  <c r="I364" i="1" s="1"/>
  <c r="J364" i="1" s="1"/>
  <c r="M364" i="1" s="1"/>
  <c r="F369" i="1"/>
  <c r="I369" i="1" s="1"/>
  <c r="J369" i="1" s="1"/>
  <c r="M369" i="1" s="1"/>
  <c r="F370" i="1"/>
  <c r="I370" i="1" s="1"/>
  <c r="J370" i="1" s="1"/>
  <c r="M370" i="1" s="1"/>
  <c r="F373" i="1"/>
  <c r="I373" i="1" s="1"/>
  <c r="J373" i="1" s="1"/>
  <c r="M373" i="1" s="1"/>
  <c r="F374" i="1"/>
  <c r="F377" i="1"/>
  <c r="I377" i="1" s="1"/>
  <c r="J377" i="1" s="1"/>
  <c r="M377" i="1" s="1"/>
  <c r="F378" i="1"/>
  <c r="I378" i="1" s="1"/>
  <c r="J378" i="1" s="1"/>
  <c r="M378" i="1" s="1"/>
  <c r="J334" i="1"/>
  <c r="M334" i="1" s="1"/>
  <c r="J338" i="1"/>
  <c r="M338" i="1" s="1"/>
  <c r="J342" i="1"/>
  <c r="M342" i="1" s="1"/>
  <c r="J348" i="1"/>
  <c r="J352" i="1"/>
  <c r="M352" i="1" s="1"/>
  <c r="J356" i="1"/>
  <c r="M356" i="1" s="1"/>
  <c r="J360" i="1"/>
  <c r="M360" i="1" s="1"/>
  <c r="J337" i="1"/>
  <c r="M337" i="1" s="1"/>
  <c r="J341" i="1"/>
  <c r="M341" i="1" s="1"/>
  <c r="J345" i="1"/>
  <c r="M345" i="1" s="1"/>
  <c r="J351" i="1"/>
  <c r="M351" i="1" s="1"/>
  <c r="J355" i="1"/>
  <c r="M355" i="1" s="1"/>
  <c r="J359" i="1"/>
  <c r="M359" i="1" s="1"/>
  <c r="J336" i="1"/>
  <c r="M336" i="1" s="1"/>
  <c r="J340" i="1"/>
  <c r="M340" i="1" s="1"/>
  <c r="J344" i="1"/>
  <c r="M344" i="1" s="1"/>
  <c r="J350" i="1"/>
  <c r="M350" i="1" s="1"/>
  <c r="J354" i="1"/>
  <c r="M354" i="1" s="1"/>
  <c r="J358" i="1"/>
  <c r="M358" i="1" s="1"/>
  <c r="J362" i="1"/>
  <c r="M362" i="1" s="1"/>
  <c r="J367" i="1"/>
  <c r="J371" i="1"/>
  <c r="M371" i="1" s="1"/>
  <c r="J375" i="1"/>
  <c r="M375" i="1" s="1"/>
  <c r="J335" i="1"/>
  <c r="M335" i="1" s="1"/>
  <c r="J339" i="1"/>
  <c r="M339" i="1" s="1"/>
  <c r="J343" i="1"/>
  <c r="M343" i="1" s="1"/>
  <c r="J349" i="1"/>
  <c r="M349" i="1" s="1"/>
  <c r="J353" i="1"/>
  <c r="M353" i="1" s="1"/>
  <c r="J357" i="1"/>
  <c r="M357" i="1" s="1"/>
  <c r="J361" i="1"/>
  <c r="M361" i="1" s="1"/>
  <c r="J368" i="1"/>
  <c r="M368" i="1" s="1"/>
  <c r="J372" i="1"/>
  <c r="M372" i="1" s="1"/>
  <c r="J376" i="1"/>
  <c r="M376" i="1" s="1"/>
  <c r="J381" i="1"/>
  <c r="J382" i="1"/>
  <c r="M382" i="1" s="1"/>
  <c r="J383" i="1"/>
  <c r="M383" i="1" s="1"/>
  <c r="J384" i="1"/>
  <c r="M384" i="1" s="1"/>
  <c r="J385" i="1"/>
  <c r="M385" i="1" s="1"/>
  <c r="H332" i="1"/>
  <c r="J332" i="1" s="1"/>
  <c r="G322" i="1" s="1"/>
  <c r="M346" i="1" l="1"/>
  <c r="I394" i="1"/>
  <c r="I403" i="1" s="1"/>
  <c r="C6" i="4" s="1"/>
  <c r="D6" i="4" s="1"/>
  <c r="I374" i="1"/>
  <c r="J374" i="1" s="1"/>
  <c r="M374" i="1" s="1"/>
  <c r="M381" i="1"/>
  <c r="M386" i="1" s="1"/>
  <c r="J386" i="1"/>
  <c r="M367" i="1"/>
  <c r="M348" i="1"/>
  <c r="M365" i="1" s="1"/>
  <c r="J365" i="1"/>
  <c r="J346" i="1"/>
  <c r="M379" i="1" l="1"/>
  <c r="J379" i="1"/>
  <c r="J387" i="1" s="1"/>
  <c r="M387" i="1" l="1"/>
  <c r="G102" i="2" l="1"/>
  <c r="G105" i="2"/>
  <c r="H31" i="1" l="1"/>
  <c r="I31" i="1" s="1"/>
  <c r="H32" i="1"/>
  <c r="I32" i="1" s="1"/>
  <c r="H29" i="1"/>
  <c r="I29" i="1" s="1"/>
  <c r="H28" i="1"/>
  <c r="I28" i="1" s="1"/>
  <c r="D299" i="2"/>
  <c r="C299" i="2"/>
  <c r="B299" i="2"/>
  <c r="E286" i="2"/>
  <c r="D286" i="2"/>
  <c r="C286" i="2"/>
  <c r="B286" i="2"/>
  <c r="D273" i="2"/>
  <c r="C273" i="2"/>
  <c r="B273" i="2"/>
  <c r="D260" i="2"/>
  <c r="C260" i="2"/>
  <c r="B260" i="2"/>
  <c r="D246" i="2"/>
  <c r="C246" i="2"/>
  <c r="B246" i="2"/>
  <c r="F233" i="2"/>
  <c r="E233" i="2"/>
  <c r="D233" i="2"/>
  <c r="C233" i="2"/>
  <c r="B233" i="2"/>
  <c r="C218" i="2"/>
  <c r="C31" i="3"/>
  <c r="B31" i="3"/>
  <c r="G313" i="1"/>
  <c r="G312" i="1"/>
  <c r="G311" i="1"/>
  <c r="G310" i="1"/>
  <c r="G309" i="1"/>
  <c r="G308" i="1"/>
  <c r="G307" i="1"/>
  <c r="K335" i="1" l="1"/>
  <c r="K339" i="1"/>
  <c r="L339" i="1" s="1"/>
  <c r="K343" i="1"/>
  <c r="K349" i="1"/>
  <c r="K353" i="1"/>
  <c r="K357" i="1"/>
  <c r="L357" i="1" s="1"/>
  <c r="K361" i="1"/>
  <c r="K367" i="1"/>
  <c r="K371" i="1"/>
  <c r="K375" i="1"/>
  <c r="L375" i="1" s="1"/>
  <c r="K381" i="1"/>
  <c r="K385" i="1"/>
  <c r="K336" i="1"/>
  <c r="K340" i="1"/>
  <c r="L340" i="1" s="1"/>
  <c r="K344" i="1"/>
  <c r="K350" i="1"/>
  <c r="K354" i="1"/>
  <c r="K358" i="1"/>
  <c r="L358" i="1" s="1"/>
  <c r="K362" i="1"/>
  <c r="K368" i="1"/>
  <c r="K372" i="1"/>
  <c r="K376" i="1"/>
  <c r="L376" i="1" s="1"/>
  <c r="K382" i="1"/>
  <c r="K337" i="1"/>
  <c r="K341" i="1"/>
  <c r="K345" i="1"/>
  <c r="L345" i="1" s="1"/>
  <c r="K351" i="1"/>
  <c r="K355" i="1"/>
  <c r="K359" i="1"/>
  <c r="K363" i="1"/>
  <c r="L363" i="1" s="1"/>
  <c r="K369" i="1"/>
  <c r="K373" i="1"/>
  <c r="K377" i="1"/>
  <c r="K383" i="1"/>
  <c r="L383" i="1" s="1"/>
  <c r="K334" i="1"/>
  <c r="K338" i="1"/>
  <c r="K342" i="1"/>
  <c r="K348" i="1"/>
  <c r="L348" i="1" s="1"/>
  <c r="K352" i="1"/>
  <c r="K356" i="1"/>
  <c r="L356" i="1" s="1"/>
  <c r="K360" i="1"/>
  <c r="K364" i="1"/>
  <c r="L364" i="1" s="1"/>
  <c r="K370" i="1"/>
  <c r="K374" i="1"/>
  <c r="L374" i="1" s="1"/>
  <c r="K378" i="1"/>
  <c r="K384" i="1"/>
  <c r="L384" i="1" s="1"/>
  <c r="E312" i="1"/>
  <c r="H318" i="1"/>
  <c r="I318" i="1" s="1"/>
  <c r="H322" i="1"/>
  <c r="I322" i="1" s="1"/>
  <c r="L382" i="1"/>
  <c r="L372" i="1"/>
  <c r="L368" i="1"/>
  <c r="L362" i="1"/>
  <c r="L354" i="1"/>
  <c r="L350" i="1"/>
  <c r="L344" i="1"/>
  <c r="L336" i="1"/>
  <c r="L385" i="1"/>
  <c r="L381" i="1"/>
  <c r="L371" i="1"/>
  <c r="L367" i="1"/>
  <c r="L361" i="1"/>
  <c r="L353" i="1"/>
  <c r="L349" i="1"/>
  <c r="L343" i="1"/>
  <c r="L335" i="1"/>
  <c r="L378" i="1"/>
  <c r="L370" i="1"/>
  <c r="L360" i="1"/>
  <c r="L352" i="1"/>
  <c r="L342" i="1"/>
  <c r="L338" i="1"/>
  <c r="L334" i="1"/>
  <c r="L377" i="1"/>
  <c r="L373" i="1"/>
  <c r="L369" i="1"/>
  <c r="L359" i="1"/>
  <c r="L355" i="1"/>
  <c r="L351" i="1"/>
  <c r="L341" i="1"/>
  <c r="L337" i="1"/>
  <c r="D331" i="1"/>
  <c r="E331" i="1" s="1"/>
  <c r="G331" i="1" s="1"/>
  <c r="K331" i="1" s="1"/>
  <c r="G221" i="2"/>
  <c r="H307" i="1" s="1"/>
  <c r="E310" i="1"/>
  <c r="E307" i="1"/>
  <c r="E311" i="1"/>
  <c r="E308" i="1"/>
  <c r="E309" i="1"/>
  <c r="E313" i="1"/>
  <c r="F247" i="2"/>
  <c r="G247" i="2" s="1"/>
  <c r="H309" i="1" s="1"/>
  <c r="I309" i="1" s="1"/>
  <c r="F300" i="2"/>
  <c r="G300" i="2" s="1"/>
  <c r="H313" i="1" s="1"/>
  <c r="I313" i="1" s="1"/>
  <c r="F261" i="2"/>
  <c r="G261" i="2" s="1"/>
  <c r="H310" i="1" s="1"/>
  <c r="I310" i="1" s="1"/>
  <c r="F287" i="2"/>
  <c r="G287" i="2" s="1"/>
  <c r="H312" i="1" s="1"/>
  <c r="I312" i="1" s="1"/>
  <c r="F234" i="2"/>
  <c r="G234" i="2" s="1"/>
  <c r="F274" i="2"/>
  <c r="G274" i="2" s="1"/>
  <c r="H311" i="1" s="1"/>
  <c r="I311" i="1" s="1"/>
  <c r="L365" i="1" l="1"/>
  <c r="L379" i="1"/>
  <c r="H331" i="1"/>
  <c r="J331" i="1" s="1"/>
  <c r="L331" i="1"/>
  <c r="L346" i="1"/>
  <c r="I307" i="1"/>
  <c r="L386" i="1"/>
  <c r="H308" i="1"/>
  <c r="I308" i="1" s="1"/>
  <c r="H314" i="1" l="1"/>
  <c r="I314" i="1"/>
  <c r="C5" i="4" s="1"/>
  <c r="D5" i="4" s="1"/>
  <c r="L387" i="1"/>
  <c r="H299" i="1"/>
  <c r="E299" i="1"/>
  <c r="F299" i="1" s="1"/>
  <c r="I299" i="1" s="1"/>
  <c r="H298" i="1"/>
  <c r="F298" i="1"/>
  <c r="I298" i="1" s="1"/>
  <c r="H295" i="1"/>
  <c r="E295" i="1"/>
  <c r="H294" i="1"/>
  <c r="E294" i="1"/>
  <c r="F294" i="1" s="1"/>
  <c r="I294" i="1" s="1"/>
  <c r="H293" i="1"/>
  <c r="E293" i="1"/>
  <c r="H292" i="1"/>
  <c r="E292" i="1"/>
  <c r="H291" i="1"/>
  <c r="E291" i="1"/>
  <c r="H290" i="1"/>
  <c r="E290" i="1"/>
  <c r="H287" i="1"/>
  <c r="E287" i="1"/>
  <c r="F287" i="1" s="1"/>
  <c r="I287" i="1" s="1"/>
  <c r="H286" i="1"/>
  <c r="E286" i="1"/>
  <c r="F286" i="1" s="1"/>
  <c r="I286" i="1" s="1"/>
  <c r="H285" i="1"/>
  <c r="E285" i="1"/>
  <c r="H284" i="1"/>
  <c r="E284" i="1"/>
  <c r="H283" i="1"/>
  <c r="E283" i="1"/>
  <c r="H282" i="1"/>
  <c r="E282" i="1"/>
  <c r="H281" i="1"/>
  <c r="E281" i="1"/>
  <c r="H280" i="1"/>
  <c r="E280" i="1"/>
  <c r="H279" i="1"/>
  <c r="E279" i="1"/>
  <c r="H278" i="1"/>
  <c r="E278" i="1"/>
  <c r="H277" i="1"/>
  <c r="E277" i="1"/>
  <c r="H276" i="1"/>
  <c r="E276" i="1"/>
  <c r="H275" i="1"/>
  <c r="E275" i="1"/>
  <c r="F275" i="1" s="1"/>
  <c r="I275" i="1" s="1"/>
  <c r="H272" i="1"/>
  <c r="E272" i="1"/>
  <c r="H271" i="1"/>
  <c r="E271" i="1"/>
  <c r="F271" i="1" s="1"/>
  <c r="I271" i="1" s="1"/>
  <c r="H270" i="1"/>
  <c r="E270" i="1"/>
  <c r="F270" i="1" s="1"/>
  <c r="I270" i="1" s="1"/>
  <c r="H269" i="1"/>
  <c r="E269" i="1"/>
  <c r="F269" i="1" s="1"/>
  <c r="I269" i="1" s="1"/>
  <c r="H268" i="1"/>
  <c r="E268" i="1"/>
  <c r="F268" i="1" s="1"/>
  <c r="I268" i="1" s="1"/>
  <c r="H267" i="1"/>
  <c r="E267" i="1"/>
  <c r="H266" i="1"/>
  <c r="E266" i="1"/>
  <c r="H265" i="1"/>
  <c r="E265" i="1"/>
  <c r="F265" i="1" s="1"/>
  <c r="I265" i="1" s="1"/>
  <c r="H264" i="1"/>
  <c r="E264" i="1"/>
  <c r="F264" i="1" s="1"/>
  <c r="I264" i="1" s="1"/>
  <c r="H263" i="1"/>
  <c r="E263" i="1"/>
  <c r="F263" i="1" s="1"/>
  <c r="I263" i="1" s="1"/>
  <c r="H262" i="1"/>
  <c r="E262" i="1"/>
  <c r="F262" i="1" s="1"/>
  <c r="I262" i="1" s="1"/>
  <c r="H261" i="1"/>
  <c r="E261" i="1"/>
  <c r="F261" i="1" s="1"/>
  <c r="I261" i="1" s="1"/>
  <c r="G257" i="1"/>
  <c r="I256" i="1"/>
  <c r="I250" i="1"/>
  <c r="I242" i="1"/>
  <c r="H235" i="1"/>
  <c r="I235" i="1" s="1"/>
  <c r="H234" i="1"/>
  <c r="I234" i="1" s="1"/>
  <c r="H233" i="1"/>
  <c r="I233" i="1" s="1"/>
  <c r="H232" i="1"/>
  <c r="I232" i="1" s="1"/>
  <c r="H229" i="1"/>
  <c r="I229" i="1" s="1"/>
  <c r="H228" i="1"/>
  <c r="I228" i="1" s="1"/>
  <c r="H227" i="1"/>
  <c r="I227" i="1" s="1"/>
  <c r="H226" i="1"/>
  <c r="I226" i="1" s="1"/>
  <c r="H223" i="1"/>
  <c r="I223" i="1" s="1"/>
  <c r="H222" i="1"/>
  <c r="I222" i="1" s="1"/>
  <c r="H221" i="1"/>
  <c r="I221" i="1" s="1"/>
  <c r="H220" i="1"/>
  <c r="I220" i="1" s="1"/>
  <c r="H219" i="1"/>
  <c r="I219" i="1" s="1"/>
  <c r="H218" i="1"/>
  <c r="I218" i="1" s="1"/>
  <c r="K257" i="1" l="1"/>
  <c r="H257" i="1" s="1"/>
  <c r="J257" i="1" s="1"/>
  <c r="G213" i="1" s="1"/>
  <c r="I224" i="1"/>
  <c r="B5" i="4"/>
  <c r="I230" i="1"/>
  <c r="I236" i="1"/>
  <c r="J264" i="1"/>
  <c r="M264" i="1" s="1"/>
  <c r="J286" i="1"/>
  <c r="M286" i="1" s="1"/>
  <c r="J299" i="1"/>
  <c r="M299" i="1" s="1"/>
  <c r="J263" i="1"/>
  <c r="M263" i="1" s="1"/>
  <c r="J298" i="1"/>
  <c r="J287" i="1"/>
  <c r="M287" i="1" s="1"/>
  <c r="J261" i="1"/>
  <c r="J262" i="1"/>
  <c r="M262" i="1" s="1"/>
  <c r="F266" i="1"/>
  <c r="I266" i="1" s="1"/>
  <c r="J266" i="1" s="1"/>
  <c r="M266" i="1" s="1"/>
  <c r="J265" i="1"/>
  <c r="M265" i="1" s="1"/>
  <c r="J268" i="1"/>
  <c r="M268" i="1" s="1"/>
  <c r="J269" i="1"/>
  <c r="M269" i="1" s="1"/>
  <c r="J270" i="1"/>
  <c r="M270" i="1" s="1"/>
  <c r="J271" i="1"/>
  <c r="M271" i="1" s="1"/>
  <c r="J275" i="1"/>
  <c r="J294" i="1"/>
  <c r="M294" i="1" s="1"/>
  <c r="F267" i="1"/>
  <c r="I267" i="1" s="1"/>
  <c r="J267" i="1" s="1"/>
  <c r="M267" i="1" s="1"/>
  <c r="F276" i="1"/>
  <c r="I276" i="1" s="1"/>
  <c r="J276" i="1" s="1"/>
  <c r="M276" i="1" s="1"/>
  <c r="F277" i="1"/>
  <c r="I277" i="1" s="1"/>
  <c r="J277" i="1" s="1"/>
  <c r="M277" i="1" s="1"/>
  <c r="F278" i="1"/>
  <c r="I278" i="1" s="1"/>
  <c r="J278" i="1" s="1"/>
  <c r="M278" i="1" s="1"/>
  <c r="F279" i="1"/>
  <c r="I279" i="1" s="1"/>
  <c r="J279" i="1" s="1"/>
  <c r="M279" i="1" s="1"/>
  <c r="F280" i="1"/>
  <c r="I280" i="1" s="1"/>
  <c r="J280" i="1" s="1"/>
  <c r="M280" i="1" s="1"/>
  <c r="F281" i="1"/>
  <c r="I281" i="1" s="1"/>
  <c r="J281" i="1" s="1"/>
  <c r="M281" i="1" s="1"/>
  <c r="F282" i="1"/>
  <c r="I282" i="1" s="1"/>
  <c r="J282" i="1" s="1"/>
  <c r="M282" i="1" s="1"/>
  <c r="F283" i="1"/>
  <c r="I283" i="1" s="1"/>
  <c r="J283" i="1" s="1"/>
  <c r="M283" i="1" s="1"/>
  <c r="F284" i="1"/>
  <c r="I284" i="1" s="1"/>
  <c r="J284" i="1" s="1"/>
  <c r="M284" i="1" s="1"/>
  <c r="F285" i="1"/>
  <c r="I285" i="1" s="1"/>
  <c r="J285" i="1" s="1"/>
  <c r="M285" i="1" s="1"/>
  <c r="F290" i="1"/>
  <c r="I290" i="1" s="1"/>
  <c r="J290" i="1" s="1"/>
  <c r="F291" i="1"/>
  <c r="I291" i="1" s="1"/>
  <c r="J291" i="1" s="1"/>
  <c r="M291" i="1" s="1"/>
  <c r="F292" i="1"/>
  <c r="I292" i="1" s="1"/>
  <c r="J292" i="1" s="1"/>
  <c r="M292" i="1" s="1"/>
  <c r="F293" i="1"/>
  <c r="I293" i="1" s="1"/>
  <c r="J293" i="1" s="1"/>
  <c r="M293" i="1" s="1"/>
  <c r="F295" i="1"/>
  <c r="I295" i="1" s="1"/>
  <c r="J295" i="1" s="1"/>
  <c r="M295" i="1" s="1"/>
  <c r="F272" i="1"/>
  <c r="I272" i="1" s="1"/>
  <c r="J272" i="1" s="1"/>
  <c r="M272" i="1" s="1"/>
  <c r="I237" i="1" l="1"/>
  <c r="E238" i="1" s="1"/>
  <c r="J288" i="1"/>
  <c r="M298" i="1"/>
  <c r="M300" i="1" s="1"/>
  <c r="J300" i="1"/>
  <c r="M290" i="1"/>
  <c r="M296" i="1" s="1"/>
  <c r="J296" i="1"/>
  <c r="M275" i="1"/>
  <c r="M288" i="1" s="1"/>
  <c r="M261" i="1"/>
  <c r="M273" i="1" s="1"/>
  <c r="J273" i="1"/>
  <c r="M301" i="1" l="1"/>
  <c r="J301" i="1"/>
  <c r="C20" i="3" l="1"/>
  <c r="B20" i="3"/>
  <c r="E204" i="1" s="1"/>
  <c r="F215" i="2"/>
  <c r="E215" i="2"/>
  <c r="D215" i="2"/>
  <c r="C215" i="2"/>
  <c r="B215" i="2"/>
  <c r="F202" i="2"/>
  <c r="E202" i="2"/>
  <c r="D202" i="2"/>
  <c r="C202" i="2"/>
  <c r="B202" i="2"/>
  <c r="C189" i="2"/>
  <c r="B189" i="2"/>
  <c r="E176" i="2"/>
  <c r="D176" i="2"/>
  <c r="C176" i="2"/>
  <c r="B176" i="2"/>
  <c r="F163" i="2"/>
  <c r="E163" i="2"/>
  <c r="D163" i="2"/>
  <c r="C163" i="2"/>
  <c r="F150" i="2"/>
  <c r="E150" i="2"/>
  <c r="D150" i="2"/>
  <c r="C150" i="2"/>
  <c r="B150" i="2"/>
  <c r="E137" i="2"/>
  <c r="D137" i="2"/>
  <c r="C137" i="2"/>
  <c r="B137" i="2"/>
  <c r="E123" i="2"/>
  <c r="D123" i="2"/>
  <c r="C123" i="2"/>
  <c r="B123" i="2"/>
  <c r="C108" i="2"/>
  <c r="G204" i="1"/>
  <c r="G203" i="1"/>
  <c r="G202" i="1"/>
  <c r="G201" i="1"/>
  <c r="G200" i="1"/>
  <c r="G199" i="1"/>
  <c r="G198" i="1"/>
  <c r="G197" i="1"/>
  <c r="G196" i="1"/>
  <c r="K263" i="1" l="1"/>
  <c r="K267" i="1"/>
  <c r="K271" i="1"/>
  <c r="K277" i="1"/>
  <c r="L277" i="1" s="1"/>
  <c r="K281" i="1"/>
  <c r="K285" i="1"/>
  <c r="K291" i="1"/>
  <c r="K295" i="1"/>
  <c r="L295" i="1" s="1"/>
  <c r="K264" i="1"/>
  <c r="K268" i="1"/>
  <c r="K272" i="1"/>
  <c r="K278" i="1"/>
  <c r="K282" i="1"/>
  <c r="K286" i="1"/>
  <c r="K292" i="1"/>
  <c r="K298" i="1"/>
  <c r="K261" i="1"/>
  <c r="K265" i="1"/>
  <c r="K269" i="1"/>
  <c r="K275" i="1"/>
  <c r="K279" i="1"/>
  <c r="K283" i="1"/>
  <c r="K287" i="1"/>
  <c r="K293" i="1"/>
  <c r="K299" i="1"/>
  <c r="K262" i="1"/>
  <c r="K266" i="1"/>
  <c r="K270" i="1"/>
  <c r="L270" i="1" s="1"/>
  <c r="K276" i="1"/>
  <c r="K280" i="1"/>
  <c r="K284" i="1"/>
  <c r="K290" i="1"/>
  <c r="L290" i="1" s="1"/>
  <c r="K294" i="1"/>
  <c r="H209" i="1"/>
  <c r="I209" i="1" s="1"/>
  <c r="H213" i="1"/>
  <c r="I213" i="1" s="1"/>
  <c r="F216" i="2"/>
  <c r="G216" i="2" s="1"/>
  <c r="H204" i="1" s="1"/>
  <c r="I204" i="1" s="1"/>
  <c r="F190" i="2"/>
  <c r="G190" i="2" s="1"/>
  <c r="H202" i="1" s="1"/>
  <c r="I202" i="1" s="1"/>
  <c r="E197" i="1"/>
  <c r="E201" i="1"/>
  <c r="E198" i="1"/>
  <c r="E202" i="1"/>
  <c r="L291" i="1"/>
  <c r="L285" i="1"/>
  <c r="L281" i="1"/>
  <c r="L271" i="1"/>
  <c r="L267" i="1"/>
  <c r="L263" i="1"/>
  <c r="L294" i="1"/>
  <c r="L284" i="1"/>
  <c r="L280" i="1"/>
  <c r="L276" i="1"/>
  <c r="L266" i="1"/>
  <c r="L262" i="1"/>
  <c r="D256" i="1"/>
  <c r="E256" i="1" s="1"/>
  <c r="G256" i="1" s="1"/>
  <c r="K256" i="1" s="1"/>
  <c r="L299" i="1"/>
  <c r="L293" i="1"/>
  <c r="L287" i="1"/>
  <c r="L283" i="1"/>
  <c r="L279" i="1"/>
  <c r="L275" i="1"/>
  <c r="L269" i="1"/>
  <c r="L265" i="1"/>
  <c r="L261" i="1"/>
  <c r="L298" i="1"/>
  <c r="L292" i="1"/>
  <c r="L286" i="1"/>
  <c r="L282" i="1"/>
  <c r="L278" i="1"/>
  <c r="L272" i="1"/>
  <c r="L268" i="1"/>
  <c r="L264" i="1"/>
  <c r="E199" i="1"/>
  <c r="E203" i="1"/>
  <c r="E196" i="1"/>
  <c r="E200" i="1"/>
  <c r="F124" i="2"/>
  <c r="G124" i="2" s="1"/>
  <c r="H197" i="1" s="1"/>
  <c r="I197" i="1" s="1"/>
  <c r="F138" i="2"/>
  <c r="G138" i="2" s="1"/>
  <c r="H198" i="1" s="1"/>
  <c r="I198" i="1" s="1"/>
  <c r="F203" i="2"/>
  <c r="G203" i="2" s="1"/>
  <c r="H203" i="1" s="1"/>
  <c r="I203" i="1" s="1"/>
  <c r="F151" i="2"/>
  <c r="G151" i="2" s="1"/>
  <c r="H199" i="1" s="1"/>
  <c r="I199" i="1" s="1"/>
  <c r="F164" i="2"/>
  <c r="G164" i="2" s="1"/>
  <c r="H200" i="1" s="1"/>
  <c r="I200" i="1" s="1"/>
  <c r="F177" i="2"/>
  <c r="G177" i="2" s="1"/>
  <c r="H201" i="1" s="1"/>
  <c r="I201" i="1" s="1"/>
  <c r="H196" i="1"/>
  <c r="L300" i="1" l="1"/>
  <c r="L288" i="1"/>
  <c r="L296" i="1"/>
  <c r="L273" i="1"/>
  <c r="H205" i="1"/>
  <c r="H256" i="1"/>
  <c r="J256" i="1" s="1"/>
  <c r="L256" i="1"/>
  <c r="I196" i="1"/>
  <c r="I205" i="1" s="1"/>
  <c r="C4" i="4" s="1"/>
  <c r="E185" i="1"/>
  <c r="F185" i="1" s="1"/>
  <c r="I185" i="1" s="1"/>
  <c r="H185" i="1"/>
  <c r="H188" i="1"/>
  <c r="H186" i="1"/>
  <c r="E146" i="1"/>
  <c r="F146" i="1" s="1"/>
  <c r="I146" i="1" s="1"/>
  <c r="H146" i="1"/>
  <c r="E145" i="1"/>
  <c r="F145" i="1" s="1"/>
  <c r="I145" i="1" s="1"/>
  <c r="H145" i="1"/>
  <c r="E130" i="1"/>
  <c r="F130" i="1" s="1"/>
  <c r="I130" i="1" s="1"/>
  <c r="H130" i="1"/>
  <c r="E131" i="1"/>
  <c r="F131" i="1" s="1"/>
  <c r="I131" i="1" s="1"/>
  <c r="H131" i="1"/>
  <c r="E132" i="1"/>
  <c r="F132" i="1" s="1"/>
  <c r="I132" i="1" s="1"/>
  <c r="H132" i="1"/>
  <c r="E133" i="1"/>
  <c r="F133" i="1" s="1"/>
  <c r="I133" i="1" s="1"/>
  <c r="H133" i="1"/>
  <c r="E134" i="1"/>
  <c r="F134" i="1" s="1"/>
  <c r="I134" i="1" s="1"/>
  <c r="H134" i="1"/>
  <c r="E135" i="1"/>
  <c r="F135" i="1" s="1"/>
  <c r="I135" i="1" s="1"/>
  <c r="H135" i="1"/>
  <c r="E136" i="1"/>
  <c r="F136" i="1" s="1"/>
  <c r="I136" i="1" s="1"/>
  <c r="H136" i="1"/>
  <c r="E137" i="1"/>
  <c r="F137" i="1" s="1"/>
  <c r="I137" i="1" s="1"/>
  <c r="H137" i="1"/>
  <c r="E138" i="1"/>
  <c r="F138" i="1" s="1"/>
  <c r="I138" i="1" s="1"/>
  <c r="H138" i="1"/>
  <c r="E139" i="1"/>
  <c r="F139" i="1" s="1"/>
  <c r="I139" i="1" s="1"/>
  <c r="H139" i="1"/>
  <c r="E140" i="1"/>
  <c r="F140" i="1" s="1"/>
  <c r="I140" i="1" s="1"/>
  <c r="H140" i="1"/>
  <c r="E141" i="1"/>
  <c r="F141" i="1" s="1"/>
  <c r="I141" i="1" s="1"/>
  <c r="H141" i="1"/>
  <c r="E142" i="1"/>
  <c r="F142" i="1" s="1"/>
  <c r="I142" i="1" s="1"/>
  <c r="H142" i="1"/>
  <c r="E129" i="1"/>
  <c r="F129" i="1" s="1"/>
  <c r="I129" i="1" s="1"/>
  <c r="H129" i="1"/>
  <c r="E114" i="1"/>
  <c r="F114" i="1" s="1"/>
  <c r="I114" i="1" s="1"/>
  <c r="H114" i="1"/>
  <c r="E115" i="1"/>
  <c r="F115" i="1" s="1"/>
  <c r="I115" i="1" s="1"/>
  <c r="H115" i="1"/>
  <c r="E116" i="1"/>
  <c r="F116" i="1" s="1"/>
  <c r="I116" i="1" s="1"/>
  <c r="H116" i="1"/>
  <c r="E117" i="1"/>
  <c r="F117" i="1" s="1"/>
  <c r="I117" i="1" s="1"/>
  <c r="H117" i="1"/>
  <c r="E118" i="1"/>
  <c r="F118" i="1" s="1"/>
  <c r="I118" i="1" s="1"/>
  <c r="H118" i="1"/>
  <c r="E119" i="1"/>
  <c r="F119" i="1" s="1"/>
  <c r="I119" i="1" s="1"/>
  <c r="H119" i="1"/>
  <c r="E120" i="1"/>
  <c r="F120" i="1" s="1"/>
  <c r="I120" i="1" s="1"/>
  <c r="H120" i="1"/>
  <c r="E121" i="1"/>
  <c r="F121" i="1" s="1"/>
  <c r="I121" i="1" s="1"/>
  <c r="H121" i="1"/>
  <c r="E122" i="1"/>
  <c r="F122" i="1" s="1"/>
  <c r="I122" i="1" s="1"/>
  <c r="H122" i="1"/>
  <c r="E123" i="1"/>
  <c r="F123" i="1" s="1"/>
  <c r="I123" i="1" s="1"/>
  <c r="H123" i="1"/>
  <c r="E124" i="1"/>
  <c r="F124" i="1" s="1"/>
  <c r="I124" i="1" s="1"/>
  <c r="H124" i="1"/>
  <c r="E125" i="1"/>
  <c r="F125" i="1" s="1"/>
  <c r="I125" i="1" s="1"/>
  <c r="H125" i="1"/>
  <c r="E126" i="1"/>
  <c r="F126" i="1" s="1"/>
  <c r="I126" i="1" s="1"/>
  <c r="H126" i="1"/>
  <c r="E113" i="1"/>
  <c r="F113" i="1" s="1"/>
  <c r="I113" i="1" s="1"/>
  <c r="H113" i="1"/>
  <c r="E87" i="1"/>
  <c r="F87" i="1" s="1"/>
  <c r="I87" i="1" s="1"/>
  <c r="H87" i="1"/>
  <c r="E88" i="1"/>
  <c r="F88" i="1" s="1"/>
  <c r="I88" i="1" s="1"/>
  <c r="H88" i="1"/>
  <c r="E89" i="1"/>
  <c r="F89" i="1" s="1"/>
  <c r="I89" i="1" s="1"/>
  <c r="H89" i="1"/>
  <c r="E90" i="1"/>
  <c r="F90" i="1" s="1"/>
  <c r="I90" i="1" s="1"/>
  <c r="H90" i="1"/>
  <c r="E91" i="1"/>
  <c r="F91" i="1" s="1"/>
  <c r="I91" i="1" s="1"/>
  <c r="H91" i="1"/>
  <c r="E92" i="1"/>
  <c r="F92" i="1" s="1"/>
  <c r="I92" i="1" s="1"/>
  <c r="H92" i="1"/>
  <c r="E93" i="1"/>
  <c r="F93" i="1" s="1"/>
  <c r="I93" i="1" s="1"/>
  <c r="H93" i="1"/>
  <c r="E94" i="1"/>
  <c r="F94" i="1" s="1"/>
  <c r="I94" i="1" s="1"/>
  <c r="H94" i="1"/>
  <c r="E95" i="1"/>
  <c r="F95" i="1" s="1"/>
  <c r="I95" i="1" s="1"/>
  <c r="H95" i="1"/>
  <c r="E96" i="1"/>
  <c r="F96" i="1" s="1"/>
  <c r="I96" i="1" s="1"/>
  <c r="H96" i="1"/>
  <c r="E97" i="1"/>
  <c r="F97" i="1" s="1"/>
  <c r="I97" i="1" s="1"/>
  <c r="H97" i="1"/>
  <c r="E98" i="1"/>
  <c r="F98" i="1" s="1"/>
  <c r="I98" i="1" s="1"/>
  <c r="H98" i="1"/>
  <c r="E99" i="1"/>
  <c r="F99" i="1" s="1"/>
  <c r="I99" i="1" s="1"/>
  <c r="H99" i="1"/>
  <c r="E100" i="1"/>
  <c r="F100" i="1" s="1"/>
  <c r="I100" i="1" s="1"/>
  <c r="H100" i="1"/>
  <c r="E101" i="1"/>
  <c r="F101" i="1" s="1"/>
  <c r="I101" i="1" s="1"/>
  <c r="H101" i="1"/>
  <c r="E102" i="1"/>
  <c r="F102" i="1" s="1"/>
  <c r="I102" i="1" s="1"/>
  <c r="H102" i="1"/>
  <c r="E103" i="1"/>
  <c r="F103" i="1" s="1"/>
  <c r="I103" i="1" s="1"/>
  <c r="H103" i="1"/>
  <c r="E104" i="1"/>
  <c r="F104" i="1" s="1"/>
  <c r="I104" i="1" s="1"/>
  <c r="H104" i="1"/>
  <c r="E105" i="1"/>
  <c r="F105" i="1" s="1"/>
  <c r="I105" i="1" s="1"/>
  <c r="H105" i="1"/>
  <c r="E106" i="1"/>
  <c r="F106" i="1" s="1"/>
  <c r="I106" i="1" s="1"/>
  <c r="H106" i="1"/>
  <c r="E107" i="1"/>
  <c r="F107" i="1" s="1"/>
  <c r="I107" i="1" s="1"/>
  <c r="H107" i="1"/>
  <c r="E108" i="1"/>
  <c r="F108" i="1" s="1"/>
  <c r="I108" i="1" s="1"/>
  <c r="H108" i="1"/>
  <c r="E109" i="1"/>
  <c r="F109" i="1" s="1"/>
  <c r="I109" i="1" s="1"/>
  <c r="H109" i="1"/>
  <c r="E110" i="1"/>
  <c r="F110" i="1" s="1"/>
  <c r="I110" i="1" s="1"/>
  <c r="H110" i="1"/>
  <c r="E86" i="1"/>
  <c r="F86" i="1" s="1"/>
  <c r="I86" i="1" s="1"/>
  <c r="H86" i="1"/>
  <c r="E161" i="1"/>
  <c r="F161" i="1" s="1"/>
  <c r="I161" i="1" s="1"/>
  <c r="H161" i="1"/>
  <c r="E162" i="1"/>
  <c r="F162" i="1" s="1"/>
  <c r="I162" i="1" s="1"/>
  <c r="H162" i="1"/>
  <c r="E163" i="1"/>
  <c r="F163" i="1" s="1"/>
  <c r="I163" i="1" s="1"/>
  <c r="H163" i="1"/>
  <c r="E164" i="1"/>
  <c r="F164" i="1" s="1"/>
  <c r="I164" i="1" s="1"/>
  <c r="H164" i="1"/>
  <c r="E165" i="1"/>
  <c r="F165" i="1" s="1"/>
  <c r="I165" i="1" s="1"/>
  <c r="H165" i="1"/>
  <c r="E166" i="1"/>
  <c r="F166" i="1" s="1"/>
  <c r="I166" i="1" s="1"/>
  <c r="H166" i="1"/>
  <c r="E167" i="1"/>
  <c r="F167" i="1" s="1"/>
  <c r="I167" i="1" s="1"/>
  <c r="H167" i="1"/>
  <c r="E168" i="1"/>
  <c r="F168" i="1" s="1"/>
  <c r="I168" i="1" s="1"/>
  <c r="H168" i="1"/>
  <c r="E169" i="1"/>
  <c r="F169" i="1" s="1"/>
  <c r="I169" i="1" s="1"/>
  <c r="H169" i="1"/>
  <c r="E170" i="1"/>
  <c r="F170" i="1" s="1"/>
  <c r="I170" i="1" s="1"/>
  <c r="H170" i="1"/>
  <c r="E171" i="1"/>
  <c r="F171" i="1" s="1"/>
  <c r="I171" i="1" s="1"/>
  <c r="H171" i="1"/>
  <c r="E172" i="1"/>
  <c r="F172" i="1" s="1"/>
  <c r="I172" i="1" s="1"/>
  <c r="H172" i="1"/>
  <c r="E173" i="1"/>
  <c r="F173" i="1" s="1"/>
  <c r="I173" i="1" s="1"/>
  <c r="H173" i="1"/>
  <c r="E176" i="1"/>
  <c r="F176" i="1" s="1"/>
  <c r="I176" i="1" s="1"/>
  <c r="H176" i="1"/>
  <c r="E177" i="1"/>
  <c r="F177" i="1" s="1"/>
  <c r="I177" i="1" s="1"/>
  <c r="H177" i="1"/>
  <c r="E178" i="1"/>
  <c r="F178" i="1" s="1"/>
  <c r="I178" i="1" s="1"/>
  <c r="H178" i="1"/>
  <c r="E179" i="1"/>
  <c r="F179" i="1" s="1"/>
  <c r="I179" i="1" s="1"/>
  <c r="H179" i="1"/>
  <c r="E180" i="1"/>
  <c r="F180" i="1" s="1"/>
  <c r="I180" i="1" s="1"/>
  <c r="H180" i="1"/>
  <c r="E181" i="1"/>
  <c r="F181" i="1" s="1"/>
  <c r="I181" i="1" s="1"/>
  <c r="H181" i="1"/>
  <c r="E182" i="1"/>
  <c r="F182" i="1" s="1"/>
  <c r="I182" i="1" s="1"/>
  <c r="H182" i="1"/>
  <c r="E186" i="1"/>
  <c r="E187" i="1"/>
  <c r="F187" i="1" s="1"/>
  <c r="I187" i="1" s="1"/>
  <c r="H187" i="1"/>
  <c r="E188" i="1"/>
  <c r="E159" i="1"/>
  <c r="F159" i="1" s="1"/>
  <c r="I159" i="1" s="1"/>
  <c r="H159" i="1"/>
  <c r="E147" i="1"/>
  <c r="F147" i="1" s="1"/>
  <c r="I147" i="1" s="1"/>
  <c r="H147" i="1"/>
  <c r="E148" i="1"/>
  <c r="F148" i="1" s="1"/>
  <c r="I148" i="1" s="1"/>
  <c r="H148" i="1"/>
  <c r="E149" i="1"/>
  <c r="F149" i="1" s="1"/>
  <c r="I149" i="1" s="1"/>
  <c r="H149" i="1"/>
  <c r="E150" i="1"/>
  <c r="F150" i="1" s="1"/>
  <c r="I150" i="1" s="1"/>
  <c r="H150" i="1"/>
  <c r="E151" i="1"/>
  <c r="F151" i="1" s="1"/>
  <c r="I151" i="1" s="1"/>
  <c r="H151" i="1"/>
  <c r="E152" i="1"/>
  <c r="F152" i="1" s="1"/>
  <c r="I152" i="1" s="1"/>
  <c r="H152" i="1"/>
  <c r="E153" i="1"/>
  <c r="F153" i="1" s="1"/>
  <c r="I153" i="1" s="1"/>
  <c r="H153" i="1"/>
  <c r="E154" i="1"/>
  <c r="F154" i="1" s="1"/>
  <c r="I154" i="1" s="1"/>
  <c r="H154" i="1"/>
  <c r="E155" i="1"/>
  <c r="F155" i="1" s="1"/>
  <c r="I155" i="1" s="1"/>
  <c r="H155" i="1"/>
  <c r="E156" i="1"/>
  <c r="F156" i="1" s="1"/>
  <c r="I156" i="1" s="1"/>
  <c r="H156" i="1"/>
  <c r="I81" i="1"/>
  <c r="G75" i="1"/>
  <c r="H75" i="1" s="1"/>
  <c r="I75" i="1" s="1"/>
  <c r="C98" i="2"/>
  <c r="D98" i="2"/>
  <c r="E98" i="2"/>
  <c r="F98" i="2"/>
  <c r="B98" i="2"/>
  <c r="C85" i="2"/>
  <c r="D85" i="2"/>
  <c r="E85" i="2"/>
  <c r="B85" i="2"/>
  <c r="C72" i="2"/>
  <c r="D72" i="2"/>
  <c r="E72" i="2"/>
  <c r="B72" i="2"/>
  <c r="C59" i="2"/>
  <c r="D59" i="2"/>
  <c r="E59" i="2"/>
  <c r="B59" i="2"/>
  <c r="C46" i="2"/>
  <c r="D46" i="2"/>
  <c r="E46" i="2"/>
  <c r="B46" i="2"/>
  <c r="C33" i="2"/>
  <c r="D33" i="2"/>
  <c r="E33" i="2"/>
  <c r="B33" i="2"/>
  <c r="F19" i="2"/>
  <c r="E19" i="2"/>
  <c r="C19" i="2"/>
  <c r="D19" i="2"/>
  <c r="B19" i="2"/>
  <c r="G7" i="2"/>
  <c r="H22" i="1" s="1"/>
  <c r="I22" i="1" s="1"/>
  <c r="G82" i="1"/>
  <c r="K82" i="1" s="1"/>
  <c r="C9" i="3"/>
  <c r="I47" i="1"/>
  <c r="I48" i="1"/>
  <c r="I49" i="1"/>
  <c r="I50" i="1"/>
  <c r="I51" i="1"/>
  <c r="I54" i="1"/>
  <c r="I55" i="1"/>
  <c r="I56" i="1"/>
  <c r="I57" i="1"/>
  <c r="I58" i="1"/>
  <c r="I61" i="1"/>
  <c r="I62" i="1"/>
  <c r="I63" i="1"/>
  <c r="I64" i="1"/>
  <c r="B9" i="3"/>
  <c r="K86" i="1" l="1"/>
  <c r="K90" i="1"/>
  <c r="K94" i="1"/>
  <c r="K98" i="1"/>
  <c r="K102" i="1"/>
  <c r="K106" i="1"/>
  <c r="K110" i="1"/>
  <c r="K116" i="1"/>
  <c r="K120" i="1"/>
  <c r="K124" i="1"/>
  <c r="K130" i="1"/>
  <c r="K134" i="1"/>
  <c r="K138" i="1"/>
  <c r="K142" i="1"/>
  <c r="K148" i="1"/>
  <c r="K152" i="1"/>
  <c r="K156" i="1"/>
  <c r="K159" i="1" s="1"/>
  <c r="K163" i="1"/>
  <c r="K167" i="1"/>
  <c r="K171" i="1"/>
  <c r="K177" i="1"/>
  <c r="K181" i="1"/>
  <c r="K187" i="1"/>
  <c r="E27" i="1"/>
  <c r="E29" i="1"/>
  <c r="K87" i="1"/>
  <c r="K91" i="1"/>
  <c r="K95" i="1"/>
  <c r="K99" i="1"/>
  <c r="K103" i="1"/>
  <c r="K107" i="1"/>
  <c r="K113" i="1"/>
  <c r="K117" i="1"/>
  <c r="K121" i="1"/>
  <c r="K125" i="1"/>
  <c r="K131" i="1"/>
  <c r="K135" i="1"/>
  <c r="K139" i="1"/>
  <c r="K145" i="1"/>
  <c r="K149" i="1"/>
  <c r="K153" i="1"/>
  <c r="K164" i="1"/>
  <c r="K168" i="1"/>
  <c r="K172" i="1"/>
  <c r="K178" i="1"/>
  <c r="K182" i="1"/>
  <c r="K188" i="1"/>
  <c r="E22" i="1"/>
  <c r="E24" i="1"/>
  <c r="E31" i="1"/>
  <c r="E33" i="1"/>
  <c r="K88" i="1"/>
  <c r="K92" i="1"/>
  <c r="K96" i="1"/>
  <c r="K100" i="1"/>
  <c r="K104" i="1"/>
  <c r="K108" i="1"/>
  <c r="K114" i="1"/>
  <c r="K118" i="1"/>
  <c r="K122" i="1"/>
  <c r="K126" i="1"/>
  <c r="K132" i="1"/>
  <c r="K136" i="1"/>
  <c r="K140" i="1"/>
  <c r="K146" i="1"/>
  <c r="K150" i="1"/>
  <c r="K154" i="1"/>
  <c r="K161" i="1"/>
  <c r="K165" i="1"/>
  <c r="K169" i="1"/>
  <c r="K173" i="1"/>
  <c r="K179" i="1"/>
  <c r="K185" i="1"/>
  <c r="E26" i="1"/>
  <c r="E28" i="1"/>
  <c r="E32" i="1"/>
  <c r="K89" i="1"/>
  <c r="K93" i="1"/>
  <c r="K97" i="1"/>
  <c r="K101" i="1"/>
  <c r="K105" i="1"/>
  <c r="K109" i="1"/>
  <c r="K115" i="1"/>
  <c r="K119" i="1"/>
  <c r="K123" i="1"/>
  <c r="K129" i="1"/>
  <c r="K133" i="1"/>
  <c r="K137" i="1"/>
  <c r="K141" i="1"/>
  <c r="K147" i="1"/>
  <c r="K151" i="1"/>
  <c r="K155" i="1"/>
  <c r="K162" i="1"/>
  <c r="K166" i="1"/>
  <c r="K170" i="1"/>
  <c r="K176" i="1"/>
  <c r="K180" i="1"/>
  <c r="K186" i="1"/>
  <c r="E23" i="1"/>
  <c r="E25" i="1"/>
  <c r="E30" i="1"/>
  <c r="B4" i="4"/>
  <c r="D4" i="4"/>
  <c r="I52" i="1"/>
  <c r="I65" i="1"/>
  <c r="I59" i="1"/>
  <c r="F60" i="2"/>
  <c r="G60" i="2" s="1"/>
  <c r="H26" i="1" s="1"/>
  <c r="I26" i="1" s="1"/>
  <c r="F73" i="2"/>
  <c r="G73" i="2" s="1"/>
  <c r="H27" i="1" s="1"/>
  <c r="I27" i="1" s="1"/>
  <c r="F86" i="2"/>
  <c r="G86" i="2" s="1"/>
  <c r="H30" i="1" s="1"/>
  <c r="I30" i="1" s="1"/>
  <c r="F20" i="2"/>
  <c r="G20" i="2" s="1"/>
  <c r="H23" i="1" s="1"/>
  <c r="I23" i="1" s="1"/>
  <c r="F34" i="2"/>
  <c r="G34" i="2" s="1"/>
  <c r="H24" i="1" s="1"/>
  <c r="I24" i="1" s="1"/>
  <c r="L301" i="1"/>
  <c r="H82" i="1"/>
  <c r="J82" i="1" s="1"/>
  <c r="G42" i="1" s="1"/>
  <c r="H42" i="1" s="1"/>
  <c r="I42" i="1" s="1"/>
  <c r="H38" i="1"/>
  <c r="I38" i="1" s="1"/>
  <c r="F47" i="2"/>
  <c r="G47" i="2" s="1"/>
  <c r="H25" i="1" s="1"/>
  <c r="I25" i="1" s="1"/>
  <c r="F99" i="2"/>
  <c r="G99" i="2" s="1"/>
  <c r="H33" i="1" s="1"/>
  <c r="I33" i="1" s="1"/>
  <c r="J147" i="1"/>
  <c r="J88" i="1"/>
  <c r="J125" i="1"/>
  <c r="J121" i="1"/>
  <c r="J119" i="1"/>
  <c r="J115" i="1"/>
  <c r="J161" i="1"/>
  <c r="J110" i="1"/>
  <c r="J139" i="1"/>
  <c r="J152" i="1"/>
  <c r="J145" i="1"/>
  <c r="J124" i="1"/>
  <c r="J172" i="1"/>
  <c r="J173" i="1"/>
  <c r="J171" i="1"/>
  <c r="J162" i="1"/>
  <c r="J120" i="1"/>
  <c r="J118" i="1"/>
  <c r="J116" i="1"/>
  <c r="J114" i="1"/>
  <c r="J140" i="1"/>
  <c r="J138" i="1"/>
  <c r="J187" i="1"/>
  <c r="J170" i="1"/>
  <c r="J185" i="1"/>
  <c r="J148" i="1"/>
  <c r="J156" i="1"/>
  <c r="J86" i="1"/>
  <c r="J103" i="1"/>
  <c r="J89" i="1"/>
  <c r="J129" i="1"/>
  <c r="J150" i="1"/>
  <c r="J165" i="1"/>
  <c r="J107" i="1"/>
  <c r="J96" i="1"/>
  <c r="J91" i="1"/>
  <c r="J109" i="1"/>
  <c r="J159" i="1"/>
  <c r="J168" i="1"/>
  <c r="J166" i="1"/>
  <c r="J106" i="1"/>
  <c r="J113" i="1"/>
  <c r="J117" i="1"/>
  <c r="J137" i="1"/>
  <c r="J151" i="1"/>
  <c r="J179" i="1"/>
  <c r="J177" i="1"/>
  <c r="J99" i="1"/>
  <c r="J92" i="1"/>
  <c r="J87" i="1"/>
  <c r="J135" i="1"/>
  <c r="J133" i="1"/>
  <c r="J132" i="1"/>
  <c r="J155" i="1"/>
  <c r="J180" i="1"/>
  <c r="J178" i="1"/>
  <c r="J93" i="1"/>
  <c r="J130" i="1"/>
  <c r="J101" i="1"/>
  <c r="J100" i="1"/>
  <c r="J97" i="1"/>
  <c r="J136" i="1"/>
  <c r="J134" i="1"/>
  <c r="J131" i="1"/>
  <c r="J104" i="1"/>
  <c r="J90" i="1"/>
  <c r="J122" i="1"/>
  <c r="J149" i="1"/>
  <c r="J153" i="1"/>
  <c r="J181" i="1"/>
  <c r="J164" i="1"/>
  <c r="J105" i="1"/>
  <c r="J94" i="1"/>
  <c r="J123" i="1"/>
  <c r="J141" i="1"/>
  <c r="J163" i="1"/>
  <c r="J154" i="1"/>
  <c r="J182" i="1"/>
  <c r="J169" i="1"/>
  <c r="J108" i="1"/>
  <c r="J98" i="1"/>
  <c r="J95" i="1"/>
  <c r="J126" i="1"/>
  <c r="J142" i="1"/>
  <c r="J146" i="1"/>
  <c r="F188" i="1"/>
  <c r="I188" i="1" s="1"/>
  <c r="J188" i="1" s="1"/>
  <c r="F186" i="1"/>
  <c r="I186" i="1" s="1"/>
  <c r="J186" i="1" s="1"/>
  <c r="J176" i="1"/>
  <c r="J167" i="1"/>
  <c r="J102" i="1"/>
  <c r="D81" i="1"/>
  <c r="E81" i="1" s="1"/>
  <c r="G81" i="1" s="1"/>
  <c r="K81" i="1" l="1"/>
  <c r="L81" i="1" s="1"/>
  <c r="L169" i="1"/>
  <c r="M169" i="1" s="1"/>
  <c r="L163" i="1"/>
  <c r="M163" i="1" s="1"/>
  <c r="L146" i="1"/>
  <c r="M146" i="1" s="1"/>
  <c r="L182" i="1"/>
  <c r="M182" i="1" s="1"/>
  <c r="L178" i="1"/>
  <c r="M178" i="1" s="1"/>
  <c r="L108" i="1"/>
  <c r="M108" i="1" s="1"/>
  <c r="L102" i="1"/>
  <c r="M102" i="1" s="1"/>
  <c r="L86" i="1"/>
  <c r="M86" i="1" s="1"/>
  <c r="L99" i="1"/>
  <c r="M99" i="1" s="1"/>
  <c r="L91" i="1"/>
  <c r="M91" i="1" s="1"/>
  <c r="J127" i="1"/>
  <c r="J189" i="1"/>
  <c r="L147" i="1"/>
  <c r="M147" i="1" s="1"/>
  <c r="J183" i="1"/>
  <c r="J111" i="1"/>
  <c r="J143" i="1"/>
  <c r="J157" i="1"/>
  <c r="J174" i="1"/>
  <c r="I66" i="1"/>
  <c r="E67" i="1" s="1"/>
  <c r="I34" i="1"/>
  <c r="H34" i="1"/>
  <c r="L150" i="1"/>
  <c r="M150" i="1" s="1"/>
  <c r="L114" i="1"/>
  <c r="M114" i="1" s="1"/>
  <c r="L100" i="1"/>
  <c r="M100" i="1" s="1"/>
  <c r="L121" i="1"/>
  <c r="M121" i="1" s="1"/>
  <c r="L88" i="1"/>
  <c r="M88" i="1" s="1"/>
  <c r="L151" i="1"/>
  <c r="M151" i="1" s="1"/>
  <c r="L103" i="1"/>
  <c r="M103" i="1" s="1"/>
  <c r="L138" i="1"/>
  <c r="M138" i="1" s="1"/>
  <c r="L115" i="1"/>
  <c r="M115" i="1" s="1"/>
  <c r="L137" i="1"/>
  <c r="M137" i="1" s="1"/>
  <c r="L133" i="1"/>
  <c r="M133" i="1" s="1"/>
  <c r="L152" i="1"/>
  <c r="M152" i="1" s="1"/>
  <c r="L170" i="1"/>
  <c r="M170" i="1" s="1"/>
  <c r="L149" i="1"/>
  <c r="M149" i="1" s="1"/>
  <c r="L107" i="1"/>
  <c r="M107" i="1" s="1"/>
  <c r="L124" i="1"/>
  <c r="M124" i="1" s="1"/>
  <c r="L155" i="1"/>
  <c r="M155" i="1" s="1"/>
  <c r="L110" i="1"/>
  <c r="M110" i="1" s="1"/>
  <c r="L179" i="1"/>
  <c r="M179" i="1" s="1"/>
  <c r="L87" i="1"/>
  <c r="M87" i="1" s="1"/>
  <c r="L116" i="1"/>
  <c r="M116" i="1" s="1"/>
  <c r="L148" i="1"/>
  <c r="M148" i="1" s="1"/>
  <c r="L89" i="1"/>
  <c r="M89" i="1" s="1"/>
  <c r="L165" i="1"/>
  <c r="M165" i="1" s="1"/>
  <c r="L185" i="1"/>
  <c r="L104" i="1"/>
  <c r="M104" i="1" s="1"/>
  <c r="L92" i="1"/>
  <c r="M92" i="1" s="1"/>
  <c r="L125" i="1"/>
  <c r="M125" i="1" s="1"/>
  <c r="L173" i="1"/>
  <c r="M173" i="1" s="1"/>
  <c r="L106" i="1"/>
  <c r="M106" i="1" s="1"/>
  <c r="L161" i="1"/>
  <c r="L109" i="1"/>
  <c r="M109" i="1" s="1"/>
  <c r="L97" i="1"/>
  <c r="M97" i="1" s="1"/>
  <c r="L93" i="1"/>
  <c r="M93" i="1" s="1"/>
  <c r="L118" i="1"/>
  <c r="M118" i="1" s="1"/>
  <c r="L132" i="1"/>
  <c r="M132" i="1" s="1"/>
  <c r="L162" i="1"/>
  <c r="M162" i="1" s="1"/>
  <c r="L96" i="1"/>
  <c r="M96" i="1" s="1"/>
  <c r="L117" i="1"/>
  <c r="M117" i="1" s="1"/>
  <c r="L139" i="1"/>
  <c r="M139" i="1" s="1"/>
  <c r="L154" i="1"/>
  <c r="M154" i="1" s="1"/>
  <c r="L187" i="1"/>
  <c r="M187" i="1" s="1"/>
  <c r="L172" i="1"/>
  <c r="M172" i="1" s="1"/>
  <c r="L129" i="1"/>
  <c r="L135" i="1"/>
  <c r="M135" i="1" s="1"/>
  <c r="L90" i="1"/>
  <c r="M90" i="1" s="1"/>
  <c r="L113" i="1"/>
  <c r="L119" i="1"/>
  <c r="M119" i="1" s="1"/>
  <c r="L171" i="1"/>
  <c r="M171" i="1" s="1"/>
  <c r="L167" i="1"/>
  <c r="M167" i="1" s="1"/>
  <c r="L94" i="1"/>
  <c r="M94" i="1" s="1"/>
  <c r="L145" i="1"/>
  <c r="L105" i="1"/>
  <c r="M105" i="1" s="1"/>
  <c r="L140" i="1"/>
  <c r="M140" i="1" s="1"/>
  <c r="L131" i="1"/>
  <c r="M131" i="1" s="1"/>
  <c r="L95" i="1"/>
  <c r="M95" i="1" s="1"/>
  <c r="L120" i="1"/>
  <c r="M120" i="1" s="1"/>
  <c r="L166" i="1"/>
  <c r="M166" i="1" s="1"/>
  <c r="L153" i="1"/>
  <c r="M153" i="1" s="1"/>
  <c r="L180" i="1"/>
  <c r="M180" i="1" s="1"/>
  <c r="L126" i="1"/>
  <c r="M126" i="1" s="1"/>
  <c r="L136" i="1"/>
  <c r="M136" i="1" s="1"/>
  <c r="L176" i="1"/>
  <c r="L130" i="1"/>
  <c r="M130" i="1" s="1"/>
  <c r="L134" i="1"/>
  <c r="M134" i="1" s="1"/>
  <c r="L164" i="1"/>
  <c r="M164" i="1" s="1"/>
  <c r="L141" i="1"/>
  <c r="M141" i="1" s="1"/>
  <c r="L168" i="1"/>
  <c r="M168" i="1" s="1"/>
  <c r="L101" i="1"/>
  <c r="M101" i="1" s="1"/>
  <c r="L122" i="1"/>
  <c r="M122" i="1" s="1"/>
  <c r="L177" i="1"/>
  <c r="M177" i="1" s="1"/>
  <c r="L188" i="1"/>
  <c r="M188" i="1" s="1"/>
  <c r="L181" i="1"/>
  <c r="M181" i="1" s="1"/>
  <c r="L142" i="1"/>
  <c r="M142" i="1" s="1"/>
  <c r="L186" i="1"/>
  <c r="M186" i="1" s="1"/>
  <c r="L98" i="1"/>
  <c r="M98" i="1" s="1"/>
  <c r="L123" i="1"/>
  <c r="M123" i="1" s="1"/>
  <c r="L159" i="1"/>
  <c r="M159" i="1" s="1"/>
  <c r="L156" i="1"/>
  <c r="M156" i="1" s="1"/>
  <c r="H81" i="1"/>
  <c r="J81" i="1" s="1"/>
  <c r="M185" i="1" l="1"/>
  <c r="M189" i="1" s="1"/>
  <c r="L189" i="1"/>
  <c r="M145" i="1"/>
  <c r="M157" i="1" s="1"/>
  <c r="L157" i="1"/>
  <c r="M129" i="1"/>
  <c r="M143" i="1" s="1"/>
  <c r="L143" i="1"/>
  <c r="M176" i="1"/>
  <c r="M183" i="1" s="1"/>
  <c r="L183" i="1"/>
  <c r="M113" i="1"/>
  <c r="M127" i="1" s="1"/>
  <c r="L127" i="1"/>
  <c r="M161" i="1"/>
  <c r="M174" i="1" s="1"/>
  <c r="L174" i="1"/>
  <c r="M111" i="1"/>
  <c r="L111" i="1"/>
  <c r="J190" i="1"/>
  <c r="L190" i="1" l="1"/>
  <c r="B3" i="4" s="1"/>
  <c r="B7" i="4" s="1"/>
  <c r="M190" i="1"/>
  <c r="C3" i="4" s="1"/>
  <c r="D3" i="4" s="1"/>
  <c r="D7" i="4" l="1"/>
  <c r="E3" i="4" s="1"/>
  <c r="E6" i="4" l="1"/>
  <c r="E5" i="4"/>
  <c r="E4" i="4"/>
  <c r="E7"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112" authorId="0" shapeId="0" xr:uid="{00000000-0006-0000-0100-000001000000}">
      <text>
        <r>
          <rPr>
            <sz val="12"/>
            <color rgb="FF000000"/>
            <rFont val="Verdana"/>
            <family val="2"/>
          </rPr>
          <t>David Watkins:
I would have preferred to calculate directly the cost of the echo tests among RHD patients by calculating the cost of an echo test times the number of tests per patient. The approach you have taken here assumes it's equally likely that a patient with RHD gets an echo as compared to the average cardiac clinic patient. Probably they are more likely and thus you are underestimating the cost. At this stage I don't suggest you use an alternative approach but simply state here the limitations of calculating echo and other "small" capital items using a step-down approach.</t>
        </r>
      </text>
    </comment>
  </commentList>
</comments>
</file>

<file path=xl/sharedStrings.xml><?xml version="1.0" encoding="utf-8"?>
<sst xmlns="http://schemas.openxmlformats.org/spreadsheetml/2006/main" count="1416" uniqueCount="594">
  <si>
    <t>RHD direct care departments Costs</t>
  </si>
  <si>
    <t xml:space="preserve">Name of the research: </t>
  </si>
  <si>
    <t>Groote Schuur Hospital (GSH)</t>
  </si>
  <si>
    <t>i)</t>
  </si>
  <si>
    <t>Sr No.</t>
  </si>
  <si>
    <t>Type of personnel</t>
  </si>
  <si>
    <t>(a)</t>
  </si>
  <si>
    <t>( b)</t>
  </si>
  <si>
    <t>(c)</t>
  </si>
  <si>
    <t>Recurrent costs</t>
  </si>
  <si>
    <t>1) Out-Patient department costs:</t>
  </si>
  <si>
    <t>Personnel cost</t>
  </si>
  <si>
    <t>Contributors (those involved in RHD care)</t>
  </si>
  <si>
    <t>Registered professional nurse</t>
  </si>
  <si>
    <t>Cardiac Specialist/Consultant</t>
  </si>
  <si>
    <t xml:space="preserve">Doctor (senior registrar) </t>
  </si>
  <si>
    <t>Doctor (Junior registrar)</t>
  </si>
  <si>
    <t>ECGtech</t>
  </si>
  <si>
    <t>ECHOtech</t>
  </si>
  <si>
    <t>Operations manager cardiac clinic</t>
  </si>
  <si>
    <t>Name of clinic</t>
  </si>
  <si>
    <t>Cardaic clinic (E17) GSH</t>
  </si>
  <si>
    <t>Registered professional nurse (Manager cardiac clinic)</t>
  </si>
  <si>
    <t>Activities</t>
  </si>
  <si>
    <t>Managing the whole ward regrding cardaic care</t>
  </si>
  <si>
    <t>% allocation of time</t>
  </si>
  <si>
    <t>Folders review</t>
  </si>
  <si>
    <t>Testing (including weight, x-ray,blood, ECG,ECHO)</t>
  </si>
  <si>
    <t>Appointments and presciption adjusting</t>
  </si>
  <si>
    <t>Oral support</t>
  </si>
  <si>
    <t>other unrelated activites</t>
  </si>
  <si>
    <t>Monday 8.00 - 13.00</t>
  </si>
  <si>
    <t>Monday 13.00 – 16.00</t>
  </si>
  <si>
    <t>Tuesday 8.00 - 13.00</t>
  </si>
  <si>
    <t>Tuesday 13.00 – 16.00</t>
  </si>
  <si>
    <t>Wednesday 8.00 - 13.00</t>
  </si>
  <si>
    <t>Wednsday 13.00 – 16.00</t>
  </si>
  <si>
    <t>Thursday 8.00 - 13.00</t>
  </si>
  <si>
    <t>Thursday 13.00 – 16.00</t>
  </si>
  <si>
    <t>Friday 8.00 - 13.00</t>
  </si>
  <si>
    <t xml:space="preserve">Cardaic consultation (check-up of each patient follow-up folder)
</t>
  </si>
  <si>
    <t>Physical examinations for check-up</t>
  </si>
  <si>
    <t>Review medication progress and write new</t>
  </si>
  <si>
    <t>Consulting and supervising other senior and junior registrars</t>
  </si>
  <si>
    <t>Friday 14.00 - 16.00</t>
  </si>
  <si>
    <t>Referal writing when neccesary</t>
  </si>
  <si>
    <t>other unrelated ativites</t>
  </si>
  <si>
    <t>other unrelated activities</t>
  </si>
  <si>
    <t>Friday 08:00-16:00</t>
  </si>
  <si>
    <t xml:space="preserve">checking the folder 
</t>
  </si>
  <si>
    <t>Blood drawing</t>
  </si>
  <si>
    <t>Testing for pregnancy and taking urine when it is neccesary</t>
  </si>
  <si>
    <t>Admin clerck</t>
  </si>
  <si>
    <t>Requeting folders</t>
  </si>
  <si>
    <t>filling next appointments</t>
  </si>
  <si>
    <t>Updating information on the system</t>
  </si>
  <si>
    <t>Medical records officer</t>
  </si>
  <si>
    <t>finding a folder</t>
  </si>
  <si>
    <t>delivering to the ward</t>
  </si>
  <si>
    <t>collectng the folders</t>
  </si>
  <si>
    <t>Fill and clock the folders</t>
  </si>
  <si>
    <t>Minutes per annuam</t>
  </si>
  <si>
    <t>% time allocation to the department</t>
  </si>
  <si>
    <t>(d)= a*c</t>
  </si>
  <si>
    <t>(e)= b*d</t>
  </si>
  <si>
    <t>The economic impact of Rhuematic heart disease (RHD) on the health system of South Africa</t>
  </si>
  <si>
    <t>Admin clerk</t>
  </si>
  <si>
    <t>Pharmacist</t>
  </si>
  <si>
    <t>Pharmacy assistant</t>
  </si>
  <si>
    <t xml:space="preserve">Outpatient department </t>
  </si>
  <si>
    <t>Allocation factor was used because, operations manager does not have direct contact with patients, and equal time all cardaic patients assumed</t>
  </si>
  <si>
    <t>Utilisation-based allocation factor (% of RHD visits out of total cardiac clinic visits)</t>
  </si>
  <si>
    <t>ENTER DATA IN GREEN CELLS ONLY</t>
  </si>
  <si>
    <t>Utilisation category</t>
  </si>
  <si>
    <t>Number of patients</t>
  </si>
  <si>
    <t>Total number of visits - ALL RHD patients</t>
  </si>
  <si>
    <t>Total number of visit - ALL Cardiac Clinic visits (including all RHD  visits)</t>
  </si>
  <si>
    <t>% of visits for RHD - ALLOCATION FACTOR</t>
  </si>
  <si>
    <t>ECGtech/ECOtech</t>
  </si>
  <si>
    <t>Pharmacists/Assistant pharmacist</t>
  </si>
  <si>
    <t>Clinical unit</t>
  </si>
  <si>
    <t>Outpatient clinic</t>
  </si>
  <si>
    <t>Medical and ICU</t>
  </si>
  <si>
    <t>Cath lab</t>
  </si>
  <si>
    <t>Surgery/</t>
  </si>
  <si>
    <t>theatre</t>
  </si>
  <si>
    <t>95% confidence interval</t>
  </si>
  <si>
    <t>(0.11 - 0.50)</t>
  </si>
  <si>
    <t>(0.068 - 0.31)</t>
  </si>
  <si>
    <t>(0.043- 0.39)</t>
  </si>
  <si>
    <t xml:space="preserve"> Builiding maintenance cost</t>
  </si>
  <si>
    <t>Created by:</t>
  </si>
  <si>
    <t>Name of the hospital:</t>
  </si>
  <si>
    <t>Assegid Hellebo</t>
  </si>
  <si>
    <t>iv) Outpatient care overhead costs</t>
  </si>
  <si>
    <t>ii) Outpatient materials and consumables  cost</t>
  </si>
  <si>
    <t>Utilities</t>
  </si>
  <si>
    <t>Electricity</t>
  </si>
  <si>
    <t>Water</t>
  </si>
  <si>
    <t>Sewage</t>
  </si>
  <si>
    <t>Uniform and clothing</t>
  </si>
  <si>
    <t>Bio-safety disposal</t>
  </si>
  <si>
    <t>Administrative costs</t>
  </si>
  <si>
    <t>Telephone</t>
  </si>
  <si>
    <t>Airtime and data</t>
  </si>
  <si>
    <t>Stationary and papers</t>
  </si>
  <si>
    <t>Subscriptions</t>
  </si>
  <si>
    <t>Transportation (leases &amp; Ops)</t>
  </si>
  <si>
    <t>Cleaning and security</t>
  </si>
  <si>
    <t>Cleaning and toileteries materials</t>
  </si>
  <si>
    <t>Cleaning services contract</t>
  </si>
  <si>
    <t>Security services contract</t>
  </si>
  <si>
    <t>Laundry</t>
  </si>
  <si>
    <t>Total inpatient days in GSH</t>
  </si>
  <si>
    <t>PDE inpatient (PDE for annual GSH outpatient cost)</t>
  </si>
  <si>
    <t>(b)</t>
  </si>
  <si>
    <t>(e)= a/d</t>
  </si>
  <si>
    <t>(d)= (c)*3+(b)</t>
  </si>
  <si>
    <t>(c)=a/b</t>
  </si>
  <si>
    <t>Laboratory tests cost</t>
  </si>
  <si>
    <t>v) Outpatient laboratory tests cost</t>
  </si>
  <si>
    <t>Medications cost</t>
  </si>
  <si>
    <t>Capital costs</t>
  </si>
  <si>
    <t>i) Building cost</t>
  </si>
  <si>
    <t>Allocation factor to RHD</t>
  </si>
  <si>
    <t>Total replacement value</t>
  </si>
  <si>
    <t>AMC</t>
  </si>
  <si>
    <t>Annual cost</t>
  </si>
  <si>
    <t>Cardaic clinic cost</t>
  </si>
  <si>
    <t>Total building square meter</t>
  </si>
  <si>
    <t>Annuity 3%, 20 years</t>
  </si>
  <si>
    <t>Builiding cost</t>
  </si>
  <si>
    <t xml:space="preserve">Space used for RHD </t>
  </si>
  <si>
    <t>(d)</t>
  </si>
  <si>
    <t>(c)=a*b</t>
  </si>
  <si>
    <t>(e)=c*d</t>
  </si>
  <si>
    <t>(i)=e/g</t>
  </si>
  <si>
    <t>(f)=((10/100)*i)/12</t>
  </si>
  <si>
    <t>(g)</t>
  </si>
  <si>
    <t>(h)=f*12</t>
  </si>
  <si>
    <t>(j)=i/number all RHD patients</t>
  </si>
  <si>
    <t>ii) Equipments and furniture</t>
  </si>
  <si>
    <t>Consultation room</t>
  </si>
  <si>
    <t>Equipment and Furniture</t>
  </si>
  <si>
    <t xml:space="preserve">         Quantity</t>
  </si>
  <si>
    <t>Life Years (ELY)</t>
  </si>
  <si>
    <t>Annuity 3%</t>
  </si>
  <si>
    <t>% used for RHD</t>
  </si>
  <si>
    <t>Notice board</t>
  </si>
  <si>
    <t>Suction machine</t>
  </si>
  <si>
    <t>Step 2 Step</t>
  </si>
  <si>
    <t>Office desk</t>
  </si>
  <si>
    <t>Oxygen pump</t>
  </si>
  <si>
    <t>Paper display rack</t>
  </si>
  <si>
    <t>Total cost</t>
  </si>
  <si>
    <t>Echocardiography Room</t>
  </si>
  <si>
    <t>ELY</t>
  </si>
  <si>
    <t>Echo machine</t>
  </si>
  <si>
    <t>Defibrilator</t>
  </si>
  <si>
    <t xml:space="preserve">Resustation trolley </t>
  </si>
  <si>
    <t>Blood pressure Apparatus</t>
  </si>
  <si>
    <t>Eamination bed</t>
  </si>
  <si>
    <t>Curtain</t>
  </si>
  <si>
    <t>Sink</t>
  </si>
  <si>
    <t>Sharp box</t>
  </si>
  <si>
    <t xml:space="preserve">Bin </t>
  </si>
  <si>
    <t>Drugs trolley</t>
  </si>
  <si>
    <t>Screening/resuscitation Room</t>
  </si>
  <si>
    <t>Air tub suction</t>
  </si>
  <si>
    <t>Chair typist</t>
  </si>
  <si>
    <t>Table wood</t>
  </si>
  <si>
    <t>Medicine trolley plastic</t>
  </si>
  <si>
    <t>Chair visitor</t>
  </si>
  <si>
    <t>Scale column machanical</t>
  </si>
  <si>
    <t>Trolley instrument</t>
  </si>
  <si>
    <t>Biological waste bin</t>
  </si>
  <si>
    <t>Electrocardiogram Room</t>
  </si>
  <si>
    <t>ECG machine</t>
  </si>
  <si>
    <t>Table telephone wood</t>
  </si>
  <si>
    <t>Examination bed wood</t>
  </si>
  <si>
    <t>Examination bed steal</t>
  </si>
  <si>
    <t>Step to step</t>
  </si>
  <si>
    <t>Plastic chair</t>
  </si>
  <si>
    <t>Trolley</t>
  </si>
  <si>
    <t>Chair draughtman</t>
  </si>
  <si>
    <t xml:space="preserve">Chair </t>
  </si>
  <si>
    <t>Waiting Area and pharmacy</t>
  </si>
  <si>
    <t xml:space="preserve"> RHD Clinic Nurses Room</t>
  </si>
  <si>
    <t>BP cuff</t>
  </si>
  <si>
    <t>ENT set</t>
  </si>
  <si>
    <t>Bin</t>
  </si>
  <si>
    <t>X-ray view box</t>
  </si>
  <si>
    <t>Operatonal Managers Office</t>
  </si>
  <si>
    <t>Filing Cabinet</t>
  </si>
  <si>
    <t>Laboratory Equiments</t>
  </si>
  <si>
    <t>Quantity</t>
  </si>
  <si>
    <t>X-ray machine</t>
  </si>
  <si>
    <t>Hematology machine</t>
  </si>
  <si>
    <t>Biochemistry machine</t>
  </si>
  <si>
    <t>Serology machine</t>
  </si>
  <si>
    <t>(2.0 - 3.9)</t>
  </si>
  <si>
    <t xml:space="preserve">        Annual average utilisation rates for RHD care at four clinical units at GSH</t>
  </si>
  <si>
    <t xml:space="preserve">              2) Medical &amp; ICU department costs:</t>
  </si>
  <si>
    <t>iii) Outpatient care builiding maintainance cost</t>
  </si>
  <si>
    <t>Airconditioner</t>
  </si>
  <si>
    <t>Examination bed</t>
  </si>
  <si>
    <t>Apparatus blood pressure</t>
  </si>
  <si>
    <t>Chair mid back</t>
  </si>
  <si>
    <t>Filing cabinet</t>
  </si>
  <si>
    <t>Microfiche</t>
  </si>
  <si>
    <t>Otoscope</t>
  </si>
  <si>
    <t>Phone</t>
  </si>
  <si>
    <t xml:space="preserve">Curtain </t>
  </si>
  <si>
    <t>Screen</t>
  </si>
  <si>
    <t>Sharps bin</t>
  </si>
  <si>
    <t>Table</t>
  </si>
  <si>
    <t>Apparatus diagnostic ent</t>
  </si>
  <si>
    <t>Computer</t>
  </si>
  <si>
    <t>Blinder</t>
  </si>
  <si>
    <t>Chair</t>
  </si>
  <si>
    <t>Suctions/vacum</t>
  </si>
  <si>
    <t>Sep 2 step</t>
  </si>
  <si>
    <t>Trolley defibrilator</t>
  </si>
  <si>
    <t>Printer</t>
  </si>
  <si>
    <t>Medicine trolley</t>
  </si>
  <si>
    <t>Stethoscope</t>
  </si>
  <si>
    <t>Observation couch</t>
  </si>
  <si>
    <t>Weight scale</t>
  </si>
  <si>
    <t>Chairs</t>
  </si>
  <si>
    <t xml:space="preserve">Cost of Ruematic Heart Disease (RHD) Care </t>
  </si>
  <si>
    <t>FTE (full time equivalent)</t>
  </si>
  <si>
    <t xml:space="preserve">There are no  pharmacists/assistant pharmacists specifically allocated to cardaic clinic at GSH. They provide service when required, and it was assumed as per observation that that they spend 3.5% of their productive working minutes. </t>
  </si>
  <si>
    <t xml:space="preserve"> Cardaic clinic materials and consumables </t>
  </si>
  <si>
    <t xml:space="preserve">                    Personnel cost </t>
  </si>
  <si>
    <t>(d) = c*12</t>
  </si>
  <si>
    <t>Overheads costs</t>
  </si>
  <si>
    <t xml:space="preserve"> </t>
  </si>
  <si>
    <t>Registered professional nurse (Chief nurse)</t>
  </si>
  <si>
    <t>Senior registrars</t>
  </si>
  <si>
    <t>Junior registrars</t>
  </si>
  <si>
    <t>Dietician</t>
  </si>
  <si>
    <t>Medical &amp; ICU department</t>
  </si>
  <si>
    <t>Position/post and grade</t>
  </si>
  <si>
    <t>Admission Screening</t>
  </si>
  <si>
    <t>observation and medications provision</t>
  </si>
  <si>
    <t>RHD blood tests (INR)</t>
  </si>
  <si>
    <t>Record keeping and admin (RHD related)</t>
  </si>
  <si>
    <t>Sub-total</t>
  </si>
  <si>
    <t>Total</t>
  </si>
  <si>
    <t>Admitting new patients</t>
  </si>
  <si>
    <t>Monitoring of RHD  patients in the ward(monitoring, side effects)</t>
  </si>
  <si>
    <t>Consulting other staff members</t>
  </si>
  <si>
    <t xml:space="preserve">Providing general training for nurses </t>
  </si>
  <si>
    <t>Admission preparations</t>
  </si>
  <si>
    <t>Hygiene</t>
  </si>
  <si>
    <t>Admission duties</t>
  </si>
  <si>
    <t>Record keeping and progress note (RHD related)</t>
  </si>
  <si>
    <t>Consulting junior registrars</t>
  </si>
  <si>
    <t>Patient consultations</t>
  </si>
  <si>
    <t>Folder request</t>
  </si>
  <si>
    <t xml:space="preserve">other unrelated </t>
  </si>
  <si>
    <t>calling technicians when required</t>
  </si>
  <si>
    <t>capturing data</t>
  </si>
  <si>
    <t>Utilisation-based allocation factor (% of RHD admissions  out of all admissions)</t>
  </si>
  <si>
    <t>Total annual inpatient days</t>
  </si>
  <si>
    <t xml:space="preserve">Total number of RHD admissions </t>
  </si>
  <si>
    <t>Total number of admissions - ALL Patients admited in the GSH (including all RHD  admissions)</t>
  </si>
  <si>
    <t>% of admissions for RHD - ALLOCATION FACTOR</t>
  </si>
  <si>
    <t xml:space="preserve"> Medical &amp; ICU department</t>
  </si>
  <si>
    <t>Annual outpatient attendance/visit/encounter</t>
  </si>
  <si>
    <t>ii) Medical &amp; ICU materials and consumables  cost</t>
  </si>
  <si>
    <t>Total outpatient visits in GSH</t>
  </si>
  <si>
    <t>iii) Medical &amp; ICU ward  builiding maintainance cost</t>
  </si>
  <si>
    <t xml:space="preserve">               1) Out-Patient department costs:</t>
  </si>
  <si>
    <t>Food supplies</t>
  </si>
  <si>
    <t>Cleaning and toiletries materials</t>
  </si>
  <si>
    <t>iv) Medical &amp; ICU ward care overhead costs</t>
  </si>
  <si>
    <t>(d)= (b)+(c*1/3)</t>
  </si>
  <si>
    <t>v) Medical &amp; ICU ward  blood transfusions/tests cost</t>
  </si>
  <si>
    <t>Medical &amp; ICU medications cost</t>
  </si>
  <si>
    <t>1) Medical &amp; ICU department costs:</t>
  </si>
  <si>
    <t xml:space="preserve">Medical &amp; ICU ward </t>
  </si>
  <si>
    <t>Patients Room</t>
  </si>
  <si>
    <t>Monitor (heart and sugar)</t>
  </si>
  <si>
    <t>Bed</t>
  </si>
  <si>
    <t>bin</t>
  </si>
  <si>
    <t>chair mid back</t>
  </si>
  <si>
    <t>Locker</t>
  </si>
  <si>
    <t>Board</t>
  </si>
  <si>
    <t xml:space="preserve">curtain </t>
  </si>
  <si>
    <t>sharps bin</t>
  </si>
  <si>
    <t xml:space="preserve">Hand basin (sink)
</t>
  </si>
  <si>
    <t>Cardiac table</t>
  </si>
  <si>
    <t>Ward Nursing Station</t>
  </si>
  <si>
    <t>weight scale</t>
  </si>
  <si>
    <t>observation couch</t>
  </si>
  <si>
    <t>Big BP machine</t>
  </si>
  <si>
    <t>Mobile telemetry</t>
  </si>
  <si>
    <t>Waste bin disposal</t>
  </si>
  <si>
    <t>phone</t>
  </si>
  <si>
    <t>office desk</t>
  </si>
  <si>
    <t>chair</t>
  </si>
  <si>
    <t>sink</t>
  </si>
  <si>
    <t>medicine trolley</t>
  </si>
  <si>
    <t>Operational Managers Office</t>
  </si>
  <si>
    <t>computer</t>
  </si>
  <si>
    <t>printer</t>
  </si>
  <si>
    <t>Total  Medical &amp; ICU costs</t>
  </si>
  <si>
    <t>Registered professional nurse (manager)</t>
  </si>
  <si>
    <t>Cardiac technologist</t>
  </si>
  <si>
    <t>Senior radiographer</t>
  </si>
  <si>
    <t>Utilisation-based allocation factor (% of RHD catheterization laboratory (cath lab) admissions  out of all cath lab admissions)</t>
  </si>
  <si>
    <t xml:space="preserve">Total number of RHD cath lab admissions </t>
  </si>
  <si>
    <t>Total number of cath lab admissions - ALL Patients admitted in cath lab (including all RHD patients)</t>
  </si>
  <si>
    <t>% of cath lab admissions for RHD - ALLOCATION FACTOR</t>
  </si>
  <si>
    <t>Catheterisation laboratory (Cath lab)</t>
  </si>
  <si>
    <t xml:space="preserve">Registered professional nurse </t>
  </si>
  <si>
    <t>Preparing the theatre</t>
  </si>
  <si>
    <t>checking up and cleaning in between procedure with every patient</t>
  </si>
  <si>
    <t>Duties in cath theatre with doctor</t>
  </si>
  <si>
    <t>Admin</t>
  </si>
  <si>
    <t>other ubrelated activities</t>
  </si>
  <si>
    <t>Procedure/intervention</t>
  </si>
  <si>
    <t>Check-ups</t>
  </si>
  <si>
    <t>other unrelated acticities</t>
  </si>
  <si>
    <t xml:space="preserve">Enrolled nurse </t>
  </si>
  <si>
    <t>Check for bleeding</t>
  </si>
  <si>
    <t>Observations</t>
  </si>
  <si>
    <t>computer calebrating</t>
  </si>
  <si>
    <t>di in the machine</t>
  </si>
  <si>
    <t>preparation before every proccedure/intervention</t>
  </si>
  <si>
    <t>Fillming the procedure/intervention</t>
  </si>
  <si>
    <t>Monitoring ECHO &amp; X-ray</t>
  </si>
  <si>
    <t>Patient identification,lablling and results</t>
  </si>
  <si>
    <t>Enrolled nurse</t>
  </si>
  <si>
    <t>Managing the whole ward regarding Care</t>
  </si>
  <si>
    <t xml:space="preserve">  Cath lab materials and consumables </t>
  </si>
  <si>
    <t>iii)  Cath lab builiding maintainance cost</t>
  </si>
  <si>
    <t>v)  Cath lab medications cost</t>
  </si>
  <si>
    <t xml:space="preserve"> Cath lab medications cost</t>
  </si>
  <si>
    <t>ii) Cath lab materials and consumables  cost</t>
  </si>
  <si>
    <t xml:space="preserve">              3) Catheterisation laboratory (cath lab) costs:</t>
  </si>
  <si>
    <t>Monoplane machine</t>
  </si>
  <si>
    <t>Biplane machine</t>
  </si>
  <si>
    <t>Flouroscope</t>
  </si>
  <si>
    <t>Centrisity</t>
  </si>
  <si>
    <t>Infusion pump</t>
  </si>
  <si>
    <t>Oct machine</t>
  </si>
  <si>
    <t>Hemodynamics machine</t>
  </si>
  <si>
    <t>Lead apons</t>
  </si>
  <si>
    <t>Medcine trolley</t>
  </si>
  <si>
    <t>Troleys (draping)</t>
  </si>
  <si>
    <t>Work station</t>
  </si>
  <si>
    <t>Trolley vacuum</t>
  </si>
  <si>
    <t>Cupboard steel with glass door</t>
  </si>
  <si>
    <t>Board pin</t>
  </si>
  <si>
    <t xml:space="preserve">Board white writing </t>
  </si>
  <si>
    <t>Trolley instruments</t>
  </si>
  <si>
    <t>Trolley stanless steel</t>
  </si>
  <si>
    <t>Ladder metal</t>
  </si>
  <si>
    <t>Ladder alumunium</t>
  </si>
  <si>
    <t>Intercom</t>
  </si>
  <si>
    <t>Trolley medicine</t>
  </si>
  <si>
    <t>Medicine trolley (plastic)</t>
  </si>
  <si>
    <t>Credenza</t>
  </si>
  <si>
    <t>chair midback</t>
  </si>
  <si>
    <t>Intercom screen</t>
  </si>
  <si>
    <t>Table coffee</t>
  </si>
  <si>
    <t>office desk  (desk wood)</t>
  </si>
  <si>
    <t>Fridge (meds)</t>
  </si>
  <si>
    <t xml:space="preserve">Cardiac technologist view room </t>
  </si>
  <si>
    <t>Monitors</t>
  </si>
  <si>
    <t>Dust bin</t>
  </si>
  <si>
    <t>Fridge</t>
  </si>
  <si>
    <t>Cath lab procedure attendace</t>
  </si>
  <si>
    <t>Total cath lab equipment and furniture cost</t>
  </si>
  <si>
    <t>Consultant Surgeon</t>
  </si>
  <si>
    <t>Senior Registrar</t>
  </si>
  <si>
    <t>Anaesthetist</t>
  </si>
  <si>
    <t>Registrar  Anaesthetist</t>
  </si>
  <si>
    <t>Scrub Nurse (Professional Nurse)</t>
  </si>
  <si>
    <t>Trainee Nurse</t>
  </si>
  <si>
    <t>Student Flow Nurse</t>
  </si>
  <si>
    <t>Qualified Perfusionist</t>
  </si>
  <si>
    <t>Student Perfusionist</t>
  </si>
  <si>
    <t>Surgery/Theater</t>
  </si>
  <si>
    <t>Utilisation-based allocation factor (% of RHD surgeries  out of all surgeries)</t>
  </si>
  <si>
    <t>Total number of RHD related patient surgeries</t>
  </si>
  <si>
    <t>Total number of surgeries in theatre - ALL Patients who had surgery in the surgical department including RHD patients</t>
  </si>
  <si>
    <t>% of surgery for RHD - ALLOCATION FACTOR</t>
  </si>
  <si>
    <t xml:space="preserve">Out-patient department </t>
  </si>
  <si>
    <t xml:space="preserve">others </t>
  </si>
  <si>
    <t>others</t>
  </si>
  <si>
    <t>previous day meds visit</t>
  </si>
  <si>
    <t>Flow Nurse</t>
  </si>
  <si>
    <t>ttheatre related</t>
  </si>
  <si>
    <t>other</t>
  </si>
  <si>
    <t>ii) Surgery/theatre materials and consumables  cost</t>
  </si>
  <si>
    <t>Cardaic anaesthesia Consumables</t>
  </si>
  <si>
    <t xml:space="preserve">Cardaic theatre general consumables </t>
  </si>
  <si>
    <t>Prosthetic heart valves</t>
  </si>
  <si>
    <t>(b) = a*% of surgery for RHD</t>
  </si>
  <si>
    <t>Cardaic perfusion Consumables</t>
  </si>
  <si>
    <t>Total number of RHD related surgeries performed at GSH theatre</t>
  </si>
  <si>
    <t>Total building in sq m</t>
  </si>
  <si>
    <t>Space used for RHD</t>
  </si>
  <si>
    <t>Annuity 3%, 20y</t>
  </si>
  <si>
    <t>Operating Room</t>
  </si>
  <si>
    <t>Equipment and Furniture in Theatre</t>
  </si>
  <si>
    <t>Heart Lung Bypass Machine</t>
  </si>
  <si>
    <t>Heart Cooler</t>
  </si>
  <si>
    <t>Theatre table (Cardiac)</t>
  </si>
  <si>
    <t>Defobrilator</t>
  </si>
  <si>
    <t>Intubation Trolley</t>
  </si>
  <si>
    <t>Anaesthrtic Machine</t>
  </si>
  <si>
    <t>Head Lamp</t>
  </si>
  <si>
    <t>Drug Fridge</t>
  </si>
  <si>
    <t>TAE probe and machine</t>
  </si>
  <si>
    <t>LED theather light</t>
  </si>
  <si>
    <t>Diathermy</t>
  </si>
  <si>
    <t>Autoclave Machine</t>
  </si>
  <si>
    <t>Centrifugal Machine</t>
  </si>
  <si>
    <t>Ice Machine</t>
  </si>
  <si>
    <t>Sternal Saw</t>
  </si>
  <si>
    <t>Linen Carts big</t>
  </si>
  <si>
    <t>Linen Carts small</t>
  </si>
  <si>
    <t>Operation Manager office</t>
  </si>
  <si>
    <t>Induction Room</t>
  </si>
  <si>
    <t>Dustbin</t>
  </si>
  <si>
    <t>Drug Cupboard</t>
  </si>
  <si>
    <t>Perfusion room</t>
  </si>
  <si>
    <t>Valve Cart</t>
  </si>
  <si>
    <t>Notice Board</t>
  </si>
  <si>
    <t>Nursing Station room</t>
  </si>
  <si>
    <t xml:space="preserve">Sub-total </t>
  </si>
  <si>
    <t>Surgeries bed days</t>
  </si>
  <si>
    <t>(b)=a*Utilisation rate workouts '!C9</t>
  </si>
  <si>
    <t>Total number of participant patients</t>
  </si>
  <si>
    <t>(b)=a*Utilisation rate workouts '!C20</t>
  </si>
  <si>
    <t>(j)=i/annual RHD visits</t>
  </si>
  <si>
    <t>(j)=i/annual RHD inpatient days</t>
  </si>
  <si>
    <t xml:space="preserve">(f)= e*annual cath lab RHD procedures </t>
  </si>
  <si>
    <t>(f)= e*annual outpatient RHD visits</t>
  </si>
  <si>
    <t>(c)=b/annual RHD outpatient cardaic clinic RHD visits</t>
  </si>
  <si>
    <t>Total number of RHD patients</t>
  </si>
  <si>
    <t>(f)= e*annual Medical &amp; ICU ward RHD inpatient days</t>
  </si>
  <si>
    <t>(b)=a/total Medical &amp; ICU ward RHD inpatient days</t>
  </si>
  <si>
    <t>(c)=b/annual Medical &amp; ICU RHD inpatient days</t>
  </si>
  <si>
    <t>(f)= e*annual RHD surgery performed</t>
  </si>
  <si>
    <t>(c)=b/total  Cath lab RHD procedures</t>
  </si>
  <si>
    <t>(b)= a*Utilisation rate workouts '!C31</t>
  </si>
  <si>
    <t>iii) Surgery/theatre builiding maintainance cost</t>
  </si>
  <si>
    <t>iv) Surgery/theatre medications cost</t>
  </si>
  <si>
    <t xml:space="preserve">Surgery/theatre  </t>
  </si>
  <si>
    <t xml:space="preserve"> Surgery/theatre medications cost</t>
  </si>
  <si>
    <t>(c)=b/total annual RHD cath lab days</t>
  </si>
  <si>
    <t>Sub-total cost</t>
  </si>
  <si>
    <t>(b)=a*Utilisation rate workouts '!C42</t>
  </si>
  <si>
    <t>(c)=b/total RHD surgeries performed</t>
  </si>
  <si>
    <t xml:space="preserve"> Medical &amp; ICU materials and consumables </t>
  </si>
  <si>
    <t>Total overheads cost</t>
  </si>
  <si>
    <t>Annual overheads cost allocated to RHD</t>
  </si>
  <si>
    <t xml:space="preserve">Sub-total cost </t>
  </si>
  <si>
    <t>Total outpatient department equipment and furniture cost</t>
  </si>
  <si>
    <t xml:space="preserve">Aggregate RHD care costs to GSH in 2017 and estimated annual costs per-patient </t>
  </si>
  <si>
    <t xml:space="preserve">Cardaic Medical &amp; ICU wad </t>
  </si>
  <si>
    <t>Cardaic Catheterisation laboratory (cath lab)</t>
  </si>
  <si>
    <t>Surgical theatre</t>
  </si>
  <si>
    <t>Per-patient utlisation rate per annuam</t>
  </si>
  <si>
    <t xml:space="preserve">% share of per-patient annual cost </t>
  </si>
  <si>
    <t>Name of the clinic</t>
  </si>
  <si>
    <t xml:space="preserve">There are no  ECGtech/ECOtech specifically allocated to cardaic clinic at GSH. Technicains work on call when needed, and it was assumed as per observation that that they spend 2% of their productive working minutes. </t>
  </si>
  <si>
    <t xml:space="preserve">Catheterisation laboratory (cath lab) </t>
  </si>
  <si>
    <t xml:space="preserve">Surgery/Theatre </t>
  </si>
  <si>
    <t>Medical &amp;ICU ward (C26)</t>
  </si>
  <si>
    <t>Cath lab (C25)</t>
  </si>
  <si>
    <t>Questions for clinic managers/non-participatory observation (Context)</t>
  </si>
  <si>
    <t>How are RHD services  provided in GSH cardaic clinic?</t>
  </si>
  <si>
    <t xml:space="preserve">RHD patients are seen within the clinic. No seperate facilitites for RHD patients. No CHWs . Generally  RHD patients seen at the clinic will have an ECG and Echo and then  collect one month supply andbe given a new appointment in about 6 months to a year, No peer educators/CHW . </t>
  </si>
  <si>
    <t>% of RHD patients who are on clinic</t>
  </si>
  <si>
    <t>No idea. Probably around 20-30%. Can ask the nursing manager for this information, based on ICD 10 codes. ( Do this for each of the clinics in a week then calculate an average)</t>
  </si>
  <si>
    <t>Is there an NGO or CHW support? Which NGO or CHW? Contact details.</t>
  </si>
  <si>
    <t>no</t>
  </si>
  <si>
    <t>Are RHD drugs collected daily, weekly or monthly?</t>
  </si>
  <si>
    <t>Monthly</t>
  </si>
  <si>
    <t xml:space="preserve">How are DENTAL or ENT services provided prior to RHD care or surgery? </t>
  </si>
  <si>
    <t>no, dental should be in the consusltation and then referral if needed. ENT unlikely, dental referrals</t>
  </si>
  <si>
    <t>Number, type and grade of staff involved in RHD diagnosis and treatment</t>
  </si>
  <si>
    <t>diagnosis: consultant cardiologist, senrior registrar and junior registrars with ECH tech and Echo tech. Treatment not done at clinic, if needed admitted or discharged home with medicialtion and new appointment.</t>
  </si>
  <si>
    <t xml:space="preserve"> Number and type of staff involved in DENTAL or ENT diagnosis and treatment?</t>
  </si>
  <si>
    <t>nil- only referral to dentists</t>
  </si>
  <si>
    <t>Type and duration of training provided to staff involved in RHD and  DENTAL or ENT services</t>
  </si>
  <si>
    <t>diagnosis:  ECG tech and Echo tech-&gt; however Echo tech probably has additional 1-2 years of RHD /cardiac echo training.</t>
  </si>
  <si>
    <t>Cardiac clinic opening hours</t>
  </si>
  <si>
    <t>7 - 5 pm clinic ( actual for patients 8-3.30), 0 sisters on night shift, no drugs dispensed in clinic</t>
  </si>
  <si>
    <t>RHD diagnostic tests offered</t>
  </si>
  <si>
    <t xml:space="preserve">ECG, echo, CXR and very rarely MRI, TOE (trans-oesphageal) echo and cardiac catheterisation </t>
  </si>
  <si>
    <t>X-ray, ECHO, ECG, BLOOD TEST, ANGIOGRAM or SURGICAL facility on site?</t>
  </si>
  <si>
    <t>yes</t>
  </si>
  <si>
    <t>Do patients with RHD collect medication without seeing a doctor?</t>
  </si>
  <si>
    <t>Do they collect medications in the clinic or at the pharmacy?</t>
  </si>
  <si>
    <t>Are patients with RHD screened for other diseases ( rather than dental and ENT)</t>
  </si>
  <si>
    <t>not screeening other than history and examination.</t>
  </si>
  <si>
    <t>Is there a designated person who is filing the lab results?</t>
  </si>
  <si>
    <t>lab results on computer, doctors fill it in to the records and a record admin cclerk witll file into the folder.</t>
  </si>
  <si>
    <t>Response</t>
  </si>
  <si>
    <t>Theatre (D21)</t>
  </si>
  <si>
    <t>pharamacy or sometimes the cardaic clinic nurses collect and provide them medicatons on monthly check up dates/appoitments</t>
  </si>
  <si>
    <t xml:space="preserve">NOTE:  ENTER DATA IN RED CELLS ONLY
</t>
  </si>
  <si>
    <r>
      <t>NOTE</t>
    </r>
    <r>
      <rPr>
        <sz val="12"/>
        <color indexed="20"/>
        <rFont val="Times New Roman"/>
        <family val="1"/>
      </rPr>
      <t xml:space="preserve">: </t>
    </r>
    <r>
      <rPr>
        <b/>
        <sz val="12"/>
        <color indexed="20"/>
        <rFont val="Times New Roman"/>
        <family val="1"/>
      </rPr>
      <t>This costing spreadsheet includes:-</t>
    </r>
    <r>
      <rPr>
        <b/>
        <sz val="12"/>
        <color indexed="10"/>
        <rFont val="Times New Roman"/>
        <family val="1"/>
      </rPr>
      <t xml:space="preserve"> </t>
    </r>
    <r>
      <rPr>
        <b/>
        <sz val="12"/>
        <color indexed="12"/>
        <rFont val="Times New Roman"/>
        <family val="1"/>
      </rPr>
      <t xml:space="preserve">OutPatient department, Medical &amp; intensive coronary (ICU) unit, Catetarisation laboratory care and Operating theatre care.  </t>
    </r>
  </si>
  <si>
    <t>Unit cost: gross annual salary (US$)</t>
  </si>
  <si>
    <t>Total cost: Total annual salary (US$)</t>
  </si>
  <si>
    <t>Cost allocated to RHD (US$)</t>
  </si>
  <si>
    <t>Unit personnel cost per outpatient clinic RHD encounter (US$)</t>
  </si>
  <si>
    <t>Annual outpatient cardaic clinic materials and consumables  cost (US$)</t>
  </si>
  <si>
    <t>Annual materials and consumables cost allocated to RHD (US$)</t>
  </si>
  <si>
    <t>Unit materials and consumables cost per outpatient  clinic RHD encounter (US$)</t>
  </si>
  <si>
    <t>Annual outpatient cardaic clinic building maintanance  cost (US$)</t>
  </si>
  <si>
    <t>Annual outpatient clinic maintainance cost allocated to RHD (US$)</t>
  </si>
  <si>
    <t>Unit building maintainance cost  per outpatient clinic RHD encounter (US$)</t>
  </si>
  <si>
    <t>Total outpatient care annual cost (US$)</t>
  </si>
  <si>
    <t>Unit annual cost per outpatient  clinic RHD encounter (US$)</t>
  </si>
  <si>
    <t>Annual laboratory tests cost allocated to RHD (US$)</t>
  </si>
  <si>
    <t>Unit laboratory test cost per RHD encounter (US$)</t>
  </si>
  <si>
    <t>Monthly cost of RHD medications (US$)</t>
  </si>
  <si>
    <t>Average monthly per-patient RHD medications cost (US$)</t>
  </si>
  <si>
    <t>Annual per-patient RHD medications cost (US$)</t>
  </si>
  <si>
    <t>Annual RHD medications cost (US$)</t>
  </si>
  <si>
    <t>Currency</t>
  </si>
  <si>
    <t xml:space="preserve">Average exchange rate for 2017 was 1US$ to ZAR13,5. </t>
  </si>
  <si>
    <t>Unit personnel cost per Medical &amp; ICU ward RHD inpatient day (US$)</t>
  </si>
  <si>
    <t>Annual medical &amp; ICU materials and consumables  cost (US$)</t>
  </si>
  <si>
    <t>Unit materials and consumables cost per Medical &amp; ICU RHD inpatient day (US$)</t>
  </si>
  <si>
    <t xml:space="preserve"> Blood transfusions/tests cost</t>
  </si>
  <si>
    <t>Unit building maintainance cost  per Medical &amp; ICU ward RHD inpatient day (US$)</t>
  </si>
  <si>
    <t>Annual GSH cost (US$)</t>
  </si>
  <si>
    <t>Total medical &amp; ICU in-patient days in GSH (US$)</t>
  </si>
  <si>
    <t>Total out-patient days in GSH (US$)</t>
  </si>
  <si>
    <t>Unit annual overhead cost per RHD inpatient day (US$)</t>
  </si>
  <si>
    <t>Total annual blood transfusions/tests cost for RHD patients (US$)</t>
  </si>
  <si>
    <t>Total number of RHD patients inpatient days (US$)</t>
  </si>
  <si>
    <t>Unit blood transfusions/tests cost per RHD inpatient day (US$)</t>
  </si>
  <si>
    <t>Total annual medications cost for RHD patients (US$)</t>
  </si>
  <si>
    <t>Total number of RHD patients admitted out of the patrticipants (US$)</t>
  </si>
  <si>
    <t>Medications cost per RHD inpatient day (US$)</t>
  </si>
  <si>
    <t>Replacement value per square meter (US$)</t>
  </si>
  <si>
    <t>Total replacement value (US$)</t>
  </si>
  <si>
    <t>Monthly maintainance cost (US$)</t>
  </si>
  <si>
    <t>Annuity 3%, 20 years (US$)</t>
  </si>
  <si>
    <t>Unit buiding cost per RHD in-patient day (US$)</t>
  </si>
  <si>
    <t>Cost per RHD in patient day (US$)</t>
  </si>
  <si>
    <t>Cost of RHD per RHD encounter (US$)</t>
  </si>
  <si>
    <t>Unit buiding cost per RHD encounter (US$)</t>
  </si>
  <si>
    <t>Annual cost (US$)</t>
  </si>
  <si>
    <t xml:space="preserve">PDE inpatient (PDE for annual GSH outpatient cost) </t>
  </si>
  <si>
    <t>Replacement value (US$)</t>
  </si>
  <si>
    <t>Monthly maintenance costs (US$)</t>
  </si>
  <si>
    <t>AMC (US$)</t>
  </si>
  <si>
    <t>Total for RHD (US$)</t>
  </si>
  <si>
    <t>Aggregate cost to GSH in 2017 (US$)</t>
  </si>
  <si>
    <t>Estimated per-patient annual cost (US$)</t>
  </si>
  <si>
    <t>Unit cost per encounter (US$)</t>
  </si>
  <si>
    <t>Unit personnel cost per RHD cath lab procedure (US$)</t>
  </si>
  <si>
    <t>Annual cath lab materials and consumables  cost (US$)</t>
  </si>
  <si>
    <t>Annual Cath lab cost allocate to RHD (US$)</t>
  </si>
  <si>
    <t>Unit materials and consumables cost per RHD Cath lab procedure (US$)</t>
  </si>
  <si>
    <t>Annual cat lab building maintaince cost (US$)</t>
  </si>
  <si>
    <t>Annual  Cath lab maintainance cost allocated to RHD (US$)</t>
  </si>
  <si>
    <t>Unit building maintainance cost  per RHD cath lab procedure (US$)</t>
  </si>
  <si>
    <t>Annual medications cost allocated to RHD (US$)</t>
  </si>
  <si>
    <t>Cath lab medications cost per RHD procedure (US$)</t>
  </si>
  <si>
    <t>Anual RHD procedures at cath lab</t>
  </si>
  <si>
    <t>Cost per cath lab procedure (US$)</t>
  </si>
  <si>
    <t>Cost per RHD procedure (US$)</t>
  </si>
  <si>
    <t>Unit personnel cost per RHD surgery performed (US$)</t>
  </si>
  <si>
    <t>Annual surgical/theatre materials and consumables cost (US$)</t>
  </si>
  <si>
    <t>Annual  Surgery/theatre cost allocate to RHD (US$)</t>
  </si>
  <si>
    <t>Unit cost per surgery performed (US$)</t>
  </si>
  <si>
    <t>Annual surgery/theatre bulding maintanance cost (US$)</t>
  </si>
  <si>
    <t>Annual Surgery/theatre maintainance cost allocated to RHD (US$)</t>
  </si>
  <si>
    <t>Unit building maintainance cost  per surgery perfomed (US$)</t>
  </si>
  <si>
    <t>Theatre medications cost per surgery performed (US$)</t>
  </si>
  <si>
    <t>Replacement value per sq m (US$)</t>
  </si>
  <si>
    <t>Monthly maintenance cost (US$)</t>
  </si>
  <si>
    <t>Cost per RHD surgey performed (US$)</t>
  </si>
  <si>
    <t>Total cost for RHD (US$)</t>
  </si>
  <si>
    <t>Cost per RHD surgery performed (US$)</t>
  </si>
  <si>
    <t>Total surgery/theatre equipment and furniture cost (US$)</t>
  </si>
  <si>
    <t xml:space="preserve">              4) Surgery/theatre care costs:</t>
  </si>
  <si>
    <t>Annual oupatient overheads cost allocated to RHD</t>
  </si>
  <si>
    <t>Annual cost RHD (US$)</t>
  </si>
  <si>
    <t>vii) Medical &amp; ICU ward medications cost</t>
  </si>
  <si>
    <t>vi) Outpatient medications cost</t>
  </si>
  <si>
    <t>vi) Medical &amp; ICU laboratory tests cost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</si>
</sst>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2">
    <numFmt numFmtId="43" formatCode="_(* #,##0.00_);_(* \(#,##0.00\);_(* &quot;-&quot;??_);_(@_)"/>
    <numFmt numFmtId="164" formatCode="_ * #,##0.00_ ;_ * \-#,##0.00_ ;_ * &quot;-&quot;??_ ;_ @_ "/>
    <numFmt numFmtId="165" formatCode="#,##0.00;[Red]#,##0.00"/>
    <numFmt numFmtId="166" formatCode="0.0%"/>
    <numFmt numFmtId="167" formatCode="&quot;R&quot;\ #,##0.00"/>
    <numFmt numFmtId="168" formatCode="_-&quot;R&quot;* #,##0.00_-;\-&quot;R&quot;* #,##0.00_-;_-&quot;R&quot;* &quot;-&quot;??_-;_-@"/>
    <numFmt numFmtId="169" formatCode="0.000"/>
    <numFmt numFmtId="170" formatCode="_-&quot;R&quot;* #,##0.00_-;\-&quot;R&quot;* #,##0.00_-;_-&quot;R&quot;* &quot;-&quot;??.0_-;_-@"/>
    <numFmt numFmtId="171" formatCode="&quot;R&quot;#,##0.00"/>
    <numFmt numFmtId="172" formatCode="[$R]#,##0.00"/>
    <numFmt numFmtId="173" formatCode="0.0"/>
    <numFmt numFmtId="174" formatCode="[$R-431]#,##0.00"/>
    <numFmt numFmtId="175" formatCode="_ [$R-1C09]\ * #,##0.00_ ;_ [$R-1C09]\ * \-#,##0.00_ ;_ [$R-1C09]\ * &quot;-&quot;??_ ;_ @_ "/>
    <numFmt numFmtId="176" formatCode="_ [$R-1C09]\ * #,##0_ ;_ [$R-1C09]\ * \-#,##0_ ;_ [$R-1C09]\ * &quot;-&quot;??_ ;_ @_ "/>
    <numFmt numFmtId="177" formatCode="#,##0;[Red]#,##0"/>
    <numFmt numFmtId="178" formatCode="_ * #,##0_ ;_ * \-#,##0_ ;_ * &quot;-&quot;??_ ;_ @_ "/>
    <numFmt numFmtId="179" formatCode="_-[$$-409]* #,##0.00_ ;_-[$$-409]* \-#,##0.00\ ;_-[$$-409]* &quot;-&quot;??_ ;_-@_ "/>
    <numFmt numFmtId="180" formatCode="_-[$$-409]* #,##0_ ;_-[$$-409]* \-#,##0\ ;_-[$$-409]* &quot;-&quot;??_ ;_-@_ "/>
    <numFmt numFmtId="181" formatCode="#,##0.000;[Red]#,##0.000"/>
    <numFmt numFmtId="182" formatCode="[$R-435]\ #,##0.00"/>
    <numFmt numFmtId="183" formatCode="[$$-45C]#,##0.00"/>
    <numFmt numFmtId="184" formatCode="[$$-45C]#,##0.00_);\([$$-45C]#,##0.00\)"/>
  </numFmts>
  <fonts count="67">
    <font>
      <sz val="11"/>
      <color theme="1"/>
      <name val="Calibri"/>
      <family val="2"/>
      <scheme val="minor"/>
    </font>
    <font>
      <sz val="12"/>
      <color theme="1"/>
      <name val="Calibri"/>
      <family val="2"/>
      <scheme val="minor"/>
    </font>
    <font>
      <sz val="8"/>
      <name val="Comic Sans MS"/>
      <family val="4"/>
    </font>
    <font>
      <sz val="10"/>
      <name val="Arial"/>
      <family val="2"/>
    </font>
    <font>
      <u/>
      <sz val="10"/>
      <color indexed="12"/>
      <name val="Comic Sans MS"/>
      <family val="4"/>
    </font>
    <font>
      <sz val="10"/>
      <name val="Comic Sans MS"/>
      <family val="4"/>
    </font>
    <font>
      <b/>
      <sz val="12"/>
      <color indexed="20"/>
      <name val="Times New Roman"/>
      <family val="1"/>
    </font>
    <font>
      <sz val="8"/>
      <name val="Times New Roman"/>
      <family val="1"/>
    </font>
    <font>
      <b/>
      <u/>
      <sz val="11"/>
      <color indexed="20"/>
      <name val="Times New Roman"/>
      <family val="1"/>
    </font>
    <font>
      <sz val="11"/>
      <name val="Times New Roman"/>
      <family val="1"/>
    </font>
    <font>
      <sz val="11"/>
      <color theme="1"/>
      <name val="Times New Roman"/>
      <family val="1"/>
    </font>
    <font>
      <b/>
      <sz val="10"/>
      <color indexed="20"/>
      <name val="Times New Roman"/>
      <family val="1"/>
    </font>
    <font>
      <sz val="10"/>
      <name val="Times New Roman"/>
      <family val="1"/>
    </font>
    <font>
      <b/>
      <sz val="8"/>
      <color indexed="60"/>
      <name val="Times New Roman"/>
      <family val="1"/>
    </font>
    <font>
      <b/>
      <sz val="8"/>
      <name val="Times New Roman"/>
      <family val="1"/>
    </font>
    <font>
      <b/>
      <sz val="10"/>
      <name val="Times New Roman"/>
      <family val="1"/>
    </font>
    <font>
      <u/>
      <sz val="10"/>
      <color indexed="12"/>
      <name val="Times New Roman"/>
      <family val="1"/>
    </font>
    <font>
      <b/>
      <sz val="11"/>
      <color indexed="20"/>
      <name val="Times New Roman"/>
      <family val="1"/>
    </font>
    <font>
      <b/>
      <sz val="11"/>
      <color indexed="12"/>
      <name val="Times New Roman"/>
      <family val="1"/>
    </font>
    <font>
      <b/>
      <u/>
      <sz val="12"/>
      <color indexed="20"/>
      <name val="Times New Roman"/>
      <family val="1"/>
    </font>
    <font>
      <sz val="12"/>
      <color indexed="20"/>
      <name val="Times New Roman"/>
      <family val="1"/>
    </font>
    <font>
      <b/>
      <sz val="12"/>
      <color indexed="10"/>
      <name val="Times New Roman"/>
      <family val="1"/>
    </font>
    <font>
      <b/>
      <sz val="12"/>
      <color indexed="12"/>
      <name val="Times New Roman"/>
      <family val="1"/>
    </font>
    <font>
      <sz val="10"/>
      <color theme="1"/>
      <name val="Times New Roman"/>
      <family val="1"/>
    </font>
    <font>
      <b/>
      <sz val="11"/>
      <name val="Times New Roman"/>
      <family val="1"/>
    </font>
    <font>
      <b/>
      <sz val="11"/>
      <color indexed="60"/>
      <name val="Times New Roman"/>
      <family val="1"/>
    </font>
    <font>
      <sz val="10"/>
      <name val="Arial"/>
      <family val="2"/>
    </font>
    <font>
      <sz val="8"/>
      <color indexed="10"/>
      <name val="Times New Roman"/>
      <family val="1"/>
    </font>
    <font>
      <b/>
      <sz val="12"/>
      <name val="Times New Roman"/>
      <family val="1"/>
    </font>
    <font>
      <sz val="12"/>
      <color rgb="FF000000"/>
      <name val="Verdana"/>
      <family val="2"/>
    </font>
    <font>
      <sz val="10"/>
      <color indexed="8"/>
      <name val="Times New Roman"/>
      <family val="1"/>
    </font>
    <font>
      <sz val="10"/>
      <color rgb="FF000000"/>
      <name val="Times New Roman"/>
      <family val="1"/>
    </font>
    <font>
      <b/>
      <sz val="10"/>
      <color rgb="FF66FF66"/>
      <name val="Times New Roman"/>
      <family val="1"/>
    </font>
    <font>
      <b/>
      <sz val="10"/>
      <color theme="1"/>
      <name val="Times New Roman"/>
      <family val="1"/>
    </font>
    <font>
      <b/>
      <sz val="11"/>
      <color theme="1"/>
      <name val="Times New Roman"/>
      <family val="1"/>
    </font>
    <font>
      <b/>
      <sz val="14"/>
      <color theme="1"/>
      <name val="Times New Roman"/>
      <family val="1"/>
    </font>
    <font>
      <b/>
      <sz val="10"/>
      <color rgb="FF000000"/>
      <name val="Times New Roman"/>
      <family val="1"/>
    </font>
    <font>
      <sz val="11"/>
      <color rgb="FF000000"/>
      <name val="Times New Roman"/>
      <family val="1"/>
    </font>
    <font>
      <b/>
      <sz val="11"/>
      <color rgb="FF000000"/>
      <name val="Times New Roman"/>
      <family val="1"/>
    </font>
    <font>
      <b/>
      <sz val="11"/>
      <color theme="3"/>
      <name val="Times New Roman"/>
      <family val="1"/>
    </font>
    <font>
      <b/>
      <sz val="12"/>
      <color rgb="FF000000"/>
      <name val="Times New Roman"/>
      <family val="1"/>
    </font>
    <font>
      <sz val="10"/>
      <color indexed="10"/>
      <name val="Times New Roman"/>
      <family val="1"/>
    </font>
    <font>
      <b/>
      <sz val="10"/>
      <color rgb="FFE36C09"/>
      <name val="Times New Roman"/>
      <family val="1"/>
    </font>
    <font>
      <b/>
      <sz val="14"/>
      <name val="Times New Roman"/>
      <family val="1"/>
    </font>
    <font>
      <sz val="11"/>
      <color theme="1"/>
      <name val="Calibri"/>
      <family val="2"/>
      <scheme val="minor"/>
    </font>
    <font>
      <sz val="11"/>
      <color indexed="8"/>
      <name val="Times New Roman"/>
      <family val="1"/>
    </font>
    <font>
      <sz val="11"/>
      <color indexed="10"/>
      <name val="Times New Roman"/>
      <family val="1"/>
    </font>
    <font>
      <sz val="12"/>
      <name val="Times New Roman"/>
      <family val="1"/>
    </font>
    <font>
      <b/>
      <sz val="12"/>
      <color theme="1"/>
      <name val="Times New Roman"/>
      <family val="1"/>
    </font>
    <font>
      <sz val="12"/>
      <color rgb="FF000000"/>
      <name val="Times New Roman"/>
      <family val="1"/>
    </font>
    <font>
      <b/>
      <sz val="12"/>
      <color rgb="FF00FF00"/>
      <name val="Times New Roman"/>
      <family val="1"/>
    </font>
    <font>
      <b/>
      <sz val="12"/>
      <color rgb="FF1F497D"/>
      <name val="Times New Roman"/>
      <family val="1"/>
    </font>
    <font>
      <sz val="12"/>
      <color rgb="FF00FF00"/>
      <name val="Times New Roman"/>
      <family val="1"/>
    </font>
    <font>
      <b/>
      <sz val="11"/>
      <color rgb="FF1F497D"/>
      <name val="Times New Roman"/>
      <family val="1"/>
    </font>
    <font>
      <b/>
      <sz val="10"/>
      <name val="Times New "/>
    </font>
    <font>
      <sz val="10"/>
      <color rgb="FFED7D31"/>
      <name val="Times New Roman"/>
      <family val="1"/>
    </font>
    <font>
      <sz val="12"/>
      <color rgb="FF000000"/>
      <name val="Arial"/>
      <family val="2"/>
    </font>
    <font>
      <b/>
      <sz val="24"/>
      <color indexed="20"/>
      <name val="Times New Roman"/>
      <family val="1"/>
    </font>
    <font>
      <sz val="14"/>
      <color theme="1"/>
      <name val="Times New Roman"/>
      <family val="1"/>
    </font>
    <font>
      <b/>
      <sz val="18"/>
      <color theme="1"/>
      <name val="Times New Roman"/>
      <family val="1"/>
    </font>
    <font>
      <b/>
      <sz val="18"/>
      <name val="Times New Roman"/>
      <family val="1"/>
    </font>
    <font>
      <b/>
      <sz val="14"/>
      <color rgb="FF000000"/>
      <name val="Times New Roman"/>
      <family val="1"/>
    </font>
    <font>
      <b/>
      <u/>
      <sz val="12"/>
      <color rgb="FFFF0000"/>
      <name val="Times New Roman"/>
      <family val="1"/>
    </font>
    <font>
      <b/>
      <sz val="10"/>
      <color rgb="FFFF0000"/>
      <name val="Times New Roman"/>
      <family val="1"/>
    </font>
    <font>
      <b/>
      <sz val="11"/>
      <color rgb="FFFF0000"/>
      <name val="Times New Roman"/>
      <family val="1"/>
    </font>
    <font>
      <sz val="11"/>
      <color rgb="FFFF0000"/>
      <name val="Times New Roman"/>
      <family val="1"/>
    </font>
    <font>
      <sz val="10"/>
      <color rgb="FFFF0000"/>
      <name val="Times New Roman"/>
      <family val="1"/>
    </font>
  </fonts>
  <fills count="34">
    <fill>
      <patternFill patternType="none"/>
    </fill>
    <fill>
      <patternFill patternType="gray125"/>
    </fill>
    <fill>
      <patternFill patternType="solid">
        <fgColor indexed="47"/>
        <bgColor indexed="64"/>
      </patternFill>
    </fill>
    <fill>
      <patternFill patternType="solid">
        <fgColor indexed="9"/>
        <bgColor indexed="64"/>
      </patternFill>
    </fill>
    <fill>
      <patternFill patternType="solid">
        <fgColor indexed="44"/>
        <bgColor indexed="64"/>
      </patternFill>
    </fill>
    <fill>
      <patternFill patternType="solid">
        <fgColor indexed="45"/>
        <bgColor indexed="64"/>
      </patternFill>
    </fill>
    <fill>
      <patternFill patternType="solid">
        <fgColor indexed="13"/>
        <bgColor indexed="64"/>
      </patternFill>
    </fill>
    <fill>
      <patternFill patternType="solid">
        <fgColor indexed="46"/>
        <bgColor indexed="64"/>
      </patternFill>
    </fill>
    <fill>
      <patternFill patternType="solid">
        <fgColor indexed="43"/>
        <bgColor indexed="64"/>
      </patternFill>
    </fill>
    <fill>
      <patternFill patternType="solid">
        <fgColor indexed="42"/>
        <bgColor indexed="64"/>
      </patternFill>
    </fill>
    <fill>
      <patternFill patternType="solid">
        <fgColor rgb="FFFFFF00"/>
        <bgColor indexed="64"/>
      </patternFill>
    </fill>
    <fill>
      <patternFill patternType="solid">
        <fgColor theme="1"/>
        <bgColor indexed="64"/>
      </patternFill>
    </fill>
    <fill>
      <patternFill patternType="solid">
        <fgColor rgb="FFE36C09"/>
        <bgColor rgb="FFE36C09"/>
      </patternFill>
    </fill>
    <fill>
      <patternFill patternType="solid">
        <fgColor rgb="FF9BBB59"/>
        <bgColor rgb="FF9BBB59"/>
      </patternFill>
    </fill>
    <fill>
      <patternFill patternType="solid">
        <fgColor rgb="FFB6DDE8"/>
        <bgColor rgb="FFB6DDE8"/>
      </patternFill>
    </fill>
    <fill>
      <patternFill patternType="solid">
        <fgColor theme="0"/>
        <bgColor rgb="FFB7B7B7"/>
      </patternFill>
    </fill>
    <fill>
      <patternFill patternType="solid">
        <fgColor theme="0"/>
        <bgColor indexed="64"/>
      </patternFill>
    </fill>
    <fill>
      <patternFill patternType="solid">
        <fgColor rgb="FFB8CCE4"/>
        <bgColor rgb="FFB8CCE4"/>
      </patternFill>
    </fill>
    <fill>
      <patternFill patternType="solid">
        <fgColor rgb="FFFF9900"/>
        <bgColor rgb="FFFF9900"/>
      </patternFill>
    </fill>
    <fill>
      <patternFill patternType="solid">
        <fgColor theme="9" tint="0.59999389629810485"/>
        <bgColor indexed="64"/>
      </patternFill>
    </fill>
    <fill>
      <patternFill patternType="solid">
        <fgColor theme="9" tint="0.59999389629810485"/>
        <bgColor rgb="FFB8CCE4"/>
      </patternFill>
    </fill>
    <fill>
      <patternFill patternType="solid">
        <fgColor theme="0"/>
        <bgColor rgb="FF00FF00"/>
      </patternFill>
    </fill>
    <fill>
      <patternFill patternType="solid">
        <fgColor theme="0"/>
        <bgColor rgb="FFCFE2F3"/>
      </patternFill>
    </fill>
    <fill>
      <patternFill patternType="solid">
        <fgColor rgb="FFFF0000"/>
        <bgColor indexed="64"/>
      </patternFill>
    </fill>
    <fill>
      <patternFill patternType="solid">
        <fgColor rgb="FF93C47D"/>
        <bgColor rgb="FF93C47D"/>
      </patternFill>
    </fill>
    <fill>
      <patternFill patternType="solid">
        <fgColor rgb="FF9FC5E8"/>
        <bgColor rgb="FF9FC5E8"/>
      </patternFill>
    </fill>
    <fill>
      <patternFill patternType="solid">
        <fgColor rgb="FFCFE2F3"/>
        <bgColor rgb="FFCFE2F3"/>
      </patternFill>
    </fill>
    <fill>
      <patternFill patternType="solid">
        <fgColor rgb="FFF79646"/>
        <bgColor rgb="FFF79646"/>
      </patternFill>
    </fill>
    <fill>
      <patternFill patternType="solid">
        <fgColor theme="0"/>
        <bgColor rgb="FFFF9900"/>
      </patternFill>
    </fill>
    <fill>
      <patternFill patternType="solid">
        <fgColor theme="0"/>
        <bgColor rgb="FFE36C09"/>
      </patternFill>
    </fill>
    <fill>
      <patternFill patternType="solid">
        <fgColor theme="0"/>
        <bgColor rgb="FFB6DDE8"/>
      </patternFill>
    </fill>
    <fill>
      <patternFill patternType="solid">
        <fgColor theme="0"/>
        <bgColor rgb="FF92D050"/>
      </patternFill>
    </fill>
    <fill>
      <patternFill patternType="solid">
        <fgColor theme="9" tint="-0.249977111117893"/>
        <bgColor indexed="64"/>
      </patternFill>
    </fill>
    <fill>
      <patternFill patternType="solid">
        <fgColor rgb="FFD9D9D9"/>
        <bgColor rgb="FFD9D9D9"/>
      </patternFill>
    </fill>
  </fills>
  <borders count="26">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thin">
        <color indexed="64"/>
      </bottom>
      <diagonal/>
    </border>
    <border>
      <left style="medium">
        <color indexed="64"/>
      </left>
      <right style="medium">
        <color indexed="64"/>
      </right>
      <top style="medium">
        <color indexed="64"/>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indexed="64"/>
      </top>
      <bottom/>
      <diagonal/>
    </border>
    <border>
      <left style="medium">
        <color indexed="64"/>
      </left>
      <right style="medium">
        <color indexed="64"/>
      </right>
      <top/>
      <bottom/>
      <diagonal/>
    </border>
  </borders>
  <cellStyleXfs count="11">
    <xf numFmtId="0" fontId="0" fillId="0" borderId="0"/>
    <xf numFmtId="0" fontId="2" fillId="0" borderId="0"/>
    <xf numFmtId="165" fontId="3" fillId="0" borderId="0" applyFont="0" applyFill="0" applyBorder="0" applyAlignment="0" applyProtection="0"/>
    <xf numFmtId="0" fontId="4" fillId="0" borderId="0" applyNumberFormat="0" applyFill="0" applyBorder="0" applyAlignment="0" applyProtection="0">
      <alignment vertical="top"/>
      <protection locked="0"/>
    </xf>
    <xf numFmtId="0" fontId="5" fillId="0" borderId="0"/>
    <xf numFmtId="9" fontId="3" fillId="0" borderId="0" applyFont="0" applyFill="0" applyBorder="0" applyAlignment="0" applyProtection="0"/>
    <xf numFmtId="165" fontId="26" fillId="0" borderId="0" applyFont="0" applyFill="0" applyBorder="0" applyAlignment="0" applyProtection="0"/>
    <xf numFmtId="9" fontId="26" fillId="0" borderId="0" applyFont="0" applyFill="0" applyBorder="0" applyAlignment="0" applyProtection="0"/>
    <xf numFmtId="0" fontId="29" fillId="0" borderId="0"/>
    <xf numFmtId="9" fontId="44" fillId="0" borderId="0" applyFont="0" applyFill="0" applyBorder="0" applyAlignment="0" applyProtection="0"/>
    <xf numFmtId="164" fontId="44" fillId="0" borderId="0" applyFont="0" applyFill="0" applyBorder="0" applyAlignment="0" applyProtection="0"/>
  </cellStyleXfs>
  <cellXfs count="530">
    <xf numFmtId="0" fontId="0" fillId="0" borderId="0" xfId="0"/>
    <xf numFmtId="0" fontId="7" fillId="0" borderId="0" xfId="1" applyFont="1"/>
    <xf numFmtId="0" fontId="8" fillId="3" borderId="0" xfId="4" applyFont="1" applyFill="1" applyBorder="1" applyAlignment="1">
      <alignment horizontal="left"/>
    </xf>
    <xf numFmtId="0" fontId="9" fillId="3" borderId="0" xfId="1" applyFont="1" applyFill="1" applyBorder="1"/>
    <xf numFmtId="0" fontId="10" fillId="0" borderId="0" xfId="0" applyFont="1"/>
    <xf numFmtId="0" fontId="7" fillId="3" borderId="0" xfId="1" applyFont="1" applyFill="1"/>
    <xf numFmtId="0" fontId="7" fillId="3" borderId="0" xfId="1" applyFont="1" applyFill="1" applyBorder="1"/>
    <xf numFmtId="0" fontId="7" fillId="3" borderId="0" xfId="1" applyFont="1" applyFill="1" applyBorder="1" applyAlignment="1">
      <alignment horizontal="center" vertical="top"/>
    </xf>
    <xf numFmtId="0" fontId="12" fillId="3" borderId="0" xfId="4" applyFont="1" applyFill="1"/>
    <xf numFmtId="0" fontId="13" fillId="3" borderId="0" xfId="4" applyFont="1" applyFill="1" applyBorder="1" applyAlignment="1">
      <alignment horizontal="center"/>
    </xf>
    <xf numFmtId="0" fontId="13" fillId="3" borderId="0" xfId="4" applyFont="1" applyFill="1" applyBorder="1" applyAlignment="1">
      <alignment horizontal="right"/>
    </xf>
    <xf numFmtId="0" fontId="13" fillId="3" borderId="19" xfId="4" applyFont="1" applyFill="1" applyBorder="1" applyAlignment="1">
      <alignment horizontal="right"/>
    </xf>
    <xf numFmtId="0" fontId="16" fillId="3" borderId="5" xfId="3" applyFont="1" applyFill="1" applyBorder="1" applyAlignment="1" applyProtection="1">
      <alignment horizontal="center"/>
    </xf>
    <xf numFmtId="0" fontId="13" fillId="3" borderId="5" xfId="4" applyFont="1" applyFill="1" applyBorder="1" applyAlignment="1">
      <alignment horizontal="right"/>
    </xf>
    <xf numFmtId="0" fontId="23" fillId="0" borderId="0" xfId="0" applyFont="1"/>
    <xf numFmtId="0" fontId="25" fillId="3" borderId="0" xfId="4" applyFont="1" applyFill="1" applyBorder="1" applyAlignment="1">
      <alignment horizontal="right"/>
    </xf>
    <xf numFmtId="0" fontId="25" fillId="3" borderId="0" xfId="4" applyFont="1" applyFill="1" applyBorder="1" applyAlignment="1">
      <alignment horizontal="center"/>
    </xf>
    <xf numFmtId="0" fontId="17" fillId="9" borderId="0" xfId="1" applyFont="1" applyFill="1" applyBorder="1" applyAlignment="1">
      <alignment horizontal="left"/>
    </xf>
    <xf numFmtId="0" fontId="13" fillId="3" borderId="0" xfId="4" applyFont="1" applyFill="1" applyBorder="1" applyAlignment="1">
      <alignment horizontal="left"/>
    </xf>
    <xf numFmtId="0" fontId="7" fillId="3" borderId="0" xfId="4" applyFont="1" applyFill="1"/>
    <xf numFmtId="0" fontId="13" fillId="4" borderId="5" xfId="4" applyFont="1" applyFill="1" applyBorder="1" applyAlignment="1">
      <alignment horizontal="right"/>
    </xf>
    <xf numFmtId="0" fontId="14" fillId="6" borderId="1" xfId="4" applyFont="1" applyFill="1" applyBorder="1" applyAlignment="1">
      <alignment horizontal="center" vertical="top" wrapText="1"/>
    </xf>
    <xf numFmtId="0" fontId="7" fillId="6" borderId="3" xfId="4" applyFont="1" applyFill="1" applyBorder="1" applyAlignment="1">
      <alignment horizontal="center"/>
    </xf>
    <xf numFmtId="0" fontId="7" fillId="0" borderId="0" xfId="4" applyFont="1" applyAlignment="1">
      <alignment horizontal="right"/>
    </xf>
    <xf numFmtId="165" fontId="7" fillId="0" borderId="0" xfId="4" applyNumberFormat="1" applyFont="1" applyAlignment="1">
      <alignment horizontal="right"/>
    </xf>
    <xf numFmtId="165" fontId="7" fillId="0" borderId="0" xfId="6" applyNumberFormat="1" applyFont="1" applyAlignment="1">
      <alignment horizontal="right"/>
    </xf>
    <xf numFmtId="2" fontId="7" fillId="0" borderId="0" xfId="1" applyNumberFormat="1" applyFont="1" applyAlignment="1">
      <alignment horizontal="right"/>
    </xf>
    <xf numFmtId="165" fontId="27" fillId="0" borderId="0" xfId="6" applyFont="1" applyAlignment="1">
      <alignment horizontal="right"/>
    </xf>
    <xf numFmtId="0" fontId="18" fillId="7" borderId="1" xfId="4" applyFont="1" applyFill="1" applyBorder="1" applyAlignment="1">
      <alignment horizontal="left"/>
    </xf>
    <xf numFmtId="0" fontId="18" fillId="7" borderId="1" xfId="4" applyFont="1" applyFill="1" applyBorder="1" applyAlignment="1">
      <alignment horizontal="left" shrinkToFit="1"/>
    </xf>
    <xf numFmtId="0" fontId="30" fillId="2" borderId="4" xfId="4" applyFont="1" applyFill="1" applyBorder="1" applyAlignment="1">
      <alignment horizontal="left" vertical="top" wrapText="1"/>
    </xf>
    <xf numFmtId="0" fontId="30" fillId="2" borderId="4" xfId="4" applyFont="1" applyFill="1" applyBorder="1" applyAlignment="1">
      <alignment horizontal="left" vertical="top"/>
    </xf>
    <xf numFmtId="0" fontId="18" fillId="7" borderId="5" xfId="4" applyFont="1" applyFill="1" applyBorder="1" applyAlignment="1">
      <alignment horizontal="left"/>
    </xf>
    <xf numFmtId="0" fontId="18" fillId="7" borderId="5" xfId="4" applyFont="1" applyFill="1" applyBorder="1" applyAlignment="1">
      <alignment horizontal="left"/>
    </xf>
    <xf numFmtId="0" fontId="7" fillId="6" borderId="1" xfId="4" applyFont="1" applyFill="1" applyBorder="1" applyAlignment="1">
      <alignment horizontal="center" vertical="top" wrapText="1"/>
    </xf>
    <xf numFmtId="0" fontId="24" fillId="4" borderId="0" xfId="1" applyFont="1" applyFill="1" applyBorder="1" applyAlignment="1">
      <alignment horizontal="center"/>
    </xf>
    <xf numFmtId="0" fontId="27" fillId="16" borderId="1" xfId="4" applyFont="1" applyFill="1" applyBorder="1" applyAlignment="1">
      <alignment horizontal="center"/>
    </xf>
    <xf numFmtId="0" fontId="27" fillId="16" borderId="0" xfId="4" applyFont="1" applyFill="1" applyBorder="1" applyAlignment="1">
      <alignment horizontal="center"/>
    </xf>
    <xf numFmtId="0" fontId="37" fillId="18" borderId="0" xfId="0" applyFont="1" applyFill="1" applyBorder="1" applyAlignment="1">
      <alignment vertical="top"/>
    </xf>
    <xf numFmtId="0" fontId="40" fillId="18" borderId="0" xfId="0" applyFont="1" applyFill="1" applyBorder="1" applyAlignment="1">
      <alignment vertical="top"/>
    </xf>
    <xf numFmtId="0" fontId="9" fillId="18" borderId="0" xfId="0" applyFont="1" applyFill="1" applyBorder="1" applyAlignment="1">
      <alignment vertical="top"/>
    </xf>
    <xf numFmtId="170" fontId="9" fillId="18" borderId="0" xfId="0" applyNumberFormat="1" applyFont="1" applyFill="1" applyBorder="1" applyAlignment="1">
      <alignment vertical="top"/>
    </xf>
    <xf numFmtId="169" fontId="9" fillId="18" borderId="0" xfId="0" applyNumberFormat="1" applyFont="1" applyFill="1" applyBorder="1" applyAlignment="1">
      <alignment vertical="top"/>
    </xf>
    <xf numFmtId="0" fontId="38" fillId="18" borderId="0" xfId="0" applyFont="1" applyFill="1" applyBorder="1" applyAlignment="1"/>
    <xf numFmtId="0" fontId="38" fillId="18" borderId="0" xfId="0" applyFont="1" applyFill="1" applyBorder="1" applyAlignment="1">
      <alignment vertical="top"/>
    </xf>
    <xf numFmtId="168" fontId="37" fillId="18" borderId="0" xfId="0" applyNumberFormat="1" applyFont="1" applyFill="1" applyBorder="1" applyAlignment="1">
      <alignment wrapText="1"/>
    </xf>
    <xf numFmtId="0" fontId="38" fillId="12" borderId="0" xfId="0" applyFont="1" applyFill="1" applyBorder="1" applyAlignment="1"/>
    <xf numFmtId="0" fontId="38" fillId="12" borderId="0" xfId="0" applyFont="1" applyFill="1" applyBorder="1" applyAlignment="1">
      <alignment vertical="top"/>
    </xf>
    <xf numFmtId="168" fontId="37" fillId="12" borderId="0" xfId="0" applyNumberFormat="1" applyFont="1" applyFill="1" applyBorder="1" applyAlignment="1">
      <alignment wrapText="1"/>
    </xf>
    <xf numFmtId="170" fontId="37" fillId="12" borderId="0" xfId="0" applyNumberFormat="1" applyFont="1" applyFill="1" applyBorder="1" applyAlignment="1">
      <alignment vertical="top"/>
    </xf>
    <xf numFmtId="0" fontId="9" fillId="12" borderId="0" xfId="0" applyFont="1" applyFill="1" applyBorder="1" applyAlignment="1">
      <alignment vertical="top"/>
    </xf>
    <xf numFmtId="169" fontId="9" fillId="12" borderId="0" xfId="0" applyNumberFormat="1" applyFont="1" applyFill="1" applyBorder="1" applyAlignment="1">
      <alignment vertical="top"/>
    </xf>
    <xf numFmtId="0" fontId="10" fillId="19" borderId="0" xfId="0" applyFont="1" applyFill="1"/>
    <xf numFmtId="0" fontId="10" fillId="16" borderId="0" xfId="0" applyFont="1" applyFill="1"/>
    <xf numFmtId="0" fontId="35" fillId="23" borderId="0" xfId="8" applyFont="1" applyFill="1" applyAlignment="1">
      <alignment vertical="top" wrapText="1"/>
    </xf>
    <xf numFmtId="167" fontId="32" fillId="0" borderId="3" xfId="4" applyNumberFormat="1" applyFont="1" applyFill="1" applyBorder="1" applyAlignment="1">
      <alignment horizontal="right"/>
    </xf>
    <xf numFmtId="1" fontId="12" fillId="0" borderId="3" xfId="6" applyNumberFormat="1" applyFont="1" applyBorder="1" applyAlignment="1">
      <alignment horizontal="right"/>
    </xf>
    <xf numFmtId="0" fontId="27" fillId="16" borderId="3" xfId="4" applyFont="1" applyFill="1" applyBorder="1" applyAlignment="1">
      <alignment horizontal="center"/>
    </xf>
    <xf numFmtId="0" fontId="10" fillId="0" borderId="3" xfId="0" applyFont="1" applyBorder="1"/>
    <xf numFmtId="167" fontId="33" fillId="0" borderId="3" xfId="0" applyNumberFormat="1" applyFont="1" applyBorder="1"/>
    <xf numFmtId="0" fontId="7" fillId="0" borderId="3" xfId="1" applyFont="1" applyBorder="1"/>
    <xf numFmtId="0" fontId="18" fillId="7" borderId="3" xfId="4" applyFont="1" applyFill="1" applyBorder="1" applyAlignment="1">
      <alignment horizontal="left"/>
    </xf>
    <xf numFmtId="0" fontId="7" fillId="0" borderId="3" xfId="4" applyFont="1" applyBorder="1" applyAlignment="1">
      <alignment horizontal="right"/>
    </xf>
    <xf numFmtId="0" fontId="30" fillId="2" borderId="3" xfId="4" applyFont="1" applyFill="1" applyBorder="1" applyAlignment="1">
      <alignment horizontal="left" vertical="top"/>
    </xf>
    <xf numFmtId="0" fontId="30" fillId="2" borderId="3" xfId="4" applyFont="1" applyFill="1" applyBorder="1" applyAlignment="1">
      <alignment horizontal="left" vertical="top" wrapText="1"/>
    </xf>
    <xf numFmtId="0" fontId="23" fillId="2" borderId="3" xfId="1" applyFont="1" applyFill="1" applyBorder="1" applyAlignment="1">
      <alignment vertical="top" wrapText="1"/>
    </xf>
    <xf numFmtId="0" fontId="12" fillId="2" borderId="3" xfId="1" applyFont="1" applyFill="1" applyBorder="1" applyAlignment="1">
      <alignment vertical="top" wrapText="1"/>
    </xf>
    <xf numFmtId="0" fontId="30" fillId="2" borderId="3" xfId="4" applyFont="1" applyFill="1" applyBorder="1" applyAlignment="1">
      <alignment vertical="top" wrapText="1"/>
    </xf>
    <xf numFmtId="0" fontId="23" fillId="0" borderId="3" xfId="0" applyFont="1" applyBorder="1"/>
    <xf numFmtId="0" fontId="14" fillId="6" borderId="3" xfId="4" applyFont="1" applyFill="1" applyBorder="1" applyAlignment="1">
      <alignment horizontal="center" vertical="top" wrapText="1"/>
    </xf>
    <xf numFmtId="0" fontId="7" fillId="6" borderId="3" xfId="4" applyFont="1" applyFill="1" applyBorder="1"/>
    <xf numFmtId="0" fontId="7" fillId="6" borderId="3" xfId="4" applyFont="1" applyFill="1" applyBorder="1" applyAlignment="1">
      <alignment horizontal="center" wrapText="1"/>
    </xf>
    <xf numFmtId="0" fontId="12" fillId="0" borderId="3" xfId="4" applyFont="1" applyBorder="1" applyAlignment="1">
      <alignment horizontal="left"/>
    </xf>
    <xf numFmtId="10" fontId="12" fillId="0" borderId="3" xfId="1" applyNumberFormat="1" applyFont="1" applyBorder="1"/>
    <xf numFmtId="167" fontId="12" fillId="0" borderId="3" xfId="6" applyNumberFormat="1" applyFont="1" applyBorder="1" applyAlignment="1">
      <alignment horizontal="right"/>
    </xf>
    <xf numFmtId="0" fontId="12" fillId="0" borderId="3" xfId="1" applyFont="1" applyBorder="1"/>
    <xf numFmtId="10" fontId="23" fillId="0" borderId="3" xfId="0" applyNumberFormat="1" applyFont="1" applyBorder="1"/>
    <xf numFmtId="0" fontId="9" fillId="0" borderId="3" xfId="8" applyFont="1" applyBorder="1" applyAlignment="1">
      <alignment wrapText="1"/>
    </xf>
    <xf numFmtId="0" fontId="9" fillId="0" borderId="3" xfId="8" applyFont="1" applyBorder="1" applyAlignment="1">
      <alignment vertical="top"/>
    </xf>
    <xf numFmtId="0" fontId="7" fillId="6" borderId="3" xfId="4" applyFont="1" applyFill="1" applyBorder="1" applyAlignment="1">
      <alignment horizontal="center" vertical="top" wrapText="1"/>
    </xf>
    <xf numFmtId="0" fontId="12" fillId="0" borderId="3" xfId="4" applyFont="1" applyBorder="1" applyAlignment="1">
      <alignment horizontal="right"/>
    </xf>
    <xf numFmtId="9" fontId="12" fillId="0" borderId="3" xfId="1" applyNumberFormat="1" applyFont="1" applyBorder="1"/>
    <xf numFmtId="9" fontId="12" fillId="0" borderId="3" xfId="4" applyNumberFormat="1" applyFont="1" applyBorder="1" applyAlignment="1">
      <alignment horizontal="right"/>
    </xf>
    <xf numFmtId="0" fontId="39" fillId="0" borderId="3" xfId="0" applyFont="1" applyBorder="1" applyAlignment="1"/>
    <xf numFmtId="9" fontId="7" fillId="0" borderId="3" xfId="4" applyNumberFormat="1" applyFont="1" applyBorder="1" applyAlignment="1">
      <alignment horizontal="right"/>
    </xf>
    <xf numFmtId="165" fontId="7" fillId="0" borderId="3" xfId="6" applyFont="1" applyBorder="1" applyAlignment="1">
      <alignment horizontal="right"/>
    </xf>
    <xf numFmtId="0" fontId="31" fillId="0" borderId="3" xfId="0" applyFont="1" applyBorder="1" applyAlignment="1"/>
    <xf numFmtId="0" fontId="23" fillId="0" borderId="3" xfId="0" applyFont="1" applyBorder="1" applyAlignment="1">
      <alignment horizontal="center"/>
    </xf>
    <xf numFmtId="1" fontId="32" fillId="0" borderId="3" xfId="4" applyNumberFormat="1" applyFont="1" applyFill="1" applyBorder="1" applyAlignment="1">
      <alignment horizontal="right"/>
    </xf>
    <xf numFmtId="2" fontId="23" fillId="0" borderId="3" xfId="0" applyNumberFormat="1" applyFont="1" applyBorder="1"/>
    <xf numFmtId="0" fontId="37" fillId="0" borderId="3" xfId="0" applyFont="1" applyBorder="1" applyAlignment="1"/>
    <xf numFmtId="0" fontId="24" fillId="20" borderId="3" xfId="0" applyFont="1" applyFill="1" applyBorder="1" applyAlignment="1">
      <alignment vertical="top" wrapText="1"/>
    </xf>
    <xf numFmtId="0" fontId="38" fillId="20" borderId="3" xfId="0" applyFont="1" applyFill="1" applyBorder="1" applyAlignment="1">
      <alignment vertical="top" wrapText="1"/>
    </xf>
    <xf numFmtId="170" fontId="24" fillId="20" borderId="3" xfId="0" applyNumberFormat="1" applyFont="1" applyFill="1" applyBorder="1" applyAlignment="1">
      <alignment vertical="top" wrapText="1"/>
    </xf>
    <xf numFmtId="169" fontId="24" fillId="20" borderId="3" xfId="0" applyNumberFormat="1" applyFont="1" applyFill="1" applyBorder="1" applyAlignment="1">
      <alignment vertical="top" wrapText="1"/>
    </xf>
    <xf numFmtId="0" fontId="10" fillId="0" borderId="3" xfId="0" applyFont="1" applyBorder="1" applyAlignment="1">
      <alignment horizontal="center"/>
    </xf>
    <xf numFmtId="0" fontId="12" fillId="0" borderId="3" xfId="0" applyFont="1" applyBorder="1" applyAlignment="1">
      <alignment vertical="top"/>
    </xf>
    <xf numFmtId="0" fontId="36" fillId="0" borderId="3" xfId="0" applyFont="1" applyBorder="1" applyAlignment="1">
      <alignment vertical="top"/>
    </xf>
    <xf numFmtId="169" fontId="12" fillId="0" borderId="3" xfId="0" applyNumberFormat="1" applyFont="1" applyBorder="1" applyAlignment="1">
      <alignment vertical="top"/>
    </xf>
    <xf numFmtId="167" fontId="31" fillId="0" borderId="3" xfId="0" applyNumberFormat="1" applyFont="1" applyBorder="1" applyAlignment="1">
      <alignment vertical="top"/>
    </xf>
    <xf numFmtId="0" fontId="31" fillId="0" borderId="3" xfId="0" applyFont="1" applyBorder="1" applyAlignment="1">
      <alignment vertical="top"/>
    </xf>
    <xf numFmtId="169" fontId="31" fillId="0" borderId="3" xfId="0" applyNumberFormat="1" applyFont="1" applyBorder="1" applyAlignment="1">
      <alignment vertical="top"/>
    </xf>
    <xf numFmtId="0" fontId="15" fillId="0" borderId="3" xfId="0" applyFont="1" applyBorder="1" applyAlignment="1"/>
    <xf numFmtId="0" fontId="36" fillId="0" borderId="3" xfId="0" applyFont="1" applyBorder="1" applyAlignment="1"/>
    <xf numFmtId="168" fontId="15" fillId="0" borderId="3" xfId="0" applyNumberFormat="1" applyFont="1" applyBorder="1" applyAlignment="1">
      <alignment wrapText="1"/>
    </xf>
    <xf numFmtId="170" fontId="15" fillId="0" borderId="3" xfId="0" applyNumberFormat="1" applyFont="1" applyBorder="1" applyAlignment="1">
      <alignment vertical="top"/>
    </xf>
    <xf numFmtId="0" fontId="15" fillId="0" borderId="3" xfId="0" applyFont="1" applyBorder="1" applyAlignment="1">
      <alignment vertical="top"/>
    </xf>
    <xf numFmtId="167" fontId="15" fillId="0" borderId="3" xfId="0" applyNumberFormat="1" applyFont="1" applyBorder="1" applyAlignment="1">
      <alignment vertical="top"/>
    </xf>
    <xf numFmtId="168" fontId="15" fillId="0" borderId="3" xfId="0" applyNumberFormat="1" applyFont="1" applyBorder="1" applyAlignment="1">
      <alignment vertical="top"/>
    </xf>
    <xf numFmtId="0" fontId="9" fillId="18" borderId="3" xfId="0" applyFont="1" applyFill="1" applyBorder="1" applyAlignment="1">
      <alignment vertical="top"/>
    </xf>
    <xf numFmtId="169" fontId="9" fillId="18" borderId="3" xfId="0" applyNumberFormat="1" applyFont="1" applyFill="1" applyBorder="1" applyAlignment="1">
      <alignment vertical="top"/>
    </xf>
    <xf numFmtId="0" fontId="24" fillId="17" borderId="3" xfId="0" applyFont="1" applyFill="1" applyBorder="1" applyAlignment="1">
      <alignment vertical="top" wrapText="1"/>
    </xf>
    <xf numFmtId="0" fontId="38" fillId="17" borderId="3" xfId="0" applyFont="1" applyFill="1" applyBorder="1" applyAlignment="1">
      <alignment vertical="top" wrapText="1"/>
    </xf>
    <xf numFmtId="167" fontId="31" fillId="0" borderId="3" xfId="0" applyNumberFormat="1" applyFont="1" applyBorder="1" applyAlignment="1">
      <alignment wrapText="1"/>
    </xf>
    <xf numFmtId="168" fontId="42" fillId="0" borderId="3" xfId="0" applyNumberFormat="1" applyFont="1" applyBorder="1" applyAlignment="1">
      <alignment vertical="top"/>
    </xf>
    <xf numFmtId="167" fontId="36" fillId="0" borderId="3" xfId="0" applyNumberFormat="1" applyFont="1" applyBorder="1" applyAlignment="1">
      <alignment vertical="top"/>
    </xf>
    <xf numFmtId="0" fontId="38" fillId="18" borderId="3" xfId="0" applyFont="1" applyFill="1" applyBorder="1" applyAlignment="1"/>
    <xf numFmtId="0" fontId="38" fillId="18" borderId="3" xfId="0" applyFont="1" applyFill="1" applyBorder="1" applyAlignment="1">
      <alignment vertical="top"/>
    </xf>
    <xf numFmtId="168" fontId="37" fillId="18" borderId="3" xfId="0" applyNumberFormat="1" applyFont="1" applyFill="1" applyBorder="1" applyAlignment="1">
      <alignment wrapText="1"/>
    </xf>
    <xf numFmtId="170" fontId="37" fillId="18" borderId="3" xfId="0" applyNumberFormat="1" applyFont="1" applyFill="1" applyBorder="1" applyAlignment="1">
      <alignment vertical="top"/>
    </xf>
    <xf numFmtId="168" fontId="9" fillId="18" borderId="3" xfId="0" applyNumberFormat="1" applyFont="1" applyFill="1" applyBorder="1" applyAlignment="1">
      <alignment vertical="top"/>
    </xf>
    <xf numFmtId="43" fontId="37" fillId="18" borderId="3" xfId="0" applyNumberFormat="1" applyFont="1" applyFill="1" applyBorder="1" applyAlignment="1">
      <alignment vertical="top"/>
    </xf>
    <xf numFmtId="170" fontId="12" fillId="0" borderId="3" xfId="0" applyNumberFormat="1" applyFont="1" applyBorder="1" applyAlignment="1">
      <alignment vertical="top"/>
    </xf>
    <xf numFmtId="0" fontId="13" fillId="4" borderId="5" xfId="4" applyFont="1" applyFill="1" applyBorder="1" applyAlignment="1">
      <alignment horizontal="center"/>
    </xf>
    <xf numFmtId="0" fontId="23" fillId="0" borderId="4" xfId="0" applyFont="1" applyBorder="1"/>
    <xf numFmtId="0" fontId="23" fillId="0" borderId="0" xfId="0" applyFont="1" applyBorder="1"/>
    <xf numFmtId="169" fontId="9" fillId="18" borderId="21" xfId="0" applyNumberFormat="1" applyFont="1" applyFill="1" applyBorder="1" applyAlignment="1">
      <alignment vertical="top"/>
    </xf>
    <xf numFmtId="0" fontId="34" fillId="0" borderId="3" xfId="0" applyFont="1" applyBorder="1"/>
    <xf numFmtId="0" fontId="30" fillId="2" borderId="4" xfId="4" applyFont="1" applyFill="1" applyBorder="1" applyAlignment="1">
      <alignment horizontal="center" vertical="top" wrapText="1"/>
    </xf>
    <xf numFmtId="171" fontId="34" fillId="0" borderId="0" xfId="0" applyNumberFormat="1" applyFont="1"/>
    <xf numFmtId="0" fontId="30" fillId="2" borderId="3" xfId="4" applyFont="1" applyFill="1" applyBorder="1" applyAlignment="1">
      <alignment horizontal="center" vertical="top" wrapText="1"/>
    </xf>
    <xf numFmtId="0" fontId="24" fillId="20" borderId="3" xfId="0" applyFont="1" applyFill="1" applyBorder="1" applyAlignment="1">
      <alignment horizontal="center" vertical="top" wrapText="1"/>
    </xf>
    <xf numFmtId="0" fontId="18" fillId="7" borderId="5" xfId="4" applyFont="1" applyFill="1" applyBorder="1" applyAlignment="1">
      <alignment horizontal="left"/>
    </xf>
    <xf numFmtId="0" fontId="18" fillId="7" borderId="3" xfId="4" applyFont="1" applyFill="1" applyBorder="1" applyAlignment="1">
      <alignment horizontal="left"/>
    </xf>
    <xf numFmtId="10" fontId="36" fillId="0" borderId="3" xfId="9" applyNumberFormat="1" applyFont="1" applyBorder="1" applyAlignment="1">
      <alignment vertical="top"/>
    </xf>
    <xf numFmtId="0" fontId="38" fillId="20" borderId="3" xfId="0" applyFont="1" applyFill="1" applyBorder="1" applyAlignment="1">
      <alignment horizontal="center" vertical="top" wrapText="1"/>
    </xf>
    <xf numFmtId="171" fontId="10" fillId="0" borderId="0" xfId="0" applyNumberFormat="1" applyFont="1"/>
    <xf numFmtId="0" fontId="18" fillId="7" borderId="3" xfId="4" applyFont="1" applyFill="1" applyBorder="1" applyAlignment="1">
      <alignment horizontal="left"/>
    </xf>
    <xf numFmtId="0" fontId="18" fillId="7" borderId="5" xfId="4" applyFont="1" applyFill="1" applyBorder="1" applyAlignment="1">
      <alignment horizontal="left"/>
    </xf>
    <xf numFmtId="171" fontId="10" fillId="0" borderId="3" xfId="0" applyNumberFormat="1" applyFont="1" applyBorder="1"/>
    <xf numFmtId="0" fontId="9" fillId="2" borderId="3" xfId="4" applyFont="1" applyFill="1" applyBorder="1" applyAlignment="1">
      <alignment horizontal="center" vertical="top" wrapText="1"/>
    </xf>
    <xf numFmtId="0" fontId="24" fillId="6" borderId="3" xfId="4" applyFont="1" applyFill="1" applyBorder="1" applyAlignment="1">
      <alignment horizontal="center" vertical="top" wrapText="1"/>
    </xf>
    <xf numFmtId="0" fontId="9" fillId="0" borderId="3" xfId="4" applyFont="1" applyBorder="1" applyAlignment="1">
      <alignment horizontal="center"/>
    </xf>
    <xf numFmtId="0" fontId="24" fillId="6" borderId="1" xfId="4" applyFont="1" applyFill="1" applyBorder="1" applyAlignment="1">
      <alignment horizontal="center" vertical="top" wrapText="1"/>
    </xf>
    <xf numFmtId="0" fontId="46" fillId="16" borderId="3" xfId="4" applyFont="1" applyFill="1" applyBorder="1" applyAlignment="1">
      <alignment horizontal="center"/>
    </xf>
    <xf numFmtId="0" fontId="45" fillId="2" borderId="4" xfId="4" applyFont="1" applyFill="1" applyBorder="1" applyAlignment="1">
      <alignment horizontal="left" vertical="top"/>
    </xf>
    <xf numFmtId="0" fontId="31" fillId="0" borderId="3" xfId="0" applyFont="1" applyBorder="1" applyAlignment="1">
      <alignment wrapText="1"/>
    </xf>
    <xf numFmtId="0" fontId="47" fillId="18" borderId="0" xfId="0" applyFont="1" applyFill="1" applyBorder="1" applyAlignment="1">
      <alignment vertical="top"/>
    </xf>
    <xf numFmtId="1" fontId="9" fillId="0" borderId="3" xfId="4" applyNumberFormat="1" applyFont="1" applyBorder="1" applyAlignment="1">
      <alignment horizontal="center"/>
    </xf>
    <xf numFmtId="1" fontId="31" fillId="0" borderId="3" xfId="0" applyNumberFormat="1" applyFont="1" applyBorder="1" applyAlignment="1">
      <alignment horizontal="center" vertical="top"/>
    </xf>
    <xf numFmtId="0" fontId="37" fillId="0" borderId="3" xfId="0" applyFont="1" applyBorder="1" applyAlignment="1">
      <alignment horizontal="center" wrapText="1"/>
    </xf>
    <xf numFmtId="0" fontId="17" fillId="16" borderId="0" xfId="4" applyFont="1" applyFill="1" applyBorder="1" applyAlignment="1">
      <alignment horizontal="left"/>
    </xf>
    <xf numFmtId="172" fontId="9" fillId="18" borderId="0" xfId="0" applyNumberFormat="1" applyFont="1" applyFill="1" applyBorder="1" applyAlignment="1">
      <alignment vertical="top"/>
    </xf>
    <xf numFmtId="0" fontId="9" fillId="0" borderId="0" xfId="0" applyFont="1" applyAlignment="1">
      <alignment vertical="top"/>
    </xf>
    <xf numFmtId="0" fontId="47" fillId="0" borderId="0" xfId="0" applyFont="1" applyAlignment="1">
      <alignment vertical="top"/>
    </xf>
    <xf numFmtId="0" fontId="24" fillId="17" borderId="23" xfId="0" applyFont="1" applyFill="1" applyBorder="1" applyAlignment="1">
      <alignment vertical="top"/>
    </xf>
    <xf numFmtId="172" fontId="24" fillId="17" borderId="23" xfId="0" applyNumberFormat="1" applyFont="1" applyFill="1" applyBorder="1" applyAlignment="1">
      <alignment vertical="top"/>
    </xf>
    <xf numFmtId="0" fontId="24" fillId="17" borderId="23" xfId="0" applyFont="1" applyFill="1" applyBorder="1" applyAlignment="1">
      <alignment vertical="top" wrapText="1"/>
    </xf>
    <xf numFmtId="0" fontId="38" fillId="17" borderId="23" xfId="0" applyFont="1" applyFill="1" applyBorder="1" applyAlignment="1">
      <alignment vertical="top" wrapText="1"/>
    </xf>
    <xf numFmtId="172" fontId="12" fillId="0" borderId="3" xfId="0" applyNumberFormat="1" applyFont="1" applyBorder="1" applyAlignment="1">
      <alignment vertical="top"/>
    </xf>
    <xf numFmtId="10" fontId="36" fillId="0" borderId="3" xfId="0" applyNumberFormat="1" applyFont="1" applyBorder="1" applyAlignment="1">
      <alignment vertical="top"/>
    </xf>
    <xf numFmtId="172" fontId="15" fillId="0" borderId="3" xfId="0" applyNumberFormat="1" applyFont="1" applyBorder="1" applyAlignment="1">
      <alignment vertical="top"/>
    </xf>
    <xf numFmtId="0" fontId="38" fillId="28" borderId="0" xfId="0" applyFont="1" applyFill="1" applyBorder="1" applyAlignment="1"/>
    <xf numFmtId="0" fontId="9" fillId="0" borderId="3" xfId="0" applyFont="1" applyBorder="1" applyAlignment="1">
      <alignment vertical="top"/>
    </xf>
    <xf numFmtId="168" fontId="37" fillId="0" borderId="3" xfId="0" applyNumberFormat="1" applyFont="1" applyBorder="1" applyAlignment="1">
      <alignment wrapText="1"/>
    </xf>
    <xf numFmtId="0" fontId="24" fillId="17" borderId="3" xfId="0" applyFont="1" applyFill="1" applyBorder="1" applyAlignment="1">
      <alignment vertical="top"/>
    </xf>
    <xf numFmtId="172" fontId="24" fillId="17" borderId="3" xfId="0" applyNumberFormat="1" applyFont="1" applyFill="1" applyBorder="1" applyAlignment="1">
      <alignment vertical="top"/>
    </xf>
    <xf numFmtId="0" fontId="38" fillId="27" borderId="3" xfId="0" applyFont="1" applyFill="1" applyBorder="1" applyAlignment="1"/>
    <xf numFmtId="0" fontId="38" fillId="0" borderId="3" xfId="0" applyFont="1" applyBorder="1" applyAlignment="1">
      <alignment vertical="top"/>
    </xf>
    <xf numFmtId="0" fontId="33" fillId="0" borderId="3" xfId="0" applyFont="1" applyBorder="1"/>
    <xf numFmtId="0" fontId="48" fillId="10" borderId="13" xfId="0" applyFont="1" applyFill="1" applyBorder="1" applyAlignment="1">
      <alignment horizontal="left"/>
    </xf>
    <xf numFmtId="0" fontId="48" fillId="10" borderId="13" xfId="0" applyFont="1" applyFill="1" applyBorder="1" applyAlignment="1">
      <alignment horizontal="center"/>
    </xf>
    <xf numFmtId="0" fontId="50" fillId="11" borderId="0" xfId="8" applyFont="1" applyFill="1" applyAlignment="1">
      <alignment vertical="top"/>
    </xf>
    <xf numFmtId="0" fontId="40" fillId="0" borderId="0" xfId="8" applyFont="1" applyAlignment="1">
      <alignment vertical="top"/>
    </xf>
    <xf numFmtId="0" fontId="40" fillId="0" borderId="20" xfId="0" applyFont="1" applyBorder="1" applyAlignment="1">
      <alignment horizontal="justify" vertical="top" wrapText="1"/>
    </xf>
    <xf numFmtId="0" fontId="40" fillId="0" borderId="11" xfId="0" applyFont="1" applyBorder="1" applyAlignment="1">
      <alignment horizontal="justify" vertical="top" wrapText="1"/>
    </xf>
    <xf numFmtId="0" fontId="51" fillId="0" borderId="0" xfId="8" applyFont="1" applyAlignment="1">
      <alignment vertical="top"/>
    </xf>
    <xf numFmtId="0" fontId="40" fillId="0" borderId="22" xfId="8" applyFont="1" applyBorder="1" applyAlignment="1">
      <alignment vertical="top"/>
    </xf>
    <xf numFmtId="0" fontId="40" fillId="0" borderId="3" xfId="8" applyFont="1" applyBorder="1" applyAlignment="1">
      <alignment vertical="top"/>
    </xf>
    <xf numFmtId="0" fontId="40" fillId="0" borderId="3" xfId="8" applyFont="1" applyBorder="1" applyAlignment="1">
      <alignment vertical="top" wrapText="1"/>
    </xf>
    <xf numFmtId="0" fontId="49" fillId="0" borderId="22" xfId="8" applyFont="1" applyBorder="1" applyAlignment="1">
      <alignment vertical="top"/>
    </xf>
    <xf numFmtId="0" fontId="50" fillId="0" borderId="3" xfId="8" applyFont="1" applyBorder="1" applyAlignment="1">
      <alignment vertical="top"/>
    </xf>
    <xf numFmtId="0" fontId="52" fillId="0" borderId="3" xfId="8" applyFont="1" applyBorder="1" applyAlignment="1">
      <alignment vertical="top"/>
    </xf>
    <xf numFmtId="0" fontId="49" fillId="0" borderId="22" xfId="8" applyFont="1" applyBorder="1" applyAlignment="1">
      <alignment vertical="top" wrapText="1"/>
    </xf>
    <xf numFmtId="0" fontId="10" fillId="0" borderId="0" xfId="0" applyFont="1" applyAlignment="1">
      <alignment vertical="center" wrapText="1"/>
    </xf>
    <xf numFmtId="0" fontId="49" fillId="0" borderId="3" xfId="8" applyFont="1" applyBorder="1" applyAlignment="1">
      <alignment vertical="top"/>
    </xf>
    <xf numFmtId="0" fontId="51" fillId="0" borderId="0" xfId="0" applyFont="1" applyAlignment="1">
      <alignment vertical="top"/>
    </xf>
    <xf numFmtId="0" fontId="40" fillId="0" borderId="0" xfId="0" applyFont="1" applyAlignment="1">
      <alignment vertical="top"/>
    </xf>
    <xf numFmtId="0" fontId="40" fillId="0" borderId="22" xfId="0" applyFont="1" applyBorder="1" applyAlignment="1">
      <alignment vertical="top"/>
    </xf>
    <xf numFmtId="0" fontId="40" fillId="0" borderId="3" xfId="0" applyFont="1" applyBorder="1" applyAlignment="1">
      <alignment vertical="top"/>
    </xf>
    <xf numFmtId="0" fontId="40" fillId="0" borderId="3" xfId="0" applyFont="1" applyBorder="1" applyAlignment="1">
      <alignment horizontal="right" vertical="top"/>
    </xf>
    <xf numFmtId="0" fontId="49" fillId="0" borderId="22" xfId="0" applyFont="1" applyBorder="1" applyAlignment="1">
      <alignment vertical="top"/>
    </xf>
    <xf numFmtId="0" fontId="49" fillId="0" borderId="3" xfId="0" applyFont="1" applyBorder="1" applyAlignment="1">
      <alignment vertical="top"/>
    </xf>
    <xf numFmtId="0" fontId="49" fillId="13" borderId="22" xfId="0" applyFont="1" applyFill="1" applyBorder="1" applyAlignment="1">
      <alignment vertical="top"/>
    </xf>
    <xf numFmtId="10" fontId="40" fillId="13" borderId="3" xfId="0" applyNumberFormat="1" applyFont="1" applyFill="1" applyBorder="1" applyAlignment="1">
      <alignment vertical="top"/>
    </xf>
    <xf numFmtId="0" fontId="53" fillId="0" borderId="0" xfId="0" applyFont="1" applyAlignment="1">
      <alignment vertical="top"/>
    </xf>
    <xf numFmtId="0" fontId="38" fillId="0" borderId="0" xfId="0" applyFont="1" applyAlignment="1">
      <alignment vertical="top"/>
    </xf>
    <xf numFmtId="0" fontId="37" fillId="0" borderId="3" xfId="0" applyFont="1" applyBorder="1" applyAlignment="1">
      <alignment vertical="top"/>
    </xf>
    <xf numFmtId="0" fontId="37" fillId="13" borderId="3" xfId="0" applyFont="1" applyFill="1" applyBorder="1" applyAlignment="1">
      <alignment vertical="top"/>
    </xf>
    <xf numFmtId="10" fontId="38" fillId="13" borderId="3" xfId="0" applyNumberFormat="1" applyFont="1" applyFill="1" applyBorder="1" applyAlignment="1">
      <alignment vertical="top"/>
    </xf>
    <xf numFmtId="0" fontId="18" fillId="7" borderId="3" xfId="4" applyFont="1" applyFill="1" applyBorder="1" applyAlignment="1">
      <alignment horizontal="left"/>
    </xf>
    <xf numFmtId="0" fontId="18" fillId="7" borderId="5" xfId="4" applyFont="1" applyFill="1" applyBorder="1" applyAlignment="1">
      <alignment horizontal="left"/>
    </xf>
    <xf numFmtId="0" fontId="15" fillId="0" borderId="3" xfId="4" applyFont="1" applyBorder="1" applyAlignment="1">
      <alignment horizontal="left"/>
    </xf>
    <xf numFmtId="10" fontId="9" fillId="0" borderId="3" xfId="0" applyNumberFormat="1" applyFont="1" applyBorder="1" applyAlignment="1"/>
    <xf numFmtId="0" fontId="9" fillId="16" borderId="3" xfId="4" applyFont="1" applyFill="1" applyBorder="1" applyAlignment="1">
      <alignment horizontal="center"/>
    </xf>
    <xf numFmtId="0" fontId="12" fillId="16" borderId="3" xfId="4" applyFont="1" applyFill="1" applyBorder="1" applyAlignment="1">
      <alignment horizontal="left"/>
    </xf>
    <xf numFmtId="0" fontId="12" fillId="16" borderId="3" xfId="4" applyFont="1" applyFill="1" applyBorder="1" applyAlignment="1">
      <alignment horizontal="right"/>
    </xf>
    <xf numFmtId="0" fontId="12" fillId="16" borderId="3" xfId="1" applyFont="1" applyFill="1" applyBorder="1"/>
    <xf numFmtId="9" fontId="12" fillId="16" borderId="3" xfId="1" applyNumberFormat="1" applyFont="1" applyFill="1" applyBorder="1"/>
    <xf numFmtId="9" fontId="12" fillId="16" borderId="3" xfId="4" applyNumberFormat="1" applyFont="1" applyFill="1" applyBorder="1" applyAlignment="1">
      <alignment horizontal="right"/>
    </xf>
    <xf numFmtId="0" fontId="24" fillId="7" borderId="5" xfId="4" applyFont="1" applyFill="1" applyBorder="1" applyAlignment="1">
      <alignment horizontal="center"/>
    </xf>
    <xf numFmtId="0" fontId="10" fillId="0" borderId="4" xfId="0" applyFont="1" applyBorder="1"/>
    <xf numFmtId="0" fontId="37" fillId="0" borderId="4" xfId="0" applyFont="1" applyBorder="1" applyAlignment="1">
      <alignment horizontal="center" wrapText="1"/>
    </xf>
    <xf numFmtId="0" fontId="37" fillId="0" borderId="4" xfId="0" applyFont="1" applyBorder="1" applyAlignment="1"/>
    <xf numFmtId="10" fontId="31" fillId="0" borderId="3" xfId="0" applyNumberFormat="1" applyFont="1" applyBorder="1" applyAlignment="1">
      <alignment vertical="top"/>
    </xf>
    <xf numFmtId="2" fontId="37" fillId="18" borderId="3" xfId="0" applyNumberFormat="1" applyFont="1" applyFill="1" applyBorder="1" applyAlignment="1">
      <alignment vertical="top"/>
    </xf>
    <xf numFmtId="0" fontId="54" fillId="0" borderId="3" xfId="0" applyFont="1" applyBorder="1" applyAlignment="1"/>
    <xf numFmtId="172" fontId="31" fillId="18" borderId="3" xfId="0" applyNumberFormat="1" applyFont="1" applyFill="1" applyBorder="1" applyAlignment="1">
      <alignment wrapText="1"/>
    </xf>
    <xf numFmtId="0" fontId="12" fillId="18" borderId="3" xfId="0" applyFont="1" applyFill="1" applyBorder="1" applyAlignment="1">
      <alignment vertical="top"/>
    </xf>
    <xf numFmtId="172" fontId="55" fillId="18" borderId="3" xfId="0" applyNumberFormat="1" applyFont="1" applyFill="1" applyBorder="1" applyAlignment="1">
      <alignment wrapText="1"/>
    </xf>
    <xf numFmtId="172" fontId="31" fillId="18" borderId="3" xfId="0" applyNumberFormat="1" applyFont="1" applyFill="1" applyBorder="1" applyAlignment="1">
      <alignment vertical="top"/>
    </xf>
    <xf numFmtId="172" fontId="12" fillId="18" borderId="3" xfId="0" applyNumberFormat="1" applyFont="1" applyFill="1" applyBorder="1" applyAlignment="1">
      <alignment vertical="top"/>
    </xf>
    <xf numFmtId="9" fontId="31" fillId="18" borderId="3" xfId="0" applyNumberFormat="1" applyFont="1" applyFill="1" applyBorder="1" applyAlignment="1">
      <alignment vertical="top"/>
    </xf>
    <xf numFmtId="10" fontId="12" fillId="0" borderId="3" xfId="0" applyNumberFormat="1" applyFont="1" applyBorder="1" applyAlignment="1">
      <alignment vertical="top"/>
    </xf>
    <xf numFmtId="168" fontId="31" fillId="0" borderId="3" xfId="0" applyNumberFormat="1" applyFont="1" applyBorder="1" applyAlignment="1">
      <alignment wrapText="1"/>
    </xf>
    <xf numFmtId="2" fontId="31" fillId="0" borderId="3" xfId="0" applyNumberFormat="1" applyFont="1" applyBorder="1" applyAlignment="1">
      <alignment vertical="top"/>
    </xf>
    <xf numFmtId="0" fontId="15" fillId="21" borderId="3" xfId="0" applyFont="1" applyFill="1" applyBorder="1" applyAlignment="1">
      <alignment vertical="top"/>
    </xf>
    <xf numFmtId="0" fontId="36" fillId="18" borderId="3" xfId="0" applyFont="1" applyFill="1" applyBorder="1" applyAlignment="1"/>
    <xf numFmtId="168" fontId="12" fillId="0" borderId="3" xfId="0" applyNumberFormat="1" applyFont="1" applyBorder="1" applyAlignment="1"/>
    <xf numFmtId="2" fontId="12" fillId="0" borderId="3" xfId="0" applyNumberFormat="1" applyFont="1" applyBorder="1" applyAlignment="1">
      <alignment vertical="top"/>
    </xf>
    <xf numFmtId="9" fontId="12" fillId="16" borderId="3" xfId="0" applyNumberFormat="1" applyFont="1" applyFill="1" applyBorder="1" applyAlignment="1">
      <alignment vertical="top"/>
    </xf>
    <xf numFmtId="0" fontId="12" fillId="16" borderId="3" xfId="0" applyFont="1" applyFill="1" applyBorder="1" applyAlignment="1">
      <alignment vertical="top"/>
    </xf>
    <xf numFmtId="0" fontId="15" fillId="6" borderId="3" xfId="4" applyFont="1" applyFill="1" applyBorder="1" applyAlignment="1">
      <alignment horizontal="center" vertical="top" wrapText="1"/>
    </xf>
    <xf numFmtId="0" fontId="12" fillId="6" borderId="3" xfId="4" applyFont="1" applyFill="1" applyBorder="1"/>
    <xf numFmtId="0" fontId="12" fillId="6" borderId="3" xfId="4" applyFont="1" applyFill="1" applyBorder="1" applyAlignment="1">
      <alignment horizontal="center"/>
    </xf>
    <xf numFmtId="0" fontId="12" fillId="6" borderId="3" xfId="4" applyFont="1" applyFill="1" applyBorder="1" applyAlignment="1">
      <alignment horizontal="center" wrapText="1"/>
    </xf>
    <xf numFmtId="0" fontId="12" fillId="0" borderId="3" xfId="0" applyFont="1" applyBorder="1" applyAlignment="1">
      <alignment wrapText="1"/>
    </xf>
    <xf numFmtId="0" fontId="10" fillId="0" borderId="0" xfId="0" applyFont="1" applyAlignment="1">
      <alignment vertical="top"/>
    </xf>
    <xf numFmtId="1" fontId="9" fillId="0" borderId="3" xfId="0" applyNumberFormat="1" applyFont="1" applyBorder="1" applyAlignment="1"/>
    <xf numFmtId="10" fontId="9" fillId="0" borderId="3" xfId="0" applyNumberFormat="1" applyFont="1" applyBorder="1" applyAlignment="1">
      <alignment vertical="top"/>
    </xf>
    <xf numFmtId="0" fontId="12" fillId="0" borderId="3" xfId="4" applyFont="1" applyBorder="1" applyAlignment="1">
      <alignment horizontal="left" wrapText="1"/>
    </xf>
    <xf numFmtId="167" fontId="10" fillId="0" borderId="0" xfId="0" applyNumberFormat="1" applyFont="1"/>
    <xf numFmtId="0" fontId="56" fillId="0" borderId="3" xfId="0" applyFont="1" applyBorder="1" applyAlignment="1">
      <alignment vertical="top"/>
    </xf>
    <xf numFmtId="0" fontId="45" fillId="2" borderId="4" xfId="4" applyFont="1" applyFill="1" applyBorder="1" applyAlignment="1">
      <alignment horizontal="left" vertical="top" wrapText="1"/>
    </xf>
    <xf numFmtId="1" fontId="15" fillId="0" borderId="3" xfId="4" applyNumberFormat="1" applyFont="1" applyFill="1" applyBorder="1" applyAlignment="1">
      <alignment horizontal="right"/>
    </xf>
    <xf numFmtId="10" fontId="15" fillId="16" borderId="3" xfId="4" applyNumberFormat="1" applyFont="1" applyFill="1" applyBorder="1" applyAlignment="1">
      <alignment horizontal="center" vertical="top" wrapText="1"/>
    </xf>
    <xf numFmtId="173" fontId="12" fillId="16" borderId="3" xfId="4" applyNumberFormat="1" applyFont="1" applyFill="1" applyBorder="1" applyAlignment="1">
      <alignment horizontal="right" vertical="top" wrapText="1"/>
    </xf>
    <xf numFmtId="0" fontId="12" fillId="16" borderId="3" xfId="4" applyFont="1" applyFill="1" applyBorder="1" applyAlignment="1">
      <alignment horizontal="right" vertical="top" wrapText="1"/>
    </xf>
    <xf numFmtId="0" fontId="9" fillId="6" borderId="3" xfId="4" applyFont="1" applyFill="1" applyBorder="1" applyAlignment="1">
      <alignment horizontal="center" vertical="top" wrapText="1"/>
    </xf>
    <xf numFmtId="0" fontId="9" fillId="16" borderId="3" xfId="4" applyFont="1" applyFill="1" applyBorder="1" applyAlignment="1">
      <alignment horizontal="left" vertical="top" wrapText="1"/>
    </xf>
    <xf numFmtId="168" fontId="15" fillId="16" borderId="3" xfId="0" applyNumberFormat="1" applyFont="1" applyFill="1" applyBorder="1" applyAlignment="1">
      <alignment vertical="top"/>
    </xf>
    <xf numFmtId="172" fontId="37" fillId="0" borderId="3" xfId="0" applyNumberFormat="1" applyFont="1" applyBorder="1" applyAlignment="1">
      <alignment wrapText="1"/>
    </xf>
    <xf numFmtId="2" fontId="37" fillId="0" borderId="3" xfId="0" applyNumberFormat="1" applyFont="1" applyBorder="1" applyAlignment="1">
      <alignment vertical="top"/>
    </xf>
    <xf numFmtId="164" fontId="10" fillId="0" borderId="0" xfId="10" applyFont="1"/>
    <xf numFmtId="164" fontId="10" fillId="0" borderId="0" xfId="0" applyNumberFormat="1" applyFont="1"/>
    <xf numFmtId="0" fontId="9" fillId="0" borderId="0" xfId="1" applyFont="1" applyAlignment="1">
      <alignment horizontal="center"/>
    </xf>
    <xf numFmtId="0" fontId="9" fillId="3" borderId="0" xfId="1" applyFont="1" applyFill="1" applyAlignment="1">
      <alignment horizontal="center"/>
    </xf>
    <xf numFmtId="0" fontId="9" fillId="3" borderId="0" xfId="4" applyFont="1" applyFill="1" applyAlignment="1">
      <alignment horizontal="center"/>
    </xf>
    <xf numFmtId="0" fontId="18" fillId="7" borderId="1" xfId="4" applyFont="1" applyFill="1" applyBorder="1" applyAlignment="1">
      <alignment horizontal="center"/>
    </xf>
    <xf numFmtId="0" fontId="45" fillId="2" borderId="3" xfId="4" applyFont="1" applyFill="1" applyBorder="1" applyAlignment="1">
      <alignment horizontal="center" vertical="top"/>
    </xf>
    <xf numFmtId="0" fontId="45" fillId="2" borderId="4" xfId="4" applyFont="1" applyFill="1" applyBorder="1" applyAlignment="1">
      <alignment horizontal="center" vertical="top"/>
    </xf>
    <xf numFmtId="0" fontId="10" fillId="19" borderId="3" xfId="0" applyFont="1" applyFill="1" applyBorder="1" applyAlignment="1">
      <alignment horizontal="center"/>
    </xf>
    <xf numFmtId="0" fontId="10" fillId="0" borderId="0" xfId="0" applyFont="1" applyAlignment="1">
      <alignment horizontal="center"/>
    </xf>
    <xf numFmtId="0" fontId="40" fillId="18" borderId="0" xfId="0" applyFont="1" applyFill="1" applyBorder="1" applyAlignment="1">
      <alignment horizontal="center" vertical="top"/>
    </xf>
    <xf numFmtId="168" fontId="37" fillId="12" borderId="0" xfId="0" applyNumberFormat="1" applyFont="1" applyFill="1" applyBorder="1" applyAlignment="1">
      <alignment horizontal="center" wrapText="1"/>
    </xf>
    <xf numFmtId="0" fontId="38" fillId="18" borderId="0" xfId="0" applyFont="1" applyFill="1" applyBorder="1" applyAlignment="1">
      <alignment horizontal="center" vertical="top"/>
    </xf>
    <xf numFmtId="0" fontId="24" fillId="17" borderId="23" xfId="0" applyFont="1" applyFill="1" applyBorder="1" applyAlignment="1">
      <alignment horizontal="center" vertical="top"/>
    </xf>
    <xf numFmtId="0" fontId="38" fillId="27" borderId="3" xfId="0" applyFont="1" applyFill="1" applyBorder="1" applyAlignment="1">
      <alignment horizontal="center"/>
    </xf>
    <xf numFmtId="0" fontId="31" fillId="0" borderId="3" xfId="0" applyFont="1" applyBorder="1" applyAlignment="1">
      <alignment horizontal="center"/>
    </xf>
    <xf numFmtId="0" fontId="10" fillId="0" borderId="4" xfId="0" applyFont="1" applyBorder="1" applyAlignment="1">
      <alignment horizontal="center"/>
    </xf>
    <xf numFmtId="0" fontId="24" fillId="17" borderId="3" xfId="0" applyFont="1" applyFill="1" applyBorder="1" applyAlignment="1">
      <alignment horizontal="center" vertical="top"/>
    </xf>
    <xf numFmtId="0" fontId="9" fillId="18" borderId="3" xfId="0" applyFont="1" applyFill="1" applyBorder="1" applyAlignment="1">
      <alignment horizontal="center" vertical="top"/>
    </xf>
    <xf numFmtId="172" fontId="31" fillId="18" borderId="3" xfId="0" applyNumberFormat="1" applyFont="1" applyFill="1" applyBorder="1" applyAlignment="1">
      <alignment horizontal="center" wrapText="1"/>
    </xf>
    <xf numFmtId="0" fontId="30" fillId="2" borderId="3" xfId="4" applyFont="1" applyFill="1" applyBorder="1" applyAlignment="1">
      <alignment horizontal="center" vertical="top"/>
    </xf>
    <xf numFmtId="0" fontId="12" fillId="0" borderId="3" xfId="4" applyFont="1" applyBorder="1" applyAlignment="1">
      <alignment horizontal="center"/>
    </xf>
    <xf numFmtId="0" fontId="12" fillId="16" borderId="3" xfId="4" applyFont="1" applyFill="1" applyBorder="1" applyAlignment="1">
      <alignment horizontal="center"/>
    </xf>
    <xf numFmtId="0" fontId="9" fillId="18" borderId="0" xfId="0" applyFont="1" applyFill="1" applyBorder="1" applyAlignment="1">
      <alignment horizontal="center" vertical="top"/>
    </xf>
    <xf numFmtId="0" fontId="9" fillId="16" borderId="3" xfId="4" applyFont="1" applyFill="1" applyBorder="1" applyAlignment="1">
      <alignment horizontal="center" vertical="top" wrapText="1"/>
    </xf>
    <xf numFmtId="0" fontId="18" fillId="7" borderId="3" xfId="4" applyFont="1" applyFill="1" applyBorder="1" applyAlignment="1">
      <alignment horizontal="left"/>
    </xf>
    <xf numFmtId="0" fontId="18" fillId="7" borderId="1" xfId="4" applyFont="1" applyFill="1" applyBorder="1" applyAlignment="1">
      <alignment horizontal="center"/>
    </xf>
    <xf numFmtId="174" fontId="10" fillId="0" borderId="0" xfId="0" applyNumberFormat="1" applyFont="1"/>
    <xf numFmtId="0" fontId="37" fillId="0" borderId="3" xfId="0" applyFont="1" applyBorder="1" applyAlignment="1">
      <alignment vertical="top" wrapText="1"/>
    </xf>
    <xf numFmtId="175" fontId="10" fillId="0" borderId="0" xfId="10" applyNumberFormat="1" applyFont="1"/>
    <xf numFmtId="175" fontId="34" fillId="0" borderId="0" xfId="0" applyNumberFormat="1" applyFont="1"/>
    <xf numFmtId="175" fontId="34" fillId="0" borderId="0" xfId="10" applyNumberFormat="1" applyFont="1"/>
    <xf numFmtId="0" fontId="24" fillId="7" borderId="3" xfId="4" applyFont="1" applyFill="1" applyBorder="1" applyAlignment="1">
      <alignment horizontal="center"/>
    </xf>
    <xf numFmtId="176" fontId="10" fillId="0" borderId="0" xfId="0" applyNumberFormat="1" applyFont="1"/>
    <xf numFmtId="177" fontId="7" fillId="0" borderId="0" xfId="4" applyNumberFormat="1" applyFont="1" applyAlignment="1">
      <alignment horizontal="right" wrapText="1"/>
    </xf>
    <xf numFmtId="177" fontId="7" fillId="0" borderId="0" xfId="4" applyNumberFormat="1" applyFont="1" applyAlignment="1">
      <alignment horizontal="right"/>
    </xf>
    <xf numFmtId="166" fontId="7" fillId="0" borderId="0" xfId="9" applyNumberFormat="1" applyFont="1" applyAlignment="1">
      <alignment horizontal="right"/>
    </xf>
    <xf numFmtId="0" fontId="34" fillId="0" borderId="0" xfId="0" applyFont="1"/>
    <xf numFmtId="9" fontId="10" fillId="0" borderId="0" xfId="9" applyFont="1"/>
    <xf numFmtId="0" fontId="58" fillId="0" borderId="0" xfId="0" applyFont="1"/>
    <xf numFmtId="0" fontId="59" fillId="10" borderId="0" xfId="0" applyFont="1" applyFill="1"/>
    <xf numFmtId="0" fontId="60" fillId="16" borderId="0" xfId="0" applyFont="1" applyFill="1"/>
    <xf numFmtId="0" fontId="40" fillId="0" borderId="25" xfId="0" applyFont="1" applyBorder="1" applyAlignment="1">
      <alignment horizontal="justify" vertical="top" wrapText="1"/>
    </xf>
    <xf numFmtId="0" fontId="40" fillId="0" borderId="16" xfId="0" applyFont="1" applyBorder="1" applyAlignment="1">
      <alignment horizontal="justify" vertical="top" wrapText="1"/>
    </xf>
    <xf numFmtId="0" fontId="49" fillId="0" borderId="3" xfId="0" applyFont="1" applyBorder="1" applyAlignment="1">
      <alignment horizontal="center" vertical="top" wrapText="1"/>
    </xf>
    <xf numFmtId="0" fontId="34" fillId="0" borderId="3" xfId="0" applyFont="1" applyBorder="1" applyAlignment="1">
      <alignment wrapText="1"/>
    </xf>
    <xf numFmtId="0" fontId="10" fillId="0" borderId="0" xfId="0" applyFont="1" applyBorder="1"/>
    <xf numFmtId="0" fontId="35" fillId="0" borderId="3" xfId="0" applyFont="1" applyBorder="1" applyAlignment="1">
      <alignment horizontal="center" wrapText="1"/>
    </xf>
    <xf numFmtId="9" fontId="34" fillId="0" borderId="3" xfId="0" applyNumberFormat="1" applyFont="1" applyBorder="1"/>
    <xf numFmtId="1" fontId="9" fillId="24" borderId="3" xfId="0" applyNumberFormat="1" applyFont="1" applyFill="1" applyBorder="1" applyAlignment="1">
      <alignment wrapText="1"/>
    </xf>
    <xf numFmtId="166" fontId="9" fillId="0" borderId="3" xfId="0" applyNumberFormat="1" applyFont="1" applyBorder="1" applyAlignment="1"/>
    <xf numFmtId="0" fontId="9" fillId="0" borderId="3" xfId="0" applyFont="1" applyBorder="1" applyAlignment="1"/>
    <xf numFmtId="0" fontId="9" fillId="25" borderId="3" xfId="0" applyFont="1" applyFill="1" applyBorder="1" applyAlignment="1">
      <alignment vertical="top" wrapText="1"/>
    </xf>
    <xf numFmtId="0" fontId="9" fillId="26" borderId="3" xfId="0" applyFont="1" applyFill="1" applyBorder="1" applyAlignment="1">
      <alignment vertical="top" wrapText="1"/>
    </xf>
    <xf numFmtId="0" fontId="24" fillId="10" borderId="3" xfId="8" applyFont="1" applyFill="1" applyBorder="1" applyAlignment="1">
      <alignment vertical="top" wrapText="1"/>
    </xf>
    <xf numFmtId="1" fontId="9" fillId="10" borderId="3" xfId="8" applyNumberFormat="1" applyFont="1" applyFill="1" applyBorder="1" applyAlignment="1">
      <alignment vertical="top" wrapText="1"/>
    </xf>
    <xf numFmtId="0" fontId="9" fillId="10" borderId="3" xfId="8" applyFont="1" applyFill="1" applyBorder="1" applyAlignment="1">
      <alignment vertical="top" wrapText="1"/>
    </xf>
    <xf numFmtId="0" fontId="24" fillId="0" borderId="0" xfId="8" applyFont="1" applyAlignment="1">
      <alignment wrapText="1"/>
    </xf>
    <xf numFmtId="0" fontId="9" fillId="0" borderId="0" xfId="8" applyFont="1" applyAlignment="1">
      <alignment wrapText="1"/>
    </xf>
    <xf numFmtId="0" fontId="9" fillId="0" borderId="0" xfId="0" applyFont="1"/>
    <xf numFmtId="0" fontId="9" fillId="0" borderId="3" xfId="8" applyFont="1" applyBorder="1" applyAlignment="1">
      <alignment vertical="top" wrapText="1"/>
    </xf>
    <xf numFmtId="0" fontId="9" fillId="0" borderId="3" xfId="8" applyFont="1" applyBorder="1" applyAlignment="1">
      <alignment horizontal="right" vertical="top" wrapText="1"/>
    </xf>
    <xf numFmtId="1" fontId="9" fillId="0" borderId="3" xfId="8" applyNumberFormat="1" applyFont="1" applyBorder="1" applyAlignment="1">
      <alignment vertical="top" wrapText="1"/>
    </xf>
    <xf numFmtId="1" fontId="9" fillId="0" borderId="3" xfId="8" applyNumberFormat="1" applyFont="1" applyFill="1" applyBorder="1" applyAlignment="1">
      <alignment vertical="top" wrapText="1"/>
    </xf>
    <xf numFmtId="1" fontId="9" fillId="0" borderId="0" xfId="8" applyNumberFormat="1" applyFont="1" applyAlignment="1">
      <alignment wrapText="1"/>
    </xf>
    <xf numFmtId="2" fontId="9" fillId="0" borderId="0" xfId="8" applyNumberFormat="1" applyFont="1" applyAlignment="1">
      <alignment wrapText="1"/>
    </xf>
    <xf numFmtId="0" fontId="9" fillId="29" borderId="3" xfId="8" applyFont="1" applyFill="1" applyBorder="1" applyAlignment="1">
      <alignment vertical="top" wrapText="1"/>
    </xf>
    <xf numFmtId="0" fontId="9" fillId="12" borderId="3" xfId="8" applyFont="1" applyFill="1" applyBorder="1" applyAlignment="1">
      <alignment vertical="top" wrapText="1"/>
    </xf>
    <xf numFmtId="1" fontId="9" fillId="12" borderId="3" xfId="8" applyNumberFormat="1" applyFont="1" applyFill="1" applyBorder="1" applyAlignment="1">
      <alignment vertical="top" wrapText="1"/>
    </xf>
    <xf numFmtId="0" fontId="24" fillId="0" borderId="3" xfId="8" applyFont="1" applyBorder="1" applyAlignment="1">
      <alignment vertical="top" wrapText="1"/>
    </xf>
    <xf numFmtId="1" fontId="24" fillId="0" borderId="3" xfId="8" applyNumberFormat="1" applyFont="1" applyBorder="1" applyAlignment="1">
      <alignment vertical="top" wrapText="1"/>
    </xf>
    <xf numFmtId="10" fontId="24" fillId="15" borderId="3" xfId="8" applyNumberFormat="1" applyFont="1" applyFill="1" applyBorder="1" applyAlignment="1">
      <alignment vertical="top" wrapText="1"/>
    </xf>
    <xf numFmtId="10" fontId="24" fillId="13" borderId="3" xfId="0" applyNumberFormat="1" applyFont="1" applyFill="1" applyBorder="1" applyAlignment="1">
      <alignment wrapText="1"/>
    </xf>
    <xf numFmtId="0" fontId="9" fillId="14" borderId="3" xfId="8" applyFont="1" applyFill="1" applyBorder="1" applyAlignment="1">
      <alignment horizontal="center" vertical="top" wrapText="1"/>
    </xf>
    <xf numFmtId="10" fontId="24" fillId="0" borderId="3" xfId="8" applyNumberFormat="1" applyFont="1" applyBorder="1" applyAlignment="1">
      <alignment vertical="top" wrapText="1"/>
    </xf>
    <xf numFmtId="0" fontId="9" fillId="14" borderId="3" xfId="8" applyFont="1" applyFill="1" applyBorder="1" applyAlignment="1">
      <alignment horizontal="center" wrapText="1"/>
    </xf>
    <xf numFmtId="0" fontId="9" fillId="12" borderId="3" xfId="8" applyFont="1" applyFill="1" applyBorder="1" applyAlignment="1">
      <alignment vertical="top"/>
    </xf>
    <xf numFmtId="0" fontId="9" fillId="0" borderId="0" xfId="8" applyFont="1" applyAlignment="1">
      <alignment vertical="top" wrapText="1"/>
    </xf>
    <xf numFmtId="0" fontId="9" fillId="0" borderId="3" xfId="8" applyFont="1" applyBorder="1" applyAlignment="1"/>
    <xf numFmtId="1" fontId="24" fillId="0" borderId="3" xfId="8" applyNumberFormat="1" applyFont="1" applyBorder="1" applyAlignment="1"/>
    <xf numFmtId="10" fontId="24" fillId="0" borderId="3" xfId="8" applyNumberFormat="1" applyFont="1" applyBorder="1" applyAlignment="1">
      <alignment wrapText="1"/>
    </xf>
    <xf numFmtId="0" fontId="9" fillId="12" borderId="3" xfId="8" applyFont="1" applyFill="1" applyBorder="1" applyAlignment="1">
      <alignment wrapText="1"/>
    </xf>
    <xf numFmtId="0" fontId="9" fillId="12" borderId="3" xfId="8" applyFont="1" applyFill="1" applyBorder="1" applyAlignment="1"/>
    <xf numFmtId="1" fontId="24" fillId="0" borderId="3" xfId="8" applyNumberFormat="1" applyFont="1" applyBorder="1" applyAlignment="1">
      <alignment vertical="top"/>
    </xf>
    <xf numFmtId="1" fontId="9" fillId="0" borderId="3" xfId="8" applyNumberFormat="1" applyFont="1" applyBorder="1" applyAlignment="1">
      <alignment vertical="top"/>
    </xf>
    <xf numFmtId="166" fontId="9" fillId="0" borderId="3" xfId="8" applyNumberFormat="1" applyFont="1" applyBorder="1" applyAlignment="1">
      <alignment vertical="top"/>
    </xf>
    <xf numFmtId="0" fontId="9" fillId="0" borderId="3" xfId="0" applyFont="1" applyBorder="1"/>
    <xf numFmtId="0" fontId="9" fillId="30" borderId="3" xfId="8" applyFont="1" applyFill="1" applyBorder="1" applyAlignment="1">
      <alignment horizontal="center" wrapText="1"/>
    </xf>
    <xf numFmtId="0" fontId="24" fillId="0" borderId="3" xfId="8" applyFont="1" applyBorder="1" applyAlignment="1"/>
    <xf numFmtId="1" fontId="9" fillId="0" borderId="3" xfId="8" applyNumberFormat="1" applyFont="1" applyBorder="1" applyAlignment="1"/>
    <xf numFmtId="0" fontId="9" fillId="0" borderId="3" xfId="0" applyFont="1" applyBorder="1" applyAlignment="1">
      <alignment wrapText="1"/>
    </xf>
    <xf numFmtId="166" fontId="9" fillId="0" borderId="3" xfId="0" applyNumberFormat="1" applyFont="1" applyBorder="1" applyAlignment="1">
      <alignment wrapText="1"/>
    </xf>
    <xf numFmtId="1" fontId="9" fillId="0" borderId="3" xfId="0" applyNumberFormat="1" applyFont="1" applyBorder="1" applyAlignment="1">
      <alignment wrapText="1"/>
    </xf>
    <xf numFmtId="1" fontId="24" fillId="0" borderId="3" xfId="0" applyNumberFormat="1" applyFont="1" applyBorder="1" applyAlignment="1">
      <alignment wrapText="1"/>
    </xf>
    <xf numFmtId="10" fontId="24" fillId="0" borderId="3" xfId="0" applyNumberFormat="1" applyFont="1" applyBorder="1" applyAlignment="1">
      <alignment wrapText="1"/>
    </xf>
    <xf numFmtId="166" fontId="24" fillId="13" borderId="3" xfId="0" applyNumberFormat="1" applyFont="1" applyFill="1" applyBorder="1" applyAlignment="1">
      <alignment wrapText="1"/>
    </xf>
    <xf numFmtId="166" fontId="24" fillId="0" borderId="3" xfId="0" applyNumberFormat="1" applyFont="1" applyBorder="1" applyAlignment="1">
      <alignment wrapText="1"/>
    </xf>
    <xf numFmtId="0" fontId="9" fillId="14" borderId="3" xfId="0" applyFont="1" applyFill="1" applyBorder="1" applyAlignment="1">
      <alignment horizontal="center" wrapText="1"/>
    </xf>
    <xf numFmtId="0" fontId="24" fillId="0" borderId="3" xfId="0" applyFont="1" applyBorder="1" applyAlignment="1">
      <alignment wrapText="1"/>
    </xf>
    <xf numFmtId="1" fontId="24" fillId="0" borderId="3" xfId="0" applyNumberFormat="1" applyFont="1" applyBorder="1" applyAlignment="1">
      <alignment horizontal="right" wrapText="1"/>
    </xf>
    <xf numFmtId="3" fontId="24" fillId="0" borderId="3" xfId="0" applyNumberFormat="1" applyFont="1" applyBorder="1" applyAlignment="1">
      <alignment horizontal="right" wrapText="1"/>
    </xf>
    <xf numFmtId="166" fontId="24" fillId="13" borderId="3" xfId="0" applyNumberFormat="1" applyFont="1" applyFill="1" applyBorder="1" applyAlignment="1">
      <alignment horizontal="right" wrapText="1"/>
    </xf>
    <xf numFmtId="0" fontId="9" fillId="25" borderId="3" xfId="0" applyFont="1" applyFill="1" applyBorder="1" applyAlignment="1">
      <alignment horizontal="center" wrapText="1"/>
    </xf>
    <xf numFmtId="166" fontId="9" fillId="14" borderId="3" xfId="0" applyNumberFormat="1" applyFont="1" applyFill="1" applyBorder="1" applyAlignment="1">
      <alignment wrapText="1"/>
    </xf>
    <xf numFmtId="1" fontId="24" fillId="0" borderId="3" xfId="0" applyNumberFormat="1" applyFont="1" applyBorder="1" applyAlignment="1"/>
    <xf numFmtId="0" fontId="9" fillId="14" borderId="3" xfId="0" applyFont="1" applyFill="1" applyBorder="1" applyAlignment="1">
      <alignment wrapText="1"/>
    </xf>
    <xf numFmtId="1" fontId="24" fillId="24" borderId="3" xfId="0" applyNumberFormat="1" applyFont="1" applyFill="1" applyBorder="1" applyAlignment="1">
      <alignment wrapText="1"/>
    </xf>
    <xf numFmtId="3" fontId="24" fillId="0" borderId="3" xfId="0" applyNumberFormat="1" applyFont="1" applyBorder="1" applyAlignment="1">
      <alignment wrapText="1"/>
    </xf>
    <xf numFmtId="4" fontId="24" fillId="0" borderId="3" xfId="0" applyNumberFormat="1" applyFont="1" applyBorder="1" applyAlignment="1">
      <alignment wrapText="1"/>
    </xf>
    <xf numFmtId="0" fontId="59" fillId="16" borderId="0" xfId="0" applyFont="1" applyFill="1"/>
    <xf numFmtId="0" fontId="40" fillId="10" borderId="0" xfId="0" applyFont="1" applyFill="1" applyAlignment="1">
      <alignment vertical="center" wrapText="1"/>
    </xf>
    <xf numFmtId="0" fontId="40" fillId="10" borderId="0" xfId="0" applyFont="1" applyFill="1" applyAlignment="1">
      <alignment horizontal="center" vertical="center" wrapText="1"/>
    </xf>
    <xf numFmtId="10" fontId="34" fillId="0" borderId="3" xfId="9" applyNumberFormat="1" applyFont="1" applyBorder="1"/>
    <xf numFmtId="178" fontId="10" fillId="0" borderId="0" xfId="10" applyNumberFormat="1" applyFont="1"/>
    <xf numFmtId="178" fontId="10" fillId="0" borderId="0" xfId="0" applyNumberFormat="1" applyFont="1"/>
    <xf numFmtId="175" fontId="10" fillId="0" borderId="0" xfId="0" applyNumberFormat="1" applyFont="1"/>
    <xf numFmtId="179" fontId="10" fillId="0" borderId="0" xfId="0" applyNumberFormat="1" applyFont="1"/>
    <xf numFmtId="180" fontId="10" fillId="0" borderId="0" xfId="0" applyNumberFormat="1" applyFont="1"/>
    <xf numFmtId="181" fontId="7" fillId="0" borderId="0" xfId="4" applyNumberFormat="1" applyFont="1" applyAlignment="1">
      <alignment horizontal="right"/>
    </xf>
    <xf numFmtId="0" fontId="56" fillId="0" borderId="0" xfId="0" applyFont="1" applyAlignment="1">
      <alignment wrapText="1"/>
    </xf>
    <xf numFmtId="0" fontId="1" fillId="0" borderId="0" xfId="0" applyFont="1" applyAlignment="1">
      <alignment vertical="top"/>
    </xf>
    <xf numFmtId="0" fontId="49" fillId="33" borderId="0" xfId="0" applyFont="1" applyFill="1" applyBorder="1" applyAlignment="1">
      <alignment vertical="top" wrapText="1"/>
    </xf>
    <xf numFmtId="0" fontId="49" fillId="0" borderId="0" xfId="0" applyFont="1" applyAlignment="1">
      <alignment vertical="top" wrapText="1"/>
    </xf>
    <xf numFmtId="0" fontId="1" fillId="0" borderId="0" xfId="0" applyFont="1"/>
    <xf numFmtId="182" fontId="10" fillId="0" borderId="0" xfId="0" applyNumberFormat="1" applyFont="1"/>
    <xf numFmtId="0" fontId="63" fillId="0" borderId="3" xfId="4" applyFont="1" applyFill="1" applyBorder="1" applyAlignment="1">
      <alignment horizontal="right"/>
    </xf>
    <xf numFmtId="1" fontId="63" fillId="0" borderId="3" xfId="4" applyNumberFormat="1" applyFont="1" applyFill="1" applyBorder="1" applyAlignment="1">
      <alignment horizontal="right"/>
    </xf>
    <xf numFmtId="171" fontId="32" fillId="0" borderId="3" xfId="4" applyNumberFormat="1" applyFont="1" applyFill="1" applyBorder="1" applyAlignment="1">
      <alignment horizontal="right"/>
    </xf>
    <xf numFmtId="171" fontId="12" fillId="0" borderId="3" xfId="0" applyNumberFormat="1" applyFont="1" applyBorder="1" applyAlignment="1">
      <alignment vertical="top"/>
    </xf>
    <xf numFmtId="171" fontId="31" fillId="0" borderId="3" xfId="0" applyNumberFormat="1" applyFont="1" applyBorder="1" applyAlignment="1">
      <alignment vertical="top"/>
    </xf>
    <xf numFmtId="171" fontId="15" fillId="0" borderId="3" xfId="0" applyNumberFormat="1" applyFont="1" applyBorder="1" applyAlignment="1">
      <alignment vertical="top"/>
    </xf>
    <xf numFmtId="0" fontId="64" fillId="18" borderId="0" xfId="0" applyFont="1" applyFill="1" applyBorder="1" applyAlignment="1">
      <alignment vertical="top"/>
    </xf>
    <xf numFmtId="171" fontId="65" fillId="18" borderId="0" xfId="0" applyNumberFormat="1" applyFont="1" applyFill="1" applyBorder="1" applyAlignment="1">
      <alignment wrapText="1"/>
    </xf>
    <xf numFmtId="171" fontId="37" fillId="18" borderId="0" xfId="0" applyNumberFormat="1" applyFont="1" applyFill="1" applyBorder="1" applyAlignment="1">
      <alignment vertical="top"/>
    </xf>
    <xf numFmtId="171" fontId="36" fillId="0" borderId="3" xfId="0" applyNumberFormat="1" applyFont="1" applyBorder="1" applyAlignment="1">
      <alignment vertical="top"/>
    </xf>
    <xf numFmtId="171" fontId="9" fillId="18" borderId="0" xfId="0" applyNumberFormat="1" applyFont="1" applyFill="1" applyBorder="1" applyAlignment="1">
      <alignment vertical="top"/>
    </xf>
    <xf numFmtId="183" fontId="63" fillId="0" borderId="3" xfId="4" applyNumberFormat="1" applyFont="1" applyFill="1" applyBorder="1" applyAlignment="1">
      <alignment horizontal="right"/>
    </xf>
    <xf numFmtId="183" fontId="12" fillId="0" borderId="3" xfId="6" applyNumberFormat="1" applyFont="1" applyBorder="1" applyAlignment="1">
      <alignment horizontal="right"/>
    </xf>
    <xf numFmtId="183" fontId="15" fillId="0" borderId="3" xfId="6" applyNumberFormat="1" applyFont="1" applyBorder="1" applyAlignment="1">
      <alignment horizontal="right"/>
    </xf>
    <xf numFmtId="183" fontId="36" fillId="21" borderId="3" xfId="0" applyNumberFormat="1" applyFont="1" applyFill="1" applyBorder="1" applyAlignment="1">
      <alignment vertical="top"/>
    </xf>
    <xf numFmtId="183" fontId="10" fillId="0" borderId="0" xfId="0" applyNumberFormat="1" applyFont="1"/>
    <xf numFmtId="183" fontId="15" fillId="0" borderId="3" xfId="4" applyNumberFormat="1" applyFont="1" applyFill="1" applyBorder="1" applyAlignment="1">
      <alignment horizontal="right"/>
    </xf>
    <xf numFmtId="183" fontId="41" fillId="16" borderId="3" xfId="4" applyNumberFormat="1" applyFont="1" applyFill="1" applyBorder="1" applyAlignment="1">
      <alignment horizontal="center"/>
    </xf>
    <xf numFmtId="183" fontId="23" fillId="0" borderId="3" xfId="0" applyNumberFormat="1" applyFont="1" applyBorder="1"/>
    <xf numFmtId="183" fontId="33" fillId="0" borderId="3" xfId="0" applyNumberFormat="1" applyFont="1" applyBorder="1"/>
    <xf numFmtId="183" fontId="63" fillId="0" borderId="3" xfId="0" applyNumberFormat="1" applyFont="1" applyBorder="1"/>
    <xf numFmtId="183" fontId="34" fillId="0" borderId="3" xfId="0" applyNumberFormat="1" applyFont="1" applyBorder="1"/>
    <xf numFmtId="183" fontId="37" fillId="0" borderId="3" xfId="0" applyNumberFormat="1" applyFont="1" applyBorder="1" applyAlignment="1">
      <alignment wrapText="1"/>
    </xf>
    <xf numFmtId="183" fontId="10" fillId="0" borderId="3" xfId="0" applyNumberFormat="1" applyFont="1" applyBorder="1"/>
    <xf numFmtId="183" fontId="36" fillId="0" borderId="3" xfId="9" applyNumberFormat="1" applyFont="1" applyBorder="1" applyAlignment="1">
      <alignment vertical="top"/>
    </xf>
    <xf numFmtId="183" fontId="31" fillId="0" borderId="3" xfId="0" applyNumberFormat="1" applyFont="1" applyBorder="1" applyAlignment="1">
      <alignment wrapText="1"/>
    </xf>
    <xf numFmtId="183" fontId="31" fillId="0" borderId="3" xfId="0" applyNumberFormat="1" applyFont="1" applyBorder="1" applyAlignment="1">
      <alignment vertical="top"/>
    </xf>
    <xf numFmtId="183" fontId="36" fillId="0" borderId="3" xfId="0" applyNumberFormat="1" applyFont="1" applyBorder="1" applyAlignment="1">
      <alignment vertical="top"/>
    </xf>
    <xf numFmtId="183" fontId="36" fillId="0" borderId="3" xfId="0" applyNumberFormat="1" applyFont="1" applyBorder="1" applyAlignment="1">
      <alignment wrapText="1"/>
    </xf>
    <xf numFmtId="10" fontId="36" fillId="22" borderId="3" xfId="0" applyNumberFormat="1" applyFont="1" applyFill="1" applyBorder="1" applyAlignment="1">
      <alignment vertical="top"/>
    </xf>
    <xf numFmtId="10" fontId="9" fillId="18" borderId="0" xfId="0" applyNumberFormat="1" applyFont="1" applyFill="1" applyBorder="1" applyAlignment="1">
      <alignment vertical="top"/>
    </xf>
    <xf numFmtId="183" fontId="63" fillId="0" borderId="3" xfId="4" quotePrefix="1" applyNumberFormat="1" applyFont="1" applyFill="1" applyBorder="1" applyAlignment="1">
      <alignment horizontal="right"/>
    </xf>
    <xf numFmtId="2" fontId="64" fillId="10" borderId="0" xfId="4" applyNumberFormat="1" applyFont="1" applyFill="1" applyBorder="1" applyAlignment="1">
      <alignment horizontal="center"/>
    </xf>
    <xf numFmtId="0" fontId="18" fillId="7" borderId="5" xfId="4" applyFont="1" applyFill="1" applyBorder="1" applyAlignment="1">
      <alignment horizontal="left"/>
    </xf>
    <xf numFmtId="2" fontId="7" fillId="0" borderId="0" xfId="9" applyNumberFormat="1" applyFont="1" applyAlignment="1">
      <alignment horizontal="right"/>
    </xf>
    <xf numFmtId="167" fontId="32" fillId="0" borderId="3" xfId="4" applyNumberFormat="1" applyFont="1" applyBorder="1" applyAlignment="1">
      <alignment horizontal="right"/>
    </xf>
    <xf numFmtId="171" fontId="7" fillId="0" borderId="0" xfId="4" applyNumberFormat="1" applyFont="1" applyAlignment="1">
      <alignment horizontal="right"/>
    </xf>
    <xf numFmtId="183" fontId="36" fillId="0" borderId="3" xfId="0" applyNumberFormat="1" applyFont="1" applyBorder="1" applyAlignment="1">
      <alignment horizontal="center" vertical="top"/>
    </xf>
    <xf numFmtId="183" fontId="12" fillId="0" borderId="3" xfId="0" applyNumberFormat="1" applyFont="1" applyBorder="1" applyAlignment="1">
      <alignment vertical="top"/>
    </xf>
    <xf numFmtId="183" fontId="15" fillId="0" borderId="3" xfId="0" applyNumberFormat="1" applyFont="1" applyBorder="1" applyAlignment="1">
      <alignment vertical="top"/>
    </xf>
    <xf numFmtId="183" fontId="15" fillId="21" borderId="3" xfId="0" applyNumberFormat="1" applyFont="1" applyFill="1" applyBorder="1" applyAlignment="1">
      <alignment vertical="top"/>
    </xf>
    <xf numFmtId="183" fontId="15" fillId="16" borderId="3" xfId="6" applyNumberFormat="1" applyFont="1" applyFill="1" applyBorder="1" applyAlignment="1">
      <alignment horizontal="right"/>
    </xf>
    <xf numFmtId="183" fontId="33" fillId="0" borderId="3" xfId="4" applyNumberFormat="1" applyFont="1" applyFill="1" applyBorder="1" applyAlignment="1">
      <alignment horizontal="right"/>
    </xf>
    <xf numFmtId="1" fontId="63" fillId="0" borderId="4" xfId="4" applyNumberFormat="1" applyFont="1" applyFill="1" applyBorder="1" applyAlignment="1">
      <alignment horizontal="right"/>
    </xf>
    <xf numFmtId="183" fontId="63" fillId="0" borderId="4" xfId="0" applyNumberFormat="1" applyFont="1" applyBorder="1"/>
    <xf numFmtId="183" fontId="23" fillId="0" borderId="4" xfId="0" applyNumberFormat="1" applyFont="1" applyBorder="1"/>
    <xf numFmtId="183" fontId="33" fillId="0" borderId="4" xfId="0" applyNumberFormat="1" applyFont="1" applyBorder="1"/>
    <xf numFmtId="183" fontId="10" fillId="0" borderId="4" xfId="0" applyNumberFormat="1" applyFont="1" applyBorder="1"/>
    <xf numFmtId="184" fontId="12" fillId="0" borderId="3" xfId="0" applyNumberFormat="1" applyFont="1" applyBorder="1" applyAlignment="1">
      <alignment vertical="top"/>
    </xf>
    <xf numFmtId="183" fontId="61" fillId="32" borderId="3" xfId="0" applyNumberFormat="1" applyFont="1" applyFill="1" applyBorder="1" applyAlignment="1">
      <alignment wrapText="1"/>
    </xf>
    <xf numFmtId="183" fontId="12" fillId="0" borderId="3" xfId="0" applyNumberFormat="1" applyFont="1" applyBorder="1" applyAlignment="1"/>
    <xf numFmtId="183" fontId="15" fillId="0" borderId="3" xfId="4" applyNumberFormat="1" applyFont="1" applyBorder="1" applyAlignment="1">
      <alignment horizontal="left"/>
    </xf>
    <xf numFmtId="183" fontId="63" fillId="16" borderId="3" xfId="4" applyNumberFormat="1" applyFont="1" applyFill="1" applyBorder="1" applyAlignment="1">
      <alignment horizontal="right" vertical="top" wrapText="1"/>
    </xf>
    <xf numFmtId="183" fontId="15" fillId="16" borderId="3" xfId="4" applyNumberFormat="1" applyFont="1" applyFill="1" applyBorder="1" applyAlignment="1">
      <alignment horizontal="center" vertical="top" wrapText="1"/>
    </xf>
    <xf numFmtId="183" fontId="15" fillId="31" borderId="3" xfId="0" applyNumberFormat="1" applyFont="1" applyFill="1" applyBorder="1" applyAlignment="1">
      <alignment vertical="top"/>
    </xf>
    <xf numFmtId="183" fontId="37" fillId="18" borderId="3" xfId="0" applyNumberFormat="1" applyFont="1" applyFill="1" applyBorder="1" applyAlignment="1">
      <alignment wrapText="1"/>
    </xf>
    <xf numFmtId="183" fontId="37" fillId="18" borderId="3" xfId="0" applyNumberFormat="1" applyFont="1" applyFill="1" applyBorder="1" applyAlignment="1">
      <alignment vertical="top"/>
    </xf>
    <xf numFmtId="183" fontId="37" fillId="0" borderId="3" xfId="0" applyNumberFormat="1" applyFont="1" applyBorder="1" applyAlignment="1">
      <alignment vertical="top"/>
    </xf>
    <xf numFmtId="183" fontId="9" fillId="18" borderId="3" xfId="0" applyNumberFormat="1" applyFont="1" applyFill="1" applyBorder="1" applyAlignment="1">
      <alignment vertical="top"/>
    </xf>
    <xf numFmtId="183" fontId="9" fillId="0" borderId="3" xfId="0" applyNumberFormat="1" applyFont="1" applyBorder="1" applyAlignment="1">
      <alignment vertical="top"/>
    </xf>
    <xf numFmtId="183" fontId="38" fillId="0" borderId="3" xfId="0" applyNumberFormat="1" applyFont="1" applyBorder="1" applyAlignment="1">
      <alignment vertical="top"/>
    </xf>
    <xf numFmtId="183" fontId="24" fillId="0" borderId="3" xfId="0" applyNumberFormat="1" applyFont="1" applyBorder="1" applyAlignment="1">
      <alignment vertical="top"/>
    </xf>
    <xf numFmtId="183" fontId="9" fillId="16" borderId="3" xfId="0" applyNumberFormat="1" applyFont="1" applyFill="1" applyBorder="1" applyAlignment="1">
      <alignment vertical="top"/>
    </xf>
    <xf numFmtId="183" fontId="38" fillId="21" borderId="3" xfId="0" applyNumberFormat="1" applyFont="1" applyFill="1" applyBorder="1" applyAlignment="1">
      <alignment vertical="top"/>
    </xf>
    <xf numFmtId="0" fontId="66" fillId="0" borderId="3" xfId="0" applyFont="1" applyBorder="1" applyAlignment="1">
      <alignment vertical="top"/>
    </xf>
    <xf numFmtId="0" fontId="65" fillId="18" borderId="3" xfId="0" applyFont="1" applyFill="1" applyBorder="1" applyAlignment="1">
      <alignment vertical="top"/>
    </xf>
    <xf numFmtId="0" fontId="65" fillId="0" borderId="3" xfId="0" applyFont="1" applyBorder="1" applyAlignment="1">
      <alignment vertical="top"/>
    </xf>
    <xf numFmtId="183" fontId="66" fillId="0" borderId="3" xfId="0" applyNumberFormat="1" applyFont="1" applyBorder="1" applyAlignment="1">
      <alignment wrapText="1"/>
    </xf>
    <xf numFmtId="183" fontId="65" fillId="18" borderId="3" xfId="0" applyNumberFormat="1" applyFont="1" applyFill="1" applyBorder="1" applyAlignment="1">
      <alignment wrapText="1"/>
    </xf>
    <xf numFmtId="183" fontId="65" fillId="0" borderId="3" xfId="0" applyNumberFormat="1" applyFont="1" applyBorder="1" applyAlignment="1">
      <alignment wrapText="1"/>
    </xf>
    <xf numFmtId="0" fontId="35" fillId="0" borderId="3" xfId="0" applyFont="1" applyBorder="1" applyAlignment="1">
      <alignment horizontal="left"/>
    </xf>
    <xf numFmtId="0" fontId="58" fillId="0" borderId="3" xfId="0" applyFont="1" applyBorder="1"/>
    <xf numFmtId="0" fontId="58" fillId="0" borderId="3" xfId="0" applyFont="1" applyBorder="1" applyAlignment="1">
      <alignment wrapText="1"/>
    </xf>
    <xf numFmtId="166" fontId="10" fillId="0" borderId="0" xfId="9" applyNumberFormat="1" applyFont="1"/>
    <xf numFmtId="0" fontId="18" fillId="7" borderId="2" xfId="4" applyFont="1" applyFill="1" applyBorder="1" applyAlignment="1">
      <alignment horizontal="center"/>
    </xf>
    <xf numFmtId="0" fontId="18" fillId="7" borderId="1" xfId="4" applyFont="1" applyFill="1" applyBorder="1" applyAlignment="1">
      <alignment horizontal="center"/>
    </xf>
    <xf numFmtId="0" fontId="18" fillId="7" borderId="6" xfId="4" applyFont="1" applyFill="1" applyBorder="1" applyAlignment="1">
      <alignment horizontal="center"/>
    </xf>
    <xf numFmtId="0" fontId="18" fillId="7" borderId="3" xfId="4" applyFont="1" applyFill="1" applyBorder="1" applyAlignment="1">
      <alignment horizontal="center"/>
    </xf>
    <xf numFmtId="0" fontId="28" fillId="5" borderId="3" xfId="4" applyFont="1" applyFill="1" applyBorder="1" applyAlignment="1">
      <alignment horizontal="center"/>
    </xf>
    <xf numFmtId="0" fontId="28" fillId="5" borderId="2" xfId="4" applyFont="1" applyFill="1" applyBorder="1" applyAlignment="1">
      <alignment horizontal="center"/>
    </xf>
    <xf numFmtId="0" fontId="18" fillId="7" borderId="5" xfId="4" applyFont="1" applyFill="1" applyBorder="1" applyAlignment="1">
      <alignment horizontal="left"/>
    </xf>
    <xf numFmtId="0" fontId="18" fillId="7" borderId="1" xfId="4" applyFont="1" applyFill="1" applyBorder="1" applyAlignment="1">
      <alignment horizontal="left"/>
    </xf>
    <xf numFmtId="0" fontId="18" fillId="7" borderId="6" xfId="4" applyFont="1" applyFill="1" applyBorder="1" applyAlignment="1">
      <alignment horizontal="left"/>
    </xf>
    <xf numFmtId="0" fontId="15" fillId="0" borderId="2" xfId="0" applyFont="1" applyBorder="1" applyAlignment="1"/>
    <xf numFmtId="0" fontId="15" fillId="0" borderId="1" xfId="0" applyFont="1" applyBorder="1" applyAlignment="1"/>
    <xf numFmtId="0" fontId="15" fillId="0" borderId="6" xfId="0" applyFont="1" applyBorder="1" applyAlignment="1"/>
    <xf numFmtId="0" fontId="43" fillId="4" borderId="0" xfId="4" applyFont="1" applyFill="1" applyBorder="1" applyAlignment="1">
      <alignment horizontal="left"/>
    </xf>
    <xf numFmtId="0" fontId="28" fillId="5" borderId="10" xfId="4" applyFont="1" applyFill="1" applyBorder="1" applyAlignment="1">
      <alignment horizontal="center"/>
    </xf>
    <xf numFmtId="0" fontId="28" fillId="5" borderId="8" xfId="4" applyFont="1" applyFill="1" applyBorder="1" applyAlignment="1">
      <alignment horizontal="center"/>
    </xf>
    <xf numFmtId="0" fontId="28" fillId="5" borderId="9" xfId="4" applyFont="1" applyFill="1" applyBorder="1" applyAlignment="1">
      <alignment horizontal="center"/>
    </xf>
    <xf numFmtId="0" fontId="15" fillId="0" borderId="2" xfId="4" applyFont="1" applyBorder="1" applyAlignment="1">
      <alignment horizontal="center"/>
    </xf>
    <xf numFmtId="0" fontId="15" fillId="0" borderId="6" xfId="4" applyFont="1" applyBorder="1" applyAlignment="1">
      <alignment horizontal="center"/>
    </xf>
    <xf numFmtId="0" fontId="18" fillId="7" borderId="2" xfId="4" applyFont="1" applyFill="1" applyBorder="1" applyAlignment="1">
      <alignment horizontal="left"/>
    </xf>
    <xf numFmtId="0" fontId="33" fillId="0" borderId="3" xfId="0" applyFont="1" applyBorder="1" applyAlignment="1">
      <alignment horizontal="center"/>
    </xf>
    <xf numFmtId="0" fontId="33" fillId="0" borderId="2" xfId="0" applyFont="1" applyBorder="1" applyAlignment="1">
      <alignment horizontal="center"/>
    </xf>
    <xf numFmtId="0" fontId="33" fillId="0" borderId="1" xfId="0" applyFont="1" applyBorder="1" applyAlignment="1">
      <alignment horizontal="center"/>
    </xf>
    <xf numFmtId="0" fontId="33" fillId="0" borderId="6" xfId="0" applyFont="1" applyBorder="1" applyAlignment="1">
      <alignment horizontal="center"/>
    </xf>
    <xf numFmtId="0" fontId="18" fillId="7" borderId="3" xfId="4" applyFont="1" applyFill="1" applyBorder="1" applyAlignment="1">
      <alignment horizontal="left"/>
    </xf>
    <xf numFmtId="0" fontId="28" fillId="5" borderId="13" xfId="4" applyFont="1" applyFill="1" applyBorder="1" applyAlignment="1">
      <alignment horizontal="center"/>
    </xf>
    <xf numFmtId="0" fontId="24" fillId="4" borderId="5" xfId="4" applyFont="1" applyFill="1" applyBorder="1" applyAlignment="1">
      <alignment horizontal="left"/>
    </xf>
    <xf numFmtId="0" fontId="15" fillId="0" borderId="3" xfId="4" applyFont="1" applyBorder="1" applyAlignment="1">
      <alignment horizontal="left"/>
    </xf>
    <xf numFmtId="0" fontId="38" fillId="18" borderId="1" xfId="0" applyFont="1" applyFill="1" applyBorder="1" applyAlignment="1">
      <alignment vertical="top" wrapText="1"/>
    </xf>
    <xf numFmtId="0" fontId="38" fillId="18" borderId="24" xfId="0" applyFont="1" applyFill="1" applyBorder="1" applyAlignment="1"/>
    <xf numFmtId="0" fontId="57" fillId="10" borderId="15" xfId="1" applyFont="1" applyFill="1" applyBorder="1" applyAlignment="1">
      <alignment horizontal="center" vertical="top" wrapText="1"/>
    </xf>
    <xf numFmtId="0" fontId="57" fillId="10" borderId="0" xfId="1" applyFont="1" applyFill="1" applyBorder="1" applyAlignment="1">
      <alignment horizontal="center" vertical="top" wrapText="1"/>
    </xf>
    <xf numFmtId="0" fontId="17" fillId="9" borderId="7" xfId="1" applyFont="1" applyFill="1" applyBorder="1" applyAlignment="1">
      <alignment horizontal="left"/>
    </xf>
    <xf numFmtId="0" fontId="17" fillId="9" borderId="0" xfId="1" applyFont="1" applyFill="1" applyBorder="1" applyAlignment="1">
      <alignment horizontal="left"/>
    </xf>
    <xf numFmtId="0" fontId="62" fillId="11" borderId="18" xfId="4" applyFont="1" applyFill="1" applyBorder="1" applyAlignment="1">
      <alignment horizontal="left" vertical="top" wrapText="1"/>
    </xf>
    <xf numFmtId="0" fontId="62" fillId="11" borderId="0" xfId="4" applyFont="1" applyFill="1" applyBorder="1" applyAlignment="1">
      <alignment horizontal="left" vertical="top" wrapText="1"/>
    </xf>
    <xf numFmtId="0" fontId="11" fillId="3" borderId="0" xfId="1" applyFont="1" applyFill="1" applyBorder="1" applyAlignment="1">
      <alignment horizontal="center" wrapText="1"/>
    </xf>
    <xf numFmtId="0" fontId="6" fillId="4" borderId="10" xfId="4" applyFont="1" applyFill="1" applyBorder="1" applyAlignment="1">
      <alignment horizontal="center" vertical="top" wrapText="1"/>
    </xf>
    <xf numFmtId="0" fontId="6" fillId="4" borderId="8" xfId="4" applyFont="1" applyFill="1" applyBorder="1" applyAlignment="1">
      <alignment horizontal="center" vertical="top" wrapText="1"/>
    </xf>
    <xf numFmtId="0" fontId="6" fillId="4" borderId="9" xfId="4" applyFont="1" applyFill="1" applyBorder="1" applyAlignment="1">
      <alignment horizontal="center" vertical="top" wrapText="1"/>
    </xf>
    <xf numFmtId="0" fontId="19" fillId="2" borderId="17" xfId="4" applyFont="1" applyFill="1" applyBorder="1" applyAlignment="1">
      <alignment horizontal="center" vertical="top" wrapText="1"/>
    </xf>
    <xf numFmtId="0" fontId="19" fillId="2" borderId="18" xfId="4" applyFont="1" applyFill="1" applyBorder="1" applyAlignment="1">
      <alignment horizontal="center" vertical="top" wrapText="1"/>
    </xf>
    <xf numFmtId="0" fontId="19" fillId="2" borderId="11" xfId="4" applyFont="1" applyFill="1" applyBorder="1" applyAlignment="1">
      <alignment horizontal="center" vertical="top" wrapText="1"/>
    </xf>
    <xf numFmtId="0" fontId="19" fillId="2" borderId="15" xfId="4" applyFont="1" applyFill="1" applyBorder="1" applyAlignment="1">
      <alignment horizontal="center" vertical="top" wrapText="1"/>
    </xf>
    <xf numFmtId="0" fontId="19" fillId="2" borderId="0" xfId="4" applyFont="1" applyFill="1" applyBorder="1" applyAlignment="1">
      <alignment horizontal="center" vertical="top" wrapText="1"/>
    </xf>
    <xf numFmtId="0" fontId="19" fillId="2" borderId="16" xfId="4" applyFont="1" applyFill="1" applyBorder="1" applyAlignment="1">
      <alignment horizontal="center" vertical="top" wrapText="1"/>
    </xf>
    <xf numFmtId="0" fontId="19" fillId="2" borderId="12" xfId="4" applyFont="1" applyFill="1" applyBorder="1" applyAlignment="1">
      <alignment horizontal="center" vertical="top" wrapText="1"/>
    </xf>
    <xf numFmtId="0" fontId="19" fillId="2" borderId="13" xfId="4" applyFont="1" applyFill="1" applyBorder="1" applyAlignment="1">
      <alignment horizontal="center" vertical="top" wrapText="1"/>
    </xf>
    <xf numFmtId="0" fontId="19" fillId="2" borderId="14" xfId="4" applyFont="1" applyFill="1" applyBorder="1" applyAlignment="1">
      <alignment horizontal="center" vertical="top" wrapText="1"/>
    </xf>
    <xf numFmtId="0" fontId="24" fillId="4" borderId="2" xfId="4" applyFont="1" applyFill="1" applyBorder="1" applyAlignment="1">
      <alignment horizontal="right"/>
    </xf>
    <xf numFmtId="0" fontId="24" fillId="4" borderId="6" xfId="4" applyFont="1" applyFill="1" applyBorder="1" applyAlignment="1">
      <alignment horizontal="right"/>
    </xf>
    <xf numFmtId="0" fontId="12" fillId="0" borderId="2" xfId="4" applyFont="1" applyBorder="1" applyAlignment="1">
      <alignment horizontal="left"/>
    </xf>
    <xf numFmtId="0" fontId="12" fillId="0" borderId="1" xfId="4" applyFont="1" applyBorder="1" applyAlignment="1">
      <alignment horizontal="left"/>
    </xf>
    <xf numFmtId="0" fontId="12" fillId="0" borderId="6" xfId="4" applyFont="1" applyBorder="1" applyAlignment="1">
      <alignment horizontal="left"/>
    </xf>
    <xf numFmtId="0" fontId="24" fillId="4" borderId="2" xfId="1" applyFont="1" applyFill="1" applyBorder="1" applyAlignment="1">
      <alignment horizontal="center"/>
    </xf>
    <xf numFmtId="0" fontId="24" fillId="4" borderId="6" xfId="1" applyFont="1" applyFill="1" applyBorder="1" applyAlignment="1">
      <alignment horizontal="center"/>
    </xf>
    <xf numFmtId="0" fontId="17" fillId="8" borderId="7" xfId="4" applyFont="1" applyFill="1" applyBorder="1" applyAlignment="1">
      <alignment horizontal="left"/>
    </xf>
    <xf numFmtId="0" fontId="17" fillId="8" borderId="0" xfId="4" applyFont="1" applyFill="1" applyBorder="1" applyAlignment="1">
      <alignment horizontal="left"/>
    </xf>
    <xf numFmtId="167" fontId="36" fillId="0" borderId="2" xfId="0" applyNumberFormat="1" applyFont="1" applyBorder="1" applyAlignment="1">
      <alignment vertical="top"/>
    </xf>
    <xf numFmtId="167" fontId="36" fillId="0" borderId="1" xfId="0" applyNumberFormat="1" applyFont="1" applyBorder="1" applyAlignment="1">
      <alignment vertical="top"/>
    </xf>
    <xf numFmtId="167" fontId="36" fillId="0" borderId="6" xfId="0" applyNumberFormat="1" applyFont="1" applyBorder="1" applyAlignment="1">
      <alignment vertical="top"/>
    </xf>
    <xf numFmtId="0" fontId="10" fillId="0" borderId="0" xfId="0" applyFont="1" applyBorder="1" applyAlignment="1">
      <alignment vertical="center" wrapText="1"/>
    </xf>
    <xf numFmtId="1" fontId="9" fillId="14" borderId="2" xfId="0" applyNumberFormat="1" applyFont="1" applyFill="1" applyBorder="1" applyAlignment="1">
      <alignment horizontal="center" wrapText="1"/>
    </xf>
    <xf numFmtId="1" fontId="9" fillId="14" borderId="1" xfId="0" applyNumberFormat="1" applyFont="1" applyFill="1" applyBorder="1" applyAlignment="1">
      <alignment horizontal="center" wrapText="1"/>
    </xf>
    <xf numFmtId="1" fontId="9" fillId="14" borderId="6" xfId="0" applyNumberFormat="1" applyFont="1" applyFill="1" applyBorder="1" applyAlignment="1">
      <alignment horizontal="center" wrapText="1"/>
    </xf>
    <xf numFmtId="1" fontId="24" fillId="15" borderId="2" xfId="8" applyNumberFormat="1" applyFont="1" applyFill="1" applyBorder="1" applyAlignment="1">
      <alignment vertical="top" wrapText="1"/>
    </xf>
    <xf numFmtId="1" fontId="24" fillId="15" borderId="1" xfId="8" applyNumberFormat="1" applyFont="1" applyFill="1" applyBorder="1" applyAlignment="1">
      <alignment vertical="top" wrapText="1"/>
    </xf>
    <xf numFmtId="1" fontId="24" fillId="15" borderId="6" xfId="8" applyNumberFormat="1" applyFont="1" applyFill="1" applyBorder="1" applyAlignment="1">
      <alignment vertical="top" wrapText="1"/>
    </xf>
    <xf numFmtId="0" fontId="9" fillId="14" borderId="2" xfId="0" applyFont="1" applyFill="1" applyBorder="1" applyAlignment="1">
      <alignment horizontal="center" wrapText="1"/>
    </xf>
    <xf numFmtId="0" fontId="9" fillId="14" borderId="1" xfId="0" applyFont="1" applyFill="1" applyBorder="1" applyAlignment="1">
      <alignment horizontal="center" wrapText="1"/>
    </xf>
    <xf numFmtId="0" fontId="9" fillId="14" borderId="6" xfId="0" applyFont="1" applyFill="1" applyBorder="1" applyAlignment="1">
      <alignment horizontal="center" wrapText="1"/>
    </xf>
    <xf numFmtId="0" fontId="24" fillId="10" borderId="3" xfId="8" applyFont="1" applyFill="1" applyBorder="1" applyAlignment="1">
      <alignment vertical="top" wrapText="1"/>
    </xf>
    <xf numFmtId="0" fontId="24" fillId="0" borderId="0" xfId="8" applyFont="1" applyAlignment="1">
      <alignment horizontal="center" wrapText="1"/>
    </xf>
    <xf numFmtId="0" fontId="9" fillId="0" borderId="0" xfId="8" applyFont="1" applyAlignment="1">
      <alignment vertical="top"/>
    </xf>
    <xf numFmtId="0" fontId="24" fillId="15" borderId="3" xfId="8" applyFont="1" applyFill="1" applyBorder="1" applyAlignment="1">
      <alignment vertical="top" wrapText="1"/>
    </xf>
    <xf numFmtId="1" fontId="9" fillId="0" borderId="3" xfId="8" applyNumberFormat="1" applyFont="1" applyBorder="1" applyAlignment="1">
      <alignment vertical="top" wrapText="1"/>
    </xf>
    <xf numFmtId="0" fontId="9" fillId="0" borderId="3" xfId="8" applyFont="1" applyBorder="1" applyAlignment="1">
      <alignment vertical="top"/>
    </xf>
    <xf numFmtId="0" fontId="9" fillId="14" borderId="3" xfId="8" applyFont="1" applyFill="1" applyBorder="1" applyAlignment="1">
      <alignment horizontal="center" vertical="top" wrapText="1"/>
    </xf>
    <xf numFmtId="1" fontId="9" fillId="0" borderId="0" xfId="8" applyNumberFormat="1" applyFont="1" applyAlignment="1">
      <alignment horizontal="center" wrapText="1"/>
    </xf>
  </cellXfs>
  <cellStyles count="11">
    <cellStyle name="Comma" xfId="10" builtinId="3"/>
    <cellStyle name="Comma 2" xfId="2" xr:uid="{00000000-0005-0000-0000-000001000000}"/>
    <cellStyle name="Comma 3" xfId="6" xr:uid="{00000000-0005-0000-0000-000002000000}"/>
    <cellStyle name="Hyperlink" xfId="3" builtinId="8"/>
    <cellStyle name="Normal" xfId="0" builtinId="0"/>
    <cellStyle name="Normal 2" xfId="1" xr:uid="{00000000-0005-0000-0000-000005000000}"/>
    <cellStyle name="Normal 3" xfId="8" xr:uid="{00000000-0005-0000-0000-000006000000}"/>
    <cellStyle name="Normal_Health Facility Costing1" xfId="4" xr:uid="{00000000-0005-0000-0000-000007000000}"/>
    <cellStyle name="Per cent" xfId="9" builtinId="5"/>
    <cellStyle name="Percent 2" xfId="5" xr:uid="{00000000-0005-0000-0000-000009000000}"/>
    <cellStyle name="Percent 3" xfId="7" xr:uid="{00000000-0005-0000-0000-00000A000000}"/>
  </cellStyles>
  <dxfs count="2">
    <dxf>
      <fill>
        <patternFill patternType="solid">
          <fgColor rgb="FFDBE5F1"/>
          <bgColor rgb="FFDBE5F1"/>
        </patternFill>
      </fill>
    </dxf>
    <dxf>
      <fill>
        <patternFill patternType="solid">
          <fgColor rgb="FFDBE5F1"/>
          <bgColor rgb="FFDBE5F1"/>
        </patternFill>
      </fill>
    </dxf>
  </dxfs>
  <tableStyles count="1" defaultTableStyle="TableStyleMedium2" defaultPivotStyle="PivotStyleLight16">
    <tableStyle name="Summary costs-style" pivot="0" count="2" xr9:uid="{00000000-0011-0000-FFFF-FFFF00000000}">
      <tableStyleElement type="firstRowStripe" dxfId="1"/>
      <tableStyleElement type="secondRowStripe" dxfId="0"/>
    </tableStyle>
  </tableStyles>
  <colors>
    <mruColors>
      <color rgb="FFFF0066"/>
      <color rgb="FF00FF00"/>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6"/>
  <sheetViews>
    <sheetView workbookViewId="0">
      <selection activeCell="A16" sqref="A16:XFD16"/>
    </sheetView>
  </sheetViews>
  <sheetFormatPr baseColWidth="10" defaultColWidth="8.83203125" defaultRowHeight="16"/>
  <cols>
    <col min="1" max="1" width="79.1640625" style="376" customWidth="1"/>
    <col min="2" max="2" width="129.83203125" style="376" customWidth="1"/>
    <col min="3" max="5" width="8.83203125" style="376"/>
    <col min="6" max="6" width="9.1640625" style="376" customWidth="1"/>
    <col min="7" max="16384" width="8.83203125" style="376"/>
  </cols>
  <sheetData>
    <row r="1" spans="1:12" s="373" customFormat="1" ht="30" customHeight="1">
      <c r="A1" s="363" t="s">
        <v>476</v>
      </c>
      <c r="B1" s="364" t="s">
        <v>505</v>
      </c>
      <c r="C1" s="372"/>
      <c r="D1" s="372"/>
      <c r="E1" s="372"/>
      <c r="F1" s="372"/>
      <c r="G1" s="372"/>
      <c r="H1" s="372"/>
      <c r="I1" s="372"/>
      <c r="J1" s="372"/>
      <c r="K1" s="372"/>
      <c r="L1" s="372"/>
    </row>
    <row r="2" spans="1:12" s="373" customFormat="1" ht="37" customHeight="1">
      <c r="A2" s="374" t="s">
        <v>477</v>
      </c>
      <c r="B2" s="375" t="s">
        <v>478</v>
      </c>
      <c r="C2" s="372"/>
      <c r="D2" s="372"/>
      <c r="E2" s="372"/>
      <c r="F2" s="372"/>
      <c r="G2" s="372"/>
      <c r="H2" s="372"/>
      <c r="I2" s="372"/>
      <c r="J2" s="372"/>
      <c r="K2" s="372"/>
      <c r="L2" s="372"/>
    </row>
    <row r="3" spans="1:12" s="373" customFormat="1" ht="29" customHeight="1">
      <c r="A3" s="374" t="s">
        <v>479</v>
      </c>
      <c r="B3" s="375" t="s">
        <v>480</v>
      </c>
      <c r="C3" s="372"/>
      <c r="D3" s="372"/>
      <c r="E3" s="372"/>
      <c r="F3" s="372"/>
      <c r="G3" s="372"/>
      <c r="H3" s="372"/>
      <c r="I3" s="372"/>
      <c r="J3" s="372"/>
      <c r="K3" s="372"/>
      <c r="L3" s="372"/>
    </row>
    <row r="4" spans="1:12" s="373" customFormat="1" ht="25" customHeight="1">
      <c r="A4" s="374" t="s">
        <v>481</v>
      </c>
      <c r="B4" s="375" t="s">
        <v>482</v>
      </c>
      <c r="C4" s="372"/>
      <c r="D4" s="372"/>
      <c r="E4" s="372"/>
      <c r="F4" s="372"/>
      <c r="G4" s="372"/>
      <c r="H4" s="372"/>
      <c r="I4" s="372"/>
      <c r="J4" s="372"/>
      <c r="K4" s="372"/>
      <c r="L4" s="372"/>
    </row>
    <row r="5" spans="1:12" s="373" customFormat="1" ht="21.75" customHeight="1">
      <c r="A5" s="374" t="s">
        <v>483</v>
      </c>
      <c r="B5" s="375" t="s">
        <v>484</v>
      </c>
      <c r="C5" s="372"/>
      <c r="D5" s="372"/>
      <c r="E5" s="372"/>
      <c r="F5" s="372"/>
      <c r="G5" s="372"/>
      <c r="H5" s="372"/>
      <c r="I5" s="372"/>
      <c r="J5" s="372"/>
      <c r="K5" s="372"/>
      <c r="L5" s="372"/>
    </row>
    <row r="6" spans="1:12" s="373" customFormat="1" ht="25.5" customHeight="1">
      <c r="A6" s="374" t="s">
        <v>485</v>
      </c>
      <c r="B6" s="375" t="s">
        <v>486</v>
      </c>
      <c r="C6" s="372"/>
      <c r="D6" s="372"/>
      <c r="E6" s="372"/>
      <c r="F6" s="372"/>
      <c r="G6" s="372"/>
      <c r="H6" s="372"/>
      <c r="I6" s="372"/>
      <c r="J6" s="372"/>
      <c r="K6" s="372"/>
      <c r="L6" s="372"/>
    </row>
    <row r="7" spans="1:12" s="373" customFormat="1" ht="41" customHeight="1">
      <c r="A7" s="374" t="s">
        <v>487</v>
      </c>
      <c r="B7" s="375" t="s">
        <v>488</v>
      </c>
      <c r="C7" s="372"/>
      <c r="D7" s="372"/>
      <c r="E7" s="372"/>
      <c r="F7" s="372"/>
      <c r="G7" s="372"/>
      <c r="H7" s="372"/>
      <c r="I7" s="372"/>
      <c r="J7" s="372"/>
      <c r="K7" s="372"/>
      <c r="L7" s="372"/>
    </row>
    <row r="8" spans="1:12" s="373" customFormat="1" ht="27" customHeight="1">
      <c r="A8" s="374" t="s">
        <v>489</v>
      </c>
      <c r="B8" s="375" t="s">
        <v>490</v>
      </c>
      <c r="C8" s="372"/>
      <c r="D8" s="372"/>
      <c r="E8" s="372"/>
      <c r="F8" s="372"/>
      <c r="G8" s="372"/>
      <c r="H8" s="372"/>
      <c r="I8" s="372"/>
      <c r="J8" s="372"/>
      <c r="K8" s="372"/>
      <c r="L8" s="372"/>
    </row>
    <row r="9" spans="1:12" s="373" customFormat="1" ht="26" customHeight="1">
      <c r="A9" s="374" t="s">
        <v>491</v>
      </c>
      <c r="B9" s="375" t="s">
        <v>492</v>
      </c>
      <c r="C9" s="372"/>
      <c r="D9" s="372"/>
      <c r="E9" s="372"/>
      <c r="F9" s="372"/>
      <c r="G9" s="372"/>
      <c r="H9" s="372"/>
      <c r="I9" s="372"/>
      <c r="J9" s="372"/>
      <c r="K9" s="372"/>
      <c r="L9" s="372"/>
    </row>
    <row r="10" spans="1:12" s="373" customFormat="1" ht="21.75" customHeight="1">
      <c r="A10" s="374" t="s">
        <v>493</v>
      </c>
      <c r="B10" s="375" t="s">
        <v>494</v>
      </c>
      <c r="C10" s="372"/>
      <c r="D10" s="372"/>
      <c r="E10" s="372"/>
      <c r="F10" s="372"/>
      <c r="G10" s="372"/>
      <c r="H10" s="372"/>
      <c r="I10" s="372"/>
      <c r="J10" s="372"/>
      <c r="K10" s="372"/>
      <c r="L10" s="372"/>
    </row>
    <row r="11" spans="1:12" s="373" customFormat="1" ht="24" customHeight="1">
      <c r="A11" s="374" t="s">
        <v>495</v>
      </c>
      <c r="B11" s="375" t="s">
        <v>496</v>
      </c>
      <c r="C11" s="372"/>
      <c r="D11" s="372"/>
      <c r="E11" s="372"/>
      <c r="F11" s="372"/>
      <c r="G11" s="372"/>
      <c r="H11" s="372"/>
      <c r="I11" s="372"/>
      <c r="J11" s="372"/>
      <c r="K11" s="372"/>
      <c r="L11" s="372"/>
    </row>
    <row r="12" spans="1:12" s="373" customFormat="1" ht="19.5" customHeight="1">
      <c r="A12" s="374" t="s">
        <v>497</v>
      </c>
      <c r="B12" s="375" t="s">
        <v>498</v>
      </c>
      <c r="C12" s="372"/>
      <c r="D12" s="372"/>
      <c r="E12" s="372"/>
      <c r="F12" s="372"/>
      <c r="G12" s="372"/>
      <c r="H12" s="372"/>
      <c r="I12" s="372"/>
      <c r="J12" s="372"/>
      <c r="K12" s="372"/>
      <c r="L12" s="372"/>
    </row>
    <row r="13" spans="1:12" s="373" customFormat="1" ht="16.5" customHeight="1">
      <c r="A13" s="374" t="s">
        <v>499</v>
      </c>
      <c r="B13" s="375" t="s">
        <v>482</v>
      </c>
      <c r="C13" s="372"/>
      <c r="D13" s="372"/>
      <c r="E13" s="372"/>
      <c r="F13" s="372"/>
      <c r="G13" s="372"/>
      <c r="H13" s="372"/>
      <c r="I13" s="372"/>
      <c r="J13" s="372"/>
      <c r="K13" s="372"/>
      <c r="L13" s="372"/>
    </row>
    <row r="14" spans="1:12" s="373" customFormat="1" ht="21" customHeight="1">
      <c r="A14" s="374" t="s">
        <v>500</v>
      </c>
      <c r="B14" s="375" t="s">
        <v>507</v>
      </c>
      <c r="C14" s="372"/>
      <c r="D14" s="372"/>
      <c r="E14" s="372"/>
      <c r="F14" s="372"/>
      <c r="G14" s="372"/>
      <c r="H14" s="372"/>
      <c r="I14" s="372"/>
      <c r="J14" s="372"/>
      <c r="K14" s="372"/>
      <c r="L14" s="372"/>
    </row>
    <row r="15" spans="1:12" s="373" customFormat="1" ht="23" customHeight="1">
      <c r="A15" s="374" t="s">
        <v>501</v>
      </c>
      <c r="B15" s="375" t="s">
        <v>502</v>
      </c>
      <c r="C15" s="372"/>
      <c r="D15" s="372"/>
      <c r="E15" s="372"/>
      <c r="F15" s="372"/>
      <c r="G15" s="372"/>
      <c r="H15" s="372"/>
      <c r="I15" s="372"/>
      <c r="J15" s="372"/>
      <c r="K15" s="372"/>
      <c r="L15" s="372"/>
    </row>
    <row r="16" spans="1:12" s="373" customFormat="1" ht="22" customHeight="1">
      <c r="A16" s="374" t="s">
        <v>503</v>
      </c>
      <c r="B16" s="375" t="s">
        <v>504</v>
      </c>
      <c r="C16" s="372"/>
      <c r="D16" s="372"/>
      <c r="E16" s="372"/>
      <c r="F16" s="372"/>
      <c r="G16" s="372"/>
      <c r="H16" s="372"/>
      <c r="I16" s="372"/>
      <c r="J16" s="372"/>
      <c r="K16" s="372"/>
      <c r="L16" s="372"/>
    </row>
  </sheetData>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B485"/>
  <sheetViews>
    <sheetView tabSelected="1" topLeftCell="C271" zoomScale="90" zoomScaleNormal="90" workbookViewId="0">
      <selection activeCell="G42" sqref="G42"/>
    </sheetView>
  </sheetViews>
  <sheetFormatPr baseColWidth="10" defaultColWidth="9.1640625" defaultRowHeight="14"/>
  <cols>
    <col min="1" max="1" width="6.6640625" style="262" customWidth="1"/>
    <col min="2" max="2" width="22.83203125" style="4" customWidth="1"/>
    <col min="3" max="3" width="13.6640625" style="4" customWidth="1"/>
    <col min="4" max="4" width="21.33203125" style="4" customWidth="1"/>
    <col min="5" max="5" width="25.1640625" style="4" customWidth="1"/>
    <col min="6" max="6" width="36.5" style="4" customWidth="1"/>
    <col min="7" max="7" width="22" style="4" customWidth="1"/>
    <col min="8" max="8" width="23" style="4" customWidth="1"/>
    <col min="9" max="9" width="25.83203125" style="4" customWidth="1"/>
    <col min="10" max="10" width="13" style="4" customWidth="1"/>
    <col min="11" max="11" width="20.6640625" style="4" customWidth="1"/>
    <col min="12" max="12" width="17.5" style="4" customWidth="1"/>
    <col min="13" max="13" width="20.33203125" style="4" customWidth="1"/>
    <col min="14" max="17" width="9.1640625" style="4"/>
    <col min="18" max="18" width="16" style="4" bestFit="1" customWidth="1"/>
    <col min="19" max="16384" width="9.1640625" style="4"/>
  </cols>
  <sheetData>
    <row r="1" spans="1:109" ht="32" customHeight="1">
      <c r="A1" s="255"/>
      <c r="B1" s="2"/>
      <c r="C1" s="1"/>
      <c r="D1" s="481" t="s">
        <v>229</v>
      </c>
      <c r="E1" s="482"/>
      <c r="F1" s="482"/>
      <c r="G1" s="482"/>
      <c r="H1" s="482"/>
      <c r="I1" s="482"/>
      <c r="J1" s="3"/>
      <c r="K1" s="2"/>
      <c r="L1" s="2"/>
      <c r="M1" s="2"/>
      <c r="N1" s="2"/>
      <c r="O1" s="2"/>
      <c r="P1" s="2"/>
      <c r="Q1" s="2"/>
      <c r="R1" s="2"/>
      <c r="S1" s="2"/>
      <c r="T1" s="2"/>
      <c r="U1" s="2"/>
      <c r="V1" s="2"/>
      <c r="W1" s="2"/>
      <c r="X1" s="2"/>
      <c r="Y1" s="2"/>
      <c r="Z1" s="2"/>
      <c r="AA1" s="2"/>
      <c r="AB1" s="2"/>
      <c r="AC1" s="2"/>
    </row>
    <row r="2" spans="1:109" ht="15" thickBot="1">
      <c r="A2" s="487"/>
      <c r="B2" s="487"/>
      <c r="C2" s="487"/>
      <c r="D2" s="487"/>
      <c r="E2" s="487"/>
      <c r="F2" s="487"/>
      <c r="G2" s="487"/>
      <c r="H2" s="487"/>
      <c r="I2" s="487"/>
      <c r="J2" s="487"/>
      <c r="K2" s="2"/>
      <c r="L2" s="2"/>
      <c r="M2" s="2"/>
      <c r="N2" s="2"/>
      <c r="O2" s="2"/>
      <c r="P2" s="2"/>
      <c r="Q2" s="2"/>
      <c r="R2" s="2"/>
      <c r="S2" s="2"/>
      <c r="T2" s="2"/>
      <c r="U2" s="2"/>
      <c r="V2" s="2"/>
      <c r="W2" s="2"/>
      <c r="X2" s="2"/>
      <c r="Y2" s="2"/>
      <c r="Z2" s="2"/>
      <c r="AA2" s="2"/>
      <c r="AB2" s="2"/>
      <c r="AC2" s="2"/>
    </row>
    <row r="3" spans="1:109" ht="16.5" customHeight="1" thickBot="1">
      <c r="A3" s="256"/>
      <c r="B3" s="2"/>
      <c r="C3" s="1"/>
      <c r="D3" s="488" t="s">
        <v>0</v>
      </c>
      <c r="E3" s="489"/>
      <c r="F3" s="489"/>
      <c r="G3" s="489"/>
      <c r="H3" s="490"/>
      <c r="I3" s="6"/>
      <c r="J3" s="6"/>
      <c r="K3" s="2"/>
      <c r="L3" s="2"/>
      <c r="M3" s="2"/>
      <c r="N3" s="2"/>
      <c r="O3" s="2"/>
      <c r="P3" s="2"/>
      <c r="Q3" s="2"/>
      <c r="R3" s="2"/>
      <c r="S3" s="2"/>
      <c r="T3" s="2"/>
      <c r="U3" s="2"/>
      <c r="V3" s="2"/>
      <c r="W3" s="2"/>
      <c r="X3" s="2"/>
      <c r="Y3" s="2"/>
      <c r="Z3" s="2"/>
      <c r="AA3" s="2"/>
      <c r="AB3" s="2"/>
      <c r="AC3" s="2"/>
    </row>
    <row r="4" spans="1:109" ht="15" thickBot="1">
      <c r="A4" s="256"/>
      <c r="B4" s="2"/>
      <c r="C4" s="5"/>
      <c r="D4" s="5"/>
      <c r="E4" s="5"/>
      <c r="F4" s="5"/>
      <c r="G4" s="6"/>
      <c r="H4" s="6"/>
      <c r="I4" s="6"/>
      <c r="J4" s="6"/>
      <c r="K4" s="2"/>
      <c r="L4" s="2"/>
      <c r="M4" s="2"/>
      <c r="N4" s="2"/>
      <c r="O4" s="2"/>
      <c r="P4" s="2"/>
      <c r="Q4" s="2"/>
      <c r="R4" s="2"/>
      <c r="S4" s="2"/>
      <c r="T4" s="2"/>
      <c r="U4" s="2"/>
      <c r="V4" s="2"/>
      <c r="W4" s="2"/>
      <c r="X4" s="2"/>
      <c r="Y4" s="2"/>
      <c r="Z4" s="2"/>
      <c r="AA4" s="2"/>
      <c r="AB4" s="2"/>
      <c r="AC4" s="2"/>
    </row>
    <row r="5" spans="1:109" ht="15" customHeight="1">
      <c r="A5" s="256"/>
      <c r="B5" s="1"/>
      <c r="C5" s="491" t="s">
        <v>509</v>
      </c>
      <c r="D5" s="492"/>
      <c r="E5" s="492"/>
      <c r="F5" s="492"/>
      <c r="G5" s="492"/>
      <c r="H5" s="492"/>
      <c r="I5" s="493"/>
      <c r="J5" s="5"/>
      <c r="K5" s="2"/>
      <c r="L5" s="2"/>
      <c r="M5" s="2"/>
      <c r="N5" s="2"/>
      <c r="O5" s="2"/>
      <c r="P5" s="2"/>
      <c r="Q5" s="2"/>
      <c r="R5" s="2"/>
      <c r="S5" s="2"/>
      <c r="T5" s="2"/>
      <c r="U5" s="2"/>
      <c r="V5" s="2"/>
      <c r="W5" s="2"/>
      <c r="X5" s="2"/>
      <c r="Y5" s="2"/>
      <c r="Z5" s="2"/>
      <c r="AA5" s="2"/>
      <c r="AB5" s="2"/>
      <c r="AC5" s="2"/>
    </row>
    <row r="6" spans="1:109" ht="15" customHeight="1">
      <c r="A6" s="256"/>
      <c r="B6" s="7"/>
      <c r="C6" s="494"/>
      <c r="D6" s="495"/>
      <c r="E6" s="495"/>
      <c r="F6" s="495"/>
      <c r="G6" s="495"/>
      <c r="H6" s="495"/>
      <c r="I6" s="496"/>
      <c r="J6" s="5"/>
      <c r="K6" s="2"/>
      <c r="L6" s="2"/>
      <c r="M6" s="2"/>
      <c r="N6" s="2"/>
      <c r="O6" s="2"/>
      <c r="P6" s="2"/>
      <c r="Q6" s="2"/>
      <c r="R6" s="2"/>
      <c r="S6" s="2"/>
      <c r="T6" s="2"/>
      <c r="U6" s="2"/>
      <c r="V6" s="2"/>
      <c r="W6" s="2"/>
      <c r="X6" s="2"/>
      <c r="Y6" s="2"/>
      <c r="Z6" s="2"/>
      <c r="AA6" s="2"/>
      <c r="AB6" s="2"/>
      <c r="AC6" s="2"/>
    </row>
    <row r="7" spans="1:109" ht="8.25" customHeight="1">
      <c r="A7" s="256"/>
      <c r="B7" s="7"/>
      <c r="C7" s="494"/>
      <c r="D7" s="495"/>
      <c r="E7" s="495"/>
      <c r="F7" s="495"/>
      <c r="G7" s="495"/>
      <c r="H7" s="495"/>
      <c r="I7" s="496"/>
      <c r="J7" s="5"/>
      <c r="K7" s="2"/>
      <c r="L7" s="2"/>
      <c r="M7" s="2"/>
      <c r="N7" s="2"/>
      <c r="O7" s="2"/>
      <c r="P7" s="2"/>
      <c r="Q7" s="2"/>
      <c r="R7" s="2"/>
      <c r="S7" s="2"/>
      <c r="T7" s="2"/>
      <c r="U7" s="2"/>
      <c r="V7" s="2"/>
      <c r="W7" s="2"/>
      <c r="X7" s="2"/>
      <c r="Y7" s="2"/>
      <c r="Z7" s="2"/>
      <c r="AA7" s="2"/>
      <c r="AB7" s="2"/>
      <c r="AC7" s="2"/>
    </row>
    <row r="8" spans="1:109" ht="12" customHeight="1" thickBot="1">
      <c r="A8" s="256"/>
      <c r="B8" s="7"/>
      <c r="C8" s="497"/>
      <c r="D8" s="498"/>
      <c r="E8" s="498"/>
      <c r="F8" s="498"/>
      <c r="G8" s="498"/>
      <c r="H8" s="498"/>
      <c r="I8" s="499"/>
      <c r="J8" s="5"/>
      <c r="K8" s="2"/>
      <c r="L8" s="2"/>
      <c r="M8" s="2"/>
      <c r="N8" s="2"/>
      <c r="O8" s="2"/>
      <c r="P8" s="2"/>
      <c r="Q8" s="2"/>
      <c r="R8" s="2"/>
      <c r="S8" s="2"/>
      <c r="T8" s="2"/>
      <c r="U8" s="2"/>
      <c r="V8" s="2"/>
      <c r="W8" s="2"/>
      <c r="X8" s="2"/>
      <c r="Y8" s="2"/>
      <c r="Z8" s="2"/>
      <c r="AA8" s="2"/>
      <c r="AB8" s="2"/>
      <c r="AC8" s="2"/>
    </row>
    <row r="9" spans="1:109" ht="15.75" customHeight="1">
      <c r="A9" s="256"/>
      <c r="B9" s="7"/>
      <c r="C9" s="485" t="s">
        <v>508</v>
      </c>
      <c r="D9" s="485"/>
      <c r="E9" s="485"/>
      <c r="F9" s="485"/>
      <c r="G9" s="485"/>
      <c r="H9" s="485"/>
      <c r="I9" s="485"/>
      <c r="J9" s="5"/>
      <c r="K9" s="2"/>
      <c r="L9" s="2"/>
      <c r="M9" s="2"/>
      <c r="N9" s="2"/>
      <c r="O9" s="2"/>
      <c r="P9" s="2"/>
      <c r="Q9" s="2"/>
      <c r="R9" s="2"/>
      <c r="S9" s="2"/>
      <c r="T9" s="2"/>
      <c r="U9" s="2"/>
      <c r="V9" s="2"/>
      <c r="W9" s="2"/>
      <c r="X9" s="2"/>
      <c r="Y9" s="2"/>
      <c r="Z9" s="2"/>
      <c r="AA9" s="2"/>
      <c r="AB9" s="2"/>
      <c r="AC9" s="2"/>
    </row>
    <row r="10" spans="1:109" ht="15.75" customHeight="1">
      <c r="A10" s="256"/>
      <c r="B10" s="7"/>
      <c r="C10" s="486"/>
      <c r="D10" s="486"/>
      <c r="E10" s="486"/>
      <c r="F10" s="486"/>
      <c r="G10" s="486"/>
      <c r="H10" s="486"/>
      <c r="I10" s="486"/>
      <c r="J10" s="5"/>
      <c r="K10" s="2"/>
      <c r="L10" s="2"/>
      <c r="M10" s="2"/>
      <c r="N10" s="2"/>
      <c r="O10" s="2"/>
      <c r="P10" s="2"/>
      <c r="Q10" s="2"/>
      <c r="R10" s="2"/>
      <c r="S10" s="2"/>
      <c r="T10" s="2"/>
      <c r="U10" s="2"/>
      <c r="V10" s="2"/>
      <c r="W10" s="2"/>
      <c r="X10" s="2"/>
      <c r="Y10" s="2"/>
      <c r="Z10" s="2"/>
      <c r="AA10" s="2"/>
      <c r="AB10" s="2"/>
      <c r="AC10" s="2"/>
    </row>
    <row r="11" spans="1:109">
      <c r="A11" s="257"/>
      <c r="B11" s="8"/>
      <c r="C11" s="8"/>
      <c r="D11" s="8"/>
      <c r="E11" s="8"/>
      <c r="F11" s="9"/>
      <c r="G11" s="9"/>
      <c r="H11" s="9"/>
      <c r="I11" s="9"/>
      <c r="J11" s="9"/>
      <c r="K11" s="2"/>
      <c r="L11" s="2"/>
      <c r="M11" s="2"/>
      <c r="N11" s="2"/>
      <c r="O11" s="2"/>
      <c r="P11" s="2"/>
      <c r="Q11" s="2"/>
      <c r="R11" s="2"/>
      <c r="S11" s="2"/>
      <c r="T11" s="2"/>
      <c r="U11" s="2"/>
      <c r="V11" s="2"/>
      <c r="W11" s="2"/>
      <c r="X11" s="2"/>
      <c r="Y11" s="2"/>
      <c r="Z11" s="2"/>
      <c r="AA11" s="2"/>
      <c r="AB11" s="2"/>
      <c r="AC11" s="2"/>
      <c r="DE11" s="413"/>
    </row>
    <row r="12" spans="1:109" ht="23" customHeight="1">
      <c r="A12" s="500" t="s">
        <v>1</v>
      </c>
      <c r="B12" s="501"/>
      <c r="C12" s="507" t="s">
        <v>65</v>
      </c>
      <c r="D12" s="508"/>
      <c r="E12" s="508"/>
      <c r="F12" s="508"/>
      <c r="G12" s="508"/>
      <c r="H12" s="151"/>
      <c r="I12" s="151"/>
      <c r="J12" s="151"/>
      <c r="K12" s="151"/>
      <c r="L12" s="2"/>
      <c r="M12" s="2"/>
      <c r="N12" s="2"/>
      <c r="O12" s="2"/>
      <c r="P12" s="2"/>
      <c r="Q12" s="2"/>
      <c r="R12" s="2"/>
      <c r="S12" s="2"/>
      <c r="T12" s="2"/>
      <c r="U12" s="2"/>
      <c r="V12" s="2"/>
      <c r="W12" s="2"/>
      <c r="X12" s="2"/>
      <c r="Y12" s="2"/>
      <c r="Z12" s="2"/>
      <c r="AA12" s="2"/>
      <c r="AB12" s="2"/>
      <c r="AC12" s="2"/>
      <c r="DE12" s="413"/>
    </row>
    <row r="13" spans="1:109">
      <c r="A13" s="505" t="s">
        <v>92</v>
      </c>
      <c r="B13" s="506"/>
      <c r="C13" s="483" t="s">
        <v>2</v>
      </c>
      <c r="D13" s="484"/>
      <c r="E13" s="484"/>
      <c r="F13" s="484"/>
      <c r="G13" s="15"/>
      <c r="H13" s="16"/>
      <c r="I13" s="16"/>
      <c r="J13" s="2"/>
      <c r="K13" s="2"/>
      <c r="L13" s="2"/>
      <c r="M13" s="2"/>
      <c r="N13" s="2"/>
      <c r="O13" s="2"/>
      <c r="P13" s="2"/>
      <c r="Q13" s="2"/>
      <c r="R13" s="2"/>
      <c r="S13" s="2"/>
      <c r="T13" s="2"/>
      <c r="U13" s="2"/>
      <c r="V13" s="2"/>
      <c r="W13" s="2"/>
      <c r="X13" s="2"/>
      <c r="Y13" s="2"/>
      <c r="Z13" s="2"/>
      <c r="AA13" s="2"/>
      <c r="AB13" s="2"/>
      <c r="AC13" s="2"/>
      <c r="DE13" s="413"/>
    </row>
    <row r="14" spans="1:109">
      <c r="A14" s="35"/>
      <c r="B14" s="35" t="s">
        <v>91</v>
      </c>
      <c r="C14" s="17" t="s">
        <v>93</v>
      </c>
      <c r="D14" s="17"/>
      <c r="E14" s="17"/>
      <c r="F14" s="17"/>
      <c r="G14" s="15"/>
      <c r="H14" s="16"/>
      <c r="I14" s="16"/>
      <c r="J14" s="2"/>
      <c r="K14" s="2"/>
      <c r="L14" s="2"/>
      <c r="M14" s="2"/>
      <c r="N14" s="2"/>
      <c r="O14" s="2"/>
      <c r="P14" s="2"/>
      <c r="Q14" s="2"/>
      <c r="R14" s="2"/>
      <c r="S14" s="2"/>
      <c r="T14" s="2"/>
      <c r="U14" s="2"/>
      <c r="V14" s="2"/>
      <c r="W14" s="2"/>
      <c r="X14" s="2"/>
      <c r="Y14" s="2"/>
      <c r="Z14" s="2"/>
      <c r="AA14" s="2"/>
      <c r="AB14" s="2"/>
      <c r="AC14" s="2"/>
      <c r="DE14" s="413"/>
    </row>
    <row r="15" spans="1:109" ht="18" customHeight="1">
      <c r="A15" s="35"/>
      <c r="B15" s="35" t="s">
        <v>528</v>
      </c>
      <c r="C15" s="507" t="s">
        <v>529</v>
      </c>
      <c r="D15" s="508"/>
      <c r="E15" s="508"/>
      <c r="F15" s="508"/>
      <c r="G15" s="508"/>
      <c r="I15" s="410">
        <v>13.5</v>
      </c>
      <c r="J15" s="2"/>
      <c r="K15" s="2"/>
      <c r="L15" s="2"/>
      <c r="M15" s="2"/>
      <c r="N15" s="2"/>
      <c r="O15" s="2"/>
      <c r="P15" s="2"/>
      <c r="Q15" s="2"/>
      <c r="R15" s="2"/>
      <c r="S15" s="2"/>
      <c r="T15" s="2"/>
      <c r="U15" s="2"/>
      <c r="V15" s="2"/>
      <c r="W15" s="2"/>
      <c r="X15" s="2"/>
      <c r="Y15" s="2"/>
      <c r="Z15" s="2"/>
      <c r="AA15" s="2"/>
      <c r="AB15" s="2"/>
      <c r="AC15" s="2"/>
      <c r="DE15" s="413"/>
    </row>
    <row r="16" spans="1:109">
      <c r="DE16" s="413"/>
    </row>
    <row r="17" spans="1:109" ht="19" thickBot="1">
      <c r="A17" s="464" t="s">
        <v>273</v>
      </c>
      <c r="B17" s="464"/>
      <c r="C17" s="464"/>
      <c r="D17" s="464"/>
      <c r="E17" s="464"/>
      <c r="F17" s="464"/>
      <c r="G17" s="464"/>
      <c r="H17" s="464"/>
      <c r="I17" s="464"/>
      <c r="J17" s="2"/>
      <c r="K17" s="9"/>
      <c r="L17" s="9"/>
      <c r="M17" s="9"/>
      <c r="N17" s="9"/>
      <c r="O17" s="18"/>
      <c r="P17" s="19"/>
      <c r="Q17" s="19"/>
      <c r="R17" s="2"/>
      <c r="DE17" s="413"/>
    </row>
    <row r="18" spans="1:109" ht="17" thickBot="1">
      <c r="A18" s="465" t="s">
        <v>9</v>
      </c>
      <c r="B18" s="466"/>
      <c r="C18" s="467"/>
      <c r="D18" s="11"/>
      <c r="E18" s="12"/>
      <c r="F18" s="13"/>
      <c r="G18" s="10"/>
      <c r="H18" s="9"/>
      <c r="I18" s="9"/>
      <c r="J18" s="9"/>
      <c r="K18" s="9"/>
      <c r="L18" s="9"/>
      <c r="M18" s="9"/>
      <c r="N18" s="9"/>
      <c r="O18" s="18"/>
      <c r="P18" s="19"/>
      <c r="Q18" s="19"/>
      <c r="R18" s="2"/>
      <c r="S18" s="2"/>
      <c r="T18" s="2"/>
      <c r="U18" s="2"/>
      <c r="V18" s="2"/>
      <c r="W18" s="2"/>
      <c r="X18" s="2"/>
      <c r="Y18" s="2"/>
      <c r="Z18" s="2"/>
      <c r="AA18" s="2"/>
      <c r="AB18" s="2"/>
      <c r="AC18" s="2"/>
      <c r="DE18" s="413"/>
    </row>
    <row r="19" spans="1:109" ht="17.25" customHeight="1">
      <c r="A19" s="279" t="s">
        <v>3</v>
      </c>
      <c r="B19" s="29" t="s">
        <v>11</v>
      </c>
      <c r="C19" s="28"/>
      <c r="D19" s="32"/>
      <c r="E19" s="32"/>
      <c r="F19" s="32"/>
      <c r="G19" s="32"/>
      <c r="H19" s="32"/>
      <c r="I19" s="32"/>
      <c r="J19" s="2"/>
      <c r="K19" s="24"/>
      <c r="L19" s="371"/>
      <c r="M19" s="23"/>
      <c r="N19" s="25"/>
      <c r="O19" s="26"/>
      <c r="P19" s="27"/>
      <c r="Q19" s="27"/>
      <c r="DE19" s="413"/>
    </row>
    <row r="20" spans="1:109" s="14" customFormat="1" ht="43.5" customHeight="1">
      <c r="A20" s="140" t="s">
        <v>4</v>
      </c>
      <c r="B20" s="63" t="s">
        <v>5</v>
      </c>
      <c r="C20" s="64" t="s">
        <v>12</v>
      </c>
      <c r="D20" s="64" t="s">
        <v>230</v>
      </c>
      <c r="E20" s="65" t="s">
        <v>62</v>
      </c>
      <c r="F20" s="66" t="s">
        <v>510</v>
      </c>
      <c r="G20" s="64" t="s">
        <v>511</v>
      </c>
      <c r="H20" s="67" t="s">
        <v>512</v>
      </c>
      <c r="I20" s="130" t="s">
        <v>513</v>
      </c>
      <c r="J20" s="24"/>
      <c r="K20" s="287"/>
      <c r="L20" s="288"/>
      <c r="M20" s="289"/>
      <c r="N20" s="25"/>
      <c r="O20" s="26"/>
      <c r="P20" s="27"/>
      <c r="Q20" s="27"/>
      <c r="DE20" s="413"/>
    </row>
    <row r="21" spans="1:109" ht="26.25" customHeight="1">
      <c r="A21" s="141"/>
      <c r="B21" s="70"/>
      <c r="C21" s="70"/>
      <c r="D21" s="22" t="s">
        <v>6</v>
      </c>
      <c r="E21" s="22" t="s">
        <v>7</v>
      </c>
      <c r="F21" s="22" t="s">
        <v>8</v>
      </c>
      <c r="G21" s="22" t="s">
        <v>63</v>
      </c>
      <c r="H21" s="22" t="s">
        <v>64</v>
      </c>
      <c r="I21" s="71" t="s">
        <v>442</v>
      </c>
      <c r="J21" s="2"/>
      <c r="K21" s="288"/>
      <c r="L21" s="288"/>
      <c r="M21" s="289"/>
      <c r="N21" s="25"/>
      <c r="O21" s="26"/>
      <c r="P21" s="27"/>
      <c r="Q21" s="27"/>
      <c r="DE21" s="413"/>
    </row>
    <row r="22" spans="1:109">
      <c r="A22" s="142">
        <v>1</v>
      </c>
      <c r="B22" s="72" t="s">
        <v>19</v>
      </c>
      <c r="C22" s="378">
        <v>1</v>
      </c>
      <c r="D22" s="378">
        <v>1</v>
      </c>
      <c r="E22" s="73">
        <f>'Utilisation rate workouts '!C9</f>
        <v>0.18519726116726443</v>
      </c>
      <c r="F22" s="409">
        <f>489393.14/I15</f>
        <v>36251.343703703707</v>
      </c>
      <c r="G22" s="390">
        <f>D22*F22</f>
        <v>36251.343703703707</v>
      </c>
      <c r="H22" s="390">
        <f>G22*'% of time allocation workouts'!G7</f>
        <v>6713.6495675590822</v>
      </c>
      <c r="I22" s="390">
        <f>H22/'Utilisation rate workouts '!C5</f>
        <v>1.9699675961147542</v>
      </c>
      <c r="J22" s="2"/>
      <c r="L22" s="288"/>
      <c r="M22" s="289"/>
      <c r="N22" s="25"/>
      <c r="O22" s="26"/>
      <c r="P22" s="27"/>
      <c r="Q22" s="27"/>
      <c r="DE22" s="413"/>
    </row>
    <row r="23" spans="1:109">
      <c r="A23" s="142">
        <v>2</v>
      </c>
      <c r="B23" s="75" t="s">
        <v>13</v>
      </c>
      <c r="C23" s="378">
        <v>6</v>
      </c>
      <c r="D23" s="378">
        <v>6</v>
      </c>
      <c r="E23" s="73">
        <f>'Utilisation rate workouts '!C9</f>
        <v>0.18519726116726443</v>
      </c>
      <c r="F23" s="389">
        <f>479765.15/I15</f>
        <v>35538.159259259264</v>
      </c>
      <c r="G23" s="390">
        <f t="shared" ref="G23:G33" si="0">D23*F23</f>
        <v>213228.95555555559</v>
      </c>
      <c r="H23" s="390">
        <f>G23*'% of time allocation workouts'!G20</f>
        <v>30651.662361111114</v>
      </c>
      <c r="I23" s="390">
        <f>H23/'Utilisation rate workouts '!C5</f>
        <v>8.9940323829551385</v>
      </c>
      <c r="J23" s="2"/>
      <c r="L23" s="288"/>
      <c r="M23" s="412"/>
      <c r="N23" s="25"/>
      <c r="O23" s="26"/>
      <c r="P23" s="27"/>
      <c r="Q23" s="27"/>
    </row>
    <row r="24" spans="1:109">
      <c r="A24" s="142">
        <v>3</v>
      </c>
      <c r="B24" s="75" t="s">
        <v>14</v>
      </c>
      <c r="C24" s="378">
        <v>5</v>
      </c>
      <c r="D24" s="378">
        <v>5</v>
      </c>
      <c r="E24" s="73">
        <f>'Utilisation rate workouts '!C9</f>
        <v>0.18519726116726443</v>
      </c>
      <c r="F24" s="389">
        <f>1344449/13.5</f>
        <v>99588.814814814818</v>
      </c>
      <c r="G24" s="390">
        <f t="shared" si="0"/>
        <v>497944.0740740741</v>
      </c>
      <c r="H24" s="390">
        <f>G24*'% of time allocation workouts'!G34</f>
        <v>39420.5725308642</v>
      </c>
      <c r="I24" s="390">
        <f>H24/'Utilisation rate workouts '!C5</f>
        <v>11.567069404596303</v>
      </c>
      <c r="J24" s="2"/>
      <c r="L24" s="288"/>
      <c r="M24" s="23"/>
      <c r="N24" s="25"/>
      <c r="O24" s="26"/>
      <c r="P24" s="27"/>
      <c r="Q24" s="27"/>
    </row>
    <row r="25" spans="1:109">
      <c r="A25" s="142">
        <v>4</v>
      </c>
      <c r="B25" s="72" t="s">
        <v>15</v>
      </c>
      <c r="C25" s="378">
        <v>5</v>
      </c>
      <c r="D25" s="378">
        <v>5</v>
      </c>
      <c r="E25" s="73">
        <f>'Utilisation rate workouts '!C9</f>
        <v>0.18519726116726443</v>
      </c>
      <c r="F25" s="389">
        <f>1017921.63/13.5</f>
        <v>75401.602222222224</v>
      </c>
      <c r="G25" s="390">
        <f t="shared" si="0"/>
        <v>377008.01111111115</v>
      </c>
      <c r="H25" s="390">
        <f>G25*'% of time allocation workouts'!G47</f>
        <v>39271.66782407408</v>
      </c>
      <c r="I25" s="390">
        <f>H25/'Utilisation rate workouts '!C5</f>
        <v>11.523376708941925</v>
      </c>
      <c r="J25" s="2"/>
      <c r="L25" s="288"/>
      <c r="M25" s="23"/>
      <c r="N25" s="25"/>
      <c r="O25" s="26"/>
      <c r="P25" s="27"/>
      <c r="Q25" s="27"/>
    </row>
    <row r="26" spans="1:109">
      <c r="A26" s="142">
        <v>5</v>
      </c>
      <c r="B26" s="72" t="s">
        <v>16</v>
      </c>
      <c r="C26" s="378">
        <v>7</v>
      </c>
      <c r="D26" s="378">
        <v>7</v>
      </c>
      <c r="E26" s="73">
        <f>'Utilisation rate workouts '!C9</f>
        <v>0.18519726116726443</v>
      </c>
      <c r="F26" s="389">
        <f>792998.15/13.5</f>
        <v>58740.603703703702</v>
      </c>
      <c r="G26" s="390">
        <f t="shared" si="0"/>
        <v>411184.22592592589</v>
      </c>
      <c r="H26" s="390">
        <f>G26*'% of time allocation workouts'!G60</f>
        <v>33408.718356481477</v>
      </c>
      <c r="I26" s="390">
        <f>H26/'Utilisation rate workouts '!C5</f>
        <v>9.8030276867609967</v>
      </c>
      <c r="J26" s="2"/>
      <c r="L26" s="288"/>
      <c r="M26" s="23"/>
      <c r="N26" s="25"/>
      <c r="O26" s="26"/>
      <c r="P26" s="27"/>
      <c r="Q26" s="27"/>
    </row>
    <row r="27" spans="1:109">
      <c r="A27" s="142">
        <v>6</v>
      </c>
      <c r="B27" s="72" t="s">
        <v>334</v>
      </c>
      <c r="C27" s="378">
        <v>3</v>
      </c>
      <c r="D27" s="378">
        <v>3</v>
      </c>
      <c r="E27" s="73">
        <f>'Utilisation rate workouts '!C9</f>
        <v>0.18519726116726443</v>
      </c>
      <c r="F27" s="389">
        <f>175963.68/13.5</f>
        <v>13034.346666666666</v>
      </c>
      <c r="G27" s="390">
        <f t="shared" si="0"/>
        <v>39103.040000000001</v>
      </c>
      <c r="H27" s="390">
        <f>G27*'% of time allocation workouts'!G73</f>
        <v>4399.0920000000006</v>
      </c>
      <c r="I27" s="390">
        <f>H27/'Utilisation rate workouts '!C5</f>
        <v>1.2908133802816903</v>
      </c>
      <c r="J27" s="2"/>
      <c r="L27" s="288"/>
      <c r="M27" s="23"/>
      <c r="N27" s="25"/>
      <c r="O27" s="26"/>
      <c r="P27" s="27"/>
      <c r="Q27" s="27"/>
    </row>
    <row r="28" spans="1:109">
      <c r="A28" s="142">
        <v>7</v>
      </c>
      <c r="B28" s="72" t="s">
        <v>17</v>
      </c>
      <c r="C28" s="378">
        <v>4</v>
      </c>
      <c r="D28" s="378">
        <v>4</v>
      </c>
      <c r="E28" s="76">
        <f>'Utilisation rate workouts '!C9</f>
        <v>0.18519726116726443</v>
      </c>
      <c r="F28" s="389">
        <f>430279/13.5</f>
        <v>31872.518518518518</v>
      </c>
      <c r="G28" s="390">
        <f t="shared" si="0"/>
        <v>127490.07407407407</v>
      </c>
      <c r="H28" s="390">
        <f>G28*'% of time allocation workouts'!G102</f>
        <v>2549.8014814814815</v>
      </c>
      <c r="I28" s="390">
        <f>H28/'Utilisation rate workouts '!C5</f>
        <v>0.74818118588071636</v>
      </c>
      <c r="J28" s="2"/>
      <c r="L28" s="24"/>
      <c r="M28" s="414"/>
      <c r="N28" s="25"/>
      <c r="O28" s="26"/>
      <c r="P28" s="27"/>
      <c r="Q28" s="27"/>
    </row>
    <row r="29" spans="1:109">
      <c r="A29" s="142">
        <v>8</v>
      </c>
      <c r="B29" s="72" t="s">
        <v>18</v>
      </c>
      <c r="C29" s="378">
        <v>4</v>
      </c>
      <c r="D29" s="378">
        <v>4</v>
      </c>
      <c r="E29" s="76">
        <f>'Utilisation rate workouts '!C9</f>
        <v>0.18519726116726443</v>
      </c>
      <c r="F29" s="389">
        <f>416577/13.5</f>
        <v>30857.555555555555</v>
      </c>
      <c r="G29" s="390">
        <f t="shared" si="0"/>
        <v>123430.22222222222</v>
      </c>
      <c r="H29" s="390">
        <f>G29*'% of time allocation workouts'!G102</f>
        <v>2468.6044444444447</v>
      </c>
      <c r="I29" s="390">
        <f>H29/'Utilisation rate workouts '!C5</f>
        <v>0.72435576421491921</v>
      </c>
      <c r="J29" s="2"/>
      <c r="L29" s="24"/>
      <c r="M29" s="23"/>
      <c r="N29" s="25"/>
      <c r="O29" s="26"/>
      <c r="P29" s="27"/>
      <c r="Q29" s="27"/>
    </row>
    <row r="30" spans="1:109" ht="15">
      <c r="A30" s="142">
        <v>9</v>
      </c>
      <c r="B30" s="77" t="s">
        <v>66</v>
      </c>
      <c r="C30" s="378">
        <v>3</v>
      </c>
      <c r="D30" s="378">
        <v>3</v>
      </c>
      <c r="E30" s="73">
        <f>'Utilisation rate workouts '!C9</f>
        <v>0.18519726116726443</v>
      </c>
      <c r="F30" s="389">
        <f>164400/13.5</f>
        <v>12177.777777777777</v>
      </c>
      <c r="G30" s="390">
        <f t="shared" si="0"/>
        <v>36533.333333333328</v>
      </c>
      <c r="H30" s="390">
        <f>G30*'% of time allocation workouts'!G86</f>
        <v>1826.6666666666665</v>
      </c>
      <c r="I30" s="390">
        <f>H30/'Utilisation rate workouts '!C5</f>
        <v>0.5359937402190923</v>
      </c>
      <c r="J30" s="2"/>
      <c r="L30" s="24"/>
      <c r="M30" s="23"/>
      <c r="N30" s="25"/>
      <c r="O30" s="26"/>
      <c r="P30" s="27"/>
      <c r="Q30" s="27"/>
    </row>
    <row r="31" spans="1:109">
      <c r="A31" s="142">
        <v>10</v>
      </c>
      <c r="B31" s="78" t="s">
        <v>67</v>
      </c>
      <c r="C31" s="378">
        <v>8</v>
      </c>
      <c r="D31" s="378">
        <v>8</v>
      </c>
      <c r="E31" s="76">
        <f>'Utilisation rate workouts '!C9</f>
        <v>0.18519726116726443</v>
      </c>
      <c r="F31" s="389">
        <f>447320/13.5</f>
        <v>33134.814814814818</v>
      </c>
      <c r="G31" s="390">
        <f t="shared" si="0"/>
        <v>265078.51851851854</v>
      </c>
      <c r="H31" s="390">
        <f>G31*'% of time allocation workouts'!G105</f>
        <v>9277.74814814815</v>
      </c>
      <c r="I31" s="390">
        <f>H31/'Utilisation rate workouts '!C5</f>
        <v>2.7223439401843161</v>
      </c>
      <c r="J31" s="2"/>
      <c r="L31" s="24"/>
      <c r="M31" s="23"/>
      <c r="N31" s="25"/>
      <c r="O31" s="26"/>
      <c r="P31" s="27"/>
      <c r="Q31" s="27"/>
    </row>
    <row r="32" spans="1:109" ht="15">
      <c r="A32" s="142">
        <v>11</v>
      </c>
      <c r="B32" s="77" t="s">
        <v>68</v>
      </c>
      <c r="C32" s="378">
        <v>8</v>
      </c>
      <c r="D32" s="378">
        <v>8</v>
      </c>
      <c r="E32" s="73">
        <f>'Utilisation rate workouts '!C9</f>
        <v>0.18519726116726443</v>
      </c>
      <c r="F32" s="389">
        <f>204000/13.5</f>
        <v>15111.111111111111</v>
      </c>
      <c r="G32" s="390">
        <f t="shared" si="0"/>
        <v>120888.88888888889</v>
      </c>
      <c r="H32" s="390">
        <f>G32*'% of time allocation workouts'!G105</f>
        <v>4231.1111111111113</v>
      </c>
      <c r="I32" s="390">
        <f>H32/'Utilisation rate workouts '!C5</f>
        <v>1.2415232133541994</v>
      </c>
      <c r="J32" s="2"/>
      <c r="L32" s="24"/>
      <c r="M32" s="23"/>
      <c r="N32" s="25"/>
      <c r="O32" s="26"/>
      <c r="P32" s="27"/>
      <c r="Q32" s="27"/>
    </row>
    <row r="33" spans="1:17" ht="15">
      <c r="A33" s="142">
        <v>12</v>
      </c>
      <c r="B33" s="77" t="s">
        <v>56</v>
      </c>
      <c r="C33" s="378">
        <v>2</v>
      </c>
      <c r="D33" s="378">
        <v>2</v>
      </c>
      <c r="E33" s="73">
        <f>'Utilisation rate workouts '!C9</f>
        <v>0.18519726116726443</v>
      </c>
      <c r="F33" s="389">
        <f>158000/13.5</f>
        <v>11703.703703703704</v>
      </c>
      <c r="G33" s="390">
        <f t="shared" si="0"/>
        <v>23407.407407407409</v>
      </c>
      <c r="H33" s="390">
        <f>G33*'% of time allocation workouts'!G99</f>
        <v>1609.2592592592596</v>
      </c>
      <c r="I33" s="390">
        <f>H33/'Utilisation rate workouts '!C5</f>
        <v>0.47220048687184846</v>
      </c>
      <c r="J33" s="2"/>
      <c r="L33" s="24"/>
      <c r="M33" s="23"/>
      <c r="N33" s="25"/>
      <c r="O33" s="26"/>
      <c r="P33" s="27"/>
      <c r="Q33" s="27"/>
    </row>
    <row r="34" spans="1:17">
      <c r="A34" s="502" t="s">
        <v>233</v>
      </c>
      <c r="B34" s="503"/>
      <c r="C34" s="503"/>
      <c r="D34" s="503"/>
      <c r="E34" s="503"/>
      <c r="F34" s="503"/>
      <c r="G34" s="504"/>
      <c r="H34" s="391">
        <f>SUM(H22:H33)</f>
        <v>175828.55375120105</v>
      </c>
      <c r="I34" s="392">
        <f>SUM(I22:I33)</f>
        <v>51.592885490375899</v>
      </c>
      <c r="J34" s="2"/>
      <c r="K34" s="24"/>
      <c r="L34" s="24"/>
      <c r="M34" s="23"/>
      <c r="N34" s="25"/>
      <c r="O34" s="26"/>
      <c r="P34" s="27"/>
      <c r="Q34" s="27"/>
    </row>
    <row r="35" spans="1:17" ht="17.25" customHeight="1">
      <c r="A35" s="475" t="s">
        <v>95</v>
      </c>
      <c r="B35" s="475"/>
      <c r="C35" s="475"/>
      <c r="D35" s="475"/>
      <c r="E35" s="475"/>
      <c r="F35" s="475"/>
      <c r="G35" s="475"/>
      <c r="H35" s="475"/>
      <c r="I35" s="61"/>
      <c r="J35" s="2"/>
      <c r="K35" s="24"/>
      <c r="L35" s="24"/>
      <c r="M35" s="23"/>
      <c r="N35" s="25"/>
      <c r="O35" s="26"/>
      <c r="P35" s="27"/>
      <c r="Q35" s="27"/>
    </row>
    <row r="36" spans="1:17" ht="45" customHeight="1">
      <c r="A36" s="259"/>
      <c r="B36" s="63"/>
      <c r="C36" s="63"/>
      <c r="D36" s="63"/>
      <c r="E36" s="63"/>
      <c r="F36" s="63"/>
      <c r="G36" s="130" t="s">
        <v>514</v>
      </c>
      <c r="H36" s="130" t="s">
        <v>515</v>
      </c>
      <c r="I36" s="130" t="s">
        <v>516</v>
      </c>
      <c r="J36" s="2"/>
      <c r="K36" s="24"/>
      <c r="L36" s="24"/>
      <c r="M36" s="23"/>
      <c r="N36" s="25"/>
      <c r="O36" s="26"/>
      <c r="P36" s="27"/>
      <c r="Q36" s="27"/>
    </row>
    <row r="37" spans="1:17" ht="24">
      <c r="A37" s="141"/>
      <c r="B37" s="69"/>
      <c r="C37" s="69"/>
      <c r="D37" s="69"/>
      <c r="E37" s="69"/>
      <c r="F37" s="69"/>
      <c r="G37" s="79" t="s">
        <v>6</v>
      </c>
      <c r="H37" s="79" t="s">
        <v>436</v>
      </c>
      <c r="I37" s="79" t="s">
        <v>443</v>
      </c>
      <c r="J37" s="2"/>
      <c r="K37" s="24"/>
      <c r="L37" s="24"/>
      <c r="M37" s="23"/>
      <c r="N37" s="25"/>
      <c r="O37" s="26"/>
      <c r="P37" s="27"/>
      <c r="Q37" s="27"/>
    </row>
    <row r="38" spans="1:17">
      <c r="A38" s="142">
        <v>13</v>
      </c>
      <c r="B38" s="72" t="s">
        <v>232</v>
      </c>
      <c r="C38" s="80"/>
      <c r="D38" s="75"/>
      <c r="E38" s="74"/>
      <c r="F38" s="74"/>
      <c r="G38" s="389">
        <f>564054.82/13.5</f>
        <v>41781.838518518518</v>
      </c>
      <c r="H38" s="393">
        <f>G38*'Utilisation rate workouts '!C9</f>
        <v>7737.882060162543</v>
      </c>
      <c r="I38" s="391">
        <f>H38/'Utilisation rate workouts '!C5</f>
        <v>2.2705052993434691</v>
      </c>
      <c r="J38" s="2"/>
      <c r="K38" s="24"/>
      <c r="L38" s="24"/>
      <c r="M38" s="23"/>
      <c r="N38" s="25"/>
      <c r="O38" s="26"/>
      <c r="P38" s="27"/>
      <c r="Q38" s="27"/>
    </row>
    <row r="39" spans="1:17" ht="17.25" customHeight="1">
      <c r="A39" s="475" t="s">
        <v>203</v>
      </c>
      <c r="B39" s="475"/>
      <c r="C39" s="475"/>
      <c r="D39" s="475"/>
      <c r="E39" s="475"/>
      <c r="F39" s="475"/>
      <c r="G39" s="475"/>
      <c r="H39" s="475"/>
      <c r="I39" s="61"/>
      <c r="J39" s="2"/>
      <c r="K39" s="24"/>
      <c r="L39" s="24"/>
      <c r="M39" s="23"/>
      <c r="N39" s="25"/>
      <c r="O39" s="26"/>
      <c r="P39" s="27"/>
      <c r="Q39" s="27"/>
    </row>
    <row r="40" spans="1:17" ht="49.5" customHeight="1">
      <c r="A40" s="259"/>
      <c r="B40" s="63"/>
      <c r="C40" s="63"/>
      <c r="D40" s="63"/>
      <c r="E40" s="63"/>
      <c r="F40" s="63"/>
      <c r="G40" s="64" t="s">
        <v>517</v>
      </c>
      <c r="H40" s="130" t="s">
        <v>518</v>
      </c>
      <c r="I40" s="130" t="s">
        <v>519</v>
      </c>
      <c r="J40" s="2"/>
      <c r="K40" s="24"/>
      <c r="L40" s="24"/>
      <c r="M40" s="23"/>
      <c r="N40" s="25"/>
      <c r="O40" s="26"/>
      <c r="P40" s="27"/>
      <c r="Q40" s="27"/>
    </row>
    <row r="41" spans="1:17" ht="26.25" customHeight="1">
      <c r="A41" s="143"/>
      <c r="B41" s="21"/>
      <c r="C41" s="21"/>
      <c r="D41" s="21"/>
      <c r="E41" s="21"/>
      <c r="F41" s="21"/>
      <c r="G41" s="79" t="s">
        <v>6</v>
      </c>
      <c r="H41" s="79" t="s">
        <v>436</v>
      </c>
      <c r="I41" s="79" t="s">
        <v>443</v>
      </c>
      <c r="J41" s="2"/>
      <c r="K41" s="24"/>
      <c r="L41" s="24"/>
      <c r="M41" s="23"/>
      <c r="N41" s="25"/>
      <c r="O41" s="26"/>
      <c r="P41" s="27"/>
      <c r="Q41" s="27"/>
    </row>
    <row r="42" spans="1:17" ht="18.75" customHeight="1">
      <c r="A42" s="142">
        <v>14</v>
      </c>
      <c r="B42" s="72" t="s">
        <v>90</v>
      </c>
      <c r="C42" s="80"/>
      <c r="D42" s="75"/>
      <c r="E42" s="81"/>
      <c r="F42" s="82"/>
      <c r="G42" s="420">
        <f>J82</f>
        <v>11995.354499488398</v>
      </c>
      <c r="H42" s="393">
        <f>G42*'Utilisation rate workouts '!C9</f>
        <v>2221.5068000356732</v>
      </c>
      <c r="I42" s="391">
        <f>H42/'Utilisation rate workouts '!C5</f>
        <v>0.65185058686492758</v>
      </c>
      <c r="J42" s="2"/>
      <c r="K42" s="24"/>
      <c r="L42" s="24"/>
      <c r="M42" s="23"/>
      <c r="N42" s="25"/>
      <c r="O42" s="26"/>
      <c r="P42" s="27"/>
      <c r="Q42" s="27"/>
    </row>
    <row r="43" spans="1:17" ht="19.5" customHeight="1">
      <c r="A43" s="475" t="s">
        <v>94</v>
      </c>
      <c r="B43" s="475"/>
      <c r="C43" s="475"/>
      <c r="D43" s="475"/>
      <c r="E43" s="475"/>
      <c r="F43" s="475"/>
      <c r="G43" s="475"/>
      <c r="H43" s="475"/>
      <c r="I43" s="61"/>
      <c r="J43" s="2"/>
      <c r="K43" s="24"/>
      <c r="L43" s="24"/>
      <c r="M43" s="23"/>
      <c r="N43" s="25"/>
      <c r="O43" s="26"/>
      <c r="P43" s="27"/>
      <c r="Q43" s="27"/>
    </row>
    <row r="44" spans="1:17" ht="28">
      <c r="A44" s="259"/>
      <c r="B44" s="63"/>
      <c r="C44" s="63"/>
      <c r="D44" s="63"/>
      <c r="E44" s="64" t="s">
        <v>520</v>
      </c>
      <c r="F44" s="64" t="s">
        <v>271</v>
      </c>
      <c r="G44" s="64" t="s">
        <v>113</v>
      </c>
      <c r="H44" s="64" t="s">
        <v>114</v>
      </c>
      <c r="I44" s="130" t="s">
        <v>521</v>
      </c>
      <c r="J44" s="2"/>
      <c r="K44" s="24"/>
      <c r="L44" s="24"/>
      <c r="M44" s="23"/>
      <c r="N44" s="25"/>
      <c r="O44" s="26"/>
      <c r="P44" s="27"/>
      <c r="Q44" s="27"/>
    </row>
    <row r="45" spans="1:17">
      <c r="A45" s="141"/>
      <c r="B45" s="69"/>
      <c r="C45" s="69"/>
      <c r="D45" s="69"/>
      <c r="E45" s="22" t="s">
        <v>6</v>
      </c>
      <c r="F45" s="22" t="s">
        <v>115</v>
      </c>
      <c r="G45" s="22" t="s">
        <v>8</v>
      </c>
      <c r="H45" s="22" t="s">
        <v>117</v>
      </c>
      <c r="I45" s="22" t="s">
        <v>116</v>
      </c>
      <c r="J45" s="2"/>
      <c r="K45" s="24"/>
      <c r="L45" s="24"/>
      <c r="M45" s="23"/>
      <c r="N45" s="25"/>
      <c r="O45" s="26"/>
      <c r="P45" s="27"/>
      <c r="Q45" s="27"/>
    </row>
    <row r="46" spans="1:17">
      <c r="A46" s="142"/>
      <c r="B46" s="83" t="s">
        <v>96</v>
      </c>
      <c r="C46" s="62"/>
      <c r="D46" s="60"/>
      <c r="E46" s="55"/>
      <c r="F46" s="84"/>
      <c r="G46" s="85"/>
      <c r="H46" s="58"/>
      <c r="I46" s="85"/>
      <c r="J46" s="2"/>
      <c r="K46" s="24"/>
      <c r="L46" s="24"/>
      <c r="M46" s="23"/>
      <c r="N46" s="25"/>
      <c r="O46" s="26"/>
      <c r="P46" s="27"/>
      <c r="Q46" s="27"/>
    </row>
    <row r="47" spans="1:17">
      <c r="A47" s="142">
        <v>15</v>
      </c>
      <c r="B47" s="86" t="s">
        <v>97</v>
      </c>
      <c r="C47" s="62"/>
      <c r="D47" s="60"/>
      <c r="E47" s="389">
        <f>36163360.89/13.5</f>
        <v>2678767.4733333332</v>
      </c>
      <c r="F47" s="56">
        <v>520923</v>
      </c>
      <c r="G47" s="56">
        <v>303369</v>
      </c>
      <c r="H47" s="56">
        <f>(G47*3)+(F47)</f>
        <v>1431030</v>
      </c>
      <c r="I47" s="390">
        <f>E47/H47</f>
        <v>1.8719156644747721</v>
      </c>
      <c r="J47" s="2"/>
      <c r="K47" s="24"/>
      <c r="L47" s="24"/>
      <c r="M47" s="23"/>
      <c r="N47" s="25"/>
      <c r="O47" s="26"/>
      <c r="P47" s="27"/>
      <c r="Q47" s="27"/>
    </row>
    <row r="48" spans="1:17">
      <c r="A48" s="142">
        <v>16</v>
      </c>
      <c r="B48" s="86" t="s">
        <v>98</v>
      </c>
      <c r="C48" s="62"/>
      <c r="D48" s="60"/>
      <c r="E48" s="389">
        <f>7230260.49/13.5</f>
        <v>535574.85111111111</v>
      </c>
      <c r="F48" s="56">
        <v>520923</v>
      </c>
      <c r="G48" s="56">
        <v>303369</v>
      </c>
      <c r="H48" s="56">
        <f t="shared" ref="H48:H64" si="1">(G48*3)+(F48)</f>
        <v>1431030</v>
      </c>
      <c r="I48" s="390">
        <f t="shared" ref="I48:I64" si="2">E48/H48</f>
        <v>0.37425829724821358</v>
      </c>
      <c r="J48" s="2"/>
      <c r="K48" s="24"/>
      <c r="L48" s="24"/>
      <c r="M48" s="23"/>
      <c r="N48" s="25"/>
      <c r="O48" s="26"/>
      <c r="P48" s="27"/>
      <c r="Q48" s="27"/>
    </row>
    <row r="49" spans="1:29">
      <c r="A49" s="142">
        <v>17</v>
      </c>
      <c r="B49" s="86" t="s">
        <v>99</v>
      </c>
      <c r="C49" s="62"/>
      <c r="D49" s="60"/>
      <c r="E49" s="389">
        <f>5948960.92/13.5</f>
        <v>440663.77185185184</v>
      </c>
      <c r="F49" s="56">
        <v>520923</v>
      </c>
      <c r="G49" s="56">
        <v>303369</v>
      </c>
      <c r="H49" s="56">
        <f t="shared" si="1"/>
        <v>1431030</v>
      </c>
      <c r="I49" s="390">
        <f t="shared" si="2"/>
        <v>0.30793468470392082</v>
      </c>
      <c r="J49" s="2"/>
      <c r="K49" s="24"/>
      <c r="L49" s="24"/>
      <c r="M49" s="23"/>
      <c r="N49" s="25"/>
      <c r="O49" s="26"/>
      <c r="P49" s="27"/>
      <c r="Q49" s="27"/>
    </row>
    <row r="50" spans="1:29">
      <c r="A50" s="142">
        <v>18</v>
      </c>
      <c r="B50" s="86" t="s">
        <v>100</v>
      </c>
      <c r="C50" s="62"/>
      <c r="D50" s="60"/>
      <c r="E50" s="389">
        <f>7325244.38/13.5</f>
        <v>542610.69481481484</v>
      </c>
      <c r="F50" s="56">
        <v>520923</v>
      </c>
      <c r="G50" s="56">
        <v>303369</v>
      </c>
      <c r="H50" s="56">
        <f t="shared" si="1"/>
        <v>1431030</v>
      </c>
      <c r="I50" s="390">
        <f t="shared" si="2"/>
        <v>0.37917492632216993</v>
      </c>
      <c r="J50" s="2"/>
      <c r="K50" s="24"/>
      <c r="L50" s="24"/>
      <c r="M50" s="23"/>
      <c r="N50" s="25"/>
      <c r="O50" s="26"/>
      <c r="P50" s="27"/>
      <c r="Q50" s="27"/>
    </row>
    <row r="51" spans="1:29">
      <c r="A51" s="142">
        <v>19</v>
      </c>
      <c r="B51" s="86" t="s">
        <v>101</v>
      </c>
      <c r="C51" s="62"/>
      <c r="D51" s="60"/>
      <c r="E51" s="389">
        <f>1136116.4/13.5</f>
        <v>84156.770370370359</v>
      </c>
      <c r="F51" s="56">
        <v>520923</v>
      </c>
      <c r="G51" s="56">
        <v>303369</v>
      </c>
      <c r="H51" s="56">
        <f t="shared" si="1"/>
        <v>1431030</v>
      </c>
      <c r="I51" s="390">
        <f t="shared" si="2"/>
        <v>5.880852977950872E-2</v>
      </c>
      <c r="J51" s="2"/>
      <c r="K51" s="24"/>
      <c r="L51" s="24"/>
      <c r="M51" s="23"/>
      <c r="N51" s="25"/>
      <c r="O51" s="26"/>
      <c r="P51" s="27"/>
      <c r="Q51" s="27"/>
    </row>
    <row r="52" spans="1:29">
      <c r="A52" s="142"/>
      <c r="B52" s="103" t="s">
        <v>462</v>
      </c>
      <c r="C52" s="62"/>
      <c r="D52" s="60"/>
      <c r="E52" s="394">
        <f>SUM(E47:E51)</f>
        <v>4281773.5614814823</v>
      </c>
      <c r="F52" s="56"/>
      <c r="G52" s="56"/>
      <c r="H52" s="56"/>
      <c r="I52" s="391">
        <f>SUM(I47:I51)</f>
        <v>2.9920921025285847</v>
      </c>
      <c r="J52" s="2"/>
      <c r="K52" s="24"/>
      <c r="L52" s="24"/>
      <c r="M52" s="23"/>
      <c r="N52" s="25"/>
      <c r="O52" s="26"/>
      <c r="P52" s="27"/>
      <c r="Q52" s="27"/>
    </row>
    <row r="53" spans="1:29" s="36" customFormat="1" ht="15" customHeight="1">
      <c r="A53" s="144"/>
      <c r="B53" s="83" t="s">
        <v>102</v>
      </c>
      <c r="C53" s="57"/>
      <c r="D53" s="57"/>
      <c r="E53" s="380"/>
      <c r="F53" s="57"/>
      <c r="G53" s="57"/>
      <c r="H53" s="58"/>
      <c r="I53" s="395"/>
      <c r="J53" s="2"/>
      <c r="K53" s="37"/>
      <c r="L53" s="37"/>
      <c r="M53" s="37"/>
      <c r="N53" s="37"/>
      <c r="O53" s="37"/>
      <c r="P53" s="37"/>
      <c r="Q53" s="37"/>
      <c r="R53" s="37"/>
      <c r="S53" s="37"/>
      <c r="T53" s="37"/>
      <c r="U53" s="37"/>
      <c r="V53" s="37"/>
      <c r="W53" s="37"/>
      <c r="X53" s="37"/>
      <c r="Y53" s="37"/>
      <c r="Z53" s="37"/>
      <c r="AA53" s="37"/>
      <c r="AB53" s="37"/>
      <c r="AC53" s="37"/>
    </row>
    <row r="54" spans="1:29">
      <c r="A54" s="95">
        <v>20</v>
      </c>
      <c r="B54" s="86" t="s">
        <v>103</v>
      </c>
      <c r="C54" s="58"/>
      <c r="D54" s="58"/>
      <c r="E54" s="389">
        <f>2078736.44/13.5</f>
        <v>153980.47703703702</v>
      </c>
      <c r="F54" s="56">
        <v>520923</v>
      </c>
      <c r="G54" s="56">
        <v>303369</v>
      </c>
      <c r="H54" s="56">
        <f t="shared" si="1"/>
        <v>1431030</v>
      </c>
      <c r="I54" s="390">
        <f t="shared" si="2"/>
        <v>0.10760115234274406</v>
      </c>
      <c r="J54" s="2"/>
      <c r="L54" s="136"/>
    </row>
    <row r="55" spans="1:29">
      <c r="A55" s="95">
        <v>21</v>
      </c>
      <c r="B55" s="86" t="s">
        <v>104</v>
      </c>
      <c r="C55" s="58"/>
      <c r="D55" s="58"/>
      <c r="E55" s="389">
        <f>23636.51/13.5</f>
        <v>1750.8525925925924</v>
      </c>
      <c r="F55" s="56">
        <v>520923</v>
      </c>
      <c r="G55" s="56">
        <v>303369</v>
      </c>
      <c r="H55" s="56">
        <f t="shared" si="1"/>
        <v>1431030</v>
      </c>
      <c r="I55" s="390">
        <f t="shared" si="2"/>
        <v>1.2234911864828777E-3</v>
      </c>
      <c r="J55" s="2"/>
      <c r="L55" s="4" t="s">
        <v>236</v>
      </c>
    </row>
    <row r="56" spans="1:29">
      <c r="A56" s="95">
        <v>22</v>
      </c>
      <c r="B56" s="86" t="s">
        <v>105</v>
      </c>
      <c r="C56" s="58"/>
      <c r="D56" s="58"/>
      <c r="E56" s="389">
        <f>4176117.51/13.5</f>
        <v>309342.03777777776</v>
      </c>
      <c r="F56" s="56">
        <v>520923</v>
      </c>
      <c r="G56" s="56">
        <v>303369</v>
      </c>
      <c r="H56" s="56">
        <f t="shared" si="1"/>
        <v>1431030</v>
      </c>
      <c r="I56" s="390">
        <f t="shared" si="2"/>
        <v>0.21616740234500867</v>
      </c>
      <c r="J56" s="2"/>
    </row>
    <row r="57" spans="1:29">
      <c r="A57" s="95">
        <v>23</v>
      </c>
      <c r="B57" s="86" t="s">
        <v>106</v>
      </c>
      <c r="C57" s="58"/>
      <c r="D57" s="58"/>
      <c r="E57" s="389">
        <f>6340.41/13.5</f>
        <v>469.65999999999997</v>
      </c>
      <c r="F57" s="56">
        <v>520923</v>
      </c>
      <c r="G57" s="56">
        <v>303369</v>
      </c>
      <c r="H57" s="56">
        <f t="shared" si="1"/>
        <v>1431030</v>
      </c>
      <c r="I57" s="390">
        <f t="shared" si="2"/>
        <v>3.2819717266584209E-4</v>
      </c>
      <c r="J57" s="2"/>
      <c r="K57" s="136"/>
    </row>
    <row r="58" spans="1:29">
      <c r="A58" s="95">
        <v>24</v>
      </c>
      <c r="B58" s="86" t="s">
        <v>107</v>
      </c>
      <c r="C58" s="58"/>
      <c r="D58" s="58"/>
      <c r="E58" s="389">
        <f>0/13.5</f>
        <v>0</v>
      </c>
      <c r="F58" s="56">
        <v>520923</v>
      </c>
      <c r="G58" s="56">
        <v>303369</v>
      </c>
      <c r="H58" s="56">
        <f t="shared" si="1"/>
        <v>1431030</v>
      </c>
      <c r="I58" s="390">
        <f t="shared" si="2"/>
        <v>0</v>
      </c>
      <c r="J58" s="2"/>
    </row>
    <row r="59" spans="1:29">
      <c r="A59" s="142"/>
      <c r="B59" s="103" t="s">
        <v>462</v>
      </c>
      <c r="C59" s="62"/>
      <c r="D59" s="60"/>
      <c r="E59" s="394">
        <f>SUM(E54:E58)</f>
        <v>465543.02740740735</v>
      </c>
      <c r="F59" s="56"/>
      <c r="G59" s="56"/>
      <c r="H59" s="56"/>
      <c r="I59" s="391">
        <f>SUM(I54:I58)</f>
        <v>0.32532024304690144</v>
      </c>
      <c r="J59" s="2"/>
      <c r="K59" s="24"/>
      <c r="L59" s="24"/>
      <c r="M59" s="23"/>
      <c r="N59" s="25"/>
      <c r="O59" s="26"/>
      <c r="P59" s="27"/>
      <c r="Q59" s="27"/>
    </row>
    <row r="60" spans="1:29">
      <c r="A60" s="95"/>
      <c r="B60" s="83" t="s">
        <v>108</v>
      </c>
      <c r="C60" s="58"/>
      <c r="D60" s="58"/>
      <c r="E60" s="380"/>
      <c r="F60" s="58"/>
      <c r="G60" s="58"/>
      <c r="H60" s="58"/>
      <c r="I60" s="396"/>
      <c r="J60" s="2"/>
      <c r="K60" s="136"/>
    </row>
    <row r="61" spans="1:29">
      <c r="A61" s="95">
        <v>25</v>
      </c>
      <c r="B61" s="86" t="s">
        <v>109</v>
      </c>
      <c r="C61" s="58"/>
      <c r="D61" s="58"/>
      <c r="E61" s="389">
        <f>4718004.22/13.5</f>
        <v>349481.79407407407</v>
      </c>
      <c r="F61" s="56">
        <v>520923</v>
      </c>
      <c r="G61" s="56">
        <v>303369</v>
      </c>
      <c r="H61" s="56">
        <f t="shared" si="1"/>
        <v>1431030</v>
      </c>
      <c r="I61" s="390">
        <f t="shared" si="2"/>
        <v>0.24421695846633129</v>
      </c>
      <c r="J61" s="2"/>
      <c r="K61" s="136"/>
    </row>
    <row r="62" spans="1:29">
      <c r="A62" s="95">
        <v>26</v>
      </c>
      <c r="B62" s="86" t="s">
        <v>110</v>
      </c>
      <c r="C62" s="58"/>
      <c r="D62" s="58"/>
      <c r="E62" s="389">
        <f>18955908.17/13.5</f>
        <v>1404141.345925926</v>
      </c>
      <c r="F62" s="56">
        <v>520923</v>
      </c>
      <c r="G62" s="56">
        <v>303369</v>
      </c>
      <c r="H62" s="56">
        <f t="shared" si="1"/>
        <v>1431030</v>
      </c>
      <c r="I62" s="390">
        <f t="shared" si="2"/>
        <v>0.981210279257546</v>
      </c>
      <c r="J62" s="2"/>
      <c r="L62" s="136"/>
    </row>
    <row r="63" spans="1:29">
      <c r="A63" s="95">
        <v>27</v>
      </c>
      <c r="B63" s="86" t="s">
        <v>111</v>
      </c>
      <c r="C63" s="58"/>
      <c r="D63" s="58"/>
      <c r="E63" s="389">
        <f>13740300.92/13.5</f>
        <v>1017800.0681481481</v>
      </c>
      <c r="F63" s="56">
        <v>520923</v>
      </c>
      <c r="G63" s="56">
        <v>303369</v>
      </c>
      <c r="H63" s="56">
        <f t="shared" si="1"/>
        <v>1431030</v>
      </c>
      <c r="I63" s="390">
        <f t="shared" si="2"/>
        <v>0.7112360105295823</v>
      </c>
      <c r="J63" s="2"/>
      <c r="K63" s="136"/>
    </row>
    <row r="64" spans="1:29">
      <c r="A64" s="95">
        <v>28</v>
      </c>
      <c r="B64" s="86" t="s">
        <v>112</v>
      </c>
      <c r="C64" s="58"/>
      <c r="D64" s="58"/>
      <c r="E64" s="389">
        <f>1448356.06/13.5</f>
        <v>107285.63407407409</v>
      </c>
      <c r="F64" s="56">
        <v>520923</v>
      </c>
      <c r="G64" s="56">
        <v>303369</v>
      </c>
      <c r="H64" s="56">
        <f t="shared" si="1"/>
        <v>1431030</v>
      </c>
      <c r="I64" s="390">
        <f t="shared" si="2"/>
        <v>7.4970918900424233E-2</v>
      </c>
      <c r="J64" s="2"/>
      <c r="K64" s="136"/>
    </row>
    <row r="65" spans="1:18">
      <c r="A65" s="142"/>
      <c r="B65" s="103" t="s">
        <v>462</v>
      </c>
      <c r="C65" s="62"/>
      <c r="D65" s="60"/>
      <c r="E65" s="394">
        <f>SUM(E61:E64)</f>
        <v>2878708.8422222226</v>
      </c>
      <c r="F65" s="56"/>
      <c r="G65" s="56"/>
      <c r="H65" s="56"/>
      <c r="I65" s="391">
        <f>SUM(I61:I64)</f>
        <v>2.011634167153884</v>
      </c>
      <c r="J65" s="2"/>
      <c r="K65" s="24"/>
      <c r="L65" s="24"/>
      <c r="M65" s="23"/>
      <c r="N65" s="25"/>
      <c r="O65" s="26"/>
      <c r="P65" s="27"/>
      <c r="Q65" s="27"/>
    </row>
    <row r="66" spans="1:18" ht="19.5" customHeight="1">
      <c r="A66" s="471" t="s">
        <v>235</v>
      </c>
      <c r="B66" s="471"/>
      <c r="C66" s="58"/>
      <c r="D66" s="58"/>
      <c r="E66" s="397">
        <f>SUM(E52+E59+E65)</f>
        <v>7626025.4311111122</v>
      </c>
      <c r="F66" s="139"/>
      <c r="G66" s="139"/>
      <c r="H66" s="139"/>
      <c r="I66" s="397">
        <f>SUM(I52+I59+I65)</f>
        <v>5.32904651272937</v>
      </c>
      <c r="J66" s="2"/>
      <c r="K66" s="136"/>
      <c r="L66" s="136"/>
    </row>
    <row r="67" spans="1:18" ht="19.5" customHeight="1">
      <c r="A67" s="472" t="s">
        <v>589</v>
      </c>
      <c r="B67" s="473"/>
      <c r="C67" s="474"/>
      <c r="D67" s="58"/>
      <c r="E67" s="397">
        <f>I66*'Utilisation rate workouts '!C5</f>
        <v>18161.390515381692</v>
      </c>
      <c r="F67" s="139"/>
      <c r="G67" s="139"/>
      <c r="H67" s="139"/>
      <c r="I67" s="397"/>
      <c r="J67" s="2"/>
      <c r="K67" s="136"/>
      <c r="L67" s="136"/>
    </row>
    <row r="68" spans="1:18" ht="17.25" customHeight="1">
      <c r="A68" s="458" t="s">
        <v>120</v>
      </c>
      <c r="B68" s="458"/>
      <c r="C68" s="458"/>
      <c r="D68" s="458"/>
      <c r="E68" s="458"/>
      <c r="F68" s="458"/>
      <c r="G68" s="458"/>
      <c r="H68" s="458"/>
      <c r="I68" s="32"/>
      <c r="J68" s="2"/>
      <c r="K68" s="24"/>
      <c r="L68" s="24"/>
      <c r="M68" s="23"/>
      <c r="N68" s="25"/>
      <c r="O68" s="26"/>
      <c r="P68" s="27"/>
      <c r="Q68" s="27"/>
    </row>
    <row r="69" spans="1:18" ht="38.25" customHeight="1">
      <c r="A69" s="260"/>
      <c r="B69" s="31"/>
      <c r="C69" s="31"/>
      <c r="D69" s="31"/>
      <c r="E69" s="31"/>
      <c r="F69" s="128"/>
      <c r="G69" s="128" t="s">
        <v>522</v>
      </c>
      <c r="H69" s="128" t="s">
        <v>437</v>
      </c>
      <c r="I69" s="128" t="s">
        <v>523</v>
      </c>
      <c r="J69" s="2"/>
      <c r="K69" s="24"/>
      <c r="L69" s="24"/>
      <c r="M69" s="23"/>
      <c r="N69" s="25"/>
      <c r="O69" s="26"/>
      <c r="P69" s="27"/>
      <c r="Q69" s="27"/>
    </row>
    <row r="70" spans="1:18">
      <c r="A70" s="141"/>
      <c r="B70" s="69"/>
      <c r="C70" s="69"/>
      <c r="D70" s="69"/>
      <c r="E70" s="69"/>
      <c r="F70" s="79"/>
      <c r="G70" s="79" t="s">
        <v>6</v>
      </c>
      <c r="H70" s="79" t="s">
        <v>115</v>
      </c>
      <c r="I70" s="79" t="s">
        <v>118</v>
      </c>
      <c r="J70" s="2"/>
      <c r="K70" s="24"/>
      <c r="L70" s="24"/>
      <c r="M70" s="23"/>
      <c r="N70" s="25"/>
      <c r="O70" s="26"/>
      <c r="P70" s="27"/>
      <c r="Q70" s="27"/>
    </row>
    <row r="71" spans="1:18">
      <c r="A71" s="95">
        <v>29</v>
      </c>
      <c r="B71" s="87" t="s">
        <v>119</v>
      </c>
      <c r="C71" s="68"/>
      <c r="D71" s="68"/>
      <c r="E71" s="68"/>
      <c r="F71" s="55"/>
      <c r="G71" s="398">
        <f>316500/13.5</f>
        <v>23444.444444444445</v>
      </c>
      <c r="H71" s="68">
        <f>'Utilisation rate workouts '!B5</f>
        <v>668</v>
      </c>
      <c r="I71" s="397">
        <f>G71/H71</f>
        <v>35.096473719228214</v>
      </c>
      <c r="J71" s="2"/>
    </row>
    <row r="72" spans="1:18" ht="17.25" customHeight="1">
      <c r="A72" s="458" t="s">
        <v>592</v>
      </c>
      <c r="B72" s="458"/>
      <c r="C72" s="458"/>
      <c r="D72" s="458"/>
      <c r="E72" s="458"/>
      <c r="F72" s="458"/>
      <c r="G72" s="458"/>
      <c r="H72" s="458"/>
      <c r="I72" s="32"/>
      <c r="J72" s="2"/>
      <c r="K72" s="24"/>
      <c r="L72" s="24"/>
      <c r="M72" s="23"/>
      <c r="N72" s="25"/>
      <c r="O72" s="26"/>
      <c r="P72" s="27"/>
      <c r="Q72" s="27"/>
    </row>
    <row r="73" spans="1:18" ht="44" customHeight="1">
      <c r="A73" s="260"/>
      <c r="B73" s="31"/>
      <c r="C73" s="31"/>
      <c r="D73" s="31"/>
      <c r="E73" s="128" t="s">
        <v>524</v>
      </c>
      <c r="F73" s="128" t="s">
        <v>444</v>
      </c>
      <c r="G73" s="128" t="s">
        <v>525</v>
      </c>
      <c r="H73" s="128" t="s">
        <v>526</v>
      </c>
      <c r="I73" s="31" t="s">
        <v>527</v>
      </c>
      <c r="J73" s="2"/>
      <c r="K73" s="24"/>
      <c r="L73" s="24"/>
      <c r="M73" s="23"/>
      <c r="N73" s="25"/>
      <c r="O73" s="26"/>
      <c r="P73" s="27"/>
      <c r="Q73" s="27"/>
    </row>
    <row r="74" spans="1:18">
      <c r="A74" s="141"/>
      <c r="B74" s="69"/>
      <c r="C74" s="69"/>
      <c r="D74" s="69"/>
      <c r="E74" s="79" t="s">
        <v>6</v>
      </c>
      <c r="F74" s="79" t="s">
        <v>115</v>
      </c>
      <c r="G74" s="79" t="s">
        <v>118</v>
      </c>
      <c r="H74" s="79" t="s">
        <v>234</v>
      </c>
      <c r="I74" s="79" t="s">
        <v>64</v>
      </c>
      <c r="J74" s="2"/>
      <c r="K74" s="24"/>
      <c r="L74" s="24"/>
      <c r="M74" s="23"/>
      <c r="N74" s="25"/>
      <c r="O74" s="26"/>
      <c r="P74" s="27"/>
      <c r="Q74" s="27"/>
    </row>
    <row r="75" spans="1:18" ht="15" thickBot="1">
      <c r="A75" s="95">
        <v>30</v>
      </c>
      <c r="B75" s="87" t="s">
        <v>121</v>
      </c>
      <c r="C75" s="68"/>
      <c r="D75" s="68"/>
      <c r="E75" s="389">
        <f>161817/13.5</f>
        <v>11986.444444444445</v>
      </c>
      <c r="F75" s="68">
        <f>'Utilisation rate workouts '!B5</f>
        <v>668</v>
      </c>
      <c r="G75" s="390">
        <f>E75/F75</f>
        <v>17.943779108449768</v>
      </c>
      <c r="H75" s="399">
        <f>G75*12</f>
        <v>215.32534930139721</v>
      </c>
      <c r="I75" s="397">
        <f>H75*F75</f>
        <v>143837.33333333334</v>
      </c>
      <c r="J75" s="2"/>
      <c r="K75" s="129"/>
    </row>
    <row r="76" spans="1:18" ht="20" customHeight="1" thickBot="1">
      <c r="A76" s="465" t="s">
        <v>122</v>
      </c>
      <c r="B76" s="476"/>
      <c r="C76" s="125"/>
      <c r="D76" s="125"/>
      <c r="E76" s="125"/>
      <c r="F76" s="125"/>
      <c r="G76" s="125"/>
      <c r="H76" s="125"/>
      <c r="I76" s="125"/>
      <c r="J76" s="2"/>
    </row>
    <row r="77" spans="1:18">
      <c r="A77" s="477" t="s">
        <v>10</v>
      </c>
      <c r="B77" s="477"/>
      <c r="C77" s="477"/>
      <c r="D77" s="20"/>
      <c r="E77" s="20"/>
      <c r="F77" s="20"/>
      <c r="G77" s="20"/>
      <c r="H77" s="123"/>
      <c r="I77" s="123"/>
      <c r="J77" s="123"/>
      <c r="K77" s="9"/>
      <c r="L77" s="9"/>
      <c r="M77" s="9"/>
      <c r="N77" s="9"/>
      <c r="O77" s="18"/>
      <c r="P77" s="19"/>
      <c r="Q77" s="19"/>
      <c r="R77" s="2"/>
    </row>
    <row r="78" spans="1:18" ht="17.25" customHeight="1">
      <c r="A78" s="458" t="s">
        <v>123</v>
      </c>
      <c r="B78" s="458"/>
      <c r="C78" s="458"/>
      <c r="D78" s="458"/>
      <c r="E78" s="458"/>
      <c r="F78" s="458"/>
      <c r="G78" s="458"/>
      <c r="H78" s="458"/>
      <c r="I78" s="210">
        <v>20</v>
      </c>
      <c r="J78" s="32"/>
      <c r="K78" s="24"/>
      <c r="L78" s="24"/>
      <c r="M78" s="23"/>
      <c r="N78" s="25"/>
      <c r="O78" s="26"/>
      <c r="P78" s="27"/>
      <c r="Q78" s="27"/>
    </row>
    <row r="79" spans="1:18" ht="38.25" customHeight="1">
      <c r="A79" s="260"/>
      <c r="B79" s="31"/>
      <c r="C79" s="30" t="s">
        <v>129</v>
      </c>
      <c r="D79" s="30" t="s">
        <v>124</v>
      </c>
      <c r="E79" s="30" t="s">
        <v>132</v>
      </c>
      <c r="F79" s="30" t="s">
        <v>545</v>
      </c>
      <c r="G79" s="30" t="s">
        <v>546</v>
      </c>
      <c r="H79" s="30" t="s">
        <v>547</v>
      </c>
      <c r="I79" s="128" t="s">
        <v>130</v>
      </c>
      <c r="J79" s="128" t="s">
        <v>126</v>
      </c>
      <c r="K79" s="30" t="s">
        <v>553</v>
      </c>
      <c r="L79" s="30" t="s">
        <v>552</v>
      </c>
      <c r="M79" s="23"/>
      <c r="N79" s="25"/>
      <c r="O79" s="26"/>
      <c r="P79" s="27"/>
      <c r="Q79" s="27"/>
    </row>
    <row r="80" spans="1:18" ht="18" customHeight="1">
      <c r="A80" s="141"/>
      <c r="B80" s="69"/>
      <c r="C80" s="79" t="s">
        <v>6</v>
      </c>
      <c r="D80" s="79" t="s">
        <v>115</v>
      </c>
      <c r="E80" s="79" t="s">
        <v>134</v>
      </c>
      <c r="F80" s="79" t="s">
        <v>133</v>
      </c>
      <c r="G80" s="79" t="s">
        <v>135</v>
      </c>
      <c r="H80" s="79" t="s">
        <v>137</v>
      </c>
      <c r="I80" s="79" t="s">
        <v>138</v>
      </c>
      <c r="J80" s="79" t="s">
        <v>139</v>
      </c>
      <c r="K80" s="79" t="s">
        <v>136</v>
      </c>
      <c r="L80" s="79" t="s">
        <v>439</v>
      </c>
      <c r="M80" s="23"/>
      <c r="N80" s="25"/>
      <c r="O80" s="26"/>
      <c r="P80" s="27"/>
      <c r="Q80" s="27"/>
    </row>
    <row r="81" spans="1:158">
      <c r="A81" s="95">
        <v>31</v>
      </c>
      <c r="B81" s="68" t="s">
        <v>131</v>
      </c>
      <c r="C81" s="379">
        <v>623</v>
      </c>
      <c r="D81" s="76">
        <f>'Utilisation rate workouts '!C9</f>
        <v>0.18519726116726443</v>
      </c>
      <c r="E81" s="89">
        <f>C81*D81</f>
        <v>115.37789370720574</v>
      </c>
      <c r="F81" s="389">
        <f>38670/13.5</f>
        <v>2864.4444444444443</v>
      </c>
      <c r="G81" s="396">
        <f>F81*E81</f>
        <v>330493.56664130709</v>
      </c>
      <c r="H81" s="396">
        <f>((10/100)*K81)/12</f>
        <v>185.1255666696394</v>
      </c>
      <c r="I81" s="68">
        <f>IF(I78=30,19.6004, IF(I78=20,14.877,IF(I78=15,11.9379,IF(I78=10,8.5302,IF(I78=5,4.5797,IF(I78=2,1.9135))))))</f>
        <v>14.877000000000001</v>
      </c>
      <c r="J81" s="397">
        <f>H81*12</f>
        <v>2221.5068000356728</v>
      </c>
      <c r="K81" s="397">
        <f>G81/I81</f>
        <v>22215.068000356729</v>
      </c>
      <c r="L81" s="397">
        <f>K81/'Utilisation rate workouts '!C5</f>
        <v>6.5185058686492745</v>
      </c>
    </row>
    <row r="82" spans="1:158">
      <c r="A82" s="95"/>
      <c r="B82" s="58"/>
      <c r="C82" s="90" t="s">
        <v>128</v>
      </c>
      <c r="D82" s="90">
        <v>1</v>
      </c>
      <c r="E82" s="379">
        <v>623</v>
      </c>
      <c r="F82" s="389">
        <f>38670/13.5</f>
        <v>2864.4444444444443</v>
      </c>
      <c r="G82" s="396">
        <f>E82*F82</f>
        <v>1784548.8888888888</v>
      </c>
      <c r="H82" s="396">
        <f>((10/100)*K82)/12</f>
        <v>999.61287495736644</v>
      </c>
      <c r="I82" s="68">
        <v>14.877000000000001</v>
      </c>
      <c r="J82" s="397">
        <f>H82*12</f>
        <v>11995.354499488398</v>
      </c>
      <c r="K82" s="397">
        <f>G82/I82</f>
        <v>119953.54499488397</v>
      </c>
      <c r="L82" s="401"/>
    </row>
    <row r="83" spans="1:158" ht="17.25" customHeight="1">
      <c r="A83" s="458" t="s">
        <v>141</v>
      </c>
      <c r="B83" s="458"/>
      <c r="C83" s="458"/>
      <c r="D83" s="458"/>
      <c r="E83" s="458"/>
      <c r="F83" s="458"/>
      <c r="G83" s="458"/>
      <c r="H83" s="458"/>
      <c r="I83" s="33"/>
      <c r="J83" s="33"/>
      <c r="K83" s="33"/>
      <c r="L83" s="33"/>
      <c r="M83" s="23"/>
      <c r="N83" s="25"/>
      <c r="O83" s="26"/>
      <c r="P83" s="27"/>
      <c r="Q83" s="27"/>
    </row>
    <row r="84" spans="1:158" ht="16">
      <c r="A84" s="40"/>
      <c r="B84" s="38" t="s">
        <v>142</v>
      </c>
      <c r="C84" s="39"/>
      <c r="D84" s="40"/>
      <c r="E84" s="40"/>
      <c r="F84" s="41"/>
      <c r="G84" s="40"/>
      <c r="H84" s="42"/>
      <c r="I84" s="40"/>
      <c r="J84" s="40"/>
      <c r="K84" s="40"/>
      <c r="L84" s="40"/>
      <c r="M84" s="40"/>
    </row>
    <row r="85" spans="1:158" s="52" customFormat="1" ht="35" customHeight="1">
      <c r="A85" s="261"/>
      <c r="B85" s="91" t="s">
        <v>143</v>
      </c>
      <c r="C85" s="92" t="s">
        <v>144</v>
      </c>
      <c r="D85" s="91" t="s">
        <v>555</v>
      </c>
      <c r="E85" s="91" t="s">
        <v>125</v>
      </c>
      <c r="F85" s="93" t="s">
        <v>556</v>
      </c>
      <c r="G85" s="91" t="s">
        <v>145</v>
      </c>
      <c r="H85" s="94" t="s">
        <v>146</v>
      </c>
      <c r="I85" s="131" t="s">
        <v>557</v>
      </c>
      <c r="J85" s="91" t="s">
        <v>553</v>
      </c>
      <c r="K85" s="91" t="s">
        <v>147</v>
      </c>
      <c r="L85" s="91" t="s">
        <v>558</v>
      </c>
      <c r="M85" s="135" t="s">
        <v>551</v>
      </c>
      <c r="N85" s="53"/>
      <c r="O85" s="53"/>
      <c r="P85" s="53"/>
      <c r="Q85" s="53"/>
      <c r="R85" s="53"/>
      <c r="S85" s="53"/>
      <c r="T85" s="53"/>
      <c r="U85" s="53"/>
      <c r="V85" s="53"/>
      <c r="W85" s="53"/>
      <c r="X85" s="53"/>
      <c r="Y85" s="53"/>
      <c r="Z85" s="53"/>
      <c r="AA85" s="53"/>
      <c r="AB85" s="53"/>
      <c r="AC85" s="53"/>
      <c r="AD85" s="53"/>
      <c r="AE85" s="53"/>
      <c r="AF85" s="53"/>
      <c r="AG85" s="53"/>
      <c r="AH85" s="53"/>
      <c r="AI85" s="53"/>
      <c r="AJ85" s="53"/>
      <c r="AK85" s="53"/>
      <c r="AL85" s="53"/>
      <c r="AM85" s="53"/>
      <c r="AN85" s="53"/>
      <c r="AO85" s="53"/>
      <c r="AP85" s="53"/>
      <c r="AQ85" s="53"/>
      <c r="AR85" s="53"/>
      <c r="AS85" s="53"/>
      <c r="AT85" s="53"/>
      <c r="AU85" s="53"/>
      <c r="AV85" s="53"/>
      <c r="AW85" s="53"/>
      <c r="AX85" s="53"/>
      <c r="AY85" s="53"/>
      <c r="AZ85" s="53"/>
      <c r="BA85" s="53"/>
      <c r="BB85" s="53"/>
      <c r="BC85" s="53"/>
      <c r="BD85" s="53"/>
      <c r="BE85" s="53"/>
      <c r="BF85" s="53"/>
      <c r="BG85" s="53"/>
      <c r="BH85" s="53"/>
      <c r="BI85" s="53"/>
      <c r="BJ85" s="53"/>
      <c r="BK85" s="53"/>
      <c r="BL85" s="53"/>
      <c r="BM85" s="53"/>
      <c r="BN85" s="53"/>
      <c r="BO85" s="53"/>
      <c r="BP85" s="53"/>
      <c r="BQ85" s="53"/>
      <c r="BR85" s="53"/>
      <c r="BS85" s="53"/>
      <c r="BT85" s="53"/>
      <c r="BU85" s="53"/>
      <c r="BV85" s="53"/>
      <c r="BW85" s="53"/>
      <c r="BX85" s="53"/>
      <c r="BY85" s="53"/>
      <c r="BZ85" s="53"/>
      <c r="CA85" s="53"/>
      <c r="CB85" s="53"/>
      <c r="CC85" s="53"/>
      <c r="CD85" s="53"/>
      <c r="CE85" s="53"/>
      <c r="CF85" s="53"/>
      <c r="CG85" s="53"/>
      <c r="CH85" s="53"/>
      <c r="CI85" s="53"/>
      <c r="CJ85" s="53"/>
      <c r="CK85" s="53"/>
      <c r="CL85" s="53"/>
      <c r="CM85" s="53"/>
      <c r="CN85" s="53"/>
      <c r="CO85" s="53"/>
      <c r="CP85" s="53"/>
      <c r="CQ85" s="53"/>
      <c r="CR85" s="53"/>
      <c r="CS85" s="53"/>
      <c r="CT85" s="53"/>
      <c r="CU85" s="53"/>
      <c r="CV85" s="53"/>
      <c r="CW85" s="53"/>
      <c r="CX85" s="53"/>
      <c r="CY85" s="53"/>
      <c r="CZ85" s="53"/>
      <c r="DA85" s="53"/>
      <c r="DB85" s="53"/>
      <c r="DC85" s="53"/>
      <c r="DD85" s="53"/>
      <c r="DE85" s="53"/>
      <c r="DF85" s="53"/>
      <c r="DG85" s="53"/>
      <c r="DH85" s="53"/>
      <c r="DI85" s="53"/>
      <c r="DJ85" s="53"/>
      <c r="DK85" s="53"/>
      <c r="DL85" s="53"/>
      <c r="DM85" s="53"/>
      <c r="DN85" s="53"/>
      <c r="DO85" s="53"/>
      <c r="DP85" s="53"/>
      <c r="DQ85" s="53"/>
      <c r="DR85" s="53"/>
      <c r="DS85" s="53"/>
      <c r="DT85" s="53"/>
      <c r="DU85" s="53"/>
      <c r="DV85" s="53"/>
      <c r="DW85" s="53"/>
      <c r="DX85" s="53"/>
      <c r="DY85" s="53"/>
      <c r="DZ85" s="53"/>
      <c r="EA85" s="53"/>
      <c r="EB85" s="53"/>
      <c r="EC85" s="53"/>
      <c r="ED85" s="53"/>
      <c r="EE85" s="53"/>
      <c r="EF85" s="53"/>
      <c r="EG85" s="53"/>
      <c r="EH85" s="53"/>
      <c r="EI85" s="53"/>
      <c r="EJ85" s="53"/>
      <c r="EK85" s="53"/>
      <c r="EL85" s="53"/>
      <c r="EM85" s="53"/>
      <c r="EN85" s="53"/>
      <c r="EO85" s="53"/>
      <c r="EP85" s="53"/>
      <c r="EQ85" s="53"/>
      <c r="ER85" s="53"/>
      <c r="ES85" s="53"/>
      <c r="ET85" s="53"/>
      <c r="EU85" s="53"/>
      <c r="EV85" s="53"/>
      <c r="EW85" s="53"/>
      <c r="EX85" s="53"/>
      <c r="EY85" s="53"/>
      <c r="EZ85" s="53"/>
      <c r="FA85" s="53"/>
      <c r="FB85" s="53"/>
    </row>
    <row r="86" spans="1:158">
      <c r="A86" s="95">
        <v>32</v>
      </c>
      <c r="B86" s="96" t="s">
        <v>204</v>
      </c>
      <c r="C86" s="379">
        <v>12</v>
      </c>
      <c r="D86" s="389">
        <f>24849/13.5</f>
        <v>1840.6666666666667</v>
      </c>
      <c r="E86" s="396">
        <f t="shared" ref="E86:E110" si="3">C86*D86</f>
        <v>22088</v>
      </c>
      <c r="F86" s="396">
        <f t="shared" ref="F86:F110" si="4">((10/100)*E86)/12</f>
        <v>184.06666666666669</v>
      </c>
      <c r="G86" s="97">
        <v>15</v>
      </c>
      <c r="H86" s="98">
        <f>IF(G86=30,19.6, IF(G86=20,14.877,IF(G86=15,11.93,IF(G86=10,8.5302,IF(G86=5,4.5797,IF(G86=2,1.9135))))))</f>
        <v>11.93</v>
      </c>
      <c r="I86" s="396">
        <f t="shared" ref="I86:I110" si="5">F86*12</f>
        <v>2208.8000000000002</v>
      </c>
      <c r="J86" s="396">
        <f>(E86/H86)+I86</f>
        <v>4060.2668901927918</v>
      </c>
      <c r="K86" s="134">
        <f>'Utilisation rate workouts '!C9</f>
        <v>0.18519726116726443</v>
      </c>
      <c r="L86" s="396">
        <f t="shared" ref="L86:L110" si="6">J86*K86</f>
        <v>751.95030767183107</v>
      </c>
      <c r="M86" s="396">
        <f>L86/'Utilisation rate workouts '!$C$5</f>
        <v>0.22064269591309596</v>
      </c>
      <c r="N86" s="53"/>
      <c r="O86" s="53"/>
      <c r="P86" s="53"/>
      <c r="Q86" s="53"/>
      <c r="R86" s="53"/>
      <c r="S86" s="53"/>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3"/>
      <c r="BG86" s="53"/>
      <c r="BH86" s="53"/>
      <c r="BI86" s="53"/>
      <c r="BJ86" s="53"/>
      <c r="BK86" s="53"/>
      <c r="BL86" s="53"/>
      <c r="BM86" s="53"/>
      <c r="BN86" s="53"/>
      <c r="BO86" s="53"/>
      <c r="BP86" s="53"/>
      <c r="BQ86" s="53"/>
      <c r="BR86" s="53"/>
      <c r="BS86" s="53"/>
      <c r="BT86" s="53"/>
      <c r="BU86" s="53"/>
      <c r="BV86" s="53"/>
      <c r="BW86" s="53"/>
      <c r="BX86" s="53"/>
      <c r="BY86" s="53"/>
      <c r="BZ86" s="53"/>
      <c r="CA86" s="53"/>
      <c r="CB86" s="53"/>
      <c r="CC86" s="53"/>
      <c r="CD86" s="53"/>
      <c r="CE86" s="53"/>
      <c r="CF86" s="53"/>
      <c r="CG86" s="53"/>
      <c r="CH86" s="53"/>
      <c r="CI86" s="53"/>
      <c r="CJ86" s="53"/>
      <c r="CK86" s="53"/>
      <c r="CL86" s="53"/>
      <c r="CM86" s="53"/>
      <c r="CN86" s="53"/>
      <c r="CO86" s="53"/>
      <c r="CP86" s="53"/>
      <c r="CQ86" s="53"/>
      <c r="CR86" s="53"/>
      <c r="CS86" s="53"/>
      <c r="CT86" s="53"/>
      <c r="CU86" s="53"/>
      <c r="CV86" s="53"/>
      <c r="CW86" s="53"/>
      <c r="CX86" s="53"/>
      <c r="CY86" s="53"/>
      <c r="CZ86" s="53"/>
      <c r="DA86" s="53"/>
      <c r="DB86" s="53"/>
      <c r="DC86" s="53"/>
      <c r="DD86" s="53"/>
      <c r="DE86" s="53"/>
      <c r="DF86" s="53"/>
      <c r="DG86" s="53"/>
      <c r="DH86" s="53"/>
      <c r="DI86" s="53"/>
      <c r="DJ86" s="53"/>
      <c r="DK86" s="53"/>
      <c r="DL86" s="53"/>
      <c r="DM86" s="53"/>
      <c r="DN86" s="53"/>
      <c r="DO86" s="53"/>
      <c r="DP86" s="53"/>
      <c r="DQ86" s="53"/>
      <c r="DR86" s="53"/>
      <c r="DS86" s="53"/>
      <c r="DT86" s="53"/>
      <c r="DU86" s="53"/>
      <c r="DV86" s="53"/>
      <c r="DW86" s="53"/>
      <c r="DX86" s="53"/>
      <c r="DY86" s="53"/>
      <c r="DZ86" s="53"/>
      <c r="EA86" s="53"/>
      <c r="EB86" s="53"/>
      <c r="EC86" s="53"/>
      <c r="ED86" s="53"/>
      <c r="EE86" s="53"/>
      <c r="EF86" s="53"/>
      <c r="EG86" s="53"/>
      <c r="EH86" s="53"/>
      <c r="EI86" s="53"/>
      <c r="EJ86" s="53"/>
      <c r="EK86" s="53"/>
      <c r="EL86" s="53"/>
      <c r="EM86" s="53"/>
      <c r="EN86" s="53"/>
      <c r="EO86" s="53"/>
      <c r="EP86" s="53"/>
      <c r="EQ86" s="53"/>
      <c r="ER86" s="53"/>
      <c r="ES86" s="53"/>
      <c r="ET86" s="53"/>
      <c r="EU86" s="53"/>
      <c r="EV86" s="53"/>
      <c r="EW86" s="53"/>
      <c r="EX86" s="53"/>
      <c r="EY86" s="53"/>
      <c r="EZ86" s="53"/>
    </row>
    <row r="87" spans="1:158">
      <c r="A87" s="95">
        <v>33</v>
      </c>
      <c r="B87" s="96" t="s">
        <v>205</v>
      </c>
      <c r="C87" s="379">
        <v>12</v>
      </c>
      <c r="D87" s="389">
        <f>6684/13.5</f>
        <v>495.11111111111109</v>
      </c>
      <c r="E87" s="396">
        <f t="shared" si="3"/>
        <v>5941.333333333333</v>
      </c>
      <c r="F87" s="396">
        <f t="shared" si="4"/>
        <v>49.511111111111113</v>
      </c>
      <c r="G87" s="97">
        <v>15</v>
      </c>
      <c r="H87" s="98">
        <f>IF(G86=30,19.6, IF(G86=20,14.877,IF(G86=15,11.93,IF(G86=10,8.5302,IF(G86=5,4.5797,IF(G86=2,1.9135))))))</f>
        <v>11.93</v>
      </c>
      <c r="I87" s="396">
        <f t="shared" si="5"/>
        <v>594.13333333333333</v>
      </c>
      <c r="J87" s="396">
        <f>(E87/H87)+I87</f>
        <v>1092.1495389773679</v>
      </c>
      <c r="K87" s="134">
        <f>'Utilisation rate workouts '!C9</f>
        <v>0.18519726116726443</v>
      </c>
      <c r="L87" s="396">
        <f t="shared" si="6"/>
        <v>202.26310340369903</v>
      </c>
      <c r="M87" s="396">
        <f>L87/'Utilisation rate workouts '!$C$5</f>
        <v>5.9349502172446902E-2</v>
      </c>
      <c r="N87" s="53"/>
      <c r="O87" s="53"/>
      <c r="P87" s="53"/>
      <c r="Q87" s="53"/>
      <c r="R87" s="53"/>
      <c r="S87" s="53"/>
      <c r="T87" s="53"/>
      <c r="U87" s="53"/>
      <c r="V87" s="53"/>
      <c r="W87" s="53"/>
      <c r="X87" s="53"/>
      <c r="Y87" s="53"/>
      <c r="Z87" s="53"/>
      <c r="AA87" s="53"/>
      <c r="AB87" s="53"/>
      <c r="AC87" s="53"/>
      <c r="AD87" s="53"/>
      <c r="AE87" s="53"/>
      <c r="AF87" s="53"/>
      <c r="AG87" s="53"/>
      <c r="AH87" s="53"/>
      <c r="AI87" s="53"/>
      <c r="AJ87" s="53"/>
      <c r="AK87" s="53"/>
      <c r="AL87" s="53"/>
      <c r="AM87" s="53"/>
      <c r="AN87" s="53"/>
      <c r="AO87" s="53"/>
      <c r="AP87" s="53"/>
      <c r="AQ87" s="53"/>
      <c r="AR87" s="53"/>
      <c r="AS87" s="53"/>
      <c r="AT87" s="53"/>
      <c r="AU87" s="53"/>
      <c r="AV87" s="53"/>
      <c r="AW87" s="53"/>
      <c r="AX87" s="53"/>
      <c r="AY87" s="53"/>
      <c r="AZ87" s="53"/>
      <c r="BA87" s="53"/>
      <c r="BB87" s="53"/>
      <c r="BC87" s="53"/>
      <c r="BD87" s="53"/>
      <c r="BE87" s="53"/>
      <c r="BF87" s="53"/>
      <c r="BG87" s="53"/>
      <c r="BH87" s="53"/>
      <c r="BI87" s="53"/>
      <c r="BJ87" s="53"/>
      <c r="BK87" s="53"/>
      <c r="BL87" s="53"/>
      <c r="BM87" s="53"/>
      <c r="BN87" s="53"/>
      <c r="BO87" s="53"/>
      <c r="BP87" s="53"/>
      <c r="BQ87" s="53"/>
      <c r="BR87" s="53"/>
      <c r="BS87" s="53"/>
      <c r="BT87" s="53"/>
      <c r="BU87" s="53"/>
      <c r="BV87" s="53"/>
      <c r="BW87" s="53"/>
      <c r="BX87" s="53"/>
      <c r="BY87" s="53"/>
      <c r="BZ87" s="53"/>
      <c r="CA87" s="53"/>
      <c r="CB87" s="53"/>
      <c r="CC87" s="53"/>
      <c r="CD87" s="53"/>
      <c r="CE87" s="53"/>
      <c r="CF87" s="53"/>
      <c r="CG87" s="53"/>
      <c r="CH87" s="53"/>
      <c r="CI87" s="53"/>
      <c r="CJ87" s="53"/>
      <c r="CK87" s="53"/>
      <c r="CL87" s="53"/>
      <c r="CM87" s="53"/>
      <c r="CN87" s="53"/>
      <c r="CO87" s="53"/>
      <c r="CP87" s="53"/>
      <c r="CQ87" s="53"/>
      <c r="CR87" s="53"/>
      <c r="CS87" s="53"/>
      <c r="CT87" s="53"/>
      <c r="CU87" s="53"/>
      <c r="CV87" s="53"/>
      <c r="CW87" s="53"/>
      <c r="CX87" s="53"/>
      <c r="CY87" s="53"/>
      <c r="CZ87" s="53"/>
      <c r="DA87" s="53"/>
      <c r="DB87" s="53"/>
      <c r="DC87" s="53"/>
      <c r="DD87" s="53"/>
      <c r="DE87" s="53"/>
      <c r="DF87" s="53"/>
      <c r="DG87" s="53"/>
      <c r="DH87" s="53"/>
      <c r="DI87" s="53"/>
      <c r="DJ87" s="53"/>
      <c r="DK87" s="53"/>
      <c r="DL87" s="53"/>
      <c r="DM87" s="53"/>
      <c r="DN87" s="53"/>
      <c r="DO87" s="53"/>
      <c r="DP87" s="53"/>
      <c r="DQ87" s="53"/>
      <c r="DR87" s="53"/>
      <c r="DS87" s="53"/>
      <c r="DT87" s="53"/>
      <c r="DU87" s="53"/>
      <c r="DV87" s="53"/>
      <c r="DW87" s="53"/>
      <c r="DX87" s="53"/>
      <c r="DY87" s="53"/>
      <c r="DZ87" s="53"/>
      <c r="EA87" s="53"/>
      <c r="EB87" s="53"/>
      <c r="EC87" s="53"/>
      <c r="ED87" s="53"/>
      <c r="EE87" s="53"/>
      <c r="EF87" s="53"/>
      <c r="EG87" s="53"/>
      <c r="EH87" s="53"/>
      <c r="EI87" s="53"/>
      <c r="EJ87" s="53"/>
      <c r="EK87" s="53"/>
      <c r="EL87" s="53"/>
      <c r="EM87" s="53"/>
      <c r="EN87" s="53"/>
      <c r="EO87" s="53"/>
      <c r="EP87" s="53"/>
      <c r="EQ87" s="53"/>
      <c r="ER87" s="53"/>
      <c r="ES87" s="53"/>
      <c r="ET87" s="53"/>
      <c r="EU87" s="53"/>
      <c r="EV87" s="53"/>
      <c r="EW87" s="53"/>
      <c r="EX87" s="53"/>
      <c r="EY87" s="53"/>
      <c r="EZ87" s="53"/>
    </row>
    <row r="88" spans="1:158">
      <c r="A88" s="95">
        <v>34</v>
      </c>
      <c r="B88" s="96" t="s">
        <v>190</v>
      </c>
      <c r="C88" s="379">
        <v>12</v>
      </c>
      <c r="D88" s="389">
        <f>106.08/13.5</f>
        <v>7.8577777777777778</v>
      </c>
      <c r="E88" s="396">
        <f t="shared" si="3"/>
        <v>94.293333333333337</v>
      </c>
      <c r="F88" s="396">
        <f t="shared" si="4"/>
        <v>0.7857777777777778</v>
      </c>
      <c r="G88" s="97">
        <v>5</v>
      </c>
      <c r="H88" s="98">
        <f t="shared" ref="H88:H110" si="7">IF(G88=30,19.6004, IF(G88=15,11.9379,IF(G88=10,8.5302,IF(G88=5,4.5797,IF(G88=2,1.9135)))))</f>
        <v>4.5796999999999999</v>
      </c>
      <c r="I88" s="396">
        <f t="shared" si="5"/>
        <v>9.429333333333334</v>
      </c>
      <c r="J88" s="396">
        <f t="shared" ref="J88:J110" si="8">E88/H88+I88</f>
        <v>30.018746031399438</v>
      </c>
      <c r="K88" s="134">
        <f>'Utilisation rate workouts '!C9</f>
        <v>0.18519726116726443</v>
      </c>
      <c r="L88" s="396">
        <f t="shared" si="6"/>
        <v>5.5593895486908647</v>
      </c>
      <c r="M88" s="396">
        <f>L88/'Utilisation rate workouts '!$C$5</f>
        <v>1.6312762760243148E-3</v>
      </c>
    </row>
    <row r="89" spans="1:158">
      <c r="A89" s="95">
        <v>35</v>
      </c>
      <c r="B89" s="96" t="s">
        <v>206</v>
      </c>
      <c r="C89" s="379">
        <v>12</v>
      </c>
      <c r="D89" s="389">
        <f>599/13.5</f>
        <v>44.370370370370374</v>
      </c>
      <c r="E89" s="396">
        <f t="shared" si="3"/>
        <v>532.44444444444446</v>
      </c>
      <c r="F89" s="396">
        <f t="shared" si="4"/>
        <v>4.4370370370370376</v>
      </c>
      <c r="G89" s="97">
        <v>5</v>
      </c>
      <c r="H89" s="98">
        <f t="shared" si="7"/>
        <v>4.5796999999999999</v>
      </c>
      <c r="I89" s="396">
        <f t="shared" si="5"/>
        <v>53.244444444444454</v>
      </c>
      <c r="J89" s="396">
        <f t="shared" si="8"/>
        <v>169.50630536206887</v>
      </c>
      <c r="K89" s="134">
        <f>'Utilisation rate workouts '!C9</f>
        <v>0.18519726116726443</v>
      </c>
      <c r="L89" s="396">
        <f t="shared" si="6"/>
        <v>31.392103503637145</v>
      </c>
      <c r="M89" s="396">
        <f>L89/'Utilisation rate workouts '!$C$5</f>
        <v>9.2112979764193501E-3</v>
      </c>
    </row>
    <row r="90" spans="1:158">
      <c r="A90" s="95">
        <v>36</v>
      </c>
      <c r="B90" s="96" t="s">
        <v>207</v>
      </c>
      <c r="C90" s="379">
        <v>24</v>
      </c>
      <c r="D90" s="389">
        <f>951/13.5</f>
        <v>70.444444444444443</v>
      </c>
      <c r="E90" s="396">
        <f t="shared" si="3"/>
        <v>1690.6666666666665</v>
      </c>
      <c r="F90" s="396">
        <f t="shared" si="4"/>
        <v>14.088888888888889</v>
      </c>
      <c r="G90" s="97">
        <v>15</v>
      </c>
      <c r="H90" s="98">
        <f t="shared" si="7"/>
        <v>11.937900000000001</v>
      </c>
      <c r="I90" s="396">
        <f t="shared" si="5"/>
        <v>169.06666666666666</v>
      </c>
      <c r="J90" s="396">
        <f t="shared" si="8"/>
        <v>310.68844827538067</v>
      </c>
      <c r="K90" s="134">
        <f>'Utilisation rate workouts '!C9</f>
        <v>0.18519726116726443</v>
      </c>
      <c r="L90" s="396">
        <f t="shared" si="6"/>
        <v>57.538649696907797</v>
      </c>
      <c r="M90" s="396">
        <f>L90/'Utilisation rate workouts '!$C$5</f>
        <v>1.6883406601205339E-2</v>
      </c>
    </row>
    <row r="91" spans="1:158">
      <c r="A91" s="95">
        <v>37</v>
      </c>
      <c r="B91" s="96" t="s">
        <v>208</v>
      </c>
      <c r="C91" s="379">
        <v>12</v>
      </c>
      <c r="D91" s="389">
        <f>1999/13.5</f>
        <v>148.07407407407408</v>
      </c>
      <c r="E91" s="396">
        <f t="shared" si="3"/>
        <v>1776.8888888888889</v>
      </c>
      <c r="F91" s="396">
        <f t="shared" si="4"/>
        <v>14.807407407407409</v>
      </c>
      <c r="G91" s="97">
        <v>15</v>
      </c>
      <c r="H91" s="98">
        <f t="shared" si="7"/>
        <v>11.937900000000001</v>
      </c>
      <c r="I91" s="396">
        <f t="shared" si="5"/>
        <v>177.6888888888889</v>
      </c>
      <c r="J91" s="396">
        <f t="shared" si="8"/>
        <v>326.53323244084436</v>
      </c>
      <c r="K91" s="134">
        <f>'Utilisation rate workouts '!C9</f>
        <v>0.18519726116726443</v>
      </c>
      <c r="L91" s="396">
        <f t="shared" si="6"/>
        <v>60.473060328138111</v>
      </c>
      <c r="M91" s="396">
        <f>L91/'Utilisation rate workouts '!$C$5</f>
        <v>1.7744442584547569E-2</v>
      </c>
    </row>
    <row r="92" spans="1:158">
      <c r="A92" s="95">
        <v>38</v>
      </c>
      <c r="B92" s="96" t="s">
        <v>148</v>
      </c>
      <c r="C92" s="379">
        <v>12</v>
      </c>
      <c r="D92" s="389">
        <f>535/13.5</f>
        <v>39.629629629629626</v>
      </c>
      <c r="E92" s="396">
        <f t="shared" si="3"/>
        <v>475.55555555555554</v>
      </c>
      <c r="F92" s="396">
        <f t="shared" si="4"/>
        <v>3.9629629629629632</v>
      </c>
      <c r="G92" s="97">
        <v>15</v>
      </c>
      <c r="H92" s="98">
        <f t="shared" si="7"/>
        <v>11.937900000000001</v>
      </c>
      <c r="I92" s="396">
        <f t="shared" si="5"/>
        <v>47.555555555555557</v>
      </c>
      <c r="J92" s="396">
        <f t="shared" si="8"/>
        <v>87.391335345598662</v>
      </c>
      <c r="K92" s="134">
        <f>'Utilisation rate workouts '!C9</f>
        <v>0.18519726116726443</v>
      </c>
      <c r="L92" s="396">
        <f t="shared" si="6"/>
        <v>16.184635955754821</v>
      </c>
      <c r="M92" s="396">
        <f>L92/'Utilisation rate workouts '!$C$5</f>
        <v>4.7490128978153814E-3</v>
      </c>
    </row>
    <row r="93" spans="1:158">
      <c r="A93" s="95">
        <v>39</v>
      </c>
      <c r="B93" s="96" t="s">
        <v>209</v>
      </c>
      <c r="C93" s="379">
        <v>12</v>
      </c>
      <c r="D93" s="389">
        <f>1399/13.5</f>
        <v>103.62962962962963</v>
      </c>
      <c r="E93" s="396">
        <f t="shared" si="3"/>
        <v>1243.5555555555557</v>
      </c>
      <c r="F93" s="396">
        <f t="shared" si="4"/>
        <v>10.362962962962964</v>
      </c>
      <c r="G93" s="97">
        <v>5</v>
      </c>
      <c r="H93" s="98">
        <f t="shared" si="7"/>
        <v>4.5796999999999999</v>
      </c>
      <c r="I93" s="396">
        <f t="shared" si="5"/>
        <v>124.35555555555557</v>
      </c>
      <c r="J93" s="396">
        <f t="shared" si="8"/>
        <v>395.89202203928937</v>
      </c>
      <c r="K93" s="134">
        <f>'Utilisation rate workouts '!C9</f>
        <v>0.18519726116726443</v>
      </c>
      <c r="L93" s="396">
        <f t="shared" si="6"/>
        <v>73.318118199646676</v>
      </c>
      <c r="M93" s="396">
        <f>L93/'Utilisation rate workouts '!$C$5</f>
        <v>2.1513532335577075E-2</v>
      </c>
    </row>
    <row r="94" spans="1:158">
      <c r="A94" s="95">
        <v>40</v>
      </c>
      <c r="B94" s="96" t="s">
        <v>210</v>
      </c>
      <c r="C94" s="379">
        <v>12</v>
      </c>
      <c r="D94" s="389">
        <f>1175/13.5</f>
        <v>87.037037037037038</v>
      </c>
      <c r="E94" s="396">
        <f t="shared" si="3"/>
        <v>1044.4444444444443</v>
      </c>
      <c r="F94" s="396">
        <f t="shared" si="4"/>
        <v>8.7037037037037042</v>
      </c>
      <c r="G94" s="97">
        <v>5</v>
      </c>
      <c r="H94" s="98">
        <f t="shared" si="7"/>
        <v>4.5796999999999999</v>
      </c>
      <c r="I94" s="396">
        <f t="shared" si="5"/>
        <v>104.44444444444446</v>
      </c>
      <c r="J94" s="396">
        <f t="shared" si="8"/>
        <v>332.50402136966761</v>
      </c>
      <c r="K94" s="134">
        <f>'Utilisation rate workouts '!C9</f>
        <v>0.18519726116726443</v>
      </c>
      <c r="L94" s="396">
        <f t="shared" si="6"/>
        <v>61.578834084764004</v>
      </c>
      <c r="M94" s="396">
        <f>L94/'Utilisation rate workouts '!$C$5</f>
        <v>1.8068906715012913E-2</v>
      </c>
    </row>
    <row r="95" spans="1:158">
      <c r="A95" s="95">
        <v>41</v>
      </c>
      <c r="B95" s="96" t="s">
        <v>211</v>
      </c>
      <c r="C95" s="379">
        <v>12</v>
      </c>
      <c r="D95" s="389">
        <f>352.12/13.5</f>
        <v>26.082962962962963</v>
      </c>
      <c r="E95" s="396">
        <f t="shared" si="3"/>
        <v>312.99555555555554</v>
      </c>
      <c r="F95" s="396">
        <f t="shared" si="4"/>
        <v>2.6082962962962966</v>
      </c>
      <c r="G95" s="97">
        <v>5</v>
      </c>
      <c r="H95" s="98">
        <f t="shared" si="7"/>
        <v>4.5796999999999999</v>
      </c>
      <c r="I95" s="396">
        <f t="shared" si="5"/>
        <v>31.299555555555557</v>
      </c>
      <c r="J95" s="396">
        <f t="shared" si="8"/>
        <v>99.643673195478598</v>
      </c>
      <c r="K95" s="134">
        <f>'Utilisation rate workouts '!C9</f>
        <v>0.18519726116726443</v>
      </c>
      <c r="L95" s="396">
        <f t="shared" si="6"/>
        <v>18.453735368448594</v>
      </c>
      <c r="M95" s="396">
        <f>L95/'Utilisation rate workouts '!$C$5</f>
        <v>5.414828453183273E-3</v>
      </c>
    </row>
    <row r="96" spans="1:158">
      <c r="A96" s="95">
        <v>42</v>
      </c>
      <c r="B96" s="100" t="s">
        <v>212</v>
      </c>
      <c r="C96" s="379">
        <v>12</v>
      </c>
      <c r="D96" s="389">
        <f>949/13.5</f>
        <v>70.296296296296291</v>
      </c>
      <c r="E96" s="396">
        <f t="shared" si="3"/>
        <v>843.55555555555543</v>
      </c>
      <c r="F96" s="396">
        <f t="shared" si="4"/>
        <v>7.0296296296296292</v>
      </c>
      <c r="G96" s="97">
        <v>15</v>
      </c>
      <c r="H96" s="98">
        <f t="shared" si="7"/>
        <v>11.937900000000001</v>
      </c>
      <c r="I96" s="396">
        <f t="shared" si="5"/>
        <v>84.355555555555554</v>
      </c>
      <c r="J96" s="396">
        <f t="shared" si="8"/>
        <v>155.0175275569591</v>
      </c>
      <c r="K96" s="134">
        <f>'Utilisation rate workouts '!C9</f>
        <v>0.18519726116726443</v>
      </c>
      <c r="L96" s="396">
        <f t="shared" si="6"/>
        <v>28.708821536469763</v>
      </c>
      <c r="M96" s="396">
        <f>L96/'Utilisation rate workouts '!$C$5</f>
        <v>8.423949981358498E-3</v>
      </c>
      <c r="P96" s="4" t="s">
        <v>236</v>
      </c>
    </row>
    <row r="97" spans="1:13">
      <c r="A97" s="95">
        <v>43</v>
      </c>
      <c r="B97" s="96" t="s">
        <v>213</v>
      </c>
      <c r="C97" s="379">
        <v>12</v>
      </c>
      <c r="D97" s="389">
        <f>3282.7/13.5</f>
        <v>243.16296296296295</v>
      </c>
      <c r="E97" s="396">
        <f t="shared" si="3"/>
        <v>2917.9555555555553</v>
      </c>
      <c r="F97" s="396">
        <f t="shared" si="4"/>
        <v>24.316296296296297</v>
      </c>
      <c r="G97" s="97">
        <v>10</v>
      </c>
      <c r="H97" s="98">
        <f t="shared" si="7"/>
        <v>8.5302000000000007</v>
      </c>
      <c r="I97" s="396">
        <f t="shared" si="5"/>
        <v>291.79555555555555</v>
      </c>
      <c r="J97" s="396">
        <f t="shared" si="8"/>
        <v>633.8690773435037</v>
      </c>
      <c r="K97" s="134">
        <f>'Utilisation rate workouts '!C9</f>
        <v>0.18519726116726443</v>
      </c>
      <c r="L97" s="396">
        <f t="shared" si="6"/>
        <v>117.39081706263779</v>
      </c>
      <c r="M97" s="396">
        <f>L97/'Utilisation rate workouts '!$C$5</f>
        <v>3.4445662283637851E-2</v>
      </c>
    </row>
    <row r="98" spans="1:13">
      <c r="A98" s="95">
        <v>44</v>
      </c>
      <c r="B98" s="100" t="s">
        <v>214</v>
      </c>
      <c r="C98" s="379">
        <v>12</v>
      </c>
      <c r="D98" s="389">
        <f>173.32/13.5</f>
        <v>12.838518518518518</v>
      </c>
      <c r="E98" s="396">
        <f t="shared" si="3"/>
        <v>154.0622222222222</v>
      </c>
      <c r="F98" s="396">
        <f t="shared" si="4"/>
        <v>1.2838518518518518</v>
      </c>
      <c r="G98" s="97">
        <v>5</v>
      </c>
      <c r="H98" s="101">
        <f t="shared" si="7"/>
        <v>4.5796999999999999</v>
      </c>
      <c r="I98" s="396">
        <f t="shared" si="5"/>
        <v>15.406222222222222</v>
      </c>
      <c r="J98" s="396">
        <f t="shared" si="8"/>
        <v>49.046465518119817</v>
      </c>
      <c r="K98" s="134">
        <f>'Utilisation rate workouts '!C9</f>
        <v>0.18519726116726443</v>
      </c>
      <c r="L98" s="396">
        <f t="shared" si="6"/>
        <v>9.0832710838904642</v>
      </c>
      <c r="M98" s="396">
        <f>L98/'Utilisation rate workouts '!$C$5</f>
        <v>2.665279073911521E-3</v>
      </c>
    </row>
    <row r="99" spans="1:13">
      <c r="A99" s="95">
        <v>45</v>
      </c>
      <c r="B99" s="100" t="s">
        <v>163</v>
      </c>
      <c r="C99" s="379">
        <v>12</v>
      </c>
      <c r="D99" s="389">
        <f>990/13.5</f>
        <v>73.333333333333329</v>
      </c>
      <c r="E99" s="396">
        <f t="shared" si="3"/>
        <v>880</v>
      </c>
      <c r="F99" s="396">
        <f t="shared" si="4"/>
        <v>7.333333333333333</v>
      </c>
      <c r="G99" s="97">
        <v>15</v>
      </c>
      <c r="H99" s="101">
        <f t="shared" si="7"/>
        <v>11.937900000000001</v>
      </c>
      <c r="I99" s="396">
        <f t="shared" si="5"/>
        <v>88</v>
      </c>
      <c r="J99" s="396">
        <f t="shared" si="8"/>
        <v>161.71480746194891</v>
      </c>
      <c r="K99" s="134">
        <f>'Utilisation rate workouts '!C9</f>
        <v>0.18519726116726443</v>
      </c>
      <c r="L99" s="396">
        <f t="shared" si="6"/>
        <v>29.949139432144435</v>
      </c>
      <c r="M99" s="396">
        <f>L99/'Utilisation rate workouts '!$C$5</f>
        <v>8.7878930258639774E-3</v>
      </c>
    </row>
    <row r="100" spans="1:13">
      <c r="A100" s="95">
        <v>46</v>
      </c>
      <c r="B100" s="100" t="s">
        <v>215</v>
      </c>
      <c r="C100" s="379">
        <v>12</v>
      </c>
      <c r="D100" s="389">
        <f>1173/13.5</f>
        <v>86.888888888888886</v>
      </c>
      <c r="E100" s="396">
        <f t="shared" si="3"/>
        <v>1042.6666666666665</v>
      </c>
      <c r="F100" s="396">
        <f t="shared" si="4"/>
        <v>8.6888888888888882</v>
      </c>
      <c r="G100" s="97">
        <v>15</v>
      </c>
      <c r="H100" s="101">
        <f t="shared" si="7"/>
        <v>11.937900000000001</v>
      </c>
      <c r="I100" s="396">
        <f t="shared" si="5"/>
        <v>104.26666666666665</v>
      </c>
      <c r="J100" s="396">
        <f t="shared" si="8"/>
        <v>191.60754459885459</v>
      </c>
      <c r="K100" s="134">
        <f>'Utilisation rate workouts '!C9</f>
        <v>0.18519726116726443</v>
      </c>
      <c r="L100" s="396">
        <f t="shared" si="6"/>
        <v>35.485192478692341</v>
      </c>
      <c r="M100" s="396">
        <f>L100/'Utilisation rate workouts '!$C$5</f>
        <v>1.0412321736705499E-2</v>
      </c>
    </row>
    <row r="101" spans="1:13">
      <c r="A101" s="95">
        <v>47</v>
      </c>
      <c r="B101" s="100" t="s">
        <v>183</v>
      </c>
      <c r="C101" s="379">
        <v>12</v>
      </c>
      <c r="D101" s="389">
        <f>3641/13.5</f>
        <v>269.7037037037037</v>
      </c>
      <c r="E101" s="396">
        <f t="shared" si="3"/>
        <v>3236.4444444444443</v>
      </c>
      <c r="F101" s="396">
        <f t="shared" si="4"/>
        <v>26.970370370370372</v>
      </c>
      <c r="G101" s="97">
        <v>15</v>
      </c>
      <c r="H101" s="101">
        <f t="shared" si="7"/>
        <v>11.937900000000001</v>
      </c>
      <c r="I101" s="396">
        <f t="shared" si="5"/>
        <v>323.64444444444445</v>
      </c>
      <c r="J101" s="396">
        <f t="shared" si="8"/>
        <v>594.75112522116774</v>
      </c>
      <c r="K101" s="134">
        <f>'Utilisation rate workouts '!C9</f>
        <v>0.18519726116726443</v>
      </c>
      <c r="L101" s="396">
        <f t="shared" si="6"/>
        <v>110.146279467109</v>
      </c>
      <c r="M101" s="396">
        <f>L101/'Utilisation rate workouts '!$C$5</f>
        <v>3.2319917684010858E-2</v>
      </c>
    </row>
    <row r="102" spans="1:13">
      <c r="A102" s="95">
        <v>48</v>
      </c>
      <c r="B102" s="100" t="s">
        <v>149</v>
      </c>
      <c r="C102" s="379">
        <v>12</v>
      </c>
      <c r="D102" s="389">
        <f>2999/13.5</f>
        <v>222.14814814814815</v>
      </c>
      <c r="E102" s="396">
        <f t="shared" si="3"/>
        <v>2665.7777777777778</v>
      </c>
      <c r="F102" s="396">
        <f t="shared" si="4"/>
        <v>22.214814814814815</v>
      </c>
      <c r="G102" s="97">
        <v>10</v>
      </c>
      <c r="H102" s="101">
        <f t="shared" si="7"/>
        <v>8.5302000000000007</v>
      </c>
      <c r="I102" s="396">
        <f t="shared" si="5"/>
        <v>266.57777777777778</v>
      </c>
      <c r="J102" s="396">
        <f t="shared" si="8"/>
        <v>579.08836109092135</v>
      </c>
      <c r="K102" s="134">
        <f>'Utilisation rate workouts '!C9</f>
        <v>0.18519726116726443</v>
      </c>
      <c r="L102" s="396">
        <f t="shared" si="6"/>
        <v>107.24557844787849</v>
      </c>
      <c r="M102" s="396">
        <f>L102/'Utilisation rate workouts '!$C$5</f>
        <v>3.1468773018743686E-2</v>
      </c>
    </row>
    <row r="103" spans="1:13">
      <c r="A103" s="95">
        <v>49</v>
      </c>
      <c r="B103" s="100" t="s">
        <v>216</v>
      </c>
      <c r="C103" s="379">
        <v>12</v>
      </c>
      <c r="D103" s="389">
        <f>782/13.5</f>
        <v>57.925925925925924</v>
      </c>
      <c r="E103" s="396">
        <f t="shared" si="3"/>
        <v>695.11111111111109</v>
      </c>
      <c r="F103" s="396">
        <f t="shared" si="4"/>
        <v>5.7925925925925918</v>
      </c>
      <c r="G103" s="97">
        <v>5</v>
      </c>
      <c r="H103" s="101">
        <f t="shared" si="7"/>
        <v>4.5796999999999999</v>
      </c>
      <c r="I103" s="396">
        <f t="shared" si="5"/>
        <v>69.511111111111106</v>
      </c>
      <c r="J103" s="396">
        <f t="shared" si="8"/>
        <v>221.29203805198301</v>
      </c>
      <c r="K103" s="134">
        <f>'Utilisation rate workouts '!C9</f>
        <v>0.18519726116726443</v>
      </c>
      <c r="L103" s="396">
        <f t="shared" si="6"/>
        <v>40.982679365349313</v>
      </c>
      <c r="M103" s="396">
        <f>L103/'Utilisation rate workouts '!$C$5</f>
        <v>1.2025434086076677E-2</v>
      </c>
    </row>
    <row r="104" spans="1:13">
      <c r="A104" s="95">
        <v>50</v>
      </c>
      <c r="B104" s="100" t="s">
        <v>150</v>
      </c>
      <c r="C104" s="379">
        <v>12</v>
      </c>
      <c r="D104" s="389">
        <f>599/13.5</f>
        <v>44.370370370370374</v>
      </c>
      <c r="E104" s="396">
        <f t="shared" si="3"/>
        <v>532.44444444444446</v>
      </c>
      <c r="F104" s="396">
        <f t="shared" si="4"/>
        <v>4.4370370370370376</v>
      </c>
      <c r="G104" s="97">
        <v>15</v>
      </c>
      <c r="H104" s="101">
        <f t="shared" si="7"/>
        <v>11.937900000000001</v>
      </c>
      <c r="I104" s="396">
        <f t="shared" si="5"/>
        <v>53.244444444444454</v>
      </c>
      <c r="J104" s="396">
        <f t="shared" si="8"/>
        <v>97.845625928997379</v>
      </c>
      <c r="K104" s="134">
        <f>'Utilisation rate workouts '!C9</f>
        <v>0.18519726116726443</v>
      </c>
      <c r="L104" s="396">
        <f t="shared" si="6"/>
        <v>18.120741939246987</v>
      </c>
      <c r="M104" s="396">
        <f>L104/'Utilisation rate workouts '!$C$5</f>
        <v>5.3171191136288107E-3</v>
      </c>
    </row>
    <row r="105" spans="1:13">
      <c r="A105" s="95">
        <v>51</v>
      </c>
      <c r="B105" s="100" t="s">
        <v>191</v>
      </c>
      <c r="C105" s="379">
        <v>12</v>
      </c>
      <c r="D105" s="389">
        <f>1265/13.5</f>
        <v>93.703703703703709</v>
      </c>
      <c r="E105" s="396">
        <f t="shared" si="3"/>
        <v>1124.4444444444446</v>
      </c>
      <c r="F105" s="396">
        <f t="shared" si="4"/>
        <v>9.370370370370372</v>
      </c>
      <c r="G105" s="97">
        <v>5</v>
      </c>
      <c r="H105" s="101">
        <f t="shared" si="7"/>
        <v>4.5796999999999999</v>
      </c>
      <c r="I105" s="396">
        <f t="shared" si="5"/>
        <v>112.44444444444446</v>
      </c>
      <c r="J105" s="396">
        <f t="shared" si="8"/>
        <v>357.97241449585493</v>
      </c>
      <c r="K105" s="134">
        <f>'Utilisation rate workouts '!C9</f>
        <v>0.18519726116726443</v>
      </c>
      <c r="L105" s="396">
        <f t="shared" si="6"/>
        <v>66.295510738065076</v>
      </c>
      <c r="M105" s="396">
        <f>L105/'Utilisation rate workouts '!$C$5</f>
        <v>1.9452908080418156E-2</v>
      </c>
    </row>
    <row r="106" spans="1:13">
      <c r="A106" s="95">
        <v>52</v>
      </c>
      <c r="B106" s="100" t="s">
        <v>217</v>
      </c>
      <c r="C106" s="379">
        <v>12</v>
      </c>
      <c r="D106" s="389">
        <v>13.536490000000001</v>
      </c>
      <c r="E106" s="396">
        <f t="shared" si="3"/>
        <v>162.43788000000001</v>
      </c>
      <c r="F106" s="396">
        <f t="shared" si="4"/>
        <v>1.3536490000000001</v>
      </c>
      <c r="G106" s="97">
        <v>10</v>
      </c>
      <c r="H106" s="101">
        <f t="shared" si="7"/>
        <v>8.5302000000000007</v>
      </c>
      <c r="I106" s="396">
        <f t="shared" si="5"/>
        <v>16.243788000000002</v>
      </c>
      <c r="J106" s="396">
        <f t="shared" si="8"/>
        <v>35.286469297038757</v>
      </c>
      <c r="K106" s="134">
        <f>'Utilisation rate workouts '!C9</f>
        <v>0.18519726116726443</v>
      </c>
      <c r="L106" s="396">
        <f t="shared" si="6"/>
        <v>6.5349574700743442</v>
      </c>
      <c r="M106" s="396">
        <f>L106/'Utilisation rate workouts '!$C$5</f>
        <v>1.9175344689185282E-3</v>
      </c>
    </row>
    <row r="107" spans="1:13">
      <c r="A107" s="95">
        <v>53</v>
      </c>
      <c r="B107" s="100" t="s">
        <v>151</v>
      </c>
      <c r="C107" s="379">
        <v>12</v>
      </c>
      <c r="D107" s="389">
        <f>999/13.5</f>
        <v>74</v>
      </c>
      <c r="E107" s="396">
        <f t="shared" si="3"/>
        <v>888</v>
      </c>
      <c r="F107" s="396">
        <f t="shared" si="4"/>
        <v>7.4000000000000012</v>
      </c>
      <c r="G107" s="97">
        <v>15</v>
      </c>
      <c r="H107" s="101">
        <f t="shared" si="7"/>
        <v>11.937900000000001</v>
      </c>
      <c r="I107" s="396">
        <f t="shared" si="5"/>
        <v>88.800000000000011</v>
      </c>
      <c r="J107" s="396">
        <f t="shared" si="8"/>
        <v>163.18494207523938</v>
      </c>
      <c r="K107" s="134">
        <f>'Utilisation rate workouts '!C9</f>
        <v>0.18519726116726443</v>
      </c>
      <c r="L107" s="396">
        <f t="shared" si="6"/>
        <v>30.221404336073025</v>
      </c>
      <c r="M107" s="396">
        <f>L107/'Utilisation rate workouts '!$C$5</f>
        <v>8.8677829624627426E-3</v>
      </c>
    </row>
    <row r="108" spans="1:13">
      <c r="A108" s="95">
        <v>54</v>
      </c>
      <c r="B108" s="100" t="s">
        <v>152</v>
      </c>
      <c r="C108" s="379">
        <v>12</v>
      </c>
      <c r="D108" s="389">
        <f>968.99/13.5</f>
        <v>71.777037037037033</v>
      </c>
      <c r="E108" s="396">
        <f t="shared" si="3"/>
        <v>861.32444444444445</v>
      </c>
      <c r="F108" s="396">
        <f t="shared" si="4"/>
        <v>7.1777037037037035</v>
      </c>
      <c r="G108" s="97">
        <v>15</v>
      </c>
      <c r="H108" s="101">
        <f t="shared" si="7"/>
        <v>11.937900000000001</v>
      </c>
      <c r="I108" s="396">
        <f t="shared" si="5"/>
        <v>86.132444444444445</v>
      </c>
      <c r="J108" s="396">
        <f t="shared" si="8"/>
        <v>158.28285988136756</v>
      </c>
      <c r="K108" s="134">
        <f>'Utilisation rate workouts '!C9</f>
        <v>0.18519726116726443</v>
      </c>
      <c r="L108" s="396">
        <f t="shared" si="6"/>
        <v>29.313552139751149</v>
      </c>
      <c r="M108" s="396">
        <f>L108/'Utilisation rate workouts '!$C$5</f>
        <v>8.6013944072039755E-3</v>
      </c>
    </row>
    <row r="109" spans="1:13">
      <c r="A109" s="95">
        <v>55</v>
      </c>
      <c r="B109" s="100" t="s">
        <v>153</v>
      </c>
      <c r="C109" s="379">
        <v>24</v>
      </c>
      <c r="D109" s="389">
        <f>820/13.5</f>
        <v>60.74074074074074</v>
      </c>
      <c r="E109" s="396">
        <f t="shared" si="3"/>
        <v>1457.7777777777778</v>
      </c>
      <c r="F109" s="396">
        <f t="shared" si="4"/>
        <v>12.148148148148151</v>
      </c>
      <c r="G109" s="97">
        <v>10</v>
      </c>
      <c r="H109" s="101">
        <f t="shared" si="7"/>
        <v>8.5302000000000007</v>
      </c>
      <c r="I109" s="396">
        <f t="shared" si="5"/>
        <v>145.7777777777778</v>
      </c>
      <c r="J109" s="396">
        <f t="shared" si="8"/>
        <v>316.67386201704272</v>
      </c>
      <c r="K109" s="134">
        <f>'Utilisation rate workouts '!C9</f>
        <v>0.18519726116726443</v>
      </c>
      <c r="L109" s="396">
        <f t="shared" si="6"/>
        <v>58.64713192881652</v>
      </c>
      <c r="M109" s="396">
        <f>L109/'Utilisation rate workouts '!$C$5</f>
        <v>1.7208665472070575E-2</v>
      </c>
    </row>
    <row r="110" spans="1:13">
      <c r="A110" s="95">
        <v>56</v>
      </c>
      <c r="B110" s="100" t="s">
        <v>218</v>
      </c>
      <c r="C110" s="379">
        <v>12</v>
      </c>
      <c r="D110" s="389">
        <f>470/13.5</f>
        <v>34.814814814814817</v>
      </c>
      <c r="E110" s="396">
        <f t="shared" si="3"/>
        <v>417.77777777777783</v>
      </c>
      <c r="F110" s="396">
        <f t="shared" si="4"/>
        <v>3.4814814814814823</v>
      </c>
      <c r="G110" s="97">
        <v>10</v>
      </c>
      <c r="H110" s="101">
        <f t="shared" si="7"/>
        <v>8.5302000000000007</v>
      </c>
      <c r="I110" s="396">
        <f t="shared" si="5"/>
        <v>41.777777777777786</v>
      </c>
      <c r="J110" s="396">
        <f t="shared" si="8"/>
        <v>90.754094602445178</v>
      </c>
      <c r="K110" s="134">
        <f>'Utilisation rate workouts '!C9</f>
        <v>0.18519726116726443</v>
      </c>
      <c r="L110" s="396">
        <f t="shared" si="6"/>
        <v>16.807409760087662</v>
      </c>
      <c r="M110" s="396">
        <f>L110/'Utilisation rate workouts '!$C$5</f>
        <v>4.9317516901665678E-3</v>
      </c>
    </row>
    <row r="111" spans="1:13">
      <c r="A111" s="95"/>
      <c r="B111" s="102" t="s">
        <v>247</v>
      </c>
      <c r="C111" s="103"/>
      <c r="D111" s="104"/>
      <c r="E111" s="104"/>
      <c r="F111" s="105"/>
      <c r="G111" s="106"/>
      <c r="H111" s="98"/>
      <c r="I111" s="381"/>
      <c r="J111" s="402">
        <f>SUM(J86:J110)</f>
        <v>10710.981428371329</v>
      </c>
      <c r="K111" s="383"/>
      <c r="L111" s="402">
        <f>SUM(L86:L110)</f>
        <v>1983.6444249478043</v>
      </c>
      <c r="M111" s="402">
        <f>SUM(M86:M110)</f>
        <v>0.58205528901050596</v>
      </c>
    </row>
    <row r="112" spans="1:13" ht="16">
      <c r="A112" s="40"/>
      <c r="B112" s="38" t="s">
        <v>155</v>
      </c>
      <c r="C112" s="39"/>
      <c r="D112" s="40"/>
      <c r="E112" s="40"/>
      <c r="F112" s="41"/>
      <c r="G112" s="40"/>
      <c r="H112" s="42"/>
      <c r="I112" s="40"/>
      <c r="J112" s="40"/>
      <c r="K112" s="40"/>
      <c r="L112" s="40"/>
      <c r="M112" s="40"/>
    </row>
    <row r="113" spans="1:13">
      <c r="A113" s="95">
        <v>57</v>
      </c>
      <c r="B113" s="86" t="s">
        <v>157</v>
      </c>
      <c r="C113" s="379">
        <v>2</v>
      </c>
      <c r="D113" s="389">
        <f>134500/13.5</f>
        <v>9962.9629629629635</v>
      </c>
      <c r="E113" s="403">
        <f t="shared" ref="E113:E126" si="9">D113*C113</f>
        <v>19925.925925925927</v>
      </c>
      <c r="F113" s="404">
        <f t="shared" ref="F113:F126" si="10">((10/100)*E113)/12</f>
        <v>166.04938271604939</v>
      </c>
      <c r="G113" s="97">
        <v>15</v>
      </c>
      <c r="H113" s="101">
        <f t="shared" ref="H113:H126" si="11">IF(G113=30,19.6004, IF(G113=15,11.9379,IF(G113=10,8.5302,IF(G113=5,4.5797,IF(G113=2,1.9135)))))</f>
        <v>11.937900000000001</v>
      </c>
      <c r="I113" s="404">
        <f t="shared" ref="I113:I126" si="12">F113*12</f>
        <v>1992.5925925925926</v>
      </c>
      <c r="J113" s="404">
        <f t="shared" ref="J113:J126" si="13">E113/H113+I113</f>
        <v>3661.7241756956446</v>
      </c>
      <c r="K113" s="134">
        <f>'Utilisation rate workouts '!C9</f>
        <v>0.18519726116726443</v>
      </c>
      <c r="L113" s="404">
        <f t="shared" ref="L113:L126" si="14">J113*K113</f>
        <v>678.14128848879238</v>
      </c>
      <c r="M113" s="404">
        <f>L113/'Utilisation rate workouts '!$C$5</f>
        <v>0.19898511986173487</v>
      </c>
    </row>
    <row r="114" spans="1:13">
      <c r="A114" s="95">
        <v>58</v>
      </c>
      <c r="B114" s="86" t="s">
        <v>158</v>
      </c>
      <c r="C114" s="379">
        <v>4</v>
      </c>
      <c r="D114" s="389">
        <f>102030/13.5</f>
        <v>7557.7777777777774</v>
      </c>
      <c r="E114" s="403">
        <f t="shared" si="9"/>
        <v>30231.111111111109</v>
      </c>
      <c r="F114" s="404">
        <f t="shared" si="10"/>
        <v>251.92592592592595</v>
      </c>
      <c r="G114" s="97">
        <v>15</v>
      </c>
      <c r="H114" s="101">
        <f t="shared" si="11"/>
        <v>11.937900000000001</v>
      </c>
      <c r="I114" s="404">
        <f t="shared" si="12"/>
        <v>3023.1111111111113</v>
      </c>
      <c r="J114" s="404">
        <f t="shared" si="13"/>
        <v>5555.4753553342252</v>
      </c>
      <c r="K114" s="134">
        <f>'Utilisation rate workouts '!C9</f>
        <v>0.18519726116726443</v>
      </c>
      <c r="L114" s="404">
        <f t="shared" si="14"/>
        <v>1028.8588202901337</v>
      </c>
      <c r="M114" s="404">
        <f>L114/'Utilisation rate workouts '!$C$5</f>
        <v>0.301895193747105</v>
      </c>
    </row>
    <row r="115" spans="1:13">
      <c r="A115" s="95">
        <v>59</v>
      </c>
      <c r="B115" s="86" t="s">
        <v>159</v>
      </c>
      <c r="C115" s="379">
        <v>2</v>
      </c>
      <c r="D115" s="389">
        <f>16645.15/13.5</f>
        <v>1232.9740740740742</v>
      </c>
      <c r="E115" s="403">
        <f t="shared" si="9"/>
        <v>2465.9481481481484</v>
      </c>
      <c r="F115" s="404">
        <f t="shared" si="10"/>
        <v>20.549567901234571</v>
      </c>
      <c r="G115" s="97">
        <v>15</v>
      </c>
      <c r="H115" s="101">
        <f t="shared" si="11"/>
        <v>11.937900000000001</v>
      </c>
      <c r="I115" s="404">
        <f t="shared" si="12"/>
        <v>246.59481481481487</v>
      </c>
      <c r="J115" s="404">
        <f t="shared" si="13"/>
        <v>453.15946589650832</v>
      </c>
      <c r="K115" s="134">
        <f>'Utilisation rate workouts '!C9</f>
        <v>0.18519726116726443</v>
      </c>
      <c r="L115" s="404">
        <f t="shared" si="14"/>
        <v>83.923891956053708</v>
      </c>
      <c r="M115" s="404">
        <f>L115/'Utilisation rate workouts '!$C$5</f>
        <v>2.462555515142421E-2</v>
      </c>
    </row>
    <row r="116" spans="1:13">
      <c r="A116" s="95">
        <v>60</v>
      </c>
      <c r="B116" s="86" t="s">
        <v>219</v>
      </c>
      <c r="C116" s="379">
        <v>3</v>
      </c>
      <c r="D116" s="389">
        <f>399/13.5</f>
        <v>29.555555555555557</v>
      </c>
      <c r="E116" s="403">
        <f t="shared" si="9"/>
        <v>88.666666666666671</v>
      </c>
      <c r="F116" s="404">
        <f t="shared" si="10"/>
        <v>0.73888888888888893</v>
      </c>
      <c r="G116" s="97">
        <v>15</v>
      </c>
      <c r="H116" s="101">
        <f t="shared" si="11"/>
        <v>11.937900000000001</v>
      </c>
      <c r="I116" s="404">
        <f t="shared" si="12"/>
        <v>8.8666666666666671</v>
      </c>
      <c r="J116" s="404">
        <f t="shared" si="13"/>
        <v>16.293991963969095</v>
      </c>
      <c r="K116" s="134">
        <f>'Utilisation rate workouts '!C9</f>
        <v>0.18519726116726443</v>
      </c>
      <c r="L116" s="404">
        <f t="shared" si="14"/>
        <v>3.0176026852084923</v>
      </c>
      <c r="M116" s="404">
        <f>L116/'Utilisation rate workouts '!$C$5</f>
        <v>8.854467973029613E-4</v>
      </c>
    </row>
    <row r="117" spans="1:13">
      <c r="A117" s="95">
        <v>61</v>
      </c>
      <c r="B117" s="86" t="s">
        <v>160</v>
      </c>
      <c r="C117" s="379">
        <v>3</v>
      </c>
      <c r="D117" s="389">
        <f>599/13.5</f>
        <v>44.370370370370374</v>
      </c>
      <c r="E117" s="403">
        <f t="shared" si="9"/>
        <v>133.11111111111111</v>
      </c>
      <c r="F117" s="404">
        <f t="shared" si="10"/>
        <v>1.1092592592592594</v>
      </c>
      <c r="G117" s="97">
        <v>5</v>
      </c>
      <c r="H117" s="101">
        <f t="shared" si="11"/>
        <v>4.5796999999999999</v>
      </c>
      <c r="I117" s="404">
        <f t="shared" si="12"/>
        <v>13.311111111111114</v>
      </c>
      <c r="J117" s="404">
        <f t="shared" si="13"/>
        <v>42.376576340517218</v>
      </c>
      <c r="K117" s="134">
        <f>'Utilisation rate workouts '!C9</f>
        <v>0.18519726116726443</v>
      </c>
      <c r="L117" s="404">
        <f t="shared" si="14"/>
        <v>7.8480258759092862</v>
      </c>
      <c r="M117" s="404">
        <f>L117/'Utilisation rate workouts '!$C$5</f>
        <v>2.3028244941048375E-3</v>
      </c>
    </row>
    <row r="118" spans="1:13">
      <c r="A118" s="95">
        <v>62</v>
      </c>
      <c r="B118" s="86" t="s">
        <v>152</v>
      </c>
      <c r="C118" s="379">
        <v>3</v>
      </c>
      <c r="D118" s="389">
        <f>968.99/1.5</f>
        <v>645.99333333333334</v>
      </c>
      <c r="E118" s="403">
        <f t="shared" si="9"/>
        <v>1937.98</v>
      </c>
      <c r="F118" s="404">
        <f t="shared" si="10"/>
        <v>16.149833333333333</v>
      </c>
      <c r="G118" s="97">
        <v>15</v>
      </c>
      <c r="H118" s="101">
        <f t="shared" si="11"/>
        <v>11.937900000000001</v>
      </c>
      <c r="I118" s="404">
        <f t="shared" si="12"/>
        <v>193.798</v>
      </c>
      <c r="J118" s="404">
        <f t="shared" si="13"/>
        <v>356.13643473307701</v>
      </c>
      <c r="K118" s="134">
        <f>'Utilisation rate workouts '!C9</f>
        <v>0.18519726116726443</v>
      </c>
      <c r="L118" s="404">
        <f t="shared" si="14"/>
        <v>65.955492314440079</v>
      </c>
      <c r="M118" s="404">
        <f>L118/'Utilisation rate workouts '!$C$5</f>
        <v>1.9353137416208942E-2</v>
      </c>
    </row>
    <row r="119" spans="1:13">
      <c r="A119" s="95">
        <v>63</v>
      </c>
      <c r="B119" s="86" t="s">
        <v>220</v>
      </c>
      <c r="C119" s="379">
        <v>3</v>
      </c>
      <c r="D119" s="389">
        <f>2999/13.5</f>
        <v>222.14814814814815</v>
      </c>
      <c r="E119" s="403">
        <f t="shared" si="9"/>
        <v>666.44444444444446</v>
      </c>
      <c r="F119" s="404">
        <f t="shared" si="10"/>
        <v>5.5537037037037038</v>
      </c>
      <c r="G119" s="97">
        <v>10</v>
      </c>
      <c r="H119" s="101">
        <f t="shared" si="11"/>
        <v>8.5302000000000007</v>
      </c>
      <c r="I119" s="404">
        <f t="shared" si="12"/>
        <v>66.644444444444446</v>
      </c>
      <c r="J119" s="404">
        <f t="shared" si="13"/>
        <v>144.77209027273034</v>
      </c>
      <c r="K119" s="134">
        <f>'Utilisation rate workouts '!C9</f>
        <v>0.18519726116726443</v>
      </c>
      <c r="L119" s="404">
        <f t="shared" si="14"/>
        <v>26.811394611969622</v>
      </c>
      <c r="M119" s="404">
        <f>L119/'Utilisation rate workouts '!$C$5</f>
        <v>7.8671932546859214E-3</v>
      </c>
    </row>
    <row r="120" spans="1:13">
      <c r="A120" s="95">
        <v>64</v>
      </c>
      <c r="B120" s="86" t="s">
        <v>161</v>
      </c>
      <c r="C120" s="379">
        <v>3</v>
      </c>
      <c r="D120" s="389">
        <f>7741/13.5</f>
        <v>573.40740740740739</v>
      </c>
      <c r="E120" s="403">
        <f t="shared" si="9"/>
        <v>1720.2222222222222</v>
      </c>
      <c r="F120" s="404">
        <f t="shared" si="10"/>
        <v>14.335185185185187</v>
      </c>
      <c r="G120" s="97">
        <v>15</v>
      </c>
      <c r="H120" s="101">
        <f t="shared" si="11"/>
        <v>11.937900000000001</v>
      </c>
      <c r="I120" s="404">
        <f t="shared" si="12"/>
        <v>172.02222222222224</v>
      </c>
      <c r="J120" s="404">
        <f t="shared" si="13"/>
        <v>316.119778930037</v>
      </c>
      <c r="K120" s="134">
        <f>'Utilisation rate workouts '!C9</f>
        <v>0.18519726116726443</v>
      </c>
      <c r="L120" s="404">
        <f t="shared" si="14"/>
        <v>58.544517258643957</v>
      </c>
      <c r="M120" s="404">
        <f>L120/'Utilisation rate workouts '!$C$5</f>
        <v>1.7178555533639658E-2</v>
      </c>
    </row>
    <row r="121" spans="1:13">
      <c r="A121" s="95">
        <v>65</v>
      </c>
      <c r="B121" s="86" t="s">
        <v>221</v>
      </c>
      <c r="C121" s="379">
        <v>3</v>
      </c>
      <c r="D121" s="389">
        <f>599/13.5</f>
        <v>44.370370370370374</v>
      </c>
      <c r="E121" s="403">
        <f t="shared" si="9"/>
        <v>133.11111111111111</v>
      </c>
      <c r="F121" s="404">
        <f t="shared" si="10"/>
        <v>1.1092592592592594</v>
      </c>
      <c r="G121" s="97">
        <v>15</v>
      </c>
      <c r="H121" s="101">
        <f t="shared" si="11"/>
        <v>11.937900000000001</v>
      </c>
      <c r="I121" s="404">
        <f t="shared" si="12"/>
        <v>13.311111111111114</v>
      </c>
      <c r="J121" s="404">
        <f t="shared" si="13"/>
        <v>24.461406482249345</v>
      </c>
      <c r="K121" s="134">
        <f>'Utilisation rate workouts '!C9</f>
        <v>0.18519726116726443</v>
      </c>
      <c r="L121" s="404">
        <f t="shared" si="14"/>
        <v>4.5301854848117467</v>
      </c>
      <c r="M121" s="404">
        <f>L121/'Utilisation rate workouts '!$C$5</f>
        <v>1.3292797784072027E-3</v>
      </c>
    </row>
    <row r="122" spans="1:13">
      <c r="A122" s="95">
        <v>66</v>
      </c>
      <c r="B122" s="86" t="s">
        <v>162</v>
      </c>
      <c r="C122" s="379">
        <v>3</v>
      </c>
      <c r="D122" s="389">
        <f>949/13.5</f>
        <v>70.296296296296291</v>
      </c>
      <c r="E122" s="403">
        <f t="shared" si="9"/>
        <v>210.88888888888886</v>
      </c>
      <c r="F122" s="404">
        <f t="shared" si="10"/>
        <v>1.7574074074074073</v>
      </c>
      <c r="G122" s="97">
        <v>15</v>
      </c>
      <c r="H122" s="101">
        <f t="shared" si="11"/>
        <v>11.937900000000001</v>
      </c>
      <c r="I122" s="404">
        <f t="shared" si="12"/>
        <v>21.088888888888889</v>
      </c>
      <c r="J122" s="404">
        <f t="shared" si="13"/>
        <v>38.754381889239774</v>
      </c>
      <c r="K122" s="134">
        <f>'Utilisation rate workouts '!C9</f>
        <v>0.18519726116726443</v>
      </c>
      <c r="L122" s="404">
        <f t="shared" si="14"/>
        <v>7.1772053841174408</v>
      </c>
      <c r="M122" s="404">
        <f>L122/'Utilisation rate workouts '!$C$5</f>
        <v>2.1059874953396245E-3</v>
      </c>
    </row>
    <row r="123" spans="1:13">
      <c r="A123" s="95">
        <v>67</v>
      </c>
      <c r="B123" s="86" t="s">
        <v>163</v>
      </c>
      <c r="C123" s="379">
        <v>3</v>
      </c>
      <c r="D123" s="389">
        <f>990/13.5</f>
        <v>73.333333333333329</v>
      </c>
      <c r="E123" s="403">
        <f t="shared" si="9"/>
        <v>220</v>
      </c>
      <c r="F123" s="404">
        <f t="shared" si="10"/>
        <v>1.8333333333333333</v>
      </c>
      <c r="G123" s="97">
        <v>15</v>
      </c>
      <c r="H123" s="101">
        <f t="shared" si="11"/>
        <v>11.937900000000001</v>
      </c>
      <c r="I123" s="404">
        <f t="shared" si="12"/>
        <v>22</v>
      </c>
      <c r="J123" s="404">
        <f t="shared" si="13"/>
        <v>40.428701865487227</v>
      </c>
      <c r="K123" s="134">
        <f>'Utilisation rate workouts '!C9</f>
        <v>0.18519726116726443</v>
      </c>
      <c r="L123" s="404">
        <f t="shared" si="14"/>
        <v>7.4872848580361087</v>
      </c>
      <c r="M123" s="404">
        <f>L123/'Utilisation rate workouts '!$C$5</f>
        <v>2.1969732564659943E-3</v>
      </c>
    </row>
    <row r="124" spans="1:13">
      <c r="A124" s="95">
        <v>68</v>
      </c>
      <c r="B124" s="86" t="s">
        <v>164</v>
      </c>
      <c r="C124" s="379">
        <v>3</v>
      </c>
      <c r="D124" s="389">
        <f>173.32/13.5</f>
        <v>12.838518518518518</v>
      </c>
      <c r="E124" s="403">
        <f t="shared" si="9"/>
        <v>38.515555555555551</v>
      </c>
      <c r="F124" s="404">
        <f t="shared" si="10"/>
        <v>0.32096296296296295</v>
      </c>
      <c r="G124" s="97">
        <v>5</v>
      </c>
      <c r="H124" s="101">
        <f t="shared" si="11"/>
        <v>4.5796999999999999</v>
      </c>
      <c r="I124" s="404">
        <f t="shared" si="12"/>
        <v>3.8515555555555556</v>
      </c>
      <c r="J124" s="404">
        <f t="shared" si="13"/>
        <v>12.261616379529954</v>
      </c>
      <c r="K124" s="134">
        <f>'Utilisation rate workouts '!C9</f>
        <v>0.18519726116726443</v>
      </c>
      <c r="L124" s="404">
        <f t="shared" si="14"/>
        <v>2.2708177709726161</v>
      </c>
      <c r="M124" s="404">
        <f>L124/'Utilisation rate workouts '!$C$5</f>
        <v>6.6631976847788025E-4</v>
      </c>
    </row>
    <row r="125" spans="1:13">
      <c r="A125" s="95">
        <v>69</v>
      </c>
      <c r="B125" s="86" t="s">
        <v>165</v>
      </c>
      <c r="C125" s="379">
        <v>3</v>
      </c>
      <c r="D125" s="389">
        <f>106.08/13.5</f>
        <v>7.8577777777777778</v>
      </c>
      <c r="E125" s="403">
        <f t="shared" si="9"/>
        <v>23.573333333333334</v>
      </c>
      <c r="F125" s="404">
        <f t="shared" si="10"/>
        <v>0.19644444444444445</v>
      </c>
      <c r="G125" s="97">
        <v>15</v>
      </c>
      <c r="H125" s="101">
        <f t="shared" si="11"/>
        <v>11.937900000000001</v>
      </c>
      <c r="I125" s="404">
        <f t="shared" si="12"/>
        <v>2.3573333333333335</v>
      </c>
      <c r="J125" s="404">
        <f t="shared" si="13"/>
        <v>4.331996660495844</v>
      </c>
      <c r="K125" s="134">
        <f>'Utilisation rate workouts '!C9</f>
        <v>0.18519726116726443</v>
      </c>
      <c r="L125" s="404">
        <f t="shared" si="14"/>
        <v>0.80227391690956618</v>
      </c>
      <c r="M125" s="404">
        <f>L125/'Utilisation rate workouts '!$C$5</f>
        <v>2.3540901317768961E-4</v>
      </c>
    </row>
    <row r="126" spans="1:13">
      <c r="A126" s="95">
        <v>70</v>
      </c>
      <c r="B126" s="86" t="s">
        <v>166</v>
      </c>
      <c r="C126" s="379">
        <v>3</v>
      </c>
      <c r="D126" s="389">
        <f>350/13.5</f>
        <v>25.925925925925927</v>
      </c>
      <c r="E126" s="403">
        <f t="shared" si="9"/>
        <v>77.777777777777786</v>
      </c>
      <c r="F126" s="404">
        <f t="shared" si="10"/>
        <v>0.64814814814814825</v>
      </c>
      <c r="G126" s="97">
        <v>10</v>
      </c>
      <c r="H126" s="101">
        <f t="shared" si="11"/>
        <v>8.5302000000000007</v>
      </c>
      <c r="I126" s="404">
        <f t="shared" si="12"/>
        <v>7.7777777777777786</v>
      </c>
      <c r="J126" s="404">
        <f t="shared" si="13"/>
        <v>16.895709101519046</v>
      </c>
      <c r="K126" s="134">
        <f>'Utilisation rate workouts '!C9</f>
        <v>0.18519726116726443</v>
      </c>
      <c r="L126" s="404">
        <f t="shared" si="14"/>
        <v>3.1290390510801491</v>
      </c>
      <c r="M126" s="404">
        <f>L126/'Utilisation rate workouts '!$C$5</f>
        <v>9.1814526146717992E-4</v>
      </c>
    </row>
    <row r="127" spans="1:13">
      <c r="A127" s="95"/>
      <c r="B127" s="102" t="s">
        <v>247</v>
      </c>
      <c r="C127" s="103"/>
      <c r="D127" s="104"/>
      <c r="E127" s="104"/>
      <c r="F127" s="105"/>
      <c r="G127" s="106"/>
      <c r="H127" s="98"/>
      <c r="I127" s="381"/>
      <c r="J127" s="405">
        <f>SUM(J113:J126)</f>
        <v>10683.191681545226</v>
      </c>
      <c r="K127" s="108"/>
      <c r="L127" s="405">
        <f>SUM(L113:L126)</f>
        <v>1978.497839947079</v>
      </c>
      <c r="M127" s="405">
        <f>SUM(M113:M126)</f>
        <v>0.58054514082954178</v>
      </c>
    </row>
    <row r="128" spans="1:13" ht="23.25" customHeight="1">
      <c r="A128" s="40"/>
      <c r="B128" s="479" t="s">
        <v>167</v>
      </c>
      <c r="C128" s="479"/>
      <c r="D128" s="40"/>
      <c r="E128" s="40"/>
      <c r="F128" s="41"/>
      <c r="G128" s="40"/>
      <c r="H128" s="42"/>
      <c r="I128" s="40"/>
      <c r="J128" s="40"/>
      <c r="K128" s="40"/>
      <c r="L128" s="40"/>
      <c r="M128" s="40"/>
    </row>
    <row r="129" spans="1:13">
      <c r="A129" s="95">
        <v>71</v>
      </c>
      <c r="B129" s="86" t="s">
        <v>168</v>
      </c>
      <c r="C129" s="379">
        <v>1</v>
      </c>
      <c r="D129" s="389">
        <f>2899/13.5</f>
        <v>214.74074074074073</v>
      </c>
      <c r="E129" s="403">
        <f t="shared" ref="E129:E142" si="15">D129*C129</f>
        <v>214.74074074074073</v>
      </c>
      <c r="F129" s="403">
        <f t="shared" ref="F129:F142" si="16">((10/100)*E129)/12</f>
        <v>1.7895061728395063</v>
      </c>
      <c r="G129" s="97">
        <v>10</v>
      </c>
      <c r="H129" s="101">
        <f t="shared" ref="H129:H142" si="17">IF(G129=30,19.6004, IF(G129=15,11.9379,IF(G129=10,8.5302,IF(G129=5,4.5797,IF(G129=2,1.9135)))))</f>
        <v>8.5302000000000007</v>
      </c>
      <c r="I129" s="403">
        <f t="shared" ref="I129:I142" si="18">F129*12</f>
        <v>21.474074074074075</v>
      </c>
      <c r="J129" s="403">
        <f t="shared" ref="J129:J142" si="19">E129/H129+I129</f>
        <v>46.648248271717826</v>
      </c>
      <c r="K129" s="134">
        <f>'Utilisation rate workouts '!C9</f>
        <v>0.18519726116726443</v>
      </c>
      <c r="L129" s="403">
        <f t="shared" ref="L129:L142" si="20">J129*K129</f>
        <v>8.6391278181727174</v>
      </c>
      <c r="M129" s="403">
        <f>L129/'Utilisation rate workouts '!$C$5</f>
        <v>2.5349553457079568E-3</v>
      </c>
    </row>
    <row r="130" spans="1:13">
      <c r="A130" s="95">
        <v>72</v>
      </c>
      <c r="B130" s="86" t="s">
        <v>169</v>
      </c>
      <c r="C130" s="379">
        <v>1</v>
      </c>
      <c r="D130" s="389">
        <f>399/13.5</f>
        <v>29.555555555555557</v>
      </c>
      <c r="E130" s="403">
        <f t="shared" si="15"/>
        <v>29.555555555555557</v>
      </c>
      <c r="F130" s="403">
        <f t="shared" si="16"/>
        <v>0.24629629629629632</v>
      </c>
      <c r="G130" s="97">
        <v>15</v>
      </c>
      <c r="H130" s="101">
        <f t="shared" si="17"/>
        <v>11.937900000000001</v>
      </c>
      <c r="I130" s="403">
        <f t="shared" si="18"/>
        <v>2.9555555555555557</v>
      </c>
      <c r="J130" s="403">
        <f t="shared" si="19"/>
        <v>5.4313306546563656</v>
      </c>
      <c r="K130" s="134">
        <f>'Utilisation rate workouts '!C9</f>
        <v>0.18519726116726443</v>
      </c>
      <c r="L130" s="403">
        <f t="shared" si="20"/>
        <v>1.0058675617361641</v>
      </c>
      <c r="M130" s="403">
        <f>L130/'Utilisation rate workouts '!$C$5</f>
        <v>2.9514893243432047E-4</v>
      </c>
    </row>
    <row r="131" spans="1:13">
      <c r="A131" s="95">
        <v>73</v>
      </c>
      <c r="B131" s="86" t="s">
        <v>170</v>
      </c>
      <c r="C131" s="379">
        <v>1</v>
      </c>
      <c r="D131" s="389">
        <f>15999/13.5</f>
        <v>1185.1111111111111</v>
      </c>
      <c r="E131" s="403">
        <f t="shared" si="15"/>
        <v>1185.1111111111111</v>
      </c>
      <c r="F131" s="403">
        <f t="shared" si="16"/>
        <v>9.8759259259259267</v>
      </c>
      <c r="G131" s="97">
        <v>15</v>
      </c>
      <c r="H131" s="101">
        <f t="shared" si="17"/>
        <v>11.937900000000001</v>
      </c>
      <c r="I131" s="403">
        <f t="shared" si="18"/>
        <v>118.51111111111112</v>
      </c>
      <c r="J131" s="403">
        <f t="shared" si="19"/>
        <v>217.78410812994281</v>
      </c>
      <c r="K131" s="134">
        <f>'Utilisation rate workouts '!C9</f>
        <v>0.18519726116726443</v>
      </c>
      <c r="L131" s="403">
        <f t="shared" si="20"/>
        <v>40.333020351420771</v>
      </c>
      <c r="M131" s="403">
        <f>L131/'Utilisation rate workouts '!$C$5</f>
        <v>1.1834806441144593E-2</v>
      </c>
    </row>
    <row r="132" spans="1:13">
      <c r="A132" s="95">
        <v>74</v>
      </c>
      <c r="B132" s="86" t="s">
        <v>219</v>
      </c>
      <c r="C132" s="379">
        <v>1</v>
      </c>
      <c r="D132" s="389">
        <f>399/13.5</f>
        <v>29.555555555555557</v>
      </c>
      <c r="E132" s="403">
        <f t="shared" si="15"/>
        <v>29.555555555555557</v>
      </c>
      <c r="F132" s="403">
        <f t="shared" si="16"/>
        <v>0.24629629629629632</v>
      </c>
      <c r="G132" s="97">
        <v>15</v>
      </c>
      <c r="H132" s="101">
        <f t="shared" si="17"/>
        <v>11.937900000000001</v>
      </c>
      <c r="I132" s="403">
        <f t="shared" si="18"/>
        <v>2.9555555555555557</v>
      </c>
      <c r="J132" s="403">
        <f t="shared" si="19"/>
        <v>5.4313306546563656</v>
      </c>
      <c r="K132" s="134">
        <f>'Utilisation rate workouts '!C9</f>
        <v>0.18519726116726443</v>
      </c>
      <c r="L132" s="403">
        <f t="shared" si="20"/>
        <v>1.0058675617361641</v>
      </c>
      <c r="M132" s="403">
        <f>L132/'Utilisation rate workouts '!$C$5</f>
        <v>2.9514893243432047E-4</v>
      </c>
    </row>
    <row r="133" spans="1:13">
      <c r="A133" s="95">
        <v>75</v>
      </c>
      <c r="B133" s="100" t="s">
        <v>171</v>
      </c>
      <c r="C133" s="379">
        <v>1</v>
      </c>
      <c r="D133" s="389">
        <f>3999/13.5</f>
        <v>296.22222222222223</v>
      </c>
      <c r="E133" s="403">
        <f t="shared" si="15"/>
        <v>296.22222222222223</v>
      </c>
      <c r="F133" s="403">
        <f t="shared" si="16"/>
        <v>2.4685185185185188</v>
      </c>
      <c r="G133" s="97">
        <v>10</v>
      </c>
      <c r="H133" s="101">
        <f t="shared" si="17"/>
        <v>8.5302000000000007</v>
      </c>
      <c r="I133" s="403">
        <f t="shared" si="18"/>
        <v>29.622222222222227</v>
      </c>
      <c r="J133" s="403">
        <f t="shared" si="19"/>
        <v>64.348514949499688</v>
      </c>
      <c r="K133" s="134">
        <f>'Utilisation rate workouts '!C9</f>
        <v>0.18519726116726443</v>
      </c>
      <c r="L133" s="403">
        <f t="shared" si="20"/>
        <v>11.917168728828113</v>
      </c>
      <c r="M133" s="403">
        <f>L133/'Utilisation rate workouts '!$C$5</f>
        <v>3.4968218101021457E-3</v>
      </c>
    </row>
    <row r="134" spans="1:13">
      <c r="A134" s="95">
        <v>76</v>
      </c>
      <c r="B134" s="86" t="s">
        <v>172</v>
      </c>
      <c r="C134" s="379">
        <v>1</v>
      </c>
      <c r="D134" s="389">
        <f>399/13.5</f>
        <v>29.555555555555557</v>
      </c>
      <c r="E134" s="403">
        <f t="shared" si="15"/>
        <v>29.555555555555557</v>
      </c>
      <c r="F134" s="403">
        <f t="shared" si="16"/>
        <v>0.24629629629629632</v>
      </c>
      <c r="G134" s="97">
        <v>15</v>
      </c>
      <c r="H134" s="101">
        <f t="shared" si="17"/>
        <v>11.937900000000001</v>
      </c>
      <c r="I134" s="403">
        <f t="shared" si="18"/>
        <v>2.9555555555555557</v>
      </c>
      <c r="J134" s="403">
        <f t="shared" si="19"/>
        <v>5.4313306546563656</v>
      </c>
      <c r="K134" s="134">
        <f>'Utilisation rate workouts '!C9</f>
        <v>0.18519726116726443</v>
      </c>
      <c r="L134" s="403">
        <f t="shared" si="20"/>
        <v>1.0058675617361641</v>
      </c>
      <c r="M134" s="403">
        <f>L134/'Utilisation rate workouts '!$C$5</f>
        <v>2.9514893243432047E-4</v>
      </c>
    </row>
    <row r="135" spans="1:13">
      <c r="A135" s="95">
        <v>77</v>
      </c>
      <c r="B135" s="86" t="s">
        <v>158</v>
      </c>
      <c r="C135" s="379">
        <v>1</v>
      </c>
      <c r="D135" s="389">
        <f>102030/13.5</f>
        <v>7557.7777777777774</v>
      </c>
      <c r="E135" s="403">
        <f t="shared" si="15"/>
        <v>7557.7777777777774</v>
      </c>
      <c r="F135" s="403">
        <f t="shared" si="16"/>
        <v>62.981481481481488</v>
      </c>
      <c r="G135" s="97">
        <v>15</v>
      </c>
      <c r="H135" s="101">
        <f t="shared" si="17"/>
        <v>11.937900000000001</v>
      </c>
      <c r="I135" s="403">
        <f t="shared" si="18"/>
        <v>755.77777777777783</v>
      </c>
      <c r="J135" s="403">
        <f t="shared" si="19"/>
        <v>1388.8688388335563</v>
      </c>
      <c r="K135" s="134">
        <f>'Utilisation rate workouts '!C9</f>
        <v>0.18519726116726443</v>
      </c>
      <c r="L135" s="403">
        <f t="shared" si="20"/>
        <v>257.21470507253343</v>
      </c>
      <c r="M135" s="403">
        <f>L135/'Utilisation rate workouts '!$C$5</f>
        <v>7.5473798436776249E-2</v>
      </c>
    </row>
    <row r="136" spans="1:13">
      <c r="A136" s="95">
        <v>78</v>
      </c>
      <c r="B136" s="86" t="s">
        <v>222</v>
      </c>
      <c r="C136" s="379">
        <v>2</v>
      </c>
      <c r="D136" s="389">
        <f>16645.15/13.5</f>
        <v>1232.9740740740742</v>
      </c>
      <c r="E136" s="403">
        <f t="shared" si="15"/>
        <v>2465.9481481481484</v>
      </c>
      <c r="F136" s="403">
        <f t="shared" si="16"/>
        <v>20.549567901234571</v>
      </c>
      <c r="G136" s="97">
        <v>15</v>
      </c>
      <c r="H136" s="101">
        <f t="shared" si="17"/>
        <v>11.937900000000001</v>
      </c>
      <c r="I136" s="403">
        <f t="shared" si="18"/>
        <v>246.59481481481487</v>
      </c>
      <c r="J136" s="403">
        <f t="shared" si="19"/>
        <v>453.15946589650832</v>
      </c>
      <c r="K136" s="134">
        <f>'Utilisation rate workouts '!C9</f>
        <v>0.18519726116726443</v>
      </c>
      <c r="L136" s="403">
        <f t="shared" si="20"/>
        <v>83.923891956053708</v>
      </c>
      <c r="M136" s="403">
        <f>L136/'Utilisation rate workouts '!$C$5</f>
        <v>2.462555515142421E-2</v>
      </c>
    </row>
    <row r="137" spans="1:13">
      <c r="A137" s="95">
        <v>79</v>
      </c>
      <c r="B137" s="86" t="s">
        <v>173</v>
      </c>
      <c r="C137" s="379">
        <v>1</v>
      </c>
      <c r="D137" s="389">
        <f>3299/13.5</f>
        <v>244.37037037037038</v>
      </c>
      <c r="E137" s="403">
        <f t="shared" si="15"/>
        <v>244.37037037037038</v>
      </c>
      <c r="F137" s="403">
        <f t="shared" si="16"/>
        <v>2.0364197530864199</v>
      </c>
      <c r="G137" s="97">
        <v>10</v>
      </c>
      <c r="H137" s="101">
        <f t="shared" si="17"/>
        <v>8.5302000000000007</v>
      </c>
      <c r="I137" s="403">
        <f t="shared" si="18"/>
        <v>24.437037037037037</v>
      </c>
      <c r="J137" s="403">
        <f t="shared" si="19"/>
        <v>53.084708881820319</v>
      </c>
      <c r="K137" s="134">
        <f>'Utilisation rate workouts '!C9</f>
        <v>0.18519726116726443</v>
      </c>
      <c r="L137" s="403">
        <f t="shared" si="20"/>
        <v>9.8311426947746785</v>
      </c>
      <c r="M137" s="403">
        <f>L137/'Utilisation rate workouts '!$C$5</f>
        <v>2.8847249691240254E-3</v>
      </c>
    </row>
    <row r="138" spans="1:13">
      <c r="A138" s="95">
        <v>80</v>
      </c>
      <c r="B138" s="86" t="s">
        <v>174</v>
      </c>
      <c r="C138" s="379">
        <v>1</v>
      </c>
      <c r="D138" s="389">
        <f>413/13.5</f>
        <v>30.592592592592592</v>
      </c>
      <c r="E138" s="403">
        <f t="shared" si="15"/>
        <v>30.592592592592592</v>
      </c>
      <c r="F138" s="403">
        <f t="shared" si="16"/>
        <v>0.25493827160493826</v>
      </c>
      <c r="G138" s="97">
        <v>15</v>
      </c>
      <c r="H138" s="101">
        <f t="shared" si="17"/>
        <v>11.937900000000001</v>
      </c>
      <c r="I138" s="403">
        <f t="shared" si="18"/>
        <v>3.0592592592592593</v>
      </c>
      <c r="J138" s="403">
        <f t="shared" si="19"/>
        <v>5.6219036600829035</v>
      </c>
      <c r="K138" s="134">
        <f>'Utilisation rate workouts '!C9</f>
        <v>0.18519726116726443</v>
      </c>
      <c r="L138" s="403">
        <f t="shared" si="20"/>
        <v>1.0411611603935733</v>
      </c>
      <c r="M138" s="403">
        <f>L138/'Utilisation rate workouts '!$C$5</f>
        <v>3.0550503532675272E-4</v>
      </c>
    </row>
    <row r="139" spans="1:13">
      <c r="A139" s="95">
        <v>81</v>
      </c>
      <c r="B139" s="86" t="s">
        <v>163</v>
      </c>
      <c r="C139" s="379">
        <v>1</v>
      </c>
      <c r="D139" s="389">
        <f>990/13.5</f>
        <v>73.333333333333329</v>
      </c>
      <c r="E139" s="403">
        <f t="shared" si="15"/>
        <v>73.333333333333329</v>
      </c>
      <c r="F139" s="403">
        <f t="shared" si="16"/>
        <v>0.61111111111111105</v>
      </c>
      <c r="G139" s="97">
        <v>15</v>
      </c>
      <c r="H139" s="101">
        <f t="shared" si="17"/>
        <v>11.937900000000001</v>
      </c>
      <c r="I139" s="403">
        <f t="shared" si="18"/>
        <v>7.3333333333333321</v>
      </c>
      <c r="J139" s="403">
        <f t="shared" si="19"/>
        <v>13.476233955162407</v>
      </c>
      <c r="K139" s="134">
        <f>'Utilisation rate workouts '!C9</f>
        <v>0.18519726116726443</v>
      </c>
      <c r="L139" s="403">
        <f t="shared" si="20"/>
        <v>2.4957616193453691</v>
      </c>
      <c r="M139" s="403">
        <f>L139/'Utilisation rate workouts '!$C$5</f>
        <v>7.3232441882199793E-4</v>
      </c>
    </row>
    <row r="140" spans="1:13">
      <c r="A140" s="95">
        <v>82</v>
      </c>
      <c r="B140" s="86" t="s">
        <v>164</v>
      </c>
      <c r="C140" s="379">
        <v>1</v>
      </c>
      <c r="D140" s="389">
        <f>173.32/13.5</f>
        <v>12.838518518518518</v>
      </c>
      <c r="E140" s="403">
        <f t="shared" si="15"/>
        <v>12.838518518518518</v>
      </c>
      <c r="F140" s="403">
        <f t="shared" si="16"/>
        <v>0.10698765432098765</v>
      </c>
      <c r="G140" s="97">
        <v>15</v>
      </c>
      <c r="H140" s="101">
        <f t="shared" si="17"/>
        <v>11.937900000000001</v>
      </c>
      <c r="I140" s="403">
        <f t="shared" si="18"/>
        <v>1.2838518518518518</v>
      </c>
      <c r="J140" s="403">
        <f t="shared" si="19"/>
        <v>2.3592938071805545</v>
      </c>
      <c r="K140" s="134">
        <f>'Utilisation rate workouts '!C9</f>
        <v>0.18519726116726443</v>
      </c>
      <c r="L140" s="403">
        <f t="shared" si="20"/>
        <v>0.43693475137872673</v>
      </c>
      <c r="M140" s="403">
        <f>L140/'Utilisation rate workouts '!$C$5</f>
        <v>1.2820855380831183E-4</v>
      </c>
    </row>
    <row r="141" spans="1:13">
      <c r="A141" s="95">
        <v>83</v>
      </c>
      <c r="B141" s="86" t="s">
        <v>165</v>
      </c>
      <c r="C141" s="379">
        <v>1</v>
      </c>
      <c r="D141" s="389">
        <f>106/13.5</f>
        <v>7.8518518518518521</v>
      </c>
      <c r="E141" s="403">
        <f t="shared" si="15"/>
        <v>7.8518518518518521</v>
      </c>
      <c r="F141" s="403">
        <f t="shared" si="16"/>
        <v>6.5432098765432101E-2</v>
      </c>
      <c r="G141" s="97">
        <v>15</v>
      </c>
      <c r="H141" s="101">
        <f t="shared" si="17"/>
        <v>11.937900000000001</v>
      </c>
      <c r="I141" s="403">
        <f t="shared" si="18"/>
        <v>0.78518518518518521</v>
      </c>
      <c r="J141" s="403">
        <f t="shared" si="19"/>
        <v>1.4429098982295105</v>
      </c>
      <c r="K141" s="134">
        <f>'Utilisation rate workouts '!C9</f>
        <v>0.18519726116726443</v>
      </c>
      <c r="L141" s="403">
        <f t="shared" si="20"/>
        <v>0.26722296126324158</v>
      </c>
      <c r="M141" s="403">
        <f>L141/'Utilisation rate workouts '!$C$5</f>
        <v>7.8410493328415949E-5</v>
      </c>
    </row>
    <row r="142" spans="1:13">
      <c r="A142" s="95">
        <v>84</v>
      </c>
      <c r="B142" s="86" t="s">
        <v>175</v>
      </c>
      <c r="C142" s="379">
        <v>1</v>
      </c>
      <c r="D142" s="389">
        <f>143.89/13.5</f>
        <v>10.658518518518518</v>
      </c>
      <c r="E142" s="403">
        <f t="shared" si="15"/>
        <v>10.658518518518518</v>
      </c>
      <c r="F142" s="403">
        <f t="shared" si="16"/>
        <v>8.882098765432099E-2</v>
      </c>
      <c r="G142" s="97">
        <v>10</v>
      </c>
      <c r="H142" s="101">
        <f t="shared" si="17"/>
        <v>8.5302000000000007</v>
      </c>
      <c r="I142" s="403">
        <f t="shared" si="18"/>
        <v>1.0658518518518518</v>
      </c>
      <c r="J142" s="403">
        <f t="shared" si="19"/>
        <v>2.3153557929691195</v>
      </c>
      <c r="K142" s="134">
        <f>'Utilisation rate workouts '!C9</f>
        <v>0.18519726116726443</v>
      </c>
      <c r="L142" s="403">
        <f t="shared" si="20"/>
        <v>0.42879755148564064</v>
      </c>
      <c r="M142" s="403">
        <f>L142/'Utilisation rate workouts '!$C$5</f>
        <v>1.2582087778334526E-4</v>
      </c>
    </row>
    <row r="143" spans="1:13">
      <c r="A143" s="95"/>
      <c r="B143" s="102" t="s">
        <v>247</v>
      </c>
      <c r="C143" s="103"/>
      <c r="D143" s="104"/>
      <c r="E143" s="104"/>
      <c r="F143" s="105"/>
      <c r="G143" s="106"/>
      <c r="H143" s="98"/>
      <c r="I143" s="381"/>
      <c r="J143" s="406">
        <f>SUM(J129:J142)</f>
        <v>2265.4035740406393</v>
      </c>
      <c r="K143" s="114"/>
      <c r="L143" s="406">
        <f>SUM(L129:L142)</f>
        <v>419.54653735085844</v>
      </c>
      <c r="M143" s="406">
        <f>SUM(M129:M142)</f>
        <v>0.12310637833065097</v>
      </c>
    </row>
    <row r="144" spans="1:13" ht="16">
      <c r="A144" s="263"/>
      <c r="B144" s="38" t="s">
        <v>176</v>
      </c>
      <c r="C144" s="39"/>
      <c r="D144" s="40"/>
      <c r="E144" s="40"/>
      <c r="F144" s="41"/>
      <c r="G144" s="40"/>
      <c r="H144" s="42"/>
      <c r="I144" s="40"/>
      <c r="J144" s="40"/>
      <c r="K144" s="40"/>
      <c r="L144" s="40"/>
      <c r="M144" s="40"/>
    </row>
    <row r="145" spans="1:13">
      <c r="A145" s="95">
        <v>85</v>
      </c>
      <c r="B145" s="86" t="s">
        <v>177</v>
      </c>
      <c r="C145" s="379">
        <v>2</v>
      </c>
      <c r="D145" s="389">
        <f>325869/13.5</f>
        <v>24138.444444444445</v>
      </c>
      <c r="E145" s="403">
        <f t="shared" ref="E145:E156" si="21">D145*C145</f>
        <v>48276.888888888891</v>
      </c>
      <c r="F145" s="403">
        <f t="shared" ref="F145:F156" si="22">((10/100)*E145)/12</f>
        <v>402.30740740740742</v>
      </c>
      <c r="G145" s="97">
        <v>15</v>
      </c>
      <c r="H145" s="101">
        <f t="shared" ref="H145:H156" si="23">IF(G145=30,19.6004, IF(G145=15,11.9379,IF(G145=10,8.5302,IF(G145=5,4.5797,IF(G145=2,1.9135)))))</f>
        <v>11.937900000000001</v>
      </c>
      <c r="I145" s="403">
        <f t="shared" ref="I145:I156" si="24">F145*12</f>
        <v>4827.6888888888889</v>
      </c>
      <c r="J145" s="403">
        <f t="shared" ref="J145:J156" si="25">E145/H145+I145</f>
        <v>8871.6906721915548</v>
      </c>
      <c r="K145" s="134">
        <f>'Utilisation rate workouts '!C9</f>
        <v>0.18519726116726443</v>
      </c>
      <c r="L145" s="403">
        <f t="shared" ref="L145:L156" si="26">J145*K145</f>
        <v>1643.0128144130431</v>
      </c>
      <c r="M145" s="403">
        <f>L145/'Utilisation rate workouts '!$C$5</f>
        <v>0.48210469906486009</v>
      </c>
    </row>
    <row r="146" spans="1:13">
      <c r="A146" s="95">
        <v>86</v>
      </c>
      <c r="B146" s="86" t="s">
        <v>178</v>
      </c>
      <c r="C146" s="379">
        <v>1</v>
      </c>
      <c r="D146" s="389">
        <f>850/13.5</f>
        <v>62.962962962962962</v>
      </c>
      <c r="E146" s="403">
        <f t="shared" si="21"/>
        <v>62.962962962962962</v>
      </c>
      <c r="F146" s="403">
        <f t="shared" si="22"/>
        <v>0.52469135802469136</v>
      </c>
      <c r="G146" s="97">
        <v>15</v>
      </c>
      <c r="H146" s="101">
        <f t="shared" si="23"/>
        <v>11.937900000000001</v>
      </c>
      <c r="I146" s="403">
        <f t="shared" si="24"/>
        <v>6.2962962962962958</v>
      </c>
      <c r="J146" s="403">
        <f t="shared" si="25"/>
        <v>11.570503900897018</v>
      </c>
      <c r="K146" s="134">
        <f>'Utilisation rate workouts '!C9</f>
        <v>0.18519726116726443</v>
      </c>
      <c r="L146" s="403">
        <f t="shared" si="26"/>
        <v>2.1428256327712769</v>
      </c>
      <c r="M146" s="403">
        <f>L146/'Utilisation rate workouts '!$C$5</f>
        <v>6.2876338989767519E-4</v>
      </c>
    </row>
    <row r="147" spans="1:13">
      <c r="A147" s="95">
        <v>87</v>
      </c>
      <c r="B147" s="86" t="s">
        <v>179</v>
      </c>
      <c r="C147" s="379">
        <v>1</v>
      </c>
      <c r="D147" s="389">
        <f>1750/13.5</f>
        <v>129.62962962962962</v>
      </c>
      <c r="E147" s="403">
        <f t="shared" si="21"/>
        <v>129.62962962962962</v>
      </c>
      <c r="F147" s="403">
        <f t="shared" si="22"/>
        <v>1.0802469135802468</v>
      </c>
      <c r="G147" s="97">
        <v>15</v>
      </c>
      <c r="H147" s="101">
        <f t="shared" si="23"/>
        <v>11.937900000000001</v>
      </c>
      <c r="I147" s="403">
        <f t="shared" si="24"/>
        <v>12.962962962962962</v>
      </c>
      <c r="J147" s="403">
        <f t="shared" si="25"/>
        <v>23.821625678317389</v>
      </c>
      <c r="K147" s="134">
        <f>'Utilisation rate workouts '!C9</f>
        <v>0.18519726116726443</v>
      </c>
      <c r="L147" s="403">
        <f t="shared" si="26"/>
        <v>4.4116998321761578</v>
      </c>
      <c r="M147" s="403">
        <f>L147/'Utilisation rate workouts '!$C$5</f>
        <v>1.2945128615540369E-3</v>
      </c>
    </row>
    <row r="148" spans="1:13">
      <c r="A148" s="95">
        <v>88</v>
      </c>
      <c r="B148" s="100" t="s">
        <v>180</v>
      </c>
      <c r="C148" s="379">
        <v>2</v>
      </c>
      <c r="D148" s="389">
        <f>4383/13.5</f>
        <v>324.66666666666669</v>
      </c>
      <c r="E148" s="403">
        <f t="shared" si="21"/>
        <v>649.33333333333337</v>
      </c>
      <c r="F148" s="403">
        <f t="shared" si="22"/>
        <v>5.4111111111111114</v>
      </c>
      <c r="G148" s="97">
        <v>15</v>
      </c>
      <c r="H148" s="101">
        <f t="shared" si="23"/>
        <v>11.937900000000001</v>
      </c>
      <c r="I148" s="403">
        <f t="shared" si="24"/>
        <v>64.933333333333337</v>
      </c>
      <c r="J148" s="403">
        <f t="shared" si="25"/>
        <v>119.32592611207443</v>
      </c>
      <c r="K148" s="134">
        <f>'Utilisation rate workouts '!C9</f>
        <v>0.18519726116726443</v>
      </c>
      <c r="L148" s="403">
        <f t="shared" si="26"/>
        <v>22.098834702203547</v>
      </c>
      <c r="M148" s="403">
        <f>L148/'Utilisation rate workouts '!$C$5</f>
        <v>6.4843998539329661E-3</v>
      </c>
    </row>
    <row r="149" spans="1:13">
      <c r="A149" s="95">
        <v>89</v>
      </c>
      <c r="B149" s="86" t="s">
        <v>181</v>
      </c>
      <c r="C149" s="379">
        <v>2</v>
      </c>
      <c r="D149" s="389">
        <f>599/13.5</f>
        <v>44.370370370370374</v>
      </c>
      <c r="E149" s="403">
        <f t="shared" si="21"/>
        <v>88.740740740740748</v>
      </c>
      <c r="F149" s="403">
        <f t="shared" si="22"/>
        <v>0.73950617283950626</v>
      </c>
      <c r="G149" s="97">
        <v>15</v>
      </c>
      <c r="H149" s="101">
        <f t="shared" si="23"/>
        <v>11.937900000000001</v>
      </c>
      <c r="I149" s="403">
        <f t="shared" si="24"/>
        <v>8.8740740740740751</v>
      </c>
      <c r="J149" s="403">
        <f t="shared" si="25"/>
        <v>16.307604321499564</v>
      </c>
      <c r="K149" s="134">
        <f>'Utilisation rate workouts '!C9</f>
        <v>0.18519726116726443</v>
      </c>
      <c r="L149" s="403">
        <f t="shared" si="26"/>
        <v>3.0201236565411649</v>
      </c>
      <c r="M149" s="403">
        <f>L149/'Utilisation rate workouts '!$C$5</f>
        <v>8.8618651893813526E-4</v>
      </c>
    </row>
    <row r="150" spans="1:13">
      <c r="A150" s="95">
        <v>90</v>
      </c>
      <c r="B150" s="86" t="s">
        <v>182</v>
      </c>
      <c r="C150" s="379">
        <v>1</v>
      </c>
      <c r="D150" s="389">
        <f>299/13.5</f>
        <v>22.148148148148149</v>
      </c>
      <c r="E150" s="403">
        <f t="shared" si="21"/>
        <v>22.148148148148149</v>
      </c>
      <c r="F150" s="403">
        <f t="shared" si="22"/>
        <v>0.1845679012345679</v>
      </c>
      <c r="G150" s="97">
        <v>5</v>
      </c>
      <c r="H150" s="101">
        <f t="shared" si="23"/>
        <v>4.5796999999999999</v>
      </c>
      <c r="I150" s="403">
        <f t="shared" si="24"/>
        <v>2.2148148148148148</v>
      </c>
      <c r="J150" s="403">
        <f t="shared" si="25"/>
        <v>7.0509718006759297</v>
      </c>
      <c r="K150" s="134">
        <f>'Utilisation rate workouts '!C9</f>
        <v>0.18519726116726443</v>
      </c>
      <c r="L150" s="403">
        <f t="shared" si="26"/>
        <v>1.3058206660527969</v>
      </c>
      <c r="M150" s="403">
        <f>L150/'Utilisation rate workouts '!$C$5</f>
        <v>3.8316334097793334E-4</v>
      </c>
    </row>
    <row r="151" spans="1:13">
      <c r="A151" s="95">
        <v>91</v>
      </c>
      <c r="B151" s="86" t="s">
        <v>183</v>
      </c>
      <c r="C151" s="379">
        <v>1</v>
      </c>
      <c r="D151" s="389">
        <f>3641/13.5</f>
        <v>269.7037037037037</v>
      </c>
      <c r="E151" s="403">
        <f t="shared" si="21"/>
        <v>269.7037037037037</v>
      </c>
      <c r="F151" s="403">
        <f t="shared" si="22"/>
        <v>2.2475308641975311</v>
      </c>
      <c r="G151" s="97">
        <v>15</v>
      </c>
      <c r="H151" s="101">
        <f t="shared" si="23"/>
        <v>11.937900000000001</v>
      </c>
      <c r="I151" s="403">
        <f t="shared" si="24"/>
        <v>26.970370370370375</v>
      </c>
      <c r="J151" s="403">
        <f t="shared" si="25"/>
        <v>49.562593768430645</v>
      </c>
      <c r="K151" s="134">
        <f>'Utilisation rate workouts '!C9</f>
        <v>0.18519726116726443</v>
      </c>
      <c r="L151" s="403">
        <f t="shared" si="26"/>
        <v>9.1788566222590831</v>
      </c>
      <c r="M151" s="403">
        <f>L151/'Utilisation rate workouts '!$C$5</f>
        <v>2.6933264736675711E-3</v>
      </c>
    </row>
    <row r="152" spans="1:13">
      <c r="A152" s="95">
        <v>92</v>
      </c>
      <c r="B152" s="86" t="s">
        <v>184</v>
      </c>
      <c r="C152" s="379">
        <v>2</v>
      </c>
      <c r="D152" s="389">
        <f>500/13.5</f>
        <v>37.037037037037038</v>
      </c>
      <c r="E152" s="403">
        <f t="shared" si="21"/>
        <v>74.074074074074076</v>
      </c>
      <c r="F152" s="403">
        <f t="shared" si="22"/>
        <v>0.61728395061728403</v>
      </c>
      <c r="G152" s="97">
        <v>15</v>
      </c>
      <c r="H152" s="101">
        <f t="shared" si="23"/>
        <v>11.937900000000001</v>
      </c>
      <c r="I152" s="403">
        <f t="shared" si="24"/>
        <v>7.4074074074074083</v>
      </c>
      <c r="J152" s="403">
        <f t="shared" si="25"/>
        <v>13.612357530467081</v>
      </c>
      <c r="K152" s="134">
        <f>'Utilisation rate workouts '!C9</f>
        <v>0.18519726116726443</v>
      </c>
      <c r="L152" s="403">
        <f t="shared" si="26"/>
        <v>2.5209713326720906</v>
      </c>
      <c r="M152" s="403">
        <f>L152/'Utilisation rate workouts '!$C$5</f>
        <v>7.3972163517373548E-4</v>
      </c>
    </row>
    <row r="153" spans="1:13">
      <c r="A153" s="95">
        <v>93</v>
      </c>
      <c r="B153" s="86" t="s">
        <v>185</v>
      </c>
      <c r="C153" s="379">
        <v>3</v>
      </c>
      <c r="D153" s="389">
        <f>399/13.5</f>
        <v>29.555555555555557</v>
      </c>
      <c r="E153" s="403">
        <f t="shared" si="21"/>
        <v>88.666666666666671</v>
      </c>
      <c r="F153" s="403">
        <f t="shared" si="22"/>
        <v>0.73888888888888893</v>
      </c>
      <c r="G153" s="97">
        <v>15</v>
      </c>
      <c r="H153" s="101">
        <f t="shared" si="23"/>
        <v>11.937900000000001</v>
      </c>
      <c r="I153" s="403">
        <f t="shared" si="24"/>
        <v>8.8666666666666671</v>
      </c>
      <c r="J153" s="403">
        <f t="shared" si="25"/>
        <v>16.293991963969095</v>
      </c>
      <c r="K153" s="134">
        <f>'Utilisation rate workouts '!C9</f>
        <v>0.18519726116726443</v>
      </c>
      <c r="L153" s="403">
        <f t="shared" si="26"/>
        <v>3.0176026852084923</v>
      </c>
      <c r="M153" s="403">
        <f>L153/'Utilisation rate workouts '!$C$5</f>
        <v>8.854467973029613E-4</v>
      </c>
    </row>
    <row r="154" spans="1:13">
      <c r="A154" s="95">
        <v>94</v>
      </c>
      <c r="B154" s="86" t="s">
        <v>163</v>
      </c>
      <c r="C154" s="379">
        <v>2</v>
      </c>
      <c r="D154" s="389">
        <f>990/13.5</f>
        <v>73.333333333333329</v>
      </c>
      <c r="E154" s="403">
        <f t="shared" si="21"/>
        <v>146.66666666666666</v>
      </c>
      <c r="F154" s="403">
        <f t="shared" si="22"/>
        <v>1.2222222222222221</v>
      </c>
      <c r="G154" s="97">
        <v>15</v>
      </c>
      <c r="H154" s="101">
        <f t="shared" si="23"/>
        <v>11.937900000000001</v>
      </c>
      <c r="I154" s="403">
        <f t="shared" si="24"/>
        <v>14.666666666666664</v>
      </c>
      <c r="J154" s="403">
        <f t="shared" si="25"/>
        <v>26.952467910324813</v>
      </c>
      <c r="K154" s="134">
        <f>'Utilisation rate workouts '!C9</f>
        <v>0.18519726116726443</v>
      </c>
      <c r="L154" s="403">
        <f t="shared" si="26"/>
        <v>4.9915232386907382</v>
      </c>
      <c r="M154" s="403">
        <f>L154/'Utilisation rate workouts '!$C$5</f>
        <v>1.4646488376439959E-3</v>
      </c>
    </row>
    <row r="155" spans="1:13">
      <c r="A155" s="95">
        <v>95</v>
      </c>
      <c r="B155" s="86" t="s">
        <v>162</v>
      </c>
      <c r="C155" s="379">
        <v>1</v>
      </c>
      <c r="D155" s="389">
        <f>949/13.5</f>
        <v>70.296296296296291</v>
      </c>
      <c r="E155" s="403">
        <f t="shared" si="21"/>
        <v>70.296296296296291</v>
      </c>
      <c r="F155" s="403">
        <f t="shared" si="22"/>
        <v>0.58580246913580247</v>
      </c>
      <c r="G155" s="97">
        <v>10</v>
      </c>
      <c r="H155" s="101">
        <f t="shared" si="23"/>
        <v>8.5302000000000007</v>
      </c>
      <c r="I155" s="403">
        <f t="shared" si="24"/>
        <v>7.0296296296296301</v>
      </c>
      <c r="J155" s="403">
        <f t="shared" si="25"/>
        <v>15.270502797468167</v>
      </c>
      <c r="K155" s="134">
        <f>'Utilisation rate workouts '!C9</f>
        <v>0.18519726116726443</v>
      </c>
      <c r="L155" s="403">
        <f t="shared" si="26"/>
        <v>2.8280552947381539</v>
      </c>
      <c r="M155" s="403">
        <f>L155/'Utilisation rate workouts '!$C$5</f>
        <v>8.2982843155462256E-4</v>
      </c>
    </row>
    <row r="156" spans="1:13">
      <c r="A156" s="95">
        <v>96</v>
      </c>
      <c r="B156" s="86" t="s">
        <v>218</v>
      </c>
      <c r="C156" s="379">
        <v>2</v>
      </c>
      <c r="D156" s="389">
        <f>470/13.5</f>
        <v>34.814814814814817</v>
      </c>
      <c r="E156" s="403">
        <f t="shared" si="21"/>
        <v>69.629629629629633</v>
      </c>
      <c r="F156" s="403">
        <f t="shared" si="22"/>
        <v>0.58024691358024694</v>
      </c>
      <c r="G156" s="97">
        <v>10</v>
      </c>
      <c r="H156" s="101">
        <f t="shared" si="23"/>
        <v>8.5302000000000007</v>
      </c>
      <c r="I156" s="403">
        <f t="shared" si="24"/>
        <v>6.9629629629629637</v>
      </c>
      <c r="J156" s="403">
        <f t="shared" si="25"/>
        <v>15.125682433740861</v>
      </c>
      <c r="K156" s="134">
        <f>'Utilisation rate workouts '!C9</f>
        <v>0.18519726116726443</v>
      </c>
      <c r="L156" s="403">
        <f t="shared" si="26"/>
        <v>2.80123496001461</v>
      </c>
      <c r="M156" s="403">
        <f>L156/'Utilisation rate workouts '!$C$5</f>
        <v>8.2195861502776116E-4</v>
      </c>
    </row>
    <row r="157" spans="1:13">
      <c r="A157" s="95"/>
      <c r="B157" s="102" t="s">
        <v>247</v>
      </c>
      <c r="C157" s="103"/>
      <c r="D157" s="104"/>
      <c r="E157" s="104"/>
      <c r="F157" s="106"/>
      <c r="G157" s="106"/>
      <c r="H157" s="98"/>
      <c r="I157" s="381"/>
      <c r="J157" s="406">
        <f>SUM(J145:J156)</f>
        <v>9186.5849004094198</v>
      </c>
      <c r="K157" s="107"/>
      <c r="L157" s="406">
        <f>SUM(L145:L156)</f>
        <v>1701.330363036371</v>
      </c>
      <c r="M157" s="406">
        <f>SUM(M145:M156)</f>
        <v>0.49921665582053143</v>
      </c>
    </row>
    <row r="158" spans="1:13" ht="30">
      <c r="A158" s="45"/>
      <c r="B158" s="45" t="s">
        <v>186</v>
      </c>
      <c r="C158" s="45"/>
      <c r="D158" s="45"/>
      <c r="E158" s="45"/>
      <c r="F158" s="45"/>
      <c r="G158" s="45"/>
      <c r="H158" s="45"/>
      <c r="I158" s="45"/>
      <c r="J158" s="45"/>
      <c r="K158" s="45"/>
      <c r="L158" s="45"/>
      <c r="M158" s="45"/>
    </row>
    <row r="159" spans="1:13">
      <c r="A159" s="95">
        <v>97</v>
      </c>
      <c r="B159" s="86" t="s">
        <v>228</v>
      </c>
      <c r="C159" s="379">
        <v>60</v>
      </c>
      <c r="D159" s="389">
        <f>399/13.5</f>
        <v>29.555555555555557</v>
      </c>
      <c r="E159" s="403">
        <f>D159*C159</f>
        <v>1773.3333333333335</v>
      </c>
      <c r="F159" s="403">
        <f>((10/100)*E159)/12</f>
        <v>14.77777777777778</v>
      </c>
      <c r="G159" s="97">
        <v>15</v>
      </c>
      <c r="H159" s="101">
        <f>IF(G159=30,19.6004, IF(G159=15,11.9379,IF(G159=10,8.5302,IF(G159=5,4.5797,IF(G159=2,1.9135)))))</f>
        <v>11.937900000000001</v>
      </c>
      <c r="I159" s="403">
        <f>F159*12</f>
        <v>177.33333333333337</v>
      </c>
      <c r="J159" s="406">
        <f>E159/H159+I159</f>
        <v>325.87983927938194</v>
      </c>
      <c r="K159" s="407">
        <f>K156</f>
        <v>0.18519726116726443</v>
      </c>
      <c r="L159" s="406">
        <f>J159*K159</f>
        <v>60.352053704169855</v>
      </c>
      <c r="M159" s="406">
        <f>L159/'Utilisation rate workouts '!$C$5</f>
        <v>1.770893594605923E-2</v>
      </c>
    </row>
    <row r="160" spans="1:13" ht="16">
      <c r="A160" s="263"/>
      <c r="B160" s="43" t="s">
        <v>187</v>
      </c>
      <c r="C160" s="384"/>
      <c r="D160" s="385"/>
      <c r="E160" s="40"/>
      <c r="F160" s="40"/>
      <c r="G160" s="40"/>
      <c r="H160" s="126"/>
      <c r="I160" s="388"/>
      <c r="J160" s="388"/>
      <c r="K160" s="408"/>
      <c r="L160" s="386"/>
      <c r="M160" s="386"/>
    </row>
    <row r="161" spans="1:13">
      <c r="A161" s="95">
        <v>98</v>
      </c>
      <c r="B161" s="86" t="s">
        <v>227</v>
      </c>
      <c r="C161" s="379">
        <v>3</v>
      </c>
      <c r="D161" s="389">
        <f>1299/13.5</f>
        <v>96.222222222222229</v>
      </c>
      <c r="E161" s="403">
        <f t="shared" ref="E161:E173" si="27">D161*C161</f>
        <v>288.66666666666669</v>
      </c>
      <c r="F161" s="403">
        <f t="shared" ref="F161:F173" si="28">((10/100)*E161)/12</f>
        <v>2.4055555555555559</v>
      </c>
      <c r="G161" s="97">
        <v>10</v>
      </c>
      <c r="H161" s="101">
        <f t="shared" ref="H161:H173" si="29">IF(G161=30,19.6004, IF(G161=15,11.9379,IF(G161=10,8.5302,IF(G161=5,4.5797,IF(G161=2,1.9135)))))</f>
        <v>8.5302000000000007</v>
      </c>
      <c r="I161" s="403">
        <f t="shared" ref="I161:I173" si="30">F161*12</f>
        <v>28.866666666666671</v>
      </c>
      <c r="J161" s="403">
        <f t="shared" ref="J161:J173" si="31">E161/H161+I161</f>
        <v>62.707217493923551</v>
      </c>
      <c r="K161" s="134">
        <f>'Utilisation rate workouts '!C9</f>
        <v>0.18519726116726443</v>
      </c>
      <c r="L161" s="403">
        <f t="shared" ref="L161:L173" si="32">J161*K161</f>
        <v>11.613204935294613</v>
      </c>
      <c r="M161" s="403">
        <f>L161/'Utilisation rate workouts '!$C$5</f>
        <v>3.4076305561310484E-3</v>
      </c>
    </row>
    <row r="162" spans="1:13">
      <c r="A162" s="95">
        <v>99</v>
      </c>
      <c r="B162" s="86" t="s">
        <v>226</v>
      </c>
      <c r="C162" s="379">
        <v>3</v>
      </c>
      <c r="D162" s="389">
        <f>7000/13.5</f>
        <v>518.51851851851848</v>
      </c>
      <c r="E162" s="403">
        <f t="shared" si="27"/>
        <v>1555.5555555555554</v>
      </c>
      <c r="F162" s="403">
        <f t="shared" si="28"/>
        <v>12.962962962962962</v>
      </c>
      <c r="G162" s="97">
        <v>15</v>
      </c>
      <c r="H162" s="101">
        <f t="shared" si="29"/>
        <v>11.937900000000001</v>
      </c>
      <c r="I162" s="403">
        <f t="shared" si="30"/>
        <v>155.55555555555554</v>
      </c>
      <c r="J162" s="403">
        <f t="shared" si="31"/>
        <v>285.85950813980867</v>
      </c>
      <c r="K162" s="134">
        <f>'Utilisation rate workouts '!C9</f>
        <v>0.18519726116726443</v>
      </c>
      <c r="L162" s="403">
        <f t="shared" si="32"/>
        <v>52.940397986113894</v>
      </c>
      <c r="M162" s="403">
        <f>L162/'Utilisation rate workouts '!$C$5</f>
        <v>1.5534154338648442E-2</v>
      </c>
    </row>
    <row r="163" spans="1:13">
      <c r="A163" s="95">
        <v>100</v>
      </c>
      <c r="B163" s="86" t="s">
        <v>188</v>
      </c>
      <c r="C163" s="379">
        <v>3</v>
      </c>
      <c r="D163" s="389">
        <f>235/13.5</f>
        <v>17.407407407407408</v>
      </c>
      <c r="E163" s="403">
        <f t="shared" si="27"/>
        <v>52.222222222222229</v>
      </c>
      <c r="F163" s="403">
        <f t="shared" si="28"/>
        <v>0.43518518518518529</v>
      </c>
      <c r="G163" s="97">
        <v>5</v>
      </c>
      <c r="H163" s="101">
        <f t="shared" si="29"/>
        <v>4.5796999999999999</v>
      </c>
      <c r="I163" s="403">
        <f t="shared" si="30"/>
        <v>5.2222222222222232</v>
      </c>
      <c r="J163" s="403">
        <f t="shared" si="31"/>
        <v>16.625201068483385</v>
      </c>
      <c r="K163" s="134">
        <f>'Utilisation rate workouts '!C9</f>
        <v>0.18519726116726443</v>
      </c>
      <c r="L163" s="403">
        <f t="shared" si="32"/>
        <v>3.078941704238201</v>
      </c>
      <c r="M163" s="403">
        <f>L163/'Utilisation rate workouts '!$C$5</f>
        <v>9.0344533575064583E-4</v>
      </c>
    </row>
    <row r="164" spans="1:13">
      <c r="A164" s="95">
        <v>101</v>
      </c>
      <c r="B164" s="86" t="s">
        <v>225</v>
      </c>
      <c r="C164" s="379">
        <v>3</v>
      </c>
      <c r="D164" s="389">
        <f>1099/3.5</f>
        <v>314</v>
      </c>
      <c r="E164" s="403">
        <f t="shared" si="27"/>
        <v>942</v>
      </c>
      <c r="F164" s="403">
        <f t="shared" si="28"/>
        <v>7.8500000000000005</v>
      </c>
      <c r="G164" s="97">
        <v>5</v>
      </c>
      <c r="H164" s="101">
        <f t="shared" si="29"/>
        <v>4.5796999999999999</v>
      </c>
      <c r="I164" s="403">
        <f t="shared" si="30"/>
        <v>94.2</v>
      </c>
      <c r="J164" s="403">
        <f t="shared" si="31"/>
        <v>299.89032906085555</v>
      </c>
      <c r="K164" s="134">
        <f>'Utilisation rate workouts '!C9</f>
        <v>0.18519726116726443</v>
      </c>
      <c r="L164" s="403">
        <f t="shared" si="32"/>
        <v>55.538867592620136</v>
      </c>
      <c r="M164" s="403">
        <f>L164/'Utilisation rate workouts '!$C$5</f>
        <v>1.6296616077646753E-2</v>
      </c>
    </row>
    <row r="165" spans="1:13">
      <c r="A165" s="95">
        <v>102</v>
      </c>
      <c r="B165" s="86" t="s">
        <v>189</v>
      </c>
      <c r="C165" s="379">
        <v>3</v>
      </c>
      <c r="D165" s="389">
        <f>1095/13.5</f>
        <v>81.111111111111114</v>
      </c>
      <c r="E165" s="403">
        <f t="shared" si="27"/>
        <v>243.33333333333334</v>
      </c>
      <c r="F165" s="403">
        <f t="shared" si="28"/>
        <v>2.0277777777777781</v>
      </c>
      <c r="G165" s="97">
        <v>10</v>
      </c>
      <c r="H165" s="101">
        <f t="shared" si="29"/>
        <v>8.5302000000000007</v>
      </c>
      <c r="I165" s="403">
        <f t="shared" si="30"/>
        <v>24.333333333333336</v>
      </c>
      <c r="J165" s="403">
        <f t="shared" si="31"/>
        <v>52.859432760466731</v>
      </c>
      <c r="K165" s="134">
        <f>'Utilisation rate workouts '!C9</f>
        <v>0.18519726116726443</v>
      </c>
      <c r="L165" s="403">
        <f t="shared" si="32"/>
        <v>9.7894221740936107</v>
      </c>
      <c r="M165" s="403">
        <f>L165/'Utilisation rate workouts '!$C$5</f>
        <v>2.8724830323044633E-3</v>
      </c>
    </row>
    <row r="166" spans="1:13">
      <c r="A166" s="95">
        <v>103</v>
      </c>
      <c r="B166" s="86" t="s">
        <v>190</v>
      </c>
      <c r="C166" s="379">
        <v>4</v>
      </c>
      <c r="D166" s="389">
        <f>106/13.5</f>
        <v>7.8518518518518521</v>
      </c>
      <c r="E166" s="403">
        <f t="shared" si="27"/>
        <v>31.407407407407408</v>
      </c>
      <c r="F166" s="403">
        <f t="shared" si="28"/>
        <v>0.2617283950617284</v>
      </c>
      <c r="G166" s="97">
        <v>15</v>
      </c>
      <c r="H166" s="101">
        <f t="shared" si="29"/>
        <v>11.937900000000001</v>
      </c>
      <c r="I166" s="403">
        <f t="shared" si="30"/>
        <v>3.1407407407407408</v>
      </c>
      <c r="J166" s="403">
        <f t="shared" si="31"/>
        <v>5.7716395929180422</v>
      </c>
      <c r="K166" s="134">
        <f>'Utilisation rate workouts '!C9</f>
        <v>0.18519726116726443</v>
      </c>
      <c r="L166" s="403">
        <f t="shared" si="32"/>
        <v>1.0688918450529663</v>
      </c>
      <c r="M166" s="403">
        <f>L166/'Utilisation rate workouts '!$C$5</f>
        <v>3.136419733136638E-4</v>
      </c>
    </row>
    <row r="167" spans="1:13">
      <c r="A167" s="95">
        <v>104</v>
      </c>
      <c r="B167" s="86" t="s">
        <v>191</v>
      </c>
      <c r="C167" s="379">
        <v>3</v>
      </c>
      <c r="D167" s="389">
        <f>1265/13.5</f>
        <v>93.703703703703709</v>
      </c>
      <c r="E167" s="403">
        <f t="shared" si="27"/>
        <v>281.11111111111114</v>
      </c>
      <c r="F167" s="403">
        <f t="shared" si="28"/>
        <v>2.342592592592593</v>
      </c>
      <c r="G167" s="97">
        <v>15</v>
      </c>
      <c r="H167" s="101">
        <f t="shared" si="29"/>
        <v>11.937900000000001</v>
      </c>
      <c r="I167" s="403">
        <f t="shared" si="30"/>
        <v>28.111111111111114</v>
      </c>
      <c r="J167" s="403">
        <f t="shared" si="31"/>
        <v>51.658896828122579</v>
      </c>
      <c r="K167" s="134">
        <f>'Utilisation rate workouts '!C9</f>
        <v>0.18519726116726443</v>
      </c>
      <c r="L167" s="403">
        <f t="shared" si="32"/>
        <v>9.5670862074905845</v>
      </c>
      <c r="M167" s="403">
        <f>L167/'Utilisation rate workouts '!$C$5</f>
        <v>2.8072436054843264E-3</v>
      </c>
    </row>
    <row r="168" spans="1:13">
      <c r="A168" s="95">
        <v>105</v>
      </c>
      <c r="B168" s="86" t="s">
        <v>211</v>
      </c>
      <c r="C168" s="379">
        <v>3</v>
      </c>
      <c r="D168" s="389">
        <f>179/13.5</f>
        <v>13.25925925925926</v>
      </c>
      <c r="E168" s="403">
        <f t="shared" si="27"/>
        <v>39.777777777777779</v>
      </c>
      <c r="F168" s="403">
        <f t="shared" si="28"/>
        <v>0.33148148148148149</v>
      </c>
      <c r="G168" s="97">
        <v>5</v>
      </c>
      <c r="H168" s="101">
        <f t="shared" si="29"/>
        <v>4.5796999999999999</v>
      </c>
      <c r="I168" s="403">
        <f t="shared" si="30"/>
        <v>3.9777777777777779</v>
      </c>
      <c r="J168" s="403">
        <f t="shared" si="31"/>
        <v>12.663451026632021</v>
      </c>
      <c r="K168" s="134">
        <f>'Utilisation rate workouts '!C9</f>
        <v>0.18519726116726443</v>
      </c>
      <c r="L168" s="403">
        <f t="shared" si="32"/>
        <v>2.3452364470580331</v>
      </c>
      <c r="M168" s="403">
        <f>L168/'Utilisation rate workouts '!$C$5</f>
        <v>6.8815623446538536E-4</v>
      </c>
    </row>
    <row r="169" spans="1:13">
      <c r="A169" s="95">
        <v>106</v>
      </c>
      <c r="B169" s="86" t="s">
        <v>151</v>
      </c>
      <c r="C169" s="379">
        <v>3</v>
      </c>
      <c r="D169" s="389">
        <f>1800/13.5</f>
        <v>133.33333333333334</v>
      </c>
      <c r="E169" s="403">
        <f t="shared" si="27"/>
        <v>400</v>
      </c>
      <c r="F169" s="403">
        <f t="shared" si="28"/>
        <v>3.3333333333333335</v>
      </c>
      <c r="G169" s="97">
        <v>15</v>
      </c>
      <c r="H169" s="101">
        <f t="shared" si="29"/>
        <v>11.937900000000001</v>
      </c>
      <c r="I169" s="403">
        <f t="shared" si="30"/>
        <v>40</v>
      </c>
      <c r="J169" s="403">
        <f t="shared" si="31"/>
        <v>73.506730664522223</v>
      </c>
      <c r="K169" s="134">
        <f>'Utilisation rate workouts '!C9</f>
        <v>0.18519726116726443</v>
      </c>
      <c r="L169" s="403">
        <f t="shared" si="32"/>
        <v>13.613245196429286</v>
      </c>
      <c r="M169" s="403">
        <f>L169/'Utilisation rate workouts '!$C$5</f>
        <v>3.9944968299381704E-3</v>
      </c>
    </row>
    <row r="170" spans="1:13">
      <c r="A170" s="95">
        <v>107</v>
      </c>
      <c r="B170" s="86" t="s">
        <v>219</v>
      </c>
      <c r="C170" s="379">
        <v>12</v>
      </c>
      <c r="D170" s="389">
        <f>399/13.5</f>
        <v>29.555555555555557</v>
      </c>
      <c r="E170" s="403">
        <f t="shared" si="27"/>
        <v>354.66666666666669</v>
      </c>
      <c r="F170" s="403">
        <f t="shared" si="28"/>
        <v>2.9555555555555557</v>
      </c>
      <c r="G170" s="97">
        <v>15</v>
      </c>
      <c r="H170" s="101">
        <f t="shared" si="29"/>
        <v>11.937900000000001</v>
      </c>
      <c r="I170" s="403">
        <f t="shared" si="30"/>
        <v>35.466666666666669</v>
      </c>
      <c r="J170" s="403">
        <f t="shared" si="31"/>
        <v>65.17596785587638</v>
      </c>
      <c r="K170" s="134">
        <f>'Utilisation rate workouts '!C9</f>
        <v>0.18519726116726443</v>
      </c>
      <c r="L170" s="403">
        <f t="shared" si="32"/>
        <v>12.070410740833969</v>
      </c>
      <c r="M170" s="403">
        <f>L170/'Utilisation rate workouts '!$C$5</f>
        <v>3.5417871892118452E-3</v>
      </c>
    </row>
    <row r="171" spans="1:13">
      <c r="A171" s="95">
        <v>108</v>
      </c>
      <c r="B171" s="86" t="s">
        <v>163</v>
      </c>
      <c r="C171" s="379">
        <v>3</v>
      </c>
      <c r="D171" s="389">
        <f>990/13.5</f>
        <v>73.333333333333329</v>
      </c>
      <c r="E171" s="403">
        <f t="shared" si="27"/>
        <v>220</v>
      </c>
      <c r="F171" s="403">
        <f t="shared" si="28"/>
        <v>1.8333333333333333</v>
      </c>
      <c r="G171" s="97">
        <v>15</v>
      </c>
      <c r="H171" s="101">
        <f t="shared" si="29"/>
        <v>11.937900000000001</v>
      </c>
      <c r="I171" s="403">
        <f t="shared" si="30"/>
        <v>22</v>
      </c>
      <c r="J171" s="403">
        <f t="shared" si="31"/>
        <v>40.428701865487227</v>
      </c>
      <c r="K171" s="134">
        <f>'Utilisation rate workouts '!C9</f>
        <v>0.18519726116726443</v>
      </c>
      <c r="L171" s="403">
        <f t="shared" si="32"/>
        <v>7.4872848580361087</v>
      </c>
      <c r="M171" s="403">
        <f>L171/'Utilisation rate workouts '!$C$5</f>
        <v>2.1969732564659943E-3</v>
      </c>
    </row>
    <row r="172" spans="1:13">
      <c r="A172" s="95">
        <v>109</v>
      </c>
      <c r="B172" s="86" t="s">
        <v>224</v>
      </c>
      <c r="C172" s="379">
        <v>3</v>
      </c>
      <c r="D172" s="389">
        <f>3999/13.5</f>
        <v>296.22222222222223</v>
      </c>
      <c r="E172" s="403">
        <f t="shared" si="27"/>
        <v>888.66666666666674</v>
      </c>
      <c r="F172" s="403">
        <f t="shared" si="28"/>
        <v>7.4055555555555559</v>
      </c>
      <c r="G172" s="97">
        <v>15</v>
      </c>
      <c r="H172" s="101">
        <f t="shared" si="29"/>
        <v>11.937900000000001</v>
      </c>
      <c r="I172" s="403">
        <f t="shared" si="30"/>
        <v>88.866666666666674</v>
      </c>
      <c r="J172" s="403">
        <f t="shared" si="31"/>
        <v>163.30745329301357</v>
      </c>
      <c r="K172" s="134">
        <f>'Utilisation rate workouts '!C9</f>
        <v>0.18519726116726443</v>
      </c>
      <c r="L172" s="403">
        <f t="shared" si="32"/>
        <v>30.24409307806707</v>
      </c>
      <c r="M172" s="403">
        <f>L172/'Utilisation rate workouts '!$C$5</f>
        <v>8.8744404571793039E-3</v>
      </c>
    </row>
    <row r="173" spans="1:13">
      <c r="A173" s="95">
        <v>110</v>
      </c>
      <c r="B173" s="100" t="s">
        <v>164</v>
      </c>
      <c r="C173" s="379">
        <v>3</v>
      </c>
      <c r="D173" s="389">
        <f>173.32/13.5</f>
        <v>12.838518518518518</v>
      </c>
      <c r="E173" s="403">
        <f t="shared" si="27"/>
        <v>38.515555555555551</v>
      </c>
      <c r="F173" s="403">
        <f t="shared" si="28"/>
        <v>0.32096296296296295</v>
      </c>
      <c r="G173" s="97">
        <v>15</v>
      </c>
      <c r="H173" s="101">
        <f t="shared" si="29"/>
        <v>11.937900000000001</v>
      </c>
      <c r="I173" s="403">
        <f t="shared" si="30"/>
        <v>3.8515555555555556</v>
      </c>
      <c r="J173" s="403">
        <f t="shared" si="31"/>
        <v>7.0778814215416626</v>
      </c>
      <c r="K173" s="134">
        <f>'Utilisation rate workouts '!C9</f>
        <v>0.18519726116726443</v>
      </c>
      <c r="L173" s="403">
        <f t="shared" si="32"/>
        <v>1.3108042541361802</v>
      </c>
      <c r="M173" s="403">
        <f>L173/'Utilisation rate workouts '!$C$5</f>
        <v>3.8462566142493548E-4</v>
      </c>
    </row>
    <row r="174" spans="1:13">
      <c r="A174" s="95"/>
      <c r="B174" s="102" t="s">
        <v>247</v>
      </c>
      <c r="C174" s="106"/>
      <c r="D174" s="106"/>
      <c r="E174" s="106"/>
      <c r="F174" s="106"/>
      <c r="G174" s="106"/>
      <c r="H174" s="101"/>
      <c r="I174" s="403"/>
      <c r="J174" s="406">
        <f>SUM(J161:J173)</f>
        <v>1137.5324110716515</v>
      </c>
      <c r="K174" s="387"/>
      <c r="L174" s="406">
        <f>SUM(L161:L173)</f>
        <v>210.66788701946464</v>
      </c>
      <c r="M174" s="406">
        <f>SUM(M161:M173)</f>
        <v>6.1815694547964976E-2</v>
      </c>
    </row>
    <row r="175" spans="1:13" ht="16">
      <c r="A175" s="263"/>
      <c r="B175" s="116" t="s">
        <v>192</v>
      </c>
      <c r="C175" s="117"/>
      <c r="D175" s="118"/>
      <c r="E175" s="118"/>
      <c r="F175" s="119"/>
      <c r="G175" s="109"/>
      <c r="H175" s="110"/>
      <c r="I175" s="120"/>
      <c r="J175" s="121"/>
      <c r="K175" s="109"/>
      <c r="L175" s="121"/>
      <c r="M175" s="109"/>
    </row>
    <row r="176" spans="1:13">
      <c r="A176" s="95">
        <v>111</v>
      </c>
      <c r="B176" s="86" t="s">
        <v>219</v>
      </c>
      <c r="C176" s="379">
        <v>6</v>
      </c>
      <c r="D176" s="389">
        <f>399/13.5</f>
        <v>29.555555555555557</v>
      </c>
      <c r="E176" s="403">
        <f t="shared" ref="E176:E182" si="33">D176*C176</f>
        <v>177.33333333333334</v>
      </c>
      <c r="F176" s="403">
        <f t="shared" ref="F176:F182" si="34">((10/100)*E176)/12</f>
        <v>1.4777777777777779</v>
      </c>
      <c r="G176" s="97">
        <v>15</v>
      </c>
      <c r="H176" s="101">
        <f t="shared" ref="H176:H182" si="35">IF(G176=30,19.6004, IF(G176=15,11.9379,IF(G176=10,8.5302,IF(G176=5,4.5797,IF(G176=2,1.9135)))))</f>
        <v>11.937900000000001</v>
      </c>
      <c r="I176" s="403">
        <f t="shared" ref="I176:I182" si="36">F176*12</f>
        <v>17.733333333333334</v>
      </c>
      <c r="J176" s="403">
        <f t="shared" ref="J176:J182" si="37">E176/H176+I176</f>
        <v>32.58798392793819</v>
      </c>
      <c r="K176" s="134">
        <f>'Utilisation rate workouts '!C9</f>
        <v>0.18519726116726443</v>
      </c>
      <c r="L176" s="403">
        <f t="shared" ref="L176:L182" si="38">J176*K176</f>
        <v>6.0352053704169846</v>
      </c>
      <c r="M176" s="403">
        <f>L176/'Utilisation rate workouts '!$C$5</f>
        <v>1.7708935946059226E-3</v>
      </c>
    </row>
    <row r="177" spans="1:29">
      <c r="A177" s="95">
        <v>112</v>
      </c>
      <c r="B177" s="86" t="s">
        <v>217</v>
      </c>
      <c r="C177" s="379">
        <v>2</v>
      </c>
      <c r="D177" s="389">
        <f>3999/13.5</f>
        <v>296.22222222222223</v>
      </c>
      <c r="E177" s="403">
        <f t="shared" si="33"/>
        <v>592.44444444444446</v>
      </c>
      <c r="F177" s="403">
        <f t="shared" si="34"/>
        <v>4.9370370370370376</v>
      </c>
      <c r="G177" s="97">
        <v>5</v>
      </c>
      <c r="H177" s="101">
        <f t="shared" si="35"/>
        <v>4.5796999999999999</v>
      </c>
      <c r="I177" s="403">
        <f t="shared" si="36"/>
        <v>59.244444444444454</v>
      </c>
      <c r="J177" s="403">
        <f t="shared" si="37"/>
        <v>188.60760020670932</v>
      </c>
      <c r="K177" s="134">
        <f>'Utilisation rate workouts '!C9</f>
        <v>0.18519726116726443</v>
      </c>
      <c r="L177" s="403">
        <f t="shared" si="38"/>
        <v>34.92961099361294</v>
      </c>
      <c r="M177" s="403">
        <f>L177/'Utilisation rate workouts '!$C$5</f>
        <v>1.0249299000473281E-2</v>
      </c>
    </row>
    <row r="178" spans="1:29">
      <c r="A178" s="95">
        <v>113</v>
      </c>
      <c r="B178" s="86" t="s">
        <v>223</v>
      </c>
      <c r="C178" s="379">
        <v>1</v>
      </c>
      <c r="D178" s="389">
        <f>795/13.5</f>
        <v>58.888888888888886</v>
      </c>
      <c r="E178" s="403">
        <f t="shared" si="33"/>
        <v>58.888888888888886</v>
      </c>
      <c r="F178" s="403">
        <f t="shared" si="34"/>
        <v>0.49074074074074076</v>
      </c>
      <c r="G178" s="97">
        <v>5</v>
      </c>
      <c r="H178" s="101">
        <f t="shared" si="35"/>
        <v>4.5796999999999999</v>
      </c>
      <c r="I178" s="403">
        <f t="shared" si="36"/>
        <v>5.8888888888888893</v>
      </c>
      <c r="J178" s="403">
        <f t="shared" si="37"/>
        <v>18.747567162332324</v>
      </c>
      <c r="K178" s="134">
        <f>'Utilisation rate workouts '!C9</f>
        <v>0.18519726116726443</v>
      </c>
      <c r="L178" s="403">
        <f t="shared" si="38"/>
        <v>3.4719980920132896</v>
      </c>
      <c r="M178" s="403">
        <f>L178/'Utilisation rate workouts '!$C$5</f>
        <v>1.0187787828677493E-3</v>
      </c>
    </row>
    <row r="179" spans="1:29">
      <c r="A179" s="95">
        <v>114</v>
      </c>
      <c r="B179" s="86" t="s">
        <v>211</v>
      </c>
      <c r="C179" s="379">
        <v>1</v>
      </c>
      <c r="D179" s="389">
        <f>179/13.5</f>
        <v>13.25925925925926</v>
      </c>
      <c r="E179" s="403">
        <f t="shared" si="33"/>
        <v>13.25925925925926</v>
      </c>
      <c r="F179" s="403">
        <f t="shared" si="34"/>
        <v>0.11049382716049383</v>
      </c>
      <c r="G179" s="97">
        <v>5</v>
      </c>
      <c r="H179" s="101">
        <f t="shared" si="35"/>
        <v>4.5796999999999999</v>
      </c>
      <c r="I179" s="403">
        <f t="shared" si="36"/>
        <v>1.325925925925926</v>
      </c>
      <c r="J179" s="403">
        <f t="shared" si="37"/>
        <v>4.2211503422106738</v>
      </c>
      <c r="K179" s="134">
        <f>'Utilisation rate workouts '!C9</f>
        <v>0.18519726116726443</v>
      </c>
      <c r="L179" s="403">
        <f t="shared" si="38"/>
        <v>0.78174548235267771</v>
      </c>
      <c r="M179" s="403">
        <f>L179/'Utilisation rate workouts '!$C$5</f>
        <v>2.2938541148846177E-4</v>
      </c>
    </row>
    <row r="180" spans="1:29">
      <c r="A180" s="95">
        <v>115</v>
      </c>
      <c r="B180" s="86" t="s">
        <v>190</v>
      </c>
      <c r="C180" s="379">
        <v>1</v>
      </c>
      <c r="D180" s="389">
        <f>175/13.5</f>
        <v>12.962962962962964</v>
      </c>
      <c r="E180" s="403">
        <f t="shared" si="33"/>
        <v>12.962962962962964</v>
      </c>
      <c r="F180" s="403">
        <f t="shared" si="34"/>
        <v>0.10802469135802471</v>
      </c>
      <c r="G180" s="97">
        <v>5</v>
      </c>
      <c r="H180" s="101">
        <f t="shared" si="35"/>
        <v>4.5796999999999999</v>
      </c>
      <c r="I180" s="403">
        <f t="shared" si="36"/>
        <v>1.2962962962962965</v>
      </c>
      <c r="J180" s="403">
        <f t="shared" si="37"/>
        <v>4.1268229602618325</v>
      </c>
      <c r="K180" s="134">
        <f>'Utilisation rate workouts '!C9</f>
        <v>0.18519726116726443</v>
      </c>
      <c r="L180" s="403">
        <f t="shared" si="38"/>
        <v>0.76427630956267389</v>
      </c>
      <c r="M180" s="403">
        <f>L180/'Utilisation rate workouts '!$C$5</f>
        <v>2.2425948050547944E-4</v>
      </c>
    </row>
    <row r="181" spans="1:29">
      <c r="A181" s="95">
        <v>116</v>
      </c>
      <c r="B181" s="86" t="s">
        <v>193</v>
      </c>
      <c r="C181" s="379">
        <v>1</v>
      </c>
      <c r="D181" s="389">
        <f>1164.72/13.5</f>
        <v>86.275555555555556</v>
      </c>
      <c r="E181" s="403">
        <f t="shared" si="33"/>
        <v>86.275555555555556</v>
      </c>
      <c r="F181" s="403">
        <f t="shared" si="34"/>
        <v>0.71896296296296303</v>
      </c>
      <c r="G181" s="97">
        <v>15</v>
      </c>
      <c r="H181" s="101">
        <f t="shared" si="35"/>
        <v>11.937900000000001</v>
      </c>
      <c r="I181" s="403">
        <f t="shared" si="36"/>
        <v>8.6275555555555563</v>
      </c>
      <c r="J181" s="403">
        <f t="shared" si="37"/>
        <v>15.854585062885619</v>
      </c>
      <c r="K181" s="134">
        <f>'Utilisation rate workouts '!C9</f>
        <v>0.18519726116726443</v>
      </c>
      <c r="L181" s="403">
        <f t="shared" si="38"/>
        <v>2.9362257305898374</v>
      </c>
      <c r="M181" s="403">
        <f>L181/'Utilisation rate workouts '!$C$5</f>
        <v>8.6156858291955318E-4</v>
      </c>
    </row>
    <row r="182" spans="1:29">
      <c r="A182" s="95">
        <v>117</v>
      </c>
      <c r="B182" s="86" t="s">
        <v>151</v>
      </c>
      <c r="C182" s="379">
        <v>1</v>
      </c>
      <c r="D182" s="389">
        <f>1800/13.5</f>
        <v>133.33333333333334</v>
      </c>
      <c r="E182" s="403">
        <f t="shared" si="33"/>
        <v>133.33333333333334</v>
      </c>
      <c r="F182" s="403">
        <f t="shared" si="34"/>
        <v>1.1111111111111114</v>
      </c>
      <c r="G182" s="97">
        <v>15</v>
      </c>
      <c r="H182" s="101">
        <f t="shared" si="35"/>
        <v>11.937900000000001</v>
      </c>
      <c r="I182" s="403">
        <f t="shared" si="36"/>
        <v>13.333333333333336</v>
      </c>
      <c r="J182" s="403">
        <f t="shared" si="37"/>
        <v>24.502243554840746</v>
      </c>
      <c r="K182" s="134">
        <f>'Utilisation rate workouts '!C9</f>
        <v>0.18519726116726443</v>
      </c>
      <c r="L182" s="403">
        <f t="shared" si="38"/>
        <v>4.5377483988097636</v>
      </c>
      <c r="M182" s="403">
        <f>L182/'Utilisation rate workouts '!$C$5</f>
        <v>1.3314989433127241E-3</v>
      </c>
    </row>
    <row r="183" spans="1:29">
      <c r="A183" s="95"/>
      <c r="B183" s="102" t="s">
        <v>247</v>
      </c>
      <c r="C183" s="88"/>
      <c r="D183" s="55"/>
      <c r="E183" s="113"/>
      <c r="F183" s="99"/>
      <c r="G183" s="97"/>
      <c r="H183" s="101"/>
      <c r="I183" s="382"/>
      <c r="J183" s="406">
        <f>SUM(J176:J182)</f>
        <v>288.64795321717867</v>
      </c>
      <c r="K183" s="387"/>
      <c r="L183" s="406">
        <f>SUM(L176:L182)</f>
        <v>53.45681037735816</v>
      </c>
      <c r="M183" s="406">
        <f>SUM(M176:M182)</f>
        <v>1.5685683796173171E-2</v>
      </c>
    </row>
    <row r="184" spans="1:29">
      <c r="A184" s="264"/>
      <c r="B184" s="46" t="s">
        <v>194</v>
      </c>
      <c r="C184" s="47"/>
      <c r="D184" s="48"/>
      <c r="E184" s="48"/>
      <c r="F184" s="49"/>
      <c r="G184" s="50"/>
      <c r="H184" s="51"/>
      <c r="I184" s="50"/>
      <c r="J184" s="50"/>
      <c r="K184" s="50"/>
      <c r="L184" s="50"/>
      <c r="M184" s="50"/>
    </row>
    <row r="185" spans="1:29">
      <c r="A185" s="95">
        <v>118</v>
      </c>
      <c r="B185" s="86" t="s">
        <v>196</v>
      </c>
      <c r="C185" s="379">
        <v>1</v>
      </c>
      <c r="D185" s="389">
        <f>1372000/13.5</f>
        <v>101629.62962962964</v>
      </c>
      <c r="E185" s="403">
        <f>C185*D185</f>
        <v>101629.62962962964</v>
      </c>
      <c r="F185" s="403">
        <f>((10/100)*E185)/12</f>
        <v>846.91358024691363</v>
      </c>
      <c r="G185" s="97">
        <v>15</v>
      </c>
      <c r="H185" s="101">
        <f>IF(G185=30,19.6004, IF(G185=15,11.9379,IF(G185=10,8.5302,IF(G185=5,4.5797,IF(G185=2,1.9135)))))</f>
        <v>11.937900000000001</v>
      </c>
      <c r="I185" s="403">
        <f>F185*12</f>
        <v>10162.962962962964</v>
      </c>
      <c r="J185" s="403">
        <f>E185/H185+I185</f>
        <v>18676.154531800836</v>
      </c>
      <c r="K185" s="134">
        <f>'Utilisation rate workouts '!C9</f>
        <v>0.18519726116726443</v>
      </c>
      <c r="L185" s="403">
        <f>J185*K185</f>
        <v>3458.7726684261083</v>
      </c>
      <c r="M185" s="403">
        <f>L185/'Utilisation rate workouts '!$C$5</f>
        <v>1.0148980834583652</v>
      </c>
    </row>
    <row r="186" spans="1:29">
      <c r="A186" s="95">
        <v>119</v>
      </c>
      <c r="B186" s="86" t="s">
        <v>197</v>
      </c>
      <c r="C186" s="379">
        <v>1</v>
      </c>
      <c r="D186" s="389">
        <f>69930/13.5</f>
        <v>5180</v>
      </c>
      <c r="E186" s="403">
        <f>C186*D186</f>
        <v>5180</v>
      </c>
      <c r="F186" s="403">
        <f>((10/100)*E186)/12</f>
        <v>43.166666666666664</v>
      </c>
      <c r="G186" s="97">
        <v>15</v>
      </c>
      <c r="H186" s="101">
        <f>IF(G186=30,19.6004, IF(G186=15,11.9379,IF(G186=10,8.5302,IF(G186=5,4.5797,IF(G186=2,1.9135)))))</f>
        <v>11.937900000000001</v>
      </c>
      <c r="I186" s="403">
        <f>F186*12</f>
        <v>518</v>
      </c>
      <c r="J186" s="403">
        <f>E186/H186+I186</f>
        <v>951.91216210556286</v>
      </c>
      <c r="K186" s="134">
        <f>'Utilisation rate workouts '!C9</f>
        <v>0.18519726116726443</v>
      </c>
      <c r="L186" s="403">
        <f>J186*K186</f>
        <v>176.29152529375926</v>
      </c>
      <c r="M186" s="403">
        <f>L186/'Utilisation rate workouts '!$C$5</f>
        <v>5.1728733947699314E-2</v>
      </c>
    </row>
    <row r="187" spans="1:29">
      <c r="A187" s="95">
        <v>120</v>
      </c>
      <c r="B187" s="86" t="s">
        <v>198</v>
      </c>
      <c r="C187" s="379">
        <v>1</v>
      </c>
      <c r="D187" s="389">
        <f>14700/13.5</f>
        <v>1088.8888888888889</v>
      </c>
      <c r="E187" s="403">
        <f>C187*D187</f>
        <v>1088.8888888888889</v>
      </c>
      <c r="F187" s="403">
        <f>((10/100)*E187)/12</f>
        <v>9.0740740740740744</v>
      </c>
      <c r="G187" s="97">
        <v>15</v>
      </c>
      <c r="H187" s="101">
        <f>IF(G187=30,19.6004, IF(G187=15,11.9379,IF(G187=10,8.5302,IF(G187=5,4.5797,IF(G187=2,1.9135)))))</f>
        <v>11.937900000000001</v>
      </c>
      <c r="I187" s="403">
        <f>F187*12</f>
        <v>108.88888888888889</v>
      </c>
      <c r="J187" s="403">
        <f>E187/H187+I187</f>
        <v>200.10165569786608</v>
      </c>
      <c r="K187" s="134">
        <f>'Utilisation rate workouts '!C9</f>
        <v>0.18519726116726443</v>
      </c>
      <c r="L187" s="403">
        <f>J187*K187</f>
        <v>37.058278590279727</v>
      </c>
      <c r="M187" s="403">
        <f>L187/'Utilisation rate workouts '!$C$5</f>
        <v>1.087390803705391E-2</v>
      </c>
    </row>
    <row r="188" spans="1:29">
      <c r="A188" s="95">
        <v>121</v>
      </c>
      <c r="B188" s="86" t="s">
        <v>199</v>
      </c>
      <c r="C188" s="379">
        <v>1</v>
      </c>
      <c r="D188" s="389">
        <f>23100/13.5</f>
        <v>1711.1111111111111</v>
      </c>
      <c r="E188" s="403">
        <f>C188*D188</f>
        <v>1711.1111111111111</v>
      </c>
      <c r="F188" s="403">
        <f>((10/100)*E188)/12</f>
        <v>14.25925925925926</v>
      </c>
      <c r="G188" s="97">
        <v>15</v>
      </c>
      <c r="H188" s="101">
        <f>IF(G188=30,19.6004, IF(G188=15,11.9379,IF(G188=10,8.5302,IF(G188=5,4.5797,IF(G188=2,1.9135)))))</f>
        <v>11.937900000000001</v>
      </c>
      <c r="I188" s="403">
        <f>F188*12</f>
        <v>171.11111111111111</v>
      </c>
      <c r="J188" s="403">
        <f>E188/H188+I188</f>
        <v>314.44545895378957</v>
      </c>
      <c r="K188" s="134">
        <f>'Utilisation rate workouts '!C9</f>
        <v>0.18519726116726443</v>
      </c>
      <c r="L188" s="403">
        <f>J188*K188</f>
        <v>58.234437784725294</v>
      </c>
      <c r="M188" s="403">
        <f>L188/'Utilisation rate workouts '!$C$5</f>
        <v>1.708756977251329E-2</v>
      </c>
    </row>
    <row r="189" spans="1:29">
      <c r="A189" s="95"/>
      <c r="B189" s="102" t="s">
        <v>247</v>
      </c>
      <c r="C189" s="97"/>
      <c r="D189" s="96"/>
      <c r="E189" s="96"/>
      <c r="F189" s="122"/>
      <c r="G189" s="96"/>
      <c r="H189" s="98"/>
      <c r="I189" s="403"/>
      <c r="J189" s="406">
        <f>SUM(J185:J188)</f>
        <v>20142.613808558053</v>
      </c>
      <c r="K189" s="383"/>
      <c r="L189" s="406">
        <f>SUM(L185:L188)</f>
        <v>3730.3569100948725</v>
      </c>
      <c r="M189" s="406">
        <f>SUM(M185:M188)</f>
        <v>1.0945882952156316</v>
      </c>
    </row>
    <row r="190" spans="1:29">
      <c r="A190" s="95"/>
      <c r="B190" s="127" t="s">
        <v>463</v>
      </c>
      <c r="C190" s="97"/>
      <c r="D190" s="96"/>
      <c r="E190" s="96"/>
      <c r="F190" s="122"/>
      <c r="G190" s="96"/>
      <c r="H190" s="98"/>
      <c r="I190" s="403"/>
      <c r="J190" s="406">
        <f>J111+J127+J143+J157+J159+J174+J183+J189</f>
        <v>54740.835596492885</v>
      </c>
      <c r="K190" s="381"/>
      <c r="L190" s="406">
        <f>L111+L127+L143+L157+L159+L174+L183+L189</f>
        <v>10137.852826477978</v>
      </c>
      <c r="M190" s="406">
        <f>SUM(M111+M127+M143+M157+M159+M174+M183+M189)</f>
        <v>2.974722073497059</v>
      </c>
    </row>
    <row r="191" spans="1:29" ht="23" customHeight="1" thickBot="1">
      <c r="A191" s="464" t="s">
        <v>202</v>
      </c>
      <c r="B191" s="464"/>
      <c r="C191" s="464"/>
      <c r="D191" s="464"/>
      <c r="E191" s="464"/>
      <c r="F191" s="464"/>
      <c r="G191" s="464"/>
      <c r="H191" s="464"/>
      <c r="I191" s="464"/>
      <c r="J191" s="464"/>
      <c r="K191" s="464"/>
      <c r="L191" s="464"/>
      <c r="M191" s="464"/>
      <c r="N191" s="9"/>
      <c r="O191" s="18"/>
      <c r="P191" s="19"/>
      <c r="Q191" s="19"/>
      <c r="R191" s="2"/>
    </row>
    <row r="192" spans="1:29" ht="17" thickBot="1">
      <c r="A192" s="465" t="s">
        <v>9</v>
      </c>
      <c r="B192" s="466"/>
      <c r="C192" s="467"/>
      <c r="D192" s="11"/>
      <c r="E192" s="12"/>
      <c r="F192" s="13"/>
      <c r="G192" s="10"/>
      <c r="H192" s="9"/>
      <c r="I192" s="9"/>
      <c r="J192" s="9"/>
      <c r="K192" s="9"/>
      <c r="L192" s="9"/>
      <c r="M192" s="9"/>
      <c r="N192" s="9"/>
      <c r="O192" s="18"/>
      <c r="P192" s="19"/>
      <c r="Q192" s="19"/>
      <c r="R192" s="2"/>
      <c r="S192" s="2"/>
      <c r="T192" s="2"/>
      <c r="U192" s="2"/>
      <c r="V192" s="2"/>
      <c r="W192" s="2"/>
      <c r="X192" s="2"/>
      <c r="Y192" s="2"/>
      <c r="Z192" s="2"/>
      <c r="AA192" s="2"/>
      <c r="AB192" s="2"/>
      <c r="AC192" s="2"/>
    </row>
    <row r="193" spans="1:13">
      <c r="A193" s="258" t="s">
        <v>3</v>
      </c>
      <c r="B193" s="29" t="s">
        <v>11</v>
      </c>
      <c r="C193" s="28"/>
      <c r="D193" s="132"/>
      <c r="E193" s="132"/>
      <c r="F193" s="132"/>
      <c r="G193" s="132"/>
      <c r="H193" s="132"/>
      <c r="I193" s="132"/>
      <c r="K193" s="136"/>
      <c r="L193" s="136"/>
      <c r="M193" s="136"/>
    </row>
    <row r="194" spans="1:13" ht="42">
      <c r="A194" s="140" t="s">
        <v>4</v>
      </c>
      <c r="B194" s="63" t="s">
        <v>5</v>
      </c>
      <c r="C194" s="64" t="s">
        <v>12</v>
      </c>
      <c r="D194" s="64" t="s">
        <v>230</v>
      </c>
      <c r="E194" s="65" t="s">
        <v>62</v>
      </c>
      <c r="F194" s="66" t="s">
        <v>510</v>
      </c>
      <c r="G194" s="64" t="s">
        <v>511</v>
      </c>
      <c r="H194" s="67" t="s">
        <v>512</v>
      </c>
      <c r="I194" s="130" t="s">
        <v>530</v>
      </c>
      <c r="L194" s="136"/>
    </row>
    <row r="195" spans="1:13" ht="24">
      <c r="A195" s="141"/>
      <c r="B195" s="70"/>
      <c r="C195" s="70"/>
      <c r="D195" s="22" t="s">
        <v>6</v>
      </c>
      <c r="E195" s="22" t="s">
        <v>7</v>
      </c>
      <c r="F195" s="22" t="s">
        <v>8</v>
      </c>
      <c r="G195" s="22" t="s">
        <v>63</v>
      </c>
      <c r="H195" s="22" t="s">
        <v>64</v>
      </c>
      <c r="I195" s="71" t="s">
        <v>445</v>
      </c>
    </row>
    <row r="196" spans="1:13" ht="28">
      <c r="A196" s="142">
        <v>122</v>
      </c>
      <c r="B196" s="146" t="s">
        <v>237</v>
      </c>
      <c r="C196" s="378">
        <v>1</v>
      </c>
      <c r="D196" s="378">
        <v>1</v>
      </c>
      <c r="E196" s="73">
        <f>'Utilisation rate workouts '!B20</f>
        <v>0.25183374083129584</v>
      </c>
      <c r="F196" s="389">
        <f>479393.14/13.5</f>
        <v>35510.602962962963</v>
      </c>
      <c r="G196" s="390">
        <f>D196*F196</f>
        <v>35510.602962962963</v>
      </c>
      <c r="H196" s="390">
        <f>E196*G196</f>
        <v>8942.7679833378606</v>
      </c>
      <c r="I196" s="390">
        <f>H196/'Utilisation rate workouts '!C16</f>
        <v>4.7492129491969521</v>
      </c>
      <c r="J196" s="136"/>
    </row>
    <row r="197" spans="1:13">
      <c r="A197" s="142">
        <v>123</v>
      </c>
      <c r="B197" s="86" t="s">
        <v>13</v>
      </c>
      <c r="C197" s="378">
        <v>6</v>
      </c>
      <c r="D197" s="378">
        <v>6</v>
      </c>
      <c r="E197" s="73">
        <f>'Utilisation rate workouts '!B20</f>
        <v>0.25183374083129584</v>
      </c>
      <c r="F197" s="389">
        <f>409765.15/13.5</f>
        <v>30352.974074074074</v>
      </c>
      <c r="G197" s="390">
        <f t="shared" ref="G197:G204" si="39">D197*F197</f>
        <v>182117.84444444446</v>
      </c>
      <c r="H197" s="390">
        <f>G197*'% of time allocation workouts'!G124</f>
        <v>18970.608796296299</v>
      </c>
      <c r="I197" s="390">
        <f>H197/'Utilisation rate workouts '!C16</f>
        <v>10.074672754273127</v>
      </c>
    </row>
    <row r="198" spans="1:13">
      <c r="A198" s="142">
        <v>124</v>
      </c>
      <c r="B198" s="86" t="s">
        <v>14</v>
      </c>
      <c r="C198" s="378">
        <v>2</v>
      </c>
      <c r="D198" s="378">
        <v>2</v>
      </c>
      <c r="E198" s="73">
        <f>'Utilisation rate workouts '!B20</f>
        <v>0.25183374083129584</v>
      </c>
      <c r="F198" s="389">
        <f>1344449/13.5</f>
        <v>99588.814814814818</v>
      </c>
      <c r="G198" s="390">
        <f t="shared" si="39"/>
        <v>199177.62962962964</v>
      </c>
      <c r="H198" s="390">
        <f>G198*'% of time allocation workouts'!G138</f>
        <v>33196.271604938273</v>
      </c>
      <c r="I198" s="390">
        <f>H198/'Utilisation rate workouts '!C16</f>
        <v>17.629459163535991</v>
      </c>
    </row>
    <row r="199" spans="1:13">
      <c r="A199" s="142">
        <v>125</v>
      </c>
      <c r="B199" s="86" t="s">
        <v>325</v>
      </c>
      <c r="C199" s="378">
        <v>4</v>
      </c>
      <c r="D199" s="378">
        <v>4</v>
      </c>
      <c r="E199" s="73">
        <f>'Utilisation rate workouts '!B20</f>
        <v>0.25183374083129584</v>
      </c>
      <c r="F199" s="389">
        <f>190478.86/13.5</f>
        <v>14109.545185185185</v>
      </c>
      <c r="G199" s="390">
        <f t="shared" si="39"/>
        <v>56438.18074074074</v>
      </c>
      <c r="H199" s="390">
        <f>G199*'% of time allocation workouts'!G151</f>
        <v>8465.7271111111113</v>
      </c>
      <c r="I199" s="390">
        <f>H199/'Utilisation rate workouts '!C16</f>
        <v>4.4958720717531131</v>
      </c>
    </row>
    <row r="200" spans="1:13">
      <c r="A200" s="142">
        <v>126</v>
      </c>
      <c r="B200" s="86" t="s">
        <v>238</v>
      </c>
      <c r="C200" s="378">
        <v>2</v>
      </c>
      <c r="D200" s="378">
        <v>2</v>
      </c>
      <c r="E200" s="73">
        <f>'Utilisation rate workouts '!B20</f>
        <v>0.25183374083129584</v>
      </c>
      <c r="F200" s="389">
        <f>1007921.63/13.5</f>
        <v>74660.861481481479</v>
      </c>
      <c r="G200" s="390">
        <f t="shared" si="39"/>
        <v>149321.72296296296</v>
      </c>
      <c r="H200" s="390">
        <f>G200*'% of time allocation workouts'!G164</f>
        <v>10576.95537654321</v>
      </c>
      <c r="I200" s="390">
        <f>H200/'Utilisation rate workouts '!C16</f>
        <v>5.6170766736820026</v>
      </c>
    </row>
    <row r="201" spans="1:13">
      <c r="A201" s="142">
        <v>127</v>
      </c>
      <c r="B201" s="86" t="s">
        <v>239</v>
      </c>
      <c r="C201" s="378">
        <v>2</v>
      </c>
      <c r="D201" s="378">
        <v>2</v>
      </c>
      <c r="E201" s="73">
        <f>'Utilisation rate workouts '!B20</f>
        <v>0.25183374083129584</v>
      </c>
      <c r="F201" s="389">
        <f>772998.15/13.5</f>
        <v>57259.12222222222</v>
      </c>
      <c r="G201" s="390">
        <f t="shared" si="39"/>
        <v>114518.24444444444</v>
      </c>
      <c r="H201" s="390">
        <f>G201*'% of time allocation workouts'!G177</f>
        <v>9781.7667129629626</v>
      </c>
      <c r="I201" s="390">
        <f>H201/'Utilisation rate workouts '!C16</f>
        <v>5.194777861371727</v>
      </c>
    </row>
    <row r="202" spans="1:13">
      <c r="A202" s="142">
        <v>128</v>
      </c>
      <c r="B202" s="86" t="s">
        <v>240</v>
      </c>
      <c r="C202" s="378">
        <v>1</v>
      </c>
      <c r="D202" s="378">
        <v>1</v>
      </c>
      <c r="E202" s="73">
        <f>'Utilisation rate workouts '!B20</f>
        <v>0.25183374083129584</v>
      </c>
      <c r="F202" s="389">
        <f>294305.25/13.5</f>
        <v>21800.388888888891</v>
      </c>
      <c r="G202" s="390">
        <f t="shared" si="39"/>
        <v>21800.388888888891</v>
      </c>
      <c r="H202" s="390">
        <f>G202*'% of time allocation workouts'!G190</f>
        <v>953.76701388888887</v>
      </c>
      <c r="I202" s="390">
        <f>H202/'Utilisation rate workouts '!C16</f>
        <v>0.50651461173068979</v>
      </c>
    </row>
    <row r="203" spans="1:13">
      <c r="A203" s="142">
        <v>129</v>
      </c>
      <c r="B203" s="86" t="s">
        <v>56</v>
      </c>
      <c r="C203" s="378">
        <v>2</v>
      </c>
      <c r="D203" s="378">
        <v>2</v>
      </c>
      <c r="E203" s="73">
        <f>'Utilisation rate workouts '!B20</f>
        <v>0.25183374083129584</v>
      </c>
      <c r="F203" s="389">
        <f>138000/13.5</f>
        <v>10222.222222222223</v>
      </c>
      <c r="G203" s="390">
        <f t="shared" si="39"/>
        <v>20444.444444444445</v>
      </c>
      <c r="H203" s="390">
        <f>G203*'% of time allocation workouts'!G203</f>
        <v>1192.5925925925926</v>
      </c>
      <c r="I203" s="390">
        <f>H203/'Utilisation rate workouts '!C16</f>
        <v>0.63334710174858877</v>
      </c>
    </row>
    <row r="204" spans="1:13">
      <c r="A204" s="142">
        <v>130</v>
      </c>
      <c r="B204" s="86" t="s">
        <v>66</v>
      </c>
      <c r="C204" s="378">
        <v>1</v>
      </c>
      <c r="D204" s="378">
        <v>1</v>
      </c>
      <c r="E204" s="73">
        <f>'Utilisation rate workouts '!B20</f>
        <v>0.25183374083129584</v>
      </c>
      <c r="F204" s="389">
        <f>97584/13.5</f>
        <v>7228.4444444444443</v>
      </c>
      <c r="G204" s="390">
        <f t="shared" si="39"/>
        <v>7228.4444444444443</v>
      </c>
      <c r="H204" s="390">
        <f>G204*'% of time allocation workouts'!G216</f>
        <v>391.54074074074077</v>
      </c>
      <c r="I204" s="390">
        <f>H204/'Utilisation rate workouts '!C16</f>
        <v>0.20793454102004288</v>
      </c>
    </row>
    <row r="205" spans="1:13">
      <c r="A205" s="478" t="s">
        <v>233</v>
      </c>
      <c r="B205" s="478"/>
      <c r="C205" s="478"/>
      <c r="D205" s="478"/>
      <c r="E205" s="478"/>
      <c r="F205" s="478"/>
      <c r="G205" s="478"/>
      <c r="H205" s="391">
        <f>SUM(H196:H204)</f>
        <v>92471.997932411949</v>
      </c>
      <c r="I205" s="391">
        <f>SUM(I196:I204)</f>
        <v>49.108867728312227</v>
      </c>
      <c r="K205" s="136"/>
    </row>
    <row r="206" spans="1:13">
      <c r="A206" s="475" t="s">
        <v>270</v>
      </c>
      <c r="B206" s="475"/>
      <c r="C206" s="475"/>
      <c r="D206" s="475"/>
      <c r="E206" s="475"/>
      <c r="F206" s="475"/>
      <c r="G206" s="475"/>
      <c r="H206" s="475"/>
      <c r="I206" s="133"/>
    </row>
    <row r="207" spans="1:13" ht="44" customHeight="1">
      <c r="A207" s="259"/>
      <c r="B207" s="63"/>
      <c r="C207" s="63"/>
      <c r="D207" s="63"/>
      <c r="E207" s="63"/>
      <c r="F207" s="63"/>
      <c r="G207" s="130" t="s">
        <v>531</v>
      </c>
      <c r="H207" s="130" t="s">
        <v>515</v>
      </c>
      <c r="I207" s="130" t="s">
        <v>532</v>
      </c>
    </row>
    <row r="208" spans="1:13" ht="24">
      <c r="A208" s="141"/>
      <c r="B208" s="69"/>
      <c r="C208" s="69"/>
      <c r="D208" s="69"/>
      <c r="E208" s="69"/>
      <c r="F208" s="69"/>
      <c r="G208" s="79" t="s">
        <v>6</v>
      </c>
      <c r="H208" s="79" t="s">
        <v>438</v>
      </c>
      <c r="I208" s="79" t="s">
        <v>446</v>
      </c>
    </row>
    <row r="209" spans="1:17">
      <c r="A209" s="142">
        <v>131</v>
      </c>
      <c r="B209" s="72" t="s">
        <v>459</v>
      </c>
      <c r="C209" s="80"/>
      <c r="D209" s="75"/>
      <c r="E209" s="74"/>
      <c r="F209" s="74"/>
      <c r="G209" s="389">
        <f>1293251.45/13.5</f>
        <v>95796.403703703705</v>
      </c>
      <c r="H209" s="393">
        <f>G209*'Utilisation rate workouts '!C20</f>
        <v>23365.884478507003</v>
      </c>
      <c r="I209" s="391">
        <f>H209/'Utilisation rate workouts '!C16</f>
        <v>12.408860583381308</v>
      </c>
    </row>
    <row r="210" spans="1:17">
      <c r="A210" s="475" t="s">
        <v>272</v>
      </c>
      <c r="B210" s="475"/>
      <c r="C210" s="475"/>
      <c r="D210" s="475"/>
      <c r="E210" s="475"/>
      <c r="F210" s="475"/>
      <c r="G210" s="475"/>
      <c r="H210" s="475"/>
      <c r="I210" s="133"/>
    </row>
    <row r="211" spans="1:17" ht="42">
      <c r="A211" s="259"/>
      <c r="B211" s="63"/>
      <c r="C211" s="63"/>
      <c r="D211" s="63"/>
      <c r="E211" s="63"/>
      <c r="F211" s="63"/>
      <c r="G211" s="130" t="s">
        <v>531</v>
      </c>
      <c r="H211" s="130" t="s">
        <v>518</v>
      </c>
      <c r="I211" s="130" t="s">
        <v>534</v>
      </c>
    </row>
    <row r="212" spans="1:17" ht="24">
      <c r="A212" s="143"/>
      <c r="B212" s="21"/>
      <c r="C212" s="21"/>
      <c r="D212" s="21"/>
      <c r="E212" s="21"/>
      <c r="F212" s="21"/>
      <c r="G212" s="79" t="s">
        <v>6</v>
      </c>
      <c r="H212" s="79" t="s">
        <v>438</v>
      </c>
      <c r="I212" s="79" t="s">
        <v>447</v>
      </c>
    </row>
    <row r="213" spans="1:17">
      <c r="A213" s="142">
        <v>132</v>
      </c>
      <c r="B213" s="72" t="s">
        <v>90</v>
      </c>
      <c r="C213" s="80"/>
      <c r="D213" s="75"/>
      <c r="E213" s="81"/>
      <c r="F213" s="82"/>
      <c r="G213" s="420">
        <f>J257</f>
        <v>14825.719044311503</v>
      </c>
      <c r="H213" s="393">
        <f>G213*'Utilisation rate workouts '!C20</f>
        <v>3616.1695544609533</v>
      </c>
      <c r="I213" s="391">
        <f>H213/'Utilisation rate workouts '!C16</f>
        <v>1.9204299280196246</v>
      </c>
    </row>
    <row r="214" spans="1:17" ht="17.25" customHeight="1">
      <c r="A214" s="475" t="s">
        <v>276</v>
      </c>
      <c r="B214" s="475"/>
      <c r="C214" s="475"/>
      <c r="D214" s="475"/>
      <c r="E214" s="475"/>
      <c r="F214" s="475"/>
      <c r="G214" s="475"/>
      <c r="H214" s="475"/>
      <c r="I214" s="137"/>
      <c r="J214" s="2"/>
      <c r="K214" s="24"/>
      <c r="L214" s="24"/>
      <c r="M214" s="23"/>
      <c r="N214" s="25"/>
      <c r="O214" s="26"/>
      <c r="P214" s="27"/>
      <c r="Q214" s="27"/>
    </row>
    <row r="215" spans="1:17" ht="28">
      <c r="A215" s="259"/>
      <c r="B215" s="63"/>
      <c r="C215" s="63"/>
      <c r="D215" s="63"/>
      <c r="E215" s="64" t="s">
        <v>535</v>
      </c>
      <c r="F215" s="64" t="s">
        <v>536</v>
      </c>
      <c r="G215" s="64" t="s">
        <v>537</v>
      </c>
      <c r="H215" s="64" t="s">
        <v>554</v>
      </c>
      <c r="I215" s="130" t="s">
        <v>538</v>
      </c>
      <c r="J215" s="2"/>
      <c r="K215" s="24"/>
      <c r="L215" s="24"/>
      <c r="M215" s="23"/>
      <c r="N215" s="25"/>
      <c r="O215" s="26"/>
      <c r="P215" s="27"/>
      <c r="Q215" s="27"/>
    </row>
    <row r="216" spans="1:17">
      <c r="A216" s="141"/>
      <c r="B216" s="69"/>
      <c r="C216" s="69"/>
      <c r="D216" s="69"/>
      <c r="E216" s="69" t="s">
        <v>6</v>
      </c>
      <c r="F216" s="69" t="s">
        <v>115</v>
      </c>
      <c r="G216" s="69" t="s">
        <v>8</v>
      </c>
      <c r="H216" s="79" t="s">
        <v>277</v>
      </c>
      <c r="I216" s="69" t="s">
        <v>116</v>
      </c>
      <c r="J216" s="2"/>
      <c r="K216" s="24"/>
      <c r="L216" s="24"/>
      <c r="M216" s="23"/>
      <c r="N216" s="25"/>
      <c r="O216" s="26"/>
      <c r="P216" s="27"/>
      <c r="Q216" s="27"/>
    </row>
    <row r="217" spans="1:17">
      <c r="A217" s="148"/>
      <c r="B217" s="83" t="s">
        <v>96</v>
      </c>
      <c r="C217" s="62"/>
      <c r="D217" s="60"/>
      <c r="E217" s="55"/>
      <c r="F217" s="84"/>
      <c r="G217" s="85"/>
      <c r="H217" s="58"/>
      <c r="I217" s="85"/>
      <c r="J217" s="2"/>
      <c r="K217" s="24"/>
      <c r="L217" s="24"/>
      <c r="M217" s="23"/>
      <c r="N217" s="25"/>
      <c r="O217" s="26"/>
      <c r="P217" s="27"/>
      <c r="Q217" s="27"/>
    </row>
    <row r="218" spans="1:17">
      <c r="A218" s="149">
        <v>133</v>
      </c>
      <c r="B218" s="99" t="s">
        <v>97</v>
      </c>
      <c r="C218" s="99"/>
      <c r="D218" s="99"/>
      <c r="E218" s="389">
        <f>36163360.89/13.5</f>
        <v>2678767.4733333332</v>
      </c>
      <c r="F218" s="404">
        <v>303369</v>
      </c>
      <c r="G218" s="404">
        <v>520923</v>
      </c>
      <c r="H218" s="404">
        <f t="shared" ref="H218:H223" si="40">(F218)+(G218*1/3)</f>
        <v>477010</v>
      </c>
      <c r="I218" s="404">
        <f t="shared" ref="I218:I223" si="41">E218/H218</f>
        <v>5.6157469934243167</v>
      </c>
    </row>
    <row r="219" spans="1:17">
      <c r="A219" s="149">
        <v>134</v>
      </c>
      <c r="B219" s="99" t="s">
        <v>98</v>
      </c>
      <c r="C219" s="99"/>
      <c r="D219" s="99"/>
      <c r="E219" s="389">
        <f>7230260.49/13.5</f>
        <v>535574.85111111111</v>
      </c>
      <c r="F219" s="404">
        <v>303369</v>
      </c>
      <c r="G219" s="404">
        <v>520923</v>
      </c>
      <c r="H219" s="404">
        <f t="shared" si="40"/>
        <v>477010</v>
      </c>
      <c r="I219" s="404">
        <f t="shared" si="41"/>
        <v>1.1227748917446407</v>
      </c>
    </row>
    <row r="220" spans="1:17">
      <c r="A220" s="149">
        <v>135</v>
      </c>
      <c r="B220" s="99" t="s">
        <v>99</v>
      </c>
      <c r="C220" s="99"/>
      <c r="D220" s="99"/>
      <c r="E220" s="389">
        <f>5948960.92/13.5</f>
        <v>440663.77185185184</v>
      </c>
      <c r="F220" s="404">
        <v>303369</v>
      </c>
      <c r="G220" s="404">
        <v>520923</v>
      </c>
      <c r="H220" s="404">
        <f t="shared" si="40"/>
        <v>477010</v>
      </c>
      <c r="I220" s="404">
        <f t="shared" si="41"/>
        <v>0.92380405411176247</v>
      </c>
    </row>
    <row r="221" spans="1:17">
      <c r="A221" s="149">
        <v>136</v>
      </c>
      <c r="B221" s="99" t="s">
        <v>100</v>
      </c>
      <c r="C221" s="99"/>
      <c r="D221" s="99"/>
      <c r="E221" s="389">
        <f>7325244.38/13.5</f>
        <v>542610.69481481484</v>
      </c>
      <c r="F221" s="404">
        <v>303369</v>
      </c>
      <c r="G221" s="404">
        <v>520923</v>
      </c>
      <c r="H221" s="404">
        <f t="shared" si="40"/>
        <v>477010</v>
      </c>
      <c r="I221" s="404">
        <f t="shared" si="41"/>
        <v>1.1375247789665097</v>
      </c>
    </row>
    <row r="222" spans="1:17">
      <c r="A222" s="149">
        <v>137</v>
      </c>
      <c r="B222" s="99" t="s">
        <v>274</v>
      </c>
      <c r="C222" s="99"/>
      <c r="D222" s="99"/>
      <c r="E222" s="389">
        <f>3833609.37/13.5</f>
        <v>283971.06444444443</v>
      </c>
      <c r="F222" s="404">
        <v>303369</v>
      </c>
      <c r="G222" s="404">
        <v>520923</v>
      </c>
      <c r="H222" s="404">
        <f t="shared" si="40"/>
        <v>477010</v>
      </c>
      <c r="I222" s="404">
        <f t="shared" si="41"/>
        <v>0.59531469873680731</v>
      </c>
    </row>
    <row r="223" spans="1:17">
      <c r="A223" s="149">
        <v>138</v>
      </c>
      <c r="B223" s="99" t="s">
        <v>101</v>
      </c>
      <c r="C223" s="99"/>
      <c r="D223" s="99"/>
      <c r="E223" s="389">
        <f>1136116.4/13.5</f>
        <v>84156.770370370359</v>
      </c>
      <c r="F223" s="404">
        <v>303369</v>
      </c>
      <c r="G223" s="404">
        <v>520923</v>
      </c>
      <c r="H223" s="404">
        <f t="shared" si="40"/>
        <v>477010</v>
      </c>
      <c r="I223" s="404">
        <f t="shared" si="41"/>
        <v>0.17642558933852615</v>
      </c>
    </row>
    <row r="224" spans="1:17">
      <c r="A224" s="149"/>
      <c r="B224" s="115" t="s">
        <v>456</v>
      </c>
      <c r="C224" s="99"/>
      <c r="D224" s="99"/>
      <c r="E224" s="394">
        <f>SUM(E218:E223)</f>
        <v>4565744.6259259265</v>
      </c>
      <c r="F224" s="404"/>
      <c r="G224" s="404"/>
      <c r="H224" s="404"/>
      <c r="I224" s="405">
        <f>SUM(I218:I223)</f>
        <v>9.5715910063225635</v>
      </c>
    </row>
    <row r="225" spans="1:11">
      <c r="A225" s="149"/>
      <c r="B225" s="83" t="s">
        <v>102</v>
      </c>
      <c r="C225" s="99"/>
      <c r="D225" s="99"/>
      <c r="E225" s="415"/>
      <c r="F225" s="404"/>
      <c r="G225" s="404"/>
      <c r="H225" s="404"/>
      <c r="I225" s="404"/>
    </row>
    <row r="226" spans="1:11">
      <c r="A226" s="149">
        <v>139</v>
      </c>
      <c r="B226" s="99" t="s">
        <v>103</v>
      </c>
      <c r="C226" s="99"/>
      <c r="D226" s="99"/>
      <c r="E226" s="389">
        <f>2078736.44/13.5</f>
        <v>153980.47703703702</v>
      </c>
      <c r="F226" s="404">
        <v>303369</v>
      </c>
      <c r="G226" s="404">
        <v>520923</v>
      </c>
      <c r="H226" s="404">
        <f>(F226)+(G226*1/3)</f>
        <v>477010</v>
      </c>
      <c r="I226" s="404">
        <f>E226/H226</f>
        <v>0.32280345702823215</v>
      </c>
      <c r="K226" s="241"/>
    </row>
    <row r="227" spans="1:11">
      <c r="A227" s="149">
        <v>140</v>
      </c>
      <c r="B227" s="99" t="s">
        <v>104</v>
      </c>
      <c r="C227" s="99"/>
      <c r="D227" s="99"/>
      <c r="E227" s="389">
        <f>23636.51/13.5</f>
        <v>1750.8525925925924</v>
      </c>
      <c r="F227" s="404">
        <v>303369</v>
      </c>
      <c r="G227" s="404">
        <v>520923</v>
      </c>
      <c r="H227" s="404">
        <f>(F227)+(G227*1/3)</f>
        <v>477010</v>
      </c>
      <c r="I227" s="404">
        <f>E227/H227</f>
        <v>3.6704735594486329E-3</v>
      </c>
      <c r="K227" s="241"/>
    </row>
    <row r="228" spans="1:11">
      <c r="A228" s="149">
        <v>141</v>
      </c>
      <c r="B228" s="99" t="s">
        <v>105</v>
      </c>
      <c r="C228" s="99"/>
      <c r="D228" s="99"/>
      <c r="E228" s="389">
        <f>4176117.51/13.5</f>
        <v>309342.03777777776</v>
      </c>
      <c r="F228" s="404">
        <v>303369</v>
      </c>
      <c r="G228" s="404">
        <v>520923</v>
      </c>
      <c r="H228" s="404">
        <f>(F228)+(G228*1/3)</f>
        <v>477010</v>
      </c>
      <c r="I228" s="404">
        <f>E228/H228</f>
        <v>0.64850220703502603</v>
      </c>
    </row>
    <row r="229" spans="1:11">
      <c r="A229" s="149">
        <v>142</v>
      </c>
      <c r="B229" s="99" t="s">
        <v>106</v>
      </c>
      <c r="C229" s="99"/>
      <c r="D229" s="99"/>
      <c r="E229" s="389">
        <f>6340.41/13.5</f>
        <v>469.65999999999997</v>
      </c>
      <c r="F229" s="404">
        <v>303369</v>
      </c>
      <c r="G229" s="404">
        <v>520923</v>
      </c>
      <c r="H229" s="404">
        <f>(F229)+(G229*1/3)</f>
        <v>477010</v>
      </c>
      <c r="I229" s="404">
        <f>E229/H229</f>
        <v>9.845915179975261E-4</v>
      </c>
    </row>
    <row r="230" spans="1:11">
      <c r="A230" s="149"/>
      <c r="B230" s="115" t="s">
        <v>456</v>
      </c>
      <c r="C230" s="99"/>
      <c r="D230" s="99"/>
      <c r="E230" s="394">
        <f>SUM(E226:E229)</f>
        <v>465543.02740740735</v>
      </c>
      <c r="F230" s="404"/>
      <c r="G230" s="404"/>
      <c r="H230" s="404"/>
      <c r="I230" s="405">
        <f>SUM(I226:I229)</f>
        <v>0.97596072914070442</v>
      </c>
    </row>
    <row r="231" spans="1:11">
      <c r="A231" s="149"/>
      <c r="B231" s="83" t="s">
        <v>108</v>
      </c>
      <c r="C231" s="99"/>
      <c r="D231" s="99"/>
      <c r="E231" s="415"/>
      <c r="F231" s="404"/>
      <c r="G231" s="404"/>
      <c r="H231" s="404"/>
      <c r="I231" s="404"/>
    </row>
    <row r="232" spans="1:11">
      <c r="A232" s="149">
        <v>143</v>
      </c>
      <c r="B232" s="99" t="s">
        <v>275</v>
      </c>
      <c r="C232" s="99"/>
      <c r="D232" s="99"/>
      <c r="E232" s="389">
        <f>4718004.22/13.5</f>
        <v>349481.79407407407</v>
      </c>
      <c r="F232" s="404">
        <v>303369</v>
      </c>
      <c r="G232" s="404">
        <v>520923</v>
      </c>
      <c r="H232" s="404">
        <f>(F232)+(G232*1/3)</f>
        <v>477010</v>
      </c>
      <c r="I232" s="404">
        <f>E232/H232</f>
        <v>0.73265087539899387</v>
      </c>
    </row>
    <row r="233" spans="1:11">
      <c r="A233" s="149">
        <v>144</v>
      </c>
      <c r="B233" s="99" t="s">
        <v>110</v>
      </c>
      <c r="C233" s="99"/>
      <c r="D233" s="99"/>
      <c r="E233" s="389">
        <f>18955908.17/13.5</f>
        <v>1404141.345925926</v>
      </c>
      <c r="F233" s="404">
        <v>303369</v>
      </c>
      <c r="G233" s="404">
        <v>520923</v>
      </c>
      <c r="H233" s="404">
        <f>(F233)+(G233*1/3)</f>
        <v>477010</v>
      </c>
      <c r="I233" s="404">
        <f>E233/H233</f>
        <v>2.9436308377726377</v>
      </c>
      <c r="K233" s="241"/>
    </row>
    <row r="234" spans="1:11">
      <c r="A234" s="149">
        <v>145</v>
      </c>
      <c r="B234" s="99" t="s">
        <v>111</v>
      </c>
      <c r="C234" s="99"/>
      <c r="D234" s="99"/>
      <c r="E234" s="389">
        <f>13740300.92/13.5</f>
        <v>1017800.0681481481</v>
      </c>
      <c r="F234" s="404">
        <v>303369</v>
      </c>
      <c r="G234" s="404">
        <v>520923</v>
      </c>
      <c r="H234" s="404">
        <f>(F234)+(G234*1/3)</f>
        <v>477010</v>
      </c>
      <c r="I234" s="404">
        <f>E234/H234</f>
        <v>2.1337080315887467</v>
      </c>
      <c r="K234" s="241"/>
    </row>
    <row r="235" spans="1:11">
      <c r="A235" s="149">
        <v>146</v>
      </c>
      <c r="B235" s="99" t="s">
        <v>112</v>
      </c>
      <c r="C235" s="99"/>
      <c r="D235" s="99"/>
      <c r="E235" s="389">
        <f>1448356.06/13.5</f>
        <v>107285.63407407409</v>
      </c>
      <c r="F235" s="404">
        <v>303369</v>
      </c>
      <c r="G235" s="404">
        <v>520923</v>
      </c>
      <c r="H235" s="404">
        <f>(F235)+(G235*1/3)</f>
        <v>477010</v>
      </c>
      <c r="I235" s="404">
        <f>E235/H235</f>
        <v>0.2249127567012727</v>
      </c>
    </row>
    <row r="236" spans="1:11">
      <c r="A236" s="149"/>
      <c r="B236" s="115" t="s">
        <v>456</v>
      </c>
      <c r="C236" s="99"/>
      <c r="D236" s="99"/>
      <c r="E236" s="394">
        <f>SUM(E232:E235)</f>
        <v>2878708.8422222226</v>
      </c>
      <c r="F236" s="404"/>
      <c r="G236" s="404"/>
      <c r="H236" s="404"/>
      <c r="I236" s="405">
        <f>SUM(I232:I235)</f>
        <v>6.0349025014616506</v>
      </c>
      <c r="K236" s="241"/>
    </row>
    <row r="237" spans="1:11">
      <c r="A237" s="149"/>
      <c r="B237" s="115" t="s">
        <v>460</v>
      </c>
      <c r="C237" s="99"/>
      <c r="D237" s="99"/>
      <c r="E237" s="405">
        <f>SUM(E224+E230+E236)</f>
        <v>7909996.4955555573</v>
      </c>
      <c r="F237" s="404"/>
      <c r="G237" s="404"/>
      <c r="H237" s="404"/>
      <c r="I237" s="405">
        <f>SUM(I224+I230+I236)</f>
        <v>16.582454236924917</v>
      </c>
      <c r="K237" s="136"/>
    </row>
    <row r="238" spans="1:11">
      <c r="A238" s="149"/>
      <c r="B238" s="509" t="s">
        <v>461</v>
      </c>
      <c r="C238" s="510"/>
      <c r="D238" s="511"/>
      <c r="E238" s="405">
        <f>I237*'Utilisation rate workouts '!C16</f>
        <v>31224.761328129618</v>
      </c>
      <c r="F238" s="404"/>
      <c r="G238" s="404"/>
      <c r="H238" s="404"/>
      <c r="I238" s="405"/>
      <c r="K238" s="136"/>
    </row>
    <row r="239" spans="1:11">
      <c r="A239" s="458" t="s">
        <v>278</v>
      </c>
      <c r="B239" s="458"/>
      <c r="C239" s="458"/>
      <c r="D239" s="458"/>
      <c r="E239" s="458"/>
      <c r="F239" s="458"/>
      <c r="G239" s="458"/>
      <c r="H239" s="458"/>
      <c r="I239" s="138"/>
      <c r="K239" s="241"/>
    </row>
    <row r="240" spans="1:11" ht="42">
      <c r="A240" s="259"/>
      <c r="B240" s="63"/>
      <c r="C240" s="63"/>
      <c r="D240" s="63"/>
      <c r="E240" s="63"/>
      <c r="F240" s="130"/>
      <c r="G240" s="130" t="s">
        <v>539</v>
      </c>
      <c r="H240" s="130" t="s">
        <v>540</v>
      </c>
      <c r="I240" s="130" t="s">
        <v>541</v>
      </c>
      <c r="K240" s="241"/>
    </row>
    <row r="241" spans="1:17">
      <c r="A241" s="141"/>
      <c r="B241" s="69"/>
      <c r="C241" s="69"/>
      <c r="D241" s="69"/>
      <c r="E241" s="69"/>
      <c r="F241" s="69"/>
      <c r="G241" s="79" t="s">
        <v>6</v>
      </c>
      <c r="H241" s="79" t="s">
        <v>115</v>
      </c>
      <c r="I241" s="79" t="s">
        <v>118</v>
      </c>
      <c r="K241" s="253"/>
    </row>
    <row r="242" spans="1:17">
      <c r="A242" s="95">
        <v>147</v>
      </c>
      <c r="B242" s="87" t="s">
        <v>533</v>
      </c>
      <c r="C242" s="68"/>
      <c r="D242" s="68"/>
      <c r="E242" s="68"/>
      <c r="F242" s="55"/>
      <c r="G242" s="389">
        <f>183707/13.5</f>
        <v>13607.925925925925</v>
      </c>
      <c r="H242" s="396">
        <f>'Utilisation rate workouts '!B16</f>
        <v>309</v>
      </c>
      <c r="I242" s="397">
        <f>G242/H242</f>
        <v>44.03859522953374</v>
      </c>
    </row>
    <row r="243" spans="1:17" ht="17.25" customHeight="1">
      <c r="A243" s="458" t="s">
        <v>593</v>
      </c>
      <c r="B243" s="458"/>
      <c r="C243" s="458"/>
      <c r="D243" s="458"/>
      <c r="E243" s="458"/>
      <c r="F243" s="458"/>
      <c r="G243" s="458"/>
      <c r="H243" s="458"/>
      <c r="I243" s="411"/>
      <c r="J243" s="2"/>
      <c r="K243" s="24"/>
      <c r="L243" s="24"/>
      <c r="M243" s="23"/>
      <c r="N243" s="25"/>
      <c r="O243" s="26"/>
      <c r="P243" s="27"/>
      <c r="Q243" s="27"/>
    </row>
    <row r="244" spans="1:17" ht="38.25" customHeight="1">
      <c r="A244" s="260"/>
      <c r="B244" s="31"/>
      <c r="C244" s="31"/>
      <c r="D244" s="31"/>
      <c r="E244" s="31"/>
      <c r="F244" s="128"/>
      <c r="G244" s="128" t="s">
        <v>522</v>
      </c>
      <c r="H244" s="128" t="s">
        <v>437</v>
      </c>
      <c r="I244" s="128" t="s">
        <v>523</v>
      </c>
      <c r="J244" s="2"/>
      <c r="K244" s="24"/>
      <c r="L244" s="24"/>
      <c r="M244" s="23"/>
      <c r="N244" s="25"/>
      <c r="O244" s="26"/>
      <c r="P244" s="27"/>
      <c r="Q244" s="27"/>
    </row>
    <row r="245" spans="1:17">
      <c r="A245" s="141"/>
      <c r="B245" s="69"/>
      <c r="C245" s="69"/>
      <c r="D245" s="69"/>
      <c r="E245" s="69"/>
      <c r="F245" s="79"/>
      <c r="G245" s="79" t="s">
        <v>6</v>
      </c>
      <c r="H245" s="79" t="s">
        <v>115</v>
      </c>
      <c r="I245" s="79" t="s">
        <v>118</v>
      </c>
      <c r="J245" s="2"/>
      <c r="K245" s="24"/>
      <c r="L245" s="24"/>
      <c r="M245" s="23"/>
      <c r="N245" s="25"/>
      <c r="O245" s="26"/>
      <c r="P245" s="27"/>
      <c r="Q245" s="27"/>
    </row>
    <row r="246" spans="1:17">
      <c r="A246" s="95">
        <v>148</v>
      </c>
      <c r="B246" s="87" t="s">
        <v>119</v>
      </c>
      <c r="C246" s="68"/>
      <c r="D246" s="68"/>
      <c r="E246" s="68"/>
      <c r="F246" s="55"/>
      <c r="G246" s="398">
        <f>350142/13.5</f>
        <v>25936.444444444445</v>
      </c>
      <c r="H246" s="68">
        <v>323</v>
      </c>
      <c r="I246" s="397">
        <f>G246/H246</f>
        <v>80.298589611283106</v>
      </c>
      <c r="J246" s="2"/>
    </row>
    <row r="247" spans="1:17">
      <c r="A247" s="475" t="s">
        <v>591</v>
      </c>
      <c r="B247" s="475"/>
      <c r="C247" s="475"/>
      <c r="D247" s="475"/>
      <c r="E247" s="475"/>
      <c r="F247" s="475"/>
      <c r="G247" s="475"/>
      <c r="H247" s="475"/>
      <c r="I247" s="137"/>
      <c r="K247" s="59"/>
    </row>
    <row r="248" spans="1:17" ht="42">
      <c r="A248" s="259"/>
      <c r="B248" s="63"/>
      <c r="C248" s="63"/>
      <c r="D248" s="63"/>
      <c r="E248" s="63"/>
      <c r="F248" s="130"/>
      <c r="G248" s="130" t="s">
        <v>542</v>
      </c>
      <c r="H248" s="130" t="s">
        <v>543</v>
      </c>
      <c r="I248" s="130" t="s">
        <v>544</v>
      </c>
    </row>
    <row r="249" spans="1:17">
      <c r="A249" s="141"/>
      <c r="B249" s="69"/>
      <c r="C249" s="69"/>
      <c r="D249" s="69"/>
      <c r="E249" s="69"/>
      <c r="F249" s="79"/>
      <c r="G249" s="79" t="s">
        <v>6</v>
      </c>
      <c r="H249" s="79" t="s">
        <v>115</v>
      </c>
      <c r="I249" s="79" t="s">
        <v>118</v>
      </c>
    </row>
    <row r="250" spans="1:17">
      <c r="A250" s="95">
        <v>149</v>
      </c>
      <c r="B250" s="87" t="s">
        <v>279</v>
      </c>
      <c r="C250" s="68"/>
      <c r="D250" s="68"/>
      <c r="E250" s="68"/>
      <c r="F250" s="55"/>
      <c r="G250" s="389">
        <f>130456/13.5</f>
        <v>9663.4074074074069</v>
      </c>
      <c r="H250" s="396">
        <f>'Utilisation rate workouts '!B16</f>
        <v>309</v>
      </c>
      <c r="I250" s="397">
        <f>G250/H250</f>
        <v>31.273163130768307</v>
      </c>
    </row>
    <row r="251" spans="1:17" ht="16">
      <c r="A251" s="456" t="s">
        <v>122</v>
      </c>
      <c r="B251" s="457"/>
      <c r="C251" s="125"/>
      <c r="D251" s="125"/>
      <c r="E251" s="125"/>
      <c r="F251" s="125"/>
      <c r="G251" s="125"/>
      <c r="H251" s="125"/>
      <c r="I251" s="125"/>
      <c r="J251" s="2"/>
    </row>
    <row r="252" spans="1:17">
      <c r="A252" s="477" t="s">
        <v>280</v>
      </c>
      <c r="B252" s="477"/>
      <c r="C252" s="477"/>
      <c r="D252" s="20"/>
      <c r="E252" s="20"/>
      <c r="F252" s="20"/>
      <c r="G252" s="20"/>
      <c r="H252" s="123"/>
      <c r="I252" s="123"/>
      <c r="J252" s="123"/>
      <c r="K252" s="9"/>
      <c r="L252" s="9"/>
    </row>
    <row r="253" spans="1:17" ht="23" customHeight="1">
      <c r="A253" s="458" t="s">
        <v>123</v>
      </c>
      <c r="B253" s="458"/>
      <c r="C253" s="458"/>
      <c r="D253" s="458"/>
      <c r="E253" s="458"/>
      <c r="F253" s="458"/>
      <c r="G253" s="458"/>
      <c r="H253" s="458"/>
      <c r="I253" s="210">
        <v>20</v>
      </c>
      <c r="J253" s="138"/>
      <c r="K253" s="24"/>
      <c r="L253" s="24"/>
    </row>
    <row r="254" spans="1:17" ht="42">
      <c r="A254" s="260"/>
      <c r="B254" s="31"/>
      <c r="C254" s="30" t="s">
        <v>129</v>
      </c>
      <c r="D254" s="30" t="s">
        <v>124</v>
      </c>
      <c r="E254" s="30" t="s">
        <v>132</v>
      </c>
      <c r="F254" s="30" t="s">
        <v>545</v>
      </c>
      <c r="G254" s="30" t="s">
        <v>546</v>
      </c>
      <c r="H254" s="30" t="s">
        <v>547</v>
      </c>
      <c r="I254" s="128" t="s">
        <v>548</v>
      </c>
      <c r="J254" s="128" t="s">
        <v>126</v>
      </c>
      <c r="K254" s="30" t="s">
        <v>127</v>
      </c>
      <c r="L254" s="30" t="s">
        <v>549</v>
      </c>
    </row>
    <row r="255" spans="1:17" ht="28.5" customHeight="1">
      <c r="A255" s="141"/>
      <c r="B255" s="69"/>
      <c r="C255" s="69" t="s">
        <v>6</v>
      </c>
      <c r="D255" s="69" t="s">
        <v>115</v>
      </c>
      <c r="E255" s="69" t="s">
        <v>134</v>
      </c>
      <c r="F255" s="79" t="s">
        <v>133</v>
      </c>
      <c r="G255" s="69" t="s">
        <v>135</v>
      </c>
      <c r="H255" s="79" t="s">
        <v>137</v>
      </c>
      <c r="I255" s="79" t="s">
        <v>138</v>
      </c>
      <c r="J255" s="79" t="s">
        <v>139</v>
      </c>
      <c r="K255" s="69" t="s">
        <v>136</v>
      </c>
      <c r="L255" s="69" t="s">
        <v>440</v>
      </c>
    </row>
    <row r="256" spans="1:17">
      <c r="A256" s="95">
        <v>150</v>
      </c>
      <c r="B256" s="68" t="s">
        <v>131</v>
      </c>
      <c r="C256" s="379">
        <v>770</v>
      </c>
      <c r="D256" s="76">
        <f>'Utilisation rate workouts '!C20</f>
        <v>0.24391191709844559</v>
      </c>
      <c r="E256" s="89">
        <f>C256*D256</f>
        <v>187.81217616580309</v>
      </c>
      <c r="F256" s="398">
        <f>38670/13.5</f>
        <v>2864.4444444444443</v>
      </c>
      <c r="G256" s="396">
        <f>F256*E256</f>
        <v>537977.54461715592</v>
      </c>
      <c r="H256" s="396">
        <f>((10/100)*K256)/12</f>
        <v>301.34746287174602</v>
      </c>
      <c r="I256" s="396">
        <f>IF(I253=30,19.6004, IF(I253=20,14.877,IF(I253=15,11.9379,IF(I253=10,8.5302,IF(I253=5,4.5797,IF(I253=2,1.9135))))))</f>
        <v>14.877000000000001</v>
      </c>
      <c r="J256" s="397">
        <f>H256*12</f>
        <v>3616.169554460952</v>
      </c>
      <c r="K256" s="397">
        <f>G256/I256</f>
        <v>36161.695544609523</v>
      </c>
      <c r="L256" s="397">
        <f>K256/'Utilisation rate workouts '!C16</f>
        <v>19.204299280196242</v>
      </c>
    </row>
    <row r="257" spans="1:18" ht="30">
      <c r="A257" s="95"/>
      <c r="B257" s="58"/>
      <c r="C257" s="150" t="s">
        <v>281</v>
      </c>
      <c r="D257" s="90">
        <v>1</v>
      </c>
      <c r="E257" s="379">
        <v>770</v>
      </c>
      <c r="F257" s="398">
        <f>38670/13.5</f>
        <v>2864.4444444444443</v>
      </c>
      <c r="G257" s="396">
        <f>E257*F257</f>
        <v>2205622.222222222</v>
      </c>
      <c r="H257" s="396">
        <f>((10/100)*K257)/12</f>
        <v>1235.4765870259587</v>
      </c>
      <c r="I257" s="396">
        <v>14.877000000000001</v>
      </c>
      <c r="J257" s="397">
        <f>H257*12</f>
        <v>14825.719044311503</v>
      </c>
      <c r="K257" s="397">
        <f>G257/I257</f>
        <v>148257.19044311502</v>
      </c>
      <c r="L257" s="401"/>
    </row>
    <row r="258" spans="1:18">
      <c r="A258" s="458" t="s">
        <v>141</v>
      </c>
      <c r="B258" s="458"/>
      <c r="C258" s="458"/>
      <c r="D258" s="458"/>
      <c r="E258" s="458"/>
      <c r="F258" s="458"/>
      <c r="G258" s="458"/>
      <c r="H258" s="458"/>
      <c r="I258" s="138"/>
      <c r="J258" s="138"/>
      <c r="K258" s="138"/>
      <c r="L258" s="138"/>
    </row>
    <row r="259" spans="1:18" ht="16">
      <c r="A259" s="265"/>
      <c r="B259" s="44" t="s">
        <v>282</v>
      </c>
      <c r="C259" s="147"/>
      <c r="D259" s="40"/>
      <c r="E259" s="40"/>
      <c r="F259" s="152"/>
      <c r="G259" s="40"/>
      <c r="H259" s="40"/>
      <c r="I259" s="40"/>
      <c r="J259" s="40"/>
      <c r="K259" s="40"/>
      <c r="L259" s="40"/>
      <c r="M259" s="40"/>
    </row>
    <row r="260" spans="1:18" ht="36" customHeight="1">
      <c r="A260" s="266"/>
      <c r="B260" s="155" t="s">
        <v>143</v>
      </c>
      <c r="C260" s="155" t="s">
        <v>195</v>
      </c>
      <c r="D260" s="155" t="s">
        <v>555</v>
      </c>
      <c r="E260" s="155" t="s">
        <v>546</v>
      </c>
      <c r="F260" s="156" t="s">
        <v>556</v>
      </c>
      <c r="G260" s="155" t="s">
        <v>156</v>
      </c>
      <c r="H260" s="155" t="s">
        <v>146</v>
      </c>
      <c r="I260" s="155" t="s">
        <v>557</v>
      </c>
      <c r="J260" s="157" t="s">
        <v>553</v>
      </c>
      <c r="K260" s="157" t="s">
        <v>147</v>
      </c>
      <c r="L260" s="157" t="s">
        <v>558</v>
      </c>
      <c r="M260" s="158" t="s">
        <v>550</v>
      </c>
    </row>
    <row r="261" spans="1:18">
      <c r="A261" s="95">
        <v>151</v>
      </c>
      <c r="B261" s="68" t="s">
        <v>283</v>
      </c>
      <c r="C261" s="379">
        <v>5</v>
      </c>
      <c r="D261" s="389">
        <f>3694/13.5</f>
        <v>273.62962962962962</v>
      </c>
      <c r="E261" s="416">
        <f t="shared" ref="E261:E272" si="42">C261*D261</f>
        <v>1368.148148148148</v>
      </c>
      <c r="F261" s="416">
        <f t="shared" ref="F261:F272" si="43">((10/100)*E261)/12</f>
        <v>11.401234567901234</v>
      </c>
      <c r="G261" s="97">
        <v>10</v>
      </c>
      <c r="H261" s="96">
        <f t="shared" ref="H261:H272" si="44">IF(G261=30,19.6004, IF(G261=15,11.9379,IF(G261=10,8.5302,IF(G261=5,4.5797,IF(G261=2,1.9135)))))</f>
        <v>8.5302000000000007</v>
      </c>
      <c r="I261" s="416">
        <f t="shared" ref="I261:I272" si="45">F261*12</f>
        <v>136.81481481481481</v>
      </c>
      <c r="J261" s="416">
        <f t="shared" ref="J261:J272" si="46">E261/H261+I261</f>
        <v>297.20356867148263</v>
      </c>
      <c r="K261" s="160">
        <f>'Utilisation rate workouts '!C20</f>
        <v>0.24391191709844559</v>
      </c>
      <c r="L261" s="416">
        <f t="shared" ref="L261:L272" si="47">J261*K261</f>
        <v>72.491492203160846</v>
      </c>
      <c r="M261" s="416">
        <f>J261/'Utilisation rate workouts '!$C$16</f>
        <v>0.15783514002734075</v>
      </c>
      <c r="R261" s="286"/>
    </row>
    <row r="262" spans="1:18">
      <c r="A262" s="95">
        <v>152</v>
      </c>
      <c r="B262" s="68" t="s">
        <v>284</v>
      </c>
      <c r="C262" s="379">
        <v>12</v>
      </c>
      <c r="D262" s="389">
        <f>6684/13.5</f>
        <v>495.11111111111109</v>
      </c>
      <c r="E262" s="416">
        <f t="shared" si="42"/>
        <v>5941.333333333333</v>
      </c>
      <c r="F262" s="416">
        <f t="shared" si="43"/>
        <v>49.511111111111113</v>
      </c>
      <c r="G262" s="97">
        <v>15</v>
      </c>
      <c r="H262" s="96">
        <f t="shared" si="44"/>
        <v>11.937900000000001</v>
      </c>
      <c r="I262" s="416">
        <f t="shared" si="45"/>
        <v>594.13333333333333</v>
      </c>
      <c r="J262" s="416">
        <f t="shared" si="46"/>
        <v>1091.8199728037034</v>
      </c>
      <c r="K262" s="160">
        <f>'Utilisation rate workouts '!C20</f>
        <v>0.24391191709844559</v>
      </c>
      <c r="L262" s="416">
        <f t="shared" si="47"/>
        <v>266.30790269292402</v>
      </c>
      <c r="M262" s="416">
        <f>J262/'Utilisation rate workouts '!$C$16</f>
        <v>0.57983004397435123</v>
      </c>
      <c r="R262" s="286"/>
    </row>
    <row r="263" spans="1:18">
      <c r="A263" s="95">
        <v>153</v>
      </c>
      <c r="B263" s="68" t="s">
        <v>285</v>
      </c>
      <c r="C263" s="379">
        <v>3</v>
      </c>
      <c r="D263" s="389">
        <f>175/13.5</f>
        <v>12.962962962962964</v>
      </c>
      <c r="E263" s="416">
        <f t="shared" si="42"/>
        <v>38.888888888888893</v>
      </c>
      <c r="F263" s="416">
        <f t="shared" si="43"/>
        <v>0.32407407407407413</v>
      </c>
      <c r="G263" s="97">
        <v>5</v>
      </c>
      <c r="H263" s="96">
        <f t="shared" si="44"/>
        <v>4.5796999999999999</v>
      </c>
      <c r="I263" s="416">
        <f t="shared" si="45"/>
        <v>3.8888888888888893</v>
      </c>
      <c r="J263" s="416">
        <f t="shared" si="46"/>
        <v>12.380468880785497</v>
      </c>
      <c r="K263" s="160">
        <f>'Utilisation rate workouts '!C20</f>
        <v>0.24391191709844559</v>
      </c>
      <c r="L263" s="416">
        <f t="shared" si="47"/>
        <v>3.0197438992900376</v>
      </c>
      <c r="M263" s="416">
        <f>J263/'Utilisation rate workouts '!$C$16</f>
        <v>6.5748639834229934E-3</v>
      </c>
      <c r="R263" s="286"/>
    </row>
    <row r="264" spans="1:18">
      <c r="A264" s="95">
        <v>154</v>
      </c>
      <c r="B264" s="68" t="s">
        <v>286</v>
      </c>
      <c r="C264" s="379">
        <v>4</v>
      </c>
      <c r="D264" s="389">
        <f>951/13.5</f>
        <v>70.444444444444443</v>
      </c>
      <c r="E264" s="416">
        <f t="shared" si="42"/>
        <v>281.77777777777777</v>
      </c>
      <c r="F264" s="416">
        <f t="shared" si="43"/>
        <v>2.3481481481481481</v>
      </c>
      <c r="G264" s="97">
        <v>15</v>
      </c>
      <c r="H264" s="96">
        <f t="shared" si="44"/>
        <v>11.937900000000001</v>
      </c>
      <c r="I264" s="416">
        <f t="shared" si="45"/>
        <v>28.177777777777777</v>
      </c>
      <c r="J264" s="416">
        <f t="shared" si="46"/>
        <v>51.781408045896768</v>
      </c>
      <c r="K264" s="160">
        <f>'Utilisation rate workouts '!C20</f>
        <v>0.24391191709844559</v>
      </c>
      <c r="L264" s="416">
        <f t="shared" si="47"/>
        <v>12.630102506531555</v>
      </c>
      <c r="M264" s="416">
        <f>J264/'Utilisation rate workouts '!$C$16</f>
        <v>2.749942009872372E-2</v>
      </c>
      <c r="R264" s="286"/>
    </row>
    <row r="265" spans="1:18">
      <c r="A265" s="95">
        <v>155</v>
      </c>
      <c r="B265" s="68" t="s">
        <v>287</v>
      </c>
      <c r="C265" s="379">
        <v>2</v>
      </c>
      <c r="D265" s="389">
        <f>1367/13.5</f>
        <v>101.25925925925925</v>
      </c>
      <c r="E265" s="404">
        <f t="shared" si="42"/>
        <v>202.5185185185185</v>
      </c>
      <c r="F265" s="416">
        <f t="shared" si="43"/>
        <v>1.6876543209876544</v>
      </c>
      <c r="G265" s="97">
        <v>15</v>
      </c>
      <c r="H265" s="96">
        <f t="shared" si="44"/>
        <v>11.937900000000001</v>
      </c>
      <c r="I265" s="404">
        <f t="shared" si="45"/>
        <v>20.251851851851853</v>
      </c>
      <c r="J265" s="416">
        <f t="shared" si="46"/>
        <v>37.216185488297</v>
      </c>
      <c r="K265" s="160">
        <f>'Utilisation rate workouts '!C20</f>
        <v>0.24391191709844559</v>
      </c>
      <c r="L265" s="404">
        <f t="shared" si="47"/>
        <v>9.0774711495418714</v>
      </c>
      <c r="M265" s="416">
        <f>J265/'Utilisation rate workouts '!$C$16</f>
        <v>1.9764304560964951E-2</v>
      </c>
      <c r="R265" s="286"/>
    </row>
    <row r="266" spans="1:18">
      <c r="A266" s="95">
        <v>156</v>
      </c>
      <c r="B266" s="68" t="s">
        <v>288</v>
      </c>
      <c r="C266" s="379">
        <v>2</v>
      </c>
      <c r="D266" s="389">
        <f>535/13.5</f>
        <v>39.629629629629626</v>
      </c>
      <c r="E266" s="404">
        <f t="shared" si="42"/>
        <v>79.259259259259252</v>
      </c>
      <c r="F266" s="416">
        <f t="shared" si="43"/>
        <v>0.66049382716049376</v>
      </c>
      <c r="G266" s="97">
        <v>15</v>
      </c>
      <c r="H266" s="96">
        <f t="shared" si="44"/>
        <v>11.937900000000001</v>
      </c>
      <c r="I266" s="404">
        <f t="shared" si="45"/>
        <v>7.9259259259259256</v>
      </c>
      <c r="J266" s="416">
        <f t="shared" si="46"/>
        <v>14.565222557599775</v>
      </c>
      <c r="K266" s="160">
        <f>'Utilisation rate workouts '!C20</f>
        <v>0.24391191709844559</v>
      </c>
      <c r="L266" s="404">
        <f t="shared" si="47"/>
        <v>3.5526313569896857</v>
      </c>
      <c r="M266" s="416">
        <f>J266/'Utilisation rate workouts '!$C$16</f>
        <v>7.7351155377587758E-3</v>
      </c>
      <c r="R266" s="286"/>
    </row>
    <row r="267" spans="1:18">
      <c r="A267" s="95">
        <v>157</v>
      </c>
      <c r="B267" s="68" t="s">
        <v>289</v>
      </c>
      <c r="C267" s="379">
        <v>12</v>
      </c>
      <c r="D267" s="389">
        <f>949/13.5</f>
        <v>70.296296296296291</v>
      </c>
      <c r="E267" s="404">
        <f t="shared" si="42"/>
        <v>843.55555555555543</v>
      </c>
      <c r="F267" s="416">
        <f t="shared" si="43"/>
        <v>7.0296296296296292</v>
      </c>
      <c r="G267" s="97">
        <v>15</v>
      </c>
      <c r="H267" s="96">
        <f t="shared" si="44"/>
        <v>11.937900000000001</v>
      </c>
      <c r="I267" s="404">
        <f t="shared" si="45"/>
        <v>84.355555555555554</v>
      </c>
      <c r="J267" s="416">
        <f t="shared" si="46"/>
        <v>155.0175275569591</v>
      </c>
      <c r="K267" s="160">
        <f>'Utilisation rate workouts '!C20</f>
        <v>0.24391191709844559</v>
      </c>
      <c r="L267" s="404">
        <f t="shared" si="47"/>
        <v>37.81062233027901</v>
      </c>
      <c r="M267" s="416">
        <f>J267/'Utilisation rate workouts '!$C$16</f>
        <v>8.2324762377567237E-2</v>
      </c>
      <c r="R267" s="286"/>
    </row>
    <row r="268" spans="1:18">
      <c r="A268" s="95">
        <v>158</v>
      </c>
      <c r="B268" s="68" t="s">
        <v>290</v>
      </c>
      <c r="C268" s="379">
        <v>3</v>
      </c>
      <c r="D268" s="389">
        <f>173.32/13.5</f>
        <v>12.838518518518518</v>
      </c>
      <c r="E268" s="404">
        <f t="shared" si="42"/>
        <v>38.515555555555551</v>
      </c>
      <c r="F268" s="416">
        <f t="shared" si="43"/>
        <v>0.32096296296296295</v>
      </c>
      <c r="G268" s="97">
        <v>5</v>
      </c>
      <c r="H268" s="96">
        <f t="shared" si="44"/>
        <v>4.5796999999999999</v>
      </c>
      <c r="I268" s="404">
        <f t="shared" si="45"/>
        <v>3.8515555555555556</v>
      </c>
      <c r="J268" s="416">
        <f t="shared" si="46"/>
        <v>12.261616379529954</v>
      </c>
      <c r="K268" s="160">
        <f>'Utilisation rate workouts '!C20</f>
        <v>0.24391191709844559</v>
      </c>
      <c r="L268" s="404">
        <f t="shared" si="47"/>
        <v>2.990754357856853</v>
      </c>
      <c r="M268" s="416">
        <f>J268/'Utilisation rate workouts '!$C$16</f>
        <v>6.5117452891821316E-3</v>
      </c>
    </row>
    <row r="269" spans="1:18">
      <c r="A269" s="95">
        <v>159</v>
      </c>
      <c r="B269" s="68" t="s">
        <v>291</v>
      </c>
      <c r="C269" s="379">
        <v>4</v>
      </c>
      <c r="D269" s="389">
        <f>990/13.5</f>
        <v>73.333333333333329</v>
      </c>
      <c r="E269" s="404">
        <f t="shared" si="42"/>
        <v>293.33333333333331</v>
      </c>
      <c r="F269" s="416">
        <f t="shared" si="43"/>
        <v>2.4444444444444442</v>
      </c>
      <c r="G269" s="97">
        <v>15</v>
      </c>
      <c r="H269" s="100">
        <f t="shared" si="44"/>
        <v>11.937900000000001</v>
      </c>
      <c r="I269" s="404">
        <f t="shared" si="45"/>
        <v>29.333333333333329</v>
      </c>
      <c r="J269" s="416">
        <f t="shared" si="46"/>
        <v>53.904935820649627</v>
      </c>
      <c r="K269" s="160">
        <f>'Utilisation rate workouts '!C20</f>
        <v>0.24391191709844559</v>
      </c>
      <c r="L269" s="404">
        <f t="shared" si="47"/>
        <v>13.148056237083322</v>
      </c>
      <c r="M269" s="416">
        <f>J269/'Utilisation rate workouts '!$C$16</f>
        <v>2.8627156569649297E-2</v>
      </c>
    </row>
    <row r="270" spans="1:18">
      <c r="A270" s="95">
        <v>160</v>
      </c>
      <c r="B270" s="68" t="s">
        <v>292</v>
      </c>
      <c r="C270" s="379">
        <v>2</v>
      </c>
      <c r="D270" s="389">
        <f>1173/13.5</f>
        <v>86.888888888888886</v>
      </c>
      <c r="E270" s="404">
        <f t="shared" si="42"/>
        <v>173.77777777777777</v>
      </c>
      <c r="F270" s="416">
        <f t="shared" si="43"/>
        <v>1.448148148148148</v>
      </c>
      <c r="G270" s="97">
        <v>15</v>
      </c>
      <c r="H270" s="100">
        <f t="shared" si="44"/>
        <v>11.937900000000001</v>
      </c>
      <c r="I270" s="404">
        <f t="shared" si="45"/>
        <v>17.377777777777776</v>
      </c>
      <c r="J270" s="416">
        <f t="shared" si="46"/>
        <v>31.934590766475768</v>
      </c>
      <c r="K270" s="160">
        <f>'Utilisation rate workouts '!C20</f>
        <v>0.24391191709844559</v>
      </c>
      <c r="L270" s="404">
        <f t="shared" si="47"/>
        <v>7.7892272556054234</v>
      </c>
      <c r="M270" s="416">
        <f>J270/'Utilisation rate workouts '!$C$16</f>
        <v>1.6959421543534661E-2</v>
      </c>
    </row>
    <row r="271" spans="1:18">
      <c r="A271" s="95">
        <v>161</v>
      </c>
      <c r="B271" s="68" t="s">
        <v>149</v>
      </c>
      <c r="C271" s="379">
        <v>2</v>
      </c>
      <c r="D271" s="389">
        <f>2899/13.5</f>
        <v>214.74074074074073</v>
      </c>
      <c r="E271" s="404">
        <f t="shared" si="42"/>
        <v>429.48148148148147</v>
      </c>
      <c r="F271" s="416">
        <f t="shared" si="43"/>
        <v>3.5790123456790126</v>
      </c>
      <c r="G271" s="97">
        <v>10</v>
      </c>
      <c r="H271" s="100">
        <f t="shared" si="44"/>
        <v>8.5302000000000007</v>
      </c>
      <c r="I271" s="404">
        <f t="shared" si="45"/>
        <v>42.94814814814815</v>
      </c>
      <c r="J271" s="416">
        <f t="shared" si="46"/>
        <v>93.296496543435651</v>
      </c>
      <c r="K271" s="160">
        <f>'Utilisation rate workouts '!C20</f>
        <v>0.24391191709844559</v>
      </c>
      <c r="L271" s="404">
        <f t="shared" si="47"/>
        <v>22.756127330477891</v>
      </c>
      <c r="M271" s="416">
        <f>J271/'Utilisation rate workouts '!$C$16</f>
        <v>4.9546732099540976E-2</v>
      </c>
    </row>
    <row r="272" spans="1:18">
      <c r="A272" s="95">
        <v>162</v>
      </c>
      <c r="B272" s="68" t="s">
        <v>150</v>
      </c>
      <c r="C272" s="379">
        <v>2</v>
      </c>
      <c r="D272" s="389">
        <f>599/13.5</f>
        <v>44.370370370370374</v>
      </c>
      <c r="E272" s="404">
        <f t="shared" si="42"/>
        <v>88.740740740740748</v>
      </c>
      <c r="F272" s="416">
        <f t="shared" si="43"/>
        <v>0.73950617283950626</v>
      </c>
      <c r="G272" s="97">
        <v>15</v>
      </c>
      <c r="H272" s="100">
        <f t="shared" si="44"/>
        <v>11.937900000000001</v>
      </c>
      <c r="I272" s="404">
        <f t="shared" si="45"/>
        <v>8.8740740740740751</v>
      </c>
      <c r="J272" s="416">
        <f t="shared" si="46"/>
        <v>16.307604321499564</v>
      </c>
      <c r="K272" s="160">
        <f>'Utilisation rate workouts '!C20</f>
        <v>0.24391191709844559</v>
      </c>
      <c r="L272" s="404">
        <f t="shared" si="47"/>
        <v>3.9776190333398547</v>
      </c>
      <c r="M272" s="416">
        <f>J272/'Utilisation rate workouts '!$C$16</f>
        <v>8.660437770313098E-3</v>
      </c>
    </row>
    <row r="273" spans="1:116">
      <c r="A273" s="95"/>
      <c r="B273" s="169" t="s">
        <v>154</v>
      </c>
      <c r="C273" s="103"/>
      <c r="D273" s="104"/>
      <c r="E273" s="104"/>
      <c r="F273" s="161"/>
      <c r="G273" s="106"/>
      <c r="H273" s="96"/>
      <c r="I273" s="159"/>
      <c r="J273" s="417">
        <f>SUM(J261:J272)</f>
        <v>1867.6895978363148</v>
      </c>
      <c r="K273" s="108"/>
      <c r="L273" s="417">
        <f>SUM(L261:L272)</f>
        <v>455.55175035308042</v>
      </c>
      <c r="M273" s="417">
        <f>SUM(M261:M272)</f>
        <v>0.99186914383234992</v>
      </c>
    </row>
    <row r="274" spans="1:116" s="43" customFormat="1" ht="15" customHeight="1">
      <c r="A274" s="480" t="s">
        <v>293</v>
      </c>
      <c r="B274" s="480"/>
      <c r="C274" s="480"/>
      <c r="D274" s="480"/>
      <c r="E274" s="480"/>
      <c r="F274" s="480"/>
      <c r="G274" s="480"/>
      <c r="H274" s="480"/>
      <c r="I274" s="480"/>
      <c r="J274" s="480"/>
      <c r="K274" s="480"/>
      <c r="L274" s="480"/>
      <c r="M274" s="480"/>
      <c r="N274" s="4"/>
      <c r="O274" s="4"/>
      <c r="P274" s="4"/>
      <c r="Q274" s="4"/>
      <c r="R274" s="4"/>
      <c r="S274" s="4"/>
      <c r="T274" s="4"/>
      <c r="U274" s="162"/>
      <c r="V274" s="162"/>
      <c r="W274" s="162"/>
      <c r="X274" s="162"/>
      <c r="Y274" s="162"/>
      <c r="Z274" s="162"/>
      <c r="AA274" s="162"/>
      <c r="AB274" s="162"/>
      <c r="AC274" s="162"/>
      <c r="AD274" s="162"/>
      <c r="AE274" s="162"/>
      <c r="AF274" s="162"/>
      <c r="AG274" s="162"/>
      <c r="AH274" s="162"/>
      <c r="AI274" s="162"/>
      <c r="AJ274" s="162"/>
      <c r="AK274" s="162"/>
      <c r="AL274" s="162"/>
      <c r="AM274" s="162"/>
      <c r="AN274" s="162"/>
      <c r="AO274" s="162"/>
      <c r="AP274" s="162"/>
      <c r="AQ274" s="162"/>
      <c r="AR274" s="162"/>
      <c r="AS274" s="162"/>
      <c r="AT274" s="162"/>
      <c r="AU274" s="162"/>
      <c r="AV274" s="162"/>
      <c r="AW274" s="162"/>
      <c r="AX274" s="162"/>
      <c r="AY274" s="162"/>
      <c r="AZ274" s="162"/>
      <c r="BA274" s="162"/>
      <c r="BB274" s="162"/>
      <c r="BC274" s="162"/>
      <c r="BD274" s="162"/>
      <c r="BE274" s="162"/>
      <c r="BF274" s="162"/>
      <c r="BG274" s="162"/>
      <c r="BH274" s="162"/>
      <c r="BI274" s="162"/>
      <c r="BJ274" s="162"/>
      <c r="BK274" s="162"/>
      <c r="BL274" s="162"/>
      <c r="BM274" s="162"/>
      <c r="BN274" s="162"/>
      <c r="BO274" s="162"/>
      <c r="BP274" s="162"/>
      <c r="BQ274" s="162"/>
      <c r="BR274" s="162"/>
      <c r="BS274" s="162"/>
      <c r="BT274" s="162"/>
      <c r="BU274" s="162"/>
      <c r="BV274" s="162"/>
      <c r="BW274" s="162"/>
      <c r="BX274" s="162"/>
      <c r="BY274" s="162"/>
      <c r="BZ274" s="162"/>
      <c r="CA274" s="162"/>
      <c r="CB274" s="162"/>
      <c r="CC274" s="162"/>
      <c r="CD274" s="162"/>
      <c r="CE274" s="162"/>
      <c r="CF274" s="162"/>
      <c r="CG274" s="162"/>
      <c r="CH274" s="162"/>
      <c r="CI274" s="162"/>
      <c r="CJ274" s="162"/>
      <c r="CK274" s="162"/>
      <c r="CL274" s="162"/>
      <c r="CM274" s="162"/>
      <c r="CN274" s="162"/>
      <c r="CO274" s="162"/>
      <c r="CP274" s="162"/>
      <c r="CQ274" s="162"/>
      <c r="CR274" s="162"/>
      <c r="CS274" s="162"/>
      <c r="CT274" s="162"/>
      <c r="CU274" s="162"/>
      <c r="CV274" s="162"/>
      <c r="CW274" s="162"/>
      <c r="CX274" s="162"/>
      <c r="CY274" s="162"/>
      <c r="CZ274" s="162"/>
      <c r="DA274" s="162"/>
      <c r="DB274" s="162"/>
      <c r="DC274" s="162"/>
      <c r="DD274" s="162"/>
      <c r="DE274" s="162"/>
      <c r="DF274" s="162"/>
      <c r="DG274" s="162"/>
      <c r="DH274" s="162"/>
      <c r="DI274" s="162"/>
      <c r="DJ274" s="162"/>
      <c r="DK274" s="162"/>
      <c r="DL274" s="162"/>
    </row>
    <row r="275" spans="1:116">
      <c r="A275" s="95">
        <v>163</v>
      </c>
      <c r="B275" s="68" t="s">
        <v>294</v>
      </c>
      <c r="C275" s="379">
        <v>2</v>
      </c>
      <c r="D275" s="389">
        <f>1299/13.5</f>
        <v>96.222222222222229</v>
      </c>
      <c r="E275" s="404">
        <f t="shared" ref="E275:E287" si="48">D275*C275</f>
        <v>192.44444444444446</v>
      </c>
      <c r="F275" s="404">
        <f t="shared" ref="F275:F287" si="49">((10/100)*E275)/12</f>
        <v>1.6037037037037039</v>
      </c>
      <c r="G275" s="68">
        <v>10</v>
      </c>
      <c r="H275" s="68">
        <f t="shared" ref="H275:H287" si="50">IF(G275=30,19.6004, IF(G275=15,11.9379,IF(G275=10,8.5302,IF(G275=5,4.5797,IF(G275=2,1.9135)))))</f>
        <v>8.5302000000000007</v>
      </c>
      <c r="I275" s="404">
        <f t="shared" ref="I275:I287" si="51">F275*12</f>
        <v>19.244444444444447</v>
      </c>
      <c r="J275" s="404">
        <f t="shared" ref="J275:J287" si="52">E275/H275+I275</f>
        <v>41.804811662615705</v>
      </c>
      <c r="K275" s="160">
        <f>'Utilisation rate workouts '!C20</f>
        <v>0.24391191709844559</v>
      </c>
      <c r="L275" s="404">
        <f t="shared" ref="L275:L287" si="53">J275*K275</f>
        <v>10.196691756568054</v>
      </c>
      <c r="M275" s="404">
        <f>J275/'Utilisation rate workouts '!$C$16</f>
        <v>2.2201174542015777E-2</v>
      </c>
      <c r="N275" s="162"/>
      <c r="O275" s="162"/>
      <c r="P275" s="162"/>
      <c r="Q275" s="162"/>
      <c r="R275" s="162"/>
      <c r="S275" s="162"/>
      <c r="T275" s="162"/>
    </row>
    <row r="276" spans="1:116">
      <c r="A276" s="95">
        <v>164</v>
      </c>
      <c r="B276" s="68" t="s">
        <v>295</v>
      </c>
      <c r="C276" s="379">
        <v>6</v>
      </c>
      <c r="D276" s="389">
        <f>27750/13.5</f>
        <v>2055.5555555555557</v>
      </c>
      <c r="E276" s="404">
        <f t="shared" si="48"/>
        <v>12333.333333333334</v>
      </c>
      <c r="F276" s="404">
        <f t="shared" si="49"/>
        <v>102.77777777777779</v>
      </c>
      <c r="G276" s="68">
        <v>15</v>
      </c>
      <c r="H276" s="68">
        <f t="shared" si="50"/>
        <v>11.937900000000001</v>
      </c>
      <c r="I276" s="404">
        <f t="shared" si="51"/>
        <v>1233.3333333333335</v>
      </c>
      <c r="J276" s="404">
        <f t="shared" si="52"/>
        <v>2266.4575288227688</v>
      </c>
      <c r="K276" s="160">
        <f>'Utilisation rate workouts '!C20</f>
        <v>0.24391191709844559</v>
      </c>
      <c r="L276" s="404">
        <f t="shared" si="53"/>
        <v>552.81600087736706</v>
      </c>
      <c r="M276" s="404">
        <f>J276/'Utilisation rate workouts '!$C$16</f>
        <v>1.2036418103148003</v>
      </c>
      <c r="N276" s="53"/>
      <c r="O276" s="53"/>
      <c r="P276" s="53"/>
      <c r="Q276" s="53"/>
      <c r="R276" s="53"/>
      <c r="S276" s="53"/>
      <c r="T276" s="53"/>
    </row>
    <row r="277" spans="1:116">
      <c r="A277" s="95">
        <v>165</v>
      </c>
      <c r="B277" s="68" t="s">
        <v>296</v>
      </c>
      <c r="C277" s="379">
        <v>5</v>
      </c>
      <c r="D277" s="389">
        <f>13795/13.5</f>
        <v>1021.8518518518518</v>
      </c>
      <c r="E277" s="404">
        <f t="shared" si="48"/>
        <v>5109.2592592592591</v>
      </c>
      <c r="F277" s="404">
        <f t="shared" si="49"/>
        <v>42.577160493827158</v>
      </c>
      <c r="G277" s="68">
        <v>10</v>
      </c>
      <c r="H277" s="68">
        <f t="shared" si="50"/>
        <v>8.5302000000000007</v>
      </c>
      <c r="I277" s="404">
        <f t="shared" si="51"/>
        <v>510.92592592592587</v>
      </c>
      <c r="J277" s="404">
        <f t="shared" si="52"/>
        <v>1109.8871764545488</v>
      </c>
      <c r="K277" s="160">
        <f>'Utilisation rate workouts '!C20</f>
        <v>0.24391191709844559</v>
      </c>
      <c r="L277" s="404">
        <f t="shared" si="53"/>
        <v>270.71470897200976</v>
      </c>
      <c r="M277" s="404">
        <f>J277/'Utilisation rate workouts '!$C$16</f>
        <v>0.58942494766571896</v>
      </c>
    </row>
    <row r="278" spans="1:116">
      <c r="A278" s="95">
        <v>166</v>
      </c>
      <c r="B278" s="68" t="s">
        <v>297</v>
      </c>
      <c r="C278" s="379">
        <v>7</v>
      </c>
      <c r="D278" s="389">
        <f>1860/13.5</f>
        <v>137.77777777777777</v>
      </c>
      <c r="E278" s="404">
        <f t="shared" si="48"/>
        <v>964.44444444444434</v>
      </c>
      <c r="F278" s="404">
        <f t="shared" si="49"/>
        <v>8.0370370370370363</v>
      </c>
      <c r="G278" s="68">
        <v>5</v>
      </c>
      <c r="H278" s="68">
        <f t="shared" si="50"/>
        <v>4.5796999999999999</v>
      </c>
      <c r="I278" s="404">
        <f t="shared" si="51"/>
        <v>96.444444444444429</v>
      </c>
      <c r="J278" s="404">
        <f t="shared" si="52"/>
        <v>307.03562824348023</v>
      </c>
      <c r="K278" s="160">
        <f>'Utilisation rate workouts '!C20</f>
        <v>0.24391191709844559</v>
      </c>
      <c r="L278" s="404">
        <f t="shared" si="53"/>
        <v>74.889648702392904</v>
      </c>
      <c r="M278" s="404">
        <f>J278/'Utilisation rate workouts '!$C$16</f>
        <v>0.16305662678889019</v>
      </c>
    </row>
    <row r="279" spans="1:116">
      <c r="A279" s="95">
        <v>167</v>
      </c>
      <c r="B279" s="68" t="s">
        <v>217</v>
      </c>
      <c r="C279" s="379">
        <v>2</v>
      </c>
      <c r="D279" s="389">
        <f>3649/13.5</f>
        <v>270.2962962962963</v>
      </c>
      <c r="E279" s="404">
        <f t="shared" si="48"/>
        <v>540.59259259259261</v>
      </c>
      <c r="F279" s="404">
        <f t="shared" si="49"/>
        <v>4.5049382716049386</v>
      </c>
      <c r="G279" s="68">
        <v>10</v>
      </c>
      <c r="H279" s="68">
        <f t="shared" si="50"/>
        <v>8.5302000000000007</v>
      </c>
      <c r="I279" s="404">
        <f t="shared" si="51"/>
        <v>54.059259259259264</v>
      </c>
      <c r="J279" s="404">
        <f t="shared" si="52"/>
        <v>117.43322383132001</v>
      </c>
      <c r="K279" s="160">
        <f>'Utilisation rate workouts '!C20</f>
        <v>0.24391191709844559</v>
      </c>
      <c r="L279" s="404">
        <f t="shared" si="53"/>
        <v>28.643362755748132</v>
      </c>
      <c r="M279" s="404">
        <f>J279/'Utilisation rate workouts '!$C$16</f>
        <v>6.2364962204630912E-2</v>
      </c>
    </row>
    <row r="280" spans="1:116">
      <c r="A280" s="95">
        <v>168</v>
      </c>
      <c r="B280" s="68" t="s">
        <v>298</v>
      </c>
      <c r="C280" s="379">
        <v>4</v>
      </c>
      <c r="D280" s="389">
        <f>175/13.5</f>
        <v>12.962962962962964</v>
      </c>
      <c r="E280" s="404">
        <f t="shared" si="48"/>
        <v>51.851851851851855</v>
      </c>
      <c r="F280" s="404">
        <f t="shared" si="49"/>
        <v>0.43209876543209885</v>
      </c>
      <c r="G280" s="68">
        <v>5</v>
      </c>
      <c r="H280" s="68">
        <f t="shared" si="50"/>
        <v>4.5796999999999999</v>
      </c>
      <c r="I280" s="404">
        <f t="shared" si="51"/>
        <v>5.185185185185186</v>
      </c>
      <c r="J280" s="404">
        <f t="shared" si="52"/>
        <v>16.50729184104733</v>
      </c>
      <c r="K280" s="160">
        <f>'Utilisation rate workouts '!C20</f>
        <v>0.24391191709844559</v>
      </c>
      <c r="L280" s="404">
        <f t="shared" si="53"/>
        <v>4.0263251990533835</v>
      </c>
      <c r="M280" s="404">
        <f>J280/'Utilisation rate workouts '!$C$16</f>
        <v>8.7664853112306585E-3</v>
      </c>
    </row>
    <row r="281" spans="1:116">
      <c r="A281" s="95">
        <v>169</v>
      </c>
      <c r="B281" s="68" t="s">
        <v>191</v>
      </c>
      <c r="C281" s="379">
        <v>2</v>
      </c>
      <c r="D281" s="389">
        <f>1265/13.5</f>
        <v>93.703703703703709</v>
      </c>
      <c r="E281" s="404">
        <f t="shared" si="48"/>
        <v>187.40740740740742</v>
      </c>
      <c r="F281" s="404">
        <f t="shared" si="49"/>
        <v>1.5617283950617287</v>
      </c>
      <c r="G281" s="68">
        <v>5</v>
      </c>
      <c r="H281" s="68">
        <f t="shared" si="50"/>
        <v>4.5796999999999999</v>
      </c>
      <c r="I281" s="404">
        <f t="shared" si="51"/>
        <v>18.740740740740744</v>
      </c>
      <c r="J281" s="404">
        <f t="shared" si="52"/>
        <v>59.662069082642489</v>
      </c>
      <c r="K281" s="160">
        <f>'Utilisation rate workouts '!C20</f>
        <v>0.24391191709844559</v>
      </c>
      <c r="L281" s="404">
        <f t="shared" si="53"/>
        <v>14.552289648007228</v>
      </c>
      <c r="M281" s="404">
        <f>J281/'Utilisation rate workouts '!$C$16</f>
        <v>3.1684582624876521E-2</v>
      </c>
    </row>
    <row r="282" spans="1:116">
      <c r="A282" s="95">
        <v>170</v>
      </c>
      <c r="B282" s="68" t="s">
        <v>299</v>
      </c>
      <c r="C282" s="379">
        <v>2</v>
      </c>
      <c r="D282" s="389">
        <f>352.12/13.5</f>
        <v>26.082962962962963</v>
      </c>
      <c r="E282" s="404">
        <f t="shared" si="48"/>
        <v>52.165925925925926</v>
      </c>
      <c r="F282" s="404">
        <f t="shared" si="49"/>
        <v>0.43471604938271607</v>
      </c>
      <c r="G282" s="68">
        <v>5</v>
      </c>
      <c r="H282" s="68">
        <f t="shared" si="50"/>
        <v>4.5796999999999999</v>
      </c>
      <c r="I282" s="404">
        <f t="shared" si="51"/>
        <v>5.2165925925925931</v>
      </c>
      <c r="J282" s="404">
        <f t="shared" si="52"/>
        <v>16.607278865913102</v>
      </c>
      <c r="K282" s="160">
        <f>'Utilisation rate workouts '!C20</f>
        <v>0.24391191709844559</v>
      </c>
      <c r="L282" s="404">
        <f t="shared" si="53"/>
        <v>4.0507132259733645</v>
      </c>
      <c r="M282" s="404">
        <f>J282/'Utilisation rate workouts '!$C$16</f>
        <v>8.8195851651158268E-3</v>
      </c>
    </row>
    <row r="283" spans="1:116">
      <c r="A283" s="95">
        <v>171</v>
      </c>
      <c r="B283" s="68" t="s">
        <v>300</v>
      </c>
      <c r="C283" s="379">
        <v>4</v>
      </c>
      <c r="D283" s="389">
        <f>999/13.5</f>
        <v>74</v>
      </c>
      <c r="E283" s="404">
        <f t="shared" si="48"/>
        <v>296</v>
      </c>
      <c r="F283" s="404">
        <f t="shared" si="49"/>
        <v>2.4666666666666668</v>
      </c>
      <c r="G283" s="68">
        <v>15</v>
      </c>
      <c r="H283" s="68">
        <f t="shared" si="50"/>
        <v>11.937900000000001</v>
      </c>
      <c r="I283" s="404">
        <f t="shared" si="51"/>
        <v>29.6</v>
      </c>
      <c r="J283" s="404">
        <f t="shared" si="52"/>
        <v>54.394980691746454</v>
      </c>
      <c r="K283" s="160">
        <f>'Utilisation rate workouts '!C20</f>
        <v>0.24391191709844559</v>
      </c>
      <c r="L283" s="404">
        <f t="shared" si="53"/>
        <v>13.267584021056809</v>
      </c>
      <c r="M283" s="404">
        <f>J283/'Utilisation rate workouts '!$C$16</f>
        <v>2.8887403447555207E-2</v>
      </c>
    </row>
    <row r="284" spans="1:116">
      <c r="A284" s="95">
        <v>172</v>
      </c>
      <c r="B284" s="68" t="s">
        <v>301</v>
      </c>
      <c r="C284" s="379">
        <v>4</v>
      </c>
      <c r="D284" s="389">
        <f>399/13.5</f>
        <v>29.555555555555557</v>
      </c>
      <c r="E284" s="404">
        <f t="shared" si="48"/>
        <v>118.22222222222223</v>
      </c>
      <c r="F284" s="404">
        <f t="shared" si="49"/>
        <v>0.98518518518518527</v>
      </c>
      <c r="G284" s="68">
        <v>15</v>
      </c>
      <c r="H284" s="68">
        <f t="shared" si="50"/>
        <v>11.937900000000001</v>
      </c>
      <c r="I284" s="404">
        <f t="shared" si="51"/>
        <v>11.822222222222223</v>
      </c>
      <c r="J284" s="404">
        <f t="shared" si="52"/>
        <v>21.725322618625462</v>
      </c>
      <c r="K284" s="160">
        <f>'Utilisation rate workouts '!C20</f>
        <v>0.24391191709844559</v>
      </c>
      <c r="L284" s="404">
        <f t="shared" si="53"/>
        <v>5.2990650894911582</v>
      </c>
      <c r="M284" s="404">
        <f>J284/'Utilisation rate workouts '!$C$16</f>
        <v>1.153761158716169E-2</v>
      </c>
    </row>
    <row r="285" spans="1:116">
      <c r="A285" s="95">
        <v>1723</v>
      </c>
      <c r="B285" s="68" t="s">
        <v>302</v>
      </c>
      <c r="C285" s="379">
        <v>2</v>
      </c>
      <c r="D285" s="389">
        <f>990/13.5</f>
        <v>73.333333333333329</v>
      </c>
      <c r="E285" s="404">
        <f t="shared" si="48"/>
        <v>146.66666666666666</v>
      </c>
      <c r="F285" s="404">
        <f t="shared" si="49"/>
        <v>1.2222222222222221</v>
      </c>
      <c r="G285" s="68">
        <v>15</v>
      </c>
      <c r="H285" s="68">
        <f t="shared" si="50"/>
        <v>11.937900000000001</v>
      </c>
      <c r="I285" s="404">
        <f t="shared" si="51"/>
        <v>14.666666666666664</v>
      </c>
      <c r="J285" s="404">
        <f t="shared" si="52"/>
        <v>26.952467910324813</v>
      </c>
      <c r="K285" s="160">
        <f>'Utilisation rate workouts '!C20</f>
        <v>0.24391191709844559</v>
      </c>
      <c r="L285" s="404">
        <f t="shared" si="53"/>
        <v>6.5740281185416611</v>
      </c>
      <c r="M285" s="404">
        <f>J285/'Utilisation rate workouts '!$C$16</f>
        <v>1.4313578284824649E-2</v>
      </c>
    </row>
    <row r="286" spans="1:116">
      <c r="A286" s="95">
        <v>1734</v>
      </c>
      <c r="B286" s="68" t="s">
        <v>303</v>
      </c>
      <c r="C286" s="379">
        <v>4</v>
      </c>
      <c r="D286" s="389">
        <f>3999/13.5</f>
        <v>296.22222222222223</v>
      </c>
      <c r="E286" s="404">
        <f t="shared" si="48"/>
        <v>1184.8888888888889</v>
      </c>
      <c r="F286" s="404">
        <f t="shared" si="49"/>
        <v>9.8740740740740751</v>
      </c>
      <c r="G286" s="68">
        <v>10</v>
      </c>
      <c r="H286" s="68">
        <f t="shared" si="50"/>
        <v>8.5302000000000007</v>
      </c>
      <c r="I286" s="404">
        <f t="shared" si="51"/>
        <v>118.48888888888891</v>
      </c>
      <c r="J286" s="404">
        <f t="shared" si="52"/>
        <v>257.39405979799875</v>
      </c>
      <c r="K286" s="160">
        <f>'Utilisation rate workouts '!C20</f>
        <v>0.24391191709844559</v>
      </c>
      <c r="L286" s="404">
        <f t="shared" si="53"/>
        <v>62.78147857508182</v>
      </c>
      <c r="M286" s="404">
        <f>J286/'Utilisation rate workouts '!$C$16</f>
        <v>0.13669360584067911</v>
      </c>
    </row>
    <row r="287" spans="1:116">
      <c r="A287" s="95">
        <v>175</v>
      </c>
      <c r="B287" s="68" t="s">
        <v>164</v>
      </c>
      <c r="C287" s="379">
        <v>4</v>
      </c>
      <c r="D287" s="389">
        <f>173.32/13.5</f>
        <v>12.838518518518518</v>
      </c>
      <c r="E287" s="404">
        <f t="shared" si="48"/>
        <v>51.35407407407407</v>
      </c>
      <c r="F287" s="404">
        <f t="shared" si="49"/>
        <v>0.42795061728395062</v>
      </c>
      <c r="G287" s="68">
        <v>5</v>
      </c>
      <c r="H287" s="68">
        <f t="shared" si="50"/>
        <v>4.5796999999999999</v>
      </c>
      <c r="I287" s="404">
        <f t="shared" si="51"/>
        <v>5.1354074074074072</v>
      </c>
      <c r="J287" s="404">
        <f t="shared" si="52"/>
        <v>16.348821839373272</v>
      </c>
      <c r="K287" s="160">
        <f>'Utilisation rate workouts '!C20</f>
        <v>0.24391191709844559</v>
      </c>
      <c r="L287" s="404">
        <f t="shared" si="53"/>
        <v>3.9876724771424703</v>
      </c>
      <c r="M287" s="404">
        <f>J287/'Utilisation rate workouts '!$C$16</f>
        <v>8.6823270522428421E-3</v>
      </c>
    </row>
    <row r="288" spans="1:116">
      <c r="A288" s="95"/>
      <c r="B288" s="68" t="s">
        <v>154</v>
      </c>
      <c r="C288" s="68"/>
      <c r="D288" s="68"/>
      <c r="E288" s="68"/>
      <c r="F288" s="68"/>
      <c r="G288" s="68"/>
      <c r="H288" s="68"/>
      <c r="I288" s="68"/>
      <c r="J288" s="417">
        <f>SUM(J275:J287)</f>
        <v>4312.2106616624051</v>
      </c>
      <c r="K288" s="396"/>
      <c r="L288" s="417">
        <f>SUM(L275:L287)</f>
        <v>1051.7995694184337</v>
      </c>
      <c r="M288" s="417">
        <f>SUM(M275:M287)</f>
        <v>2.2900747008297424</v>
      </c>
    </row>
    <row r="289" spans="1:29" ht="15" customHeight="1">
      <c r="A289" s="480" t="s">
        <v>304</v>
      </c>
      <c r="B289" s="480"/>
      <c r="C289" s="480"/>
      <c r="D289" s="480"/>
      <c r="E289" s="480"/>
      <c r="F289" s="480"/>
      <c r="G289" s="480"/>
      <c r="H289" s="480"/>
      <c r="I289" s="480"/>
      <c r="J289" s="480"/>
      <c r="K289" s="480"/>
      <c r="L289" s="480"/>
      <c r="M289" s="480"/>
    </row>
    <row r="290" spans="1:29">
      <c r="A290" s="95">
        <v>176</v>
      </c>
      <c r="B290" s="68" t="s">
        <v>301</v>
      </c>
      <c r="C290" s="379">
        <v>6</v>
      </c>
      <c r="D290" s="389">
        <f>399/13.5</f>
        <v>29.555555555555557</v>
      </c>
      <c r="E290" s="416">
        <f t="shared" ref="E290:E295" si="54">D290*C290</f>
        <v>177.33333333333334</v>
      </c>
      <c r="F290" s="416">
        <f t="shared" ref="F290:F295" si="55">((10/100)*E290)/12</f>
        <v>1.4777777777777779</v>
      </c>
      <c r="G290" s="68">
        <v>15</v>
      </c>
      <c r="H290" s="68">
        <f t="shared" ref="H290:H295" si="56">IF(G290=30,19.6004, IF(G290=15,11.9379,IF(G290=10,8.5302,IF(G290=5,4.5797,IF(G290=2,1.9135)))))</f>
        <v>11.937900000000001</v>
      </c>
      <c r="I290" s="416">
        <f t="shared" ref="I290:I295" si="57">F290*12</f>
        <v>17.733333333333334</v>
      </c>
      <c r="J290" s="416">
        <f t="shared" ref="J290:J295" si="58">E290/H290+I290</f>
        <v>32.58798392793819</v>
      </c>
      <c r="K290" s="160">
        <f>'Utilisation rate workouts '!C20</f>
        <v>0.24391191709844559</v>
      </c>
      <c r="L290" s="416">
        <f t="shared" ref="L290:L295" si="59">J290*K290</f>
        <v>7.9485976342367373</v>
      </c>
      <c r="M290" s="416">
        <f>J290/'Utilisation rate workouts '!$C$16</f>
        <v>1.7306417380742532E-2</v>
      </c>
    </row>
    <row r="291" spans="1:29">
      <c r="A291" s="95">
        <v>177</v>
      </c>
      <c r="B291" s="68" t="s">
        <v>305</v>
      </c>
      <c r="C291" s="379">
        <v>3</v>
      </c>
      <c r="D291" s="389">
        <f>3649/13.5</f>
        <v>270.2962962962963</v>
      </c>
      <c r="E291" s="416">
        <f t="shared" si="54"/>
        <v>810.88888888888891</v>
      </c>
      <c r="F291" s="416">
        <f t="shared" si="55"/>
        <v>6.7574074074074089</v>
      </c>
      <c r="G291" s="68">
        <v>10</v>
      </c>
      <c r="H291" s="68">
        <f t="shared" si="56"/>
        <v>8.5302000000000007</v>
      </c>
      <c r="I291" s="416">
        <f t="shared" si="57"/>
        <v>81.088888888888903</v>
      </c>
      <c r="J291" s="416">
        <f t="shared" si="58"/>
        <v>176.14983574698002</v>
      </c>
      <c r="K291" s="160">
        <f>'Utilisation rate workouts '!C20</f>
        <v>0.24391191709844559</v>
      </c>
      <c r="L291" s="416">
        <f t="shared" si="59"/>
        <v>42.9650441336222</v>
      </c>
      <c r="M291" s="416">
        <f>J291/'Utilisation rate workouts '!$C$16</f>
        <v>9.3547443306946365E-2</v>
      </c>
    </row>
    <row r="292" spans="1:29">
      <c r="A292" s="95">
        <v>178</v>
      </c>
      <c r="B292" s="68" t="s">
        <v>306</v>
      </c>
      <c r="C292" s="379">
        <v>4</v>
      </c>
      <c r="D292" s="389">
        <f>795/13.5</f>
        <v>58.888888888888886</v>
      </c>
      <c r="E292" s="416">
        <f t="shared" si="54"/>
        <v>235.55555555555554</v>
      </c>
      <c r="F292" s="416">
        <f t="shared" si="55"/>
        <v>1.962962962962963</v>
      </c>
      <c r="G292" s="68">
        <v>5</v>
      </c>
      <c r="H292" s="68">
        <f t="shared" si="56"/>
        <v>4.5796999999999999</v>
      </c>
      <c r="I292" s="416">
        <f t="shared" si="57"/>
        <v>23.555555555555557</v>
      </c>
      <c r="J292" s="416">
        <f t="shared" si="58"/>
        <v>74.990268649329295</v>
      </c>
      <c r="K292" s="160">
        <f>'Utilisation rate workouts '!C20</f>
        <v>0.24391191709844559</v>
      </c>
      <c r="L292" s="416">
        <f t="shared" si="59"/>
        <v>18.291020189985371</v>
      </c>
      <c r="M292" s="416">
        <f>J292/'Utilisation rate workouts '!$C$16</f>
        <v>3.9824890413876421E-2</v>
      </c>
    </row>
    <row r="293" spans="1:29">
      <c r="A293" s="95">
        <v>179</v>
      </c>
      <c r="B293" s="68" t="s">
        <v>299</v>
      </c>
      <c r="C293" s="379">
        <v>2</v>
      </c>
      <c r="D293" s="389">
        <f>179/13.5</f>
        <v>13.25925925925926</v>
      </c>
      <c r="E293" s="416">
        <f t="shared" si="54"/>
        <v>26.518518518518519</v>
      </c>
      <c r="F293" s="416">
        <f t="shared" si="55"/>
        <v>0.22098765432098766</v>
      </c>
      <c r="G293" s="68">
        <v>5</v>
      </c>
      <c r="H293" s="68">
        <f t="shared" si="56"/>
        <v>4.5796999999999999</v>
      </c>
      <c r="I293" s="416">
        <f t="shared" si="57"/>
        <v>2.6518518518518519</v>
      </c>
      <c r="J293" s="416">
        <f t="shared" si="58"/>
        <v>8.4423006844213475</v>
      </c>
      <c r="K293" s="160">
        <f>'Utilisation rate workouts '!C20</f>
        <v>0.24391191709844559</v>
      </c>
      <c r="L293" s="416">
        <f t="shared" si="59"/>
        <v>2.0591777446587303</v>
      </c>
      <c r="M293" s="416">
        <f>J293/'Utilisation rate workouts '!$C$16</f>
        <v>4.4834310591722508E-3</v>
      </c>
    </row>
    <row r="294" spans="1:29">
      <c r="A294" s="95">
        <v>180</v>
      </c>
      <c r="B294" s="68" t="s">
        <v>193</v>
      </c>
      <c r="C294" s="379">
        <v>2</v>
      </c>
      <c r="D294" s="389">
        <f>1164.72/13.5</f>
        <v>86.275555555555556</v>
      </c>
      <c r="E294" s="416">
        <f t="shared" si="54"/>
        <v>172.55111111111111</v>
      </c>
      <c r="F294" s="416">
        <f t="shared" si="55"/>
        <v>1.4379259259259261</v>
      </c>
      <c r="G294" s="68">
        <v>15</v>
      </c>
      <c r="H294" s="68">
        <f t="shared" si="56"/>
        <v>11.937900000000001</v>
      </c>
      <c r="I294" s="416">
        <f t="shared" si="57"/>
        <v>17.255111111111113</v>
      </c>
      <c r="J294" s="416">
        <f t="shared" si="58"/>
        <v>31.709170125771237</v>
      </c>
      <c r="K294" s="160">
        <f>'Utilisation rate workouts '!C20</f>
        <v>0.24391191709844559</v>
      </c>
      <c r="L294" s="416">
        <f t="shared" si="59"/>
        <v>7.734244474977622</v>
      </c>
      <c r="M294" s="416">
        <f>J294/'Utilisation rate workouts '!$C$16</f>
        <v>1.683970797969795E-2</v>
      </c>
    </row>
    <row r="295" spans="1:29">
      <c r="A295" s="95">
        <v>181</v>
      </c>
      <c r="B295" s="68" t="s">
        <v>300</v>
      </c>
      <c r="C295" s="379">
        <v>2</v>
      </c>
      <c r="D295" s="389">
        <f>1800/13.5</f>
        <v>133.33333333333334</v>
      </c>
      <c r="E295" s="416">
        <f t="shared" si="54"/>
        <v>266.66666666666669</v>
      </c>
      <c r="F295" s="416">
        <f t="shared" si="55"/>
        <v>2.2222222222222228</v>
      </c>
      <c r="G295" s="68">
        <v>15</v>
      </c>
      <c r="H295" s="68">
        <f t="shared" si="56"/>
        <v>11.937900000000001</v>
      </c>
      <c r="I295" s="416">
        <f t="shared" si="57"/>
        <v>26.666666666666671</v>
      </c>
      <c r="J295" s="416">
        <f t="shared" si="58"/>
        <v>49.004487109681492</v>
      </c>
      <c r="K295" s="160">
        <f>'Utilisation rate workouts '!C20</f>
        <v>0.24391191709844559</v>
      </c>
      <c r="L295" s="416">
        <f t="shared" si="59"/>
        <v>11.952778397348478</v>
      </c>
      <c r="M295" s="416">
        <f>J295/'Utilisation rate workouts '!$C$16</f>
        <v>2.6024687790590278E-2</v>
      </c>
    </row>
    <row r="296" spans="1:29">
      <c r="A296" s="95"/>
      <c r="B296" s="68" t="s">
        <v>154</v>
      </c>
      <c r="C296" s="68"/>
      <c r="D296" s="68"/>
      <c r="E296" s="68"/>
      <c r="F296" s="68"/>
      <c r="G296" s="68"/>
      <c r="H296" s="68"/>
      <c r="I296" s="68"/>
      <c r="J296" s="417">
        <f>SUM(J290:J295)</f>
        <v>372.88404624412158</v>
      </c>
      <c r="K296" s="396"/>
      <c r="L296" s="417">
        <f>SUM(L290:L295)</f>
        <v>90.950862574829131</v>
      </c>
      <c r="M296" s="405">
        <f>SUM(M290:M295)</f>
        <v>0.19802657793102579</v>
      </c>
    </row>
    <row r="297" spans="1:29">
      <c r="A297" s="267"/>
      <c r="B297" s="167" t="s">
        <v>194</v>
      </c>
      <c r="C297" s="480"/>
      <c r="D297" s="480"/>
      <c r="E297" s="480"/>
      <c r="F297" s="480"/>
      <c r="G297" s="480"/>
      <c r="H297" s="480"/>
      <c r="I297" s="480"/>
      <c r="J297" s="480"/>
      <c r="K297" s="480"/>
      <c r="L297" s="480"/>
      <c r="M297" s="480"/>
    </row>
    <row r="298" spans="1:29">
      <c r="A298" s="95">
        <v>182</v>
      </c>
      <c r="B298" s="86" t="s">
        <v>157</v>
      </c>
      <c r="C298" s="379">
        <v>1</v>
      </c>
      <c r="D298" s="389">
        <f>134500/13.5</f>
        <v>9962.9629629629635</v>
      </c>
      <c r="E298" s="416">
        <v>8128.2</v>
      </c>
      <c r="F298" s="416">
        <f>((10/100)*E298)/12</f>
        <v>67.734999999999999</v>
      </c>
      <c r="G298" s="96">
        <v>10</v>
      </c>
      <c r="H298" s="96">
        <f>IF(G298=30,19.6004, IF(G298=15,11.9379,IF(G298=10,8.5302,IF(G298=5,4.5797,IF(G298=2,1.9135)))))</f>
        <v>8.5302000000000007</v>
      </c>
      <c r="I298" s="159">
        <f>F298*12</f>
        <v>812.81999999999994</v>
      </c>
      <c r="J298" s="416">
        <f>E298/H298+I298</f>
        <v>1765.6933206724343</v>
      </c>
      <c r="K298" s="160">
        <f>'Utilisation rate workouts '!C20</f>
        <v>0.24391191709844559</v>
      </c>
      <c r="L298" s="416">
        <f>J298*K298</f>
        <v>430.67364285313391</v>
      </c>
      <c r="M298" s="416">
        <f>J298/'Utilisation rate workouts '!$C$16</f>
        <v>0.9377022414617282</v>
      </c>
    </row>
    <row r="299" spans="1:29">
      <c r="A299" s="95">
        <v>183</v>
      </c>
      <c r="B299" s="86" t="s">
        <v>177</v>
      </c>
      <c r="C299" s="379">
        <v>1</v>
      </c>
      <c r="D299" s="389">
        <f>325869/13.5</f>
        <v>24138.444444444445</v>
      </c>
      <c r="E299" s="416">
        <f>C299*D299</f>
        <v>24138.444444444445</v>
      </c>
      <c r="F299" s="416">
        <f>((10/100)*E299)/12</f>
        <v>201.15370370370371</v>
      </c>
      <c r="G299" s="96">
        <v>10</v>
      </c>
      <c r="H299" s="96">
        <f>IF(G299=30,19.6004, IF(G299=15,11.9379,IF(G299=10,8.5302,IF(G299=5,4.5797,IF(G299=2,1.9135)))))</f>
        <v>8.5302000000000007</v>
      </c>
      <c r="I299" s="159">
        <f>F299*12</f>
        <v>2413.8444444444444</v>
      </c>
      <c r="J299" s="416">
        <f>E299/H299+I299</f>
        <v>5243.6074563837246</v>
      </c>
      <c r="K299" s="160">
        <f>'Utilisation rate workouts '!C20</f>
        <v>0.24391191709844559</v>
      </c>
      <c r="L299" s="416">
        <f>J299*K299</f>
        <v>1278.9783471982582</v>
      </c>
      <c r="M299" s="416">
        <f>J299/'Utilisation rate workouts '!$C$16</f>
        <v>2.7847092174103687</v>
      </c>
    </row>
    <row r="300" spans="1:29">
      <c r="A300" s="95"/>
      <c r="B300" s="106" t="s">
        <v>154</v>
      </c>
      <c r="C300" s="96"/>
      <c r="D300" s="96"/>
      <c r="E300" s="96"/>
      <c r="F300" s="159"/>
      <c r="G300" s="96"/>
      <c r="H300" s="96"/>
      <c r="I300" s="159"/>
      <c r="J300" s="417">
        <f>SUM(J298:J299)</f>
        <v>7009.3007770561589</v>
      </c>
      <c r="K300" s="417"/>
      <c r="L300" s="417">
        <f>SUM(L298:L299)</f>
        <v>1709.6519900513922</v>
      </c>
      <c r="M300" s="417">
        <f>SUM(M298:M299)</f>
        <v>3.7224114588720969</v>
      </c>
    </row>
    <row r="301" spans="1:29">
      <c r="A301" s="95"/>
      <c r="B301" s="106" t="s">
        <v>307</v>
      </c>
      <c r="C301" s="96"/>
      <c r="D301" s="96"/>
      <c r="E301" s="96"/>
      <c r="F301" s="159"/>
      <c r="G301" s="96"/>
      <c r="H301" s="96"/>
      <c r="I301" s="159"/>
      <c r="J301" s="418">
        <f>SUM(J273+J288+J296+J300)</f>
        <v>13562.085082799</v>
      </c>
      <c r="K301" s="417"/>
      <c r="L301" s="418">
        <f>SUM(L273+L288+L296+L300)</f>
        <v>3307.9541723977354</v>
      </c>
      <c r="M301" s="392">
        <f>SUM(M273+M288+M296+M300)</f>
        <v>7.2023818814652145</v>
      </c>
    </row>
    <row r="302" spans="1:29" ht="23" customHeight="1" thickBot="1">
      <c r="A302" s="464" t="s">
        <v>341</v>
      </c>
      <c r="B302" s="464"/>
      <c r="C302" s="464"/>
      <c r="D302" s="464"/>
      <c r="E302" s="464"/>
      <c r="F302" s="464"/>
      <c r="G302" s="464"/>
      <c r="H302" s="464"/>
      <c r="I302" s="464"/>
      <c r="J302" s="464"/>
      <c r="K302" s="464"/>
      <c r="L302" s="464"/>
      <c r="M302" s="464"/>
      <c r="N302" s="9"/>
      <c r="O302" s="18"/>
      <c r="P302" s="19"/>
      <c r="Q302" s="19"/>
      <c r="R302" s="2"/>
    </row>
    <row r="303" spans="1:29" ht="17" thickBot="1">
      <c r="A303" s="465" t="s">
        <v>9</v>
      </c>
      <c r="B303" s="466"/>
      <c r="C303" s="467"/>
      <c r="D303" s="11"/>
      <c r="E303" s="12"/>
      <c r="F303" s="13"/>
      <c r="G303" s="10"/>
      <c r="H303" s="9"/>
      <c r="I303" s="9"/>
      <c r="J303" s="9"/>
      <c r="K303" s="9"/>
      <c r="L303" s="9"/>
      <c r="M303" s="9"/>
      <c r="N303" s="9"/>
      <c r="O303" s="18"/>
      <c r="P303" s="19"/>
      <c r="Q303" s="19"/>
      <c r="R303" s="2"/>
      <c r="S303" s="2"/>
      <c r="T303" s="2"/>
      <c r="U303" s="2"/>
      <c r="V303" s="2"/>
      <c r="W303" s="2"/>
      <c r="X303" s="2"/>
      <c r="Y303" s="2"/>
      <c r="Z303" s="2"/>
      <c r="AA303" s="2"/>
      <c r="AB303" s="2"/>
      <c r="AC303" s="2"/>
    </row>
    <row r="304" spans="1:29">
      <c r="A304" s="258" t="s">
        <v>3</v>
      </c>
      <c r="B304" s="29" t="s">
        <v>11</v>
      </c>
      <c r="C304" s="28"/>
      <c r="D304" s="138"/>
      <c r="E304" s="138"/>
      <c r="F304" s="138"/>
      <c r="G304" s="138"/>
      <c r="H304" s="138"/>
      <c r="I304" s="138"/>
      <c r="K304" s="136"/>
      <c r="L304" s="136"/>
      <c r="M304" s="136"/>
    </row>
    <row r="305" spans="1:11" ht="42">
      <c r="A305" s="140" t="s">
        <v>4</v>
      </c>
      <c r="B305" s="63" t="s">
        <v>5</v>
      </c>
      <c r="C305" s="64" t="s">
        <v>12</v>
      </c>
      <c r="D305" s="64" t="s">
        <v>230</v>
      </c>
      <c r="E305" s="65" t="s">
        <v>62</v>
      </c>
      <c r="F305" s="66" t="s">
        <v>510</v>
      </c>
      <c r="G305" s="64" t="s">
        <v>511</v>
      </c>
      <c r="H305" s="67" t="s">
        <v>512</v>
      </c>
      <c r="I305" s="130" t="s">
        <v>562</v>
      </c>
    </row>
    <row r="306" spans="1:11">
      <c r="A306" s="141"/>
      <c r="B306" s="70"/>
      <c r="C306" s="70"/>
      <c r="D306" s="22" t="s">
        <v>6</v>
      </c>
      <c r="E306" s="22" t="s">
        <v>7</v>
      </c>
      <c r="F306" s="22" t="s">
        <v>8</v>
      </c>
      <c r="G306" s="22" t="s">
        <v>63</v>
      </c>
      <c r="H306" s="22" t="s">
        <v>64</v>
      </c>
      <c r="I306" s="71" t="s">
        <v>441</v>
      </c>
    </row>
    <row r="307" spans="1:11" ht="28">
      <c r="A307" s="268">
        <v>184</v>
      </c>
      <c r="B307" s="146" t="s">
        <v>308</v>
      </c>
      <c r="C307" s="379">
        <v>1</v>
      </c>
      <c r="D307" s="379">
        <v>1</v>
      </c>
      <c r="E307" s="73">
        <f>'Utilisation rate workouts '!C31</f>
        <v>0.16597294484911551</v>
      </c>
      <c r="F307" s="389">
        <f>479393.14/13.5</f>
        <v>35510.602962962963</v>
      </c>
      <c r="G307" s="390">
        <f>D307*F307</f>
        <v>35510.602962962963</v>
      </c>
      <c r="H307" s="390">
        <f>G307*'% of time allocation workouts'!G221</f>
        <v>5893.79934713069</v>
      </c>
      <c r="I307" s="390">
        <f>H307/'Utilisation rate workouts '!$C$27</f>
        <v>18.47586002235326</v>
      </c>
    </row>
    <row r="308" spans="1:11">
      <c r="A308" s="268">
        <v>185</v>
      </c>
      <c r="B308" s="86" t="s">
        <v>13</v>
      </c>
      <c r="C308" s="379">
        <v>3</v>
      </c>
      <c r="D308" s="379">
        <v>3</v>
      </c>
      <c r="E308" s="73">
        <f>'Utilisation rate workouts '!C31</f>
        <v>0.16597294484911551</v>
      </c>
      <c r="F308" s="389">
        <f>479393.14/13.5</f>
        <v>35510.602962962963</v>
      </c>
      <c r="G308" s="390">
        <f t="shared" ref="G308:G313" si="60">D308*F308</f>
        <v>106531.80888888889</v>
      </c>
      <c r="H308" s="390">
        <f>F308*'% of time allocation workouts'!G234</f>
        <v>4438.8253703703704</v>
      </c>
      <c r="I308" s="390">
        <f>H308/'Utilisation rate workouts '!$C$27</f>
        <v>13.91481307326135</v>
      </c>
    </row>
    <row r="309" spans="1:11">
      <c r="A309" s="268">
        <v>186</v>
      </c>
      <c r="B309" s="86" t="s">
        <v>14</v>
      </c>
      <c r="C309" s="379">
        <v>4</v>
      </c>
      <c r="D309" s="379">
        <v>4</v>
      </c>
      <c r="E309" s="73">
        <f>'Utilisation rate workouts '!C31</f>
        <v>0.16597294484911551</v>
      </c>
      <c r="F309" s="389">
        <f>1344449/13.5</f>
        <v>99588.814814814818</v>
      </c>
      <c r="G309" s="390">
        <f t="shared" si="60"/>
        <v>398355.25925925927</v>
      </c>
      <c r="H309" s="390">
        <f>G309*'% of time allocation workouts'!G247</f>
        <v>44814.966666666667</v>
      </c>
      <c r="I309" s="390">
        <f>H309/'Utilisation rate workouts '!$C$27</f>
        <v>140.48578892371995</v>
      </c>
    </row>
    <row r="310" spans="1:11">
      <c r="A310" s="268">
        <v>187</v>
      </c>
      <c r="B310" s="86" t="s">
        <v>325</v>
      </c>
      <c r="C310" s="379">
        <v>2</v>
      </c>
      <c r="D310" s="379">
        <v>2</v>
      </c>
      <c r="E310" s="73">
        <f>'Utilisation rate workouts '!C31</f>
        <v>0.16597294484911551</v>
      </c>
      <c r="F310" s="389">
        <f>190478.86/13.5</f>
        <v>14109.545185185185</v>
      </c>
      <c r="G310" s="390">
        <f t="shared" si="60"/>
        <v>28219.09037037037</v>
      </c>
      <c r="H310" s="390">
        <f>G310*'% of time allocation workouts'!G261</f>
        <v>4468.022641975308</v>
      </c>
      <c r="I310" s="390">
        <f>H310/'Utilisation rate workouts '!$C$27</f>
        <v>14.006340570455512</v>
      </c>
    </row>
    <row r="311" spans="1:11">
      <c r="A311" s="268">
        <v>189</v>
      </c>
      <c r="B311" s="86" t="s">
        <v>238</v>
      </c>
      <c r="C311" s="379">
        <v>2</v>
      </c>
      <c r="D311" s="379">
        <v>2</v>
      </c>
      <c r="E311" s="73">
        <f>'Utilisation rate workouts '!C31</f>
        <v>0.16597294484911551</v>
      </c>
      <c r="F311" s="389">
        <f>1007921.63/13.5</f>
        <v>74660.861481481479</v>
      </c>
      <c r="G311" s="390">
        <f t="shared" si="60"/>
        <v>149321.72296296296</v>
      </c>
      <c r="H311" s="390">
        <f>G311*'% of time allocation workouts'!G274</f>
        <v>16798.693833333335</v>
      </c>
      <c r="I311" s="390">
        <f>H311/'Utilisation rate workouts '!$C$27</f>
        <v>52.660482236154657</v>
      </c>
    </row>
    <row r="312" spans="1:11">
      <c r="A312" s="268">
        <v>190</v>
      </c>
      <c r="B312" s="86" t="s">
        <v>309</v>
      </c>
      <c r="C312" s="379">
        <v>3</v>
      </c>
      <c r="D312" s="379">
        <v>3</v>
      </c>
      <c r="E312" s="73">
        <f>'Utilisation rate workouts '!C31</f>
        <v>0.16597294484911551</v>
      </c>
      <c r="F312" s="389">
        <f>214980/13.5</f>
        <v>15924.444444444445</v>
      </c>
      <c r="G312" s="390">
        <f t="shared" si="60"/>
        <v>47773.333333333336</v>
      </c>
      <c r="H312" s="390">
        <f>G312*'% of time allocation workouts'!G287</f>
        <v>8161.2777777777783</v>
      </c>
      <c r="I312" s="390">
        <f>H312/'Utilisation rate workouts '!$C$27</f>
        <v>25.583942877046326</v>
      </c>
    </row>
    <row r="313" spans="1:11">
      <c r="A313" s="262">
        <v>191</v>
      </c>
      <c r="B313" s="86" t="s">
        <v>310</v>
      </c>
      <c r="C313" s="379">
        <v>2</v>
      </c>
      <c r="D313" s="379">
        <v>2</v>
      </c>
      <c r="E313" s="73">
        <f>'Utilisation rate workouts '!C31</f>
        <v>0.16597294484911551</v>
      </c>
      <c r="F313" s="389">
        <f>235849/13.5</f>
        <v>17470.296296296296</v>
      </c>
      <c r="G313" s="390">
        <f t="shared" si="60"/>
        <v>34940.592592592591</v>
      </c>
      <c r="H313" s="390">
        <f>G313*'% of time allocation workouts'!G300</f>
        <v>5677.8462962962967</v>
      </c>
      <c r="I313" s="390">
        <f>H313/'Utilisation rate workouts '!$C$27</f>
        <v>17.798891210960178</v>
      </c>
    </row>
    <row r="314" spans="1:11">
      <c r="A314" s="478" t="s">
        <v>233</v>
      </c>
      <c r="B314" s="478"/>
      <c r="C314" s="478"/>
      <c r="D314" s="478"/>
      <c r="E314" s="478"/>
      <c r="F314" s="478"/>
      <c r="G314" s="478"/>
      <c r="H314" s="391">
        <f>SUM(H307:H313)</f>
        <v>90253.431933550441</v>
      </c>
      <c r="I314" s="391">
        <f>SUM(I307:I313)</f>
        <v>282.9261189139512</v>
      </c>
      <c r="K314" s="136"/>
    </row>
    <row r="315" spans="1:11">
      <c r="A315" s="475" t="s">
        <v>340</v>
      </c>
      <c r="B315" s="475"/>
      <c r="C315" s="475"/>
      <c r="D315" s="475"/>
      <c r="E315" s="475"/>
      <c r="F315" s="475"/>
      <c r="G315" s="475"/>
      <c r="H315" s="475"/>
      <c r="I315" s="200"/>
      <c r="K315" s="136"/>
    </row>
    <row r="316" spans="1:11" ht="42">
      <c r="A316" s="259"/>
      <c r="B316" s="63"/>
      <c r="C316" s="63"/>
      <c r="D316" s="63"/>
      <c r="E316" s="63"/>
      <c r="F316" s="63"/>
      <c r="G316" s="130" t="s">
        <v>563</v>
      </c>
      <c r="H316" s="64" t="s">
        <v>564</v>
      </c>
      <c r="I316" s="130" t="s">
        <v>565</v>
      </c>
    </row>
    <row r="317" spans="1:11">
      <c r="A317" s="141"/>
      <c r="B317" s="69"/>
      <c r="C317" s="69"/>
      <c r="D317" s="69"/>
      <c r="E317" s="69"/>
      <c r="F317" s="69"/>
      <c r="G317" s="79" t="s">
        <v>6</v>
      </c>
      <c r="H317" s="79" t="s">
        <v>450</v>
      </c>
      <c r="I317" s="79" t="s">
        <v>449</v>
      </c>
    </row>
    <row r="318" spans="1:11">
      <c r="A318" s="142">
        <v>192</v>
      </c>
      <c r="B318" s="72" t="s">
        <v>336</v>
      </c>
      <c r="C318" s="80"/>
      <c r="D318" s="75"/>
      <c r="E318" s="74"/>
      <c r="F318" s="74"/>
      <c r="G318" s="389">
        <f>24980875/13.5</f>
        <v>1850435.1851851852</v>
      </c>
      <c r="H318" s="390">
        <f>G318*'Utilisation rate workouts '!C31</f>
        <v>307122.17693760357</v>
      </c>
      <c r="I318" s="391">
        <f>H318/'Utilisation rate workouts '!C27</f>
        <v>962.76544494546567</v>
      </c>
    </row>
    <row r="319" spans="1:11">
      <c r="A319" s="470" t="s">
        <v>337</v>
      </c>
      <c r="B319" s="459"/>
      <c r="C319" s="459"/>
      <c r="D319" s="459"/>
      <c r="E319" s="459"/>
      <c r="F319" s="459"/>
      <c r="G319" s="459"/>
      <c r="H319" s="460"/>
      <c r="I319" s="200"/>
    </row>
    <row r="320" spans="1:11" ht="28">
      <c r="A320" s="259"/>
      <c r="B320" s="63"/>
      <c r="C320" s="63"/>
      <c r="D320" s="63"/>
      <c r="E320" s="63"/>
      <c r="F320" s="63"/>
      <c r="G320" s="63" t="s">
        <v>566</v>
      </c>
      <c r="H320" s="64" t="s">
        <v>567</v>
      </c>
      <c r="I320" s="130" t="s">
        <v>568</v>
      </c>
    </row>
    <row r="321" spans="1:13">
      <c r="A321" s="143"/>
      <c r="B321" s="21"/>
      <c r="C321" s="21"/>
      <c r="D321" s="21"/>
      <c r="E321" s="21"/>
      <c r="F321" s="21"/>
      <c r="G321" s="34" t="s">
        <v>6</v>
      </c>
      <c r="H321" s="34" t="s">
        <v>450</v>
      </c>
      <c r="I321" s="79" t="s">
        <v>455</v>
      </c>
    </row>
    <row r="322" spans="1:13" s="53" customFormat="1">
      <c r="A322" s="204">
        <v>193</v>
      </c>
      <c r="B322" s="205" t="s">
        <v>90</v>
      </c>
      <c r="C322" s="206"/>
      <c r="D322" s="207"/>
      <c r="E322" s="208"/>
      <c r="F322" s="209"/>
      <c r="G322" s="420">
        <f>J332</f>
        <v>18137.438103560304</v>
      </c>
      <c r="H322" s="390">
        <f>G322*'Utilisation rate workouts '!C31</f>
        <v>3010.3240140664607</v>
      </c>
      <c r="I322" s="419">
        <f>H322/'Utilisation rate workouts '!C27</f>
        <v>9.4367523951926664</v>
      </c>
    </row>
    <row r="323" spans="1:13">
      <c r="A323" s="475" t="s">
        <v>338</v>
      </c>
      <c r="B323" s="475"/>
      <c r="C323" s="475"/>
      <c r="D323" s="475"/>
      <c r="E323" s="475"/>
      <c r="F323" s="475"/>
      <c r="G323" s="475"/>
      <c r="H323" s="475"/>
      <c r="I323" s="200"/>
    </row>
    <row r="324" spans="1:13" ht="28">
      <c r="A324" s="259"/>
      <c r="B324" s="63"/>
      <c r="C324" s="63"/>
      <c r="D324" s="63"/>
      <c r="E324" s="63"/>
      <c r="F324" s="63"/>
      <c r="G324" s="130" t="s">
        <v>569</v>
      </c>
      <c r="H324" s="130" t="s">
        <v>571</v>
      </c>
      <c r="I324" s="130" t="s">
        <v>570</v>
      </c>
    </row>
    <row r="325" spans="1:13">
      <c r="A325" s="141"/>
      <c r="B325" s="69"/>
      <c r="C325" s="69"/>
      <c r="D325" s="69"/>
      <c r="E325" s="69"/>
      <c r="F325" s="69"/>
      <c r="G325" s="79" t="s">
        <v>6</v>
      </c>
      <c r="H325" s="79" t="s">
        <v>115</v>
      </c>
      <c r="I325" s="79" t="s">
        <v>118</v>
      </c>
    </row>
    <row r="326" spans="1:13">
      <c r="A326" s="95">
        <v>194</v>
      </c>
      <c r="B326" s="87" t="s">
        <v>339</v>
      </c>
      <c r="C326" s="68"/>
      <c r="D326" s="68"/>
      <c r="E326" s="68"/>
      <c r="F326" s="68"/>
      <c r="G326" s="389">
        <f>520000/13.5</f>
        <v>38518.518518518518</v>
      </c>
      <c r="H326" s="87">
        <v>301</v>
      </c>
      <c r="I326" s="419">
        <f>G326/H326</f>
        <v>127.96850006152332</v>
      </c>
    </row>
    <row r="327" spans="1:13" ht="16">
      <c r="A327" s="456" t="s">
        <v>122</v>
      </c>
      <c r="B327" s="457"/>
      <c r="C327" s="125"/>
      <c r="D327" s="125"/>
      <c r="E327" s="125"/>
      <c r="F327" s="125"/>
      <c r="G327" s="125"/>
      <c r="H327" s="125"/>
      <c r="I327" s="125"/>
      <c r="J327" s="2"/>
    </row>
    <row r="328" spans="1:13">
      <c r="A328" s="458" t="s">
        <v>123</v>
      </c>
      <c r="B328" s="458"/>
      <c r="C328" s="458"/>
      <c r="D328" s="458"/>
      <c r="E328" s="458"/>
      <c r="F328" s="458"/>
      <c r="G328" s="458"/>
      <c r="H328" s="458"/>
      <c r="I328" s="210">
        <v>20</v>
      </c>
      <c r="J328" s="201"/>
      <c r="K328" s="24"/>
      <c r="L328" s="24"/>
    </row>
    <row r="329" spans="1:13" ht="28">
      <c r="A329" s="260"/>
      <c r="B329" s="31"/>
      <c r="C329" s="30" t="s">
        <v>129</v>
      </c>
      <c r="D329" s="30" t="s">
        <v>124</v>
      </c>
      <c r="E329" s="30" t="s">
        <v>132</v>
      </c>
      <c r="F329" s="30" t="s">
        <v>545</v>
      </c>
      <c r="G329" s="30" t="s">
        <v>546</v>
      </c>
      <c r="H329" s="30" t="s">
        <v>547</v>
      </c>
      <c r="I329" s="128" t="s">
        <v>130</v>
      </c>
      <c r="J329" s="128" t="s">
        <v>126</v>
      </c>
      <c r="K329" s="30" t="s">
        <v>553</v>
      </c>
      <c r="L329" s="30" t="s">
        <v>572</v>
      </c>
    </row>
    <row r="330" spans="1:13" ht="21" customHeight="1">
      <c r="A330" s="248"/>
      <c r="B330" s="79"/>
      <c r="C330" s="79" t="s">
        <v>6</v>
      </c>
      <c r="D330" s="79" t="s">
        <v>115</v>
      </c>
      <c r="E330" s="79" t="s">
        <v>134</v>
      </c>
      <c r="F330" s="79" t="s">
        <v>133</v>
      </c>
      <c r="G330" s="79" t="s">
        <v>135</v>
      </c>
      <c r="H330" s="79" t="s">
        <v>137</v>
      </c>
      <c r="I330" s="79" t="s">
        <v>138</v>
      </c>
      <c r="J330" s="79" t="s">
        <v>139</v>
      </c>
      <c r="K330" s="79" t="s">
        <v>136</v>
      </c>
      <c r="L330" s="79" t="s">
        <v>140</v>
      </c>
    </row>
    <row r="331" spans="1:13">
      <c r="A331" s="95">
        <v>195</v>
      </c>
      <c r="B331" s="68" t="s">
        <v>131</v>
      </c>
      <c r="C331" s="379">
        <v>942</v>
      </c>
      <c r="D331" s="76">
        <f>'Utilisation rate workouts '!C31</f>
        <v>0.16597294484911551</v>
      </c>
      <c r="E331" s="89">
        <f>C331*D331</f>
        <v>156.3465140478668</v>
      </c>
      <c r="F331" s="398">
        <f>38670/13.5</f>
        <v>2864.4444444444443</v>
      </c>
      <c r="G331" s="396">
        <f>F331*E331</f>
        <v>447845.90357266733</v>
      </c>
      <c r="H331" s="396">
        <f>((10/100)*K331)/12</f>
        <v>250.86033450553836</v>
      </c>
      <c r="I331" s="68">
        <f>IF(I328=30,19.6004, IF(I328=20,14.877,IF(I328=15,11.9379,IF(I328=10,8.5302,IF(I328=5,4.5797,IF(I328=2,1.9135))))))</f>
        <v>14.877000000000001</v>
      </c>
      <c r="J331" s="397">
        <f>H331*12</f>
        <v>3010.3240140664602</v>
      </c>
      <c r="K331" s="397">
        <f>G331/I331</f>
        <v>30103.240140664602</v>
      </c>
      <c r="L331" s="397">
        <f>K331/'Utilisation rate workouts '!C27</f>
        <v>94.367523951926657</v>
      </c>
    </row>
    <row r="332" spans="1:13" ht="15">
      <c r="A332" s="269"/>
      <c r="B332" s="211"/>
      <c r="C332" s="212" t="s">
        <v>83</v>
      </c>
      <c r="D332" s="213">
        <v>1</v>
      </c>
      <c r="E332" s="421">
        <v>942</v>
      </c>
      <c r="F332" s="422">
        <f>38670/13.5</f>
        <v>2864.4444444444443</v>
      </c>
      <c r="G332" s="423">
        <f>E332*F332</f>
        <v>2698306.6666666665</v>
      </c>
      <c r="H332" s="423">
        <f>((10/100)*K332)/12</f>
        <v>1511.4531752966921</v>
      </c>
      <c r="I332" s="124">
        <v>14.877000000000001</v>
      </c>
      <c r="J332" s="424">
        <f>H332*12</f>
        <v>18137.438103560304</v>
      </c>
      <c r="K332" s="424">
        <f>G332/I332</f>
        <v>181374.38103560303</v>
      </c>
      <c r="L332" s="425"/>
    </row>
    <row r="333" spans="1:13" ht="28" customHeight="1">
      <c r="A333" s="270"/>
      <c r="B333" s="165" t="s">
        <v>143</v>
      </c>
      <c r="C333" s="165" t="s">
        <v>195</v>
      </c>
      <c r="D333" s="165" t="s">
        <v>555</v>
      </c>
      <c r="E333" s="165" t="s">
        <v>546</v>
      </c>
      <c r="F333" s="166" t="s">
        <v>556</v>
      </c>
      <c r="G333" s="165" t="s">
        <v>156</v>
      </c>
      <c r="H333" s="165" t="s">
        <v>146</v>
      </c>
      <c r="I333" s="165" t="s">
        <v>557</v>
      </c>
      <c r="J333" s="111" t="s">
        <v>553</v>
      </c>
      <c r="K333" s="111" t="s">
        <v>147</v>
      </c>
      <c r="L333" s="111" t="s">
        <v>558</v>
      </c>
      <c r="M333" s="112" t="s">
        <v>573</v>
      </c>
    </row>
    <row r="334" spans="1:13">
      <c r="A334" s="95">
        <v>196</v>
      </c>
      <c r="B334" s="100" t="s">
        <v>342</v>
      </c>
      <c r="C334" s="379">
        <v>1</v>
      </c>
      <c r="D334" s="389">
        <f>1000000/13.5</f>
        <v>74074.074074074073</v>
      </c>
      <c r="E334" s="404">
        <f t="shared" ref="E334:E345" si="61">C334*D334</f>
        <v>74074.074074074073</v>
      </c>
      <c r="F334" s="404">
        <f t="shared" ref="F334:F345" si="62">((10/100)*E334)/12</f>
        <v>617.28395061728395</v>
      </c>
      <c r="G334" s="97">
        <v>10</v>
      </c>
      <c r="H334" s="100">
        <f t="shared" ref="H334:H345" si="63">IF(G334=30,19.6004, IF(G334=15,11.9379,IF(G334=10,8.5302,IF(G334=5,4.5797,IF(G334=2,1.9135)))))</f>
        <v>8.5302000000000007</v>
      </c>
      <c r="I334" s="404">
        <f t="shared" ref="I334:I345" si="64">F334*12</f>
        <v>7407.4074074074069</v>
      </c>
      <c r="J334" s="404">
        <f t="shared" ref="J334:J345" si="65">E334/H334+I334</f>
        <v>16091.151525256235</v>
      </c>
      <c r="K334" s="214">
        <f>'Utilisation rate workouts '!C31</f>
        <v>0.16597294484911551</v>
      </c>
      <c r="L334" s="404">
        <f t="shared" ref="L334:L345" si="66">J334*K334</f>
        <v>2670.6958046601139</v>
      </c>
      <c r="M334" s="404">
        <f>J334/'Utilisation rate workouts '!$C$27</f>
        <v>50.442481270395717</v>
      </c>
    </row>
    <row r="335" spans="1:13">
      <c r="A335" s="95">
        <v>197</v>
      </c>
      <c r="B335" s="100" t="s">
        <v>343</v>
      </c>
      <c r="C335" s="379">
        <v>1</v>
      </c>
      <c r="D335" s="389">
        <f>1450000/13.5</f>
        <v>107407.4074074074</v>
      </c>
      <c r="E335" s="404">
        <f t="shared" si="61"/>
        <v>107407.4074074074</v>
      </c>
      <c r="F335" s="404">
        <f t="shared" si="62"/>
        <v>895.06172839506178</v>
      </c>
      <c r="G335" s="97">
        <v>10</v>
      </c>
      <c r="H335" s="100">
        <f t="shared" si="63"/>
        <v>8.5302000000000007</v>
      </c>
      <c r="I335" s="404">
        <f t="shared" si="64"/>
        <v>10740.740740740741</v>
      </c>
      <c r="J335" s="404">
        <f t="shared" si="65"/>
        <v>23332.16971162154</v>
      </c>
      <c r="K335" s="214">
        <f>'Utilisation rate workouts '!C31</f>
        <v>0.16597294484911551</v>
      </c>
      <c r="L335" s="404">
        <f t="shared" si="66"/>
        <v>3872.508916757165</v>
      </c>
      <c r="M335" s="404">
        <f>J335/'Utilisation rate workouts '!$C$27</f>
        <v>73.141597842073793</v>
      </c>
    </row>
    <row r="336" spans="1:13">
      <c r="A336" s="95">
        <v>198</v>
      </c>
      <c r="B336" s="100" t="s">
        <v>344</v>
      </c>
      <c r="C336" s="379">
        <v>1</v>
      </c>
      <c r="D336" s="389">
        <f>245000/13.5</f>
        <v>18148.14814814815</v>
      </c>
      <c r="E336" s="404">
        <f t="shared" si="61"/>
        <v>18148.14814814815</v>
      </c>
      <c r="F336" s="404">
        <f t="shared" si="62"/>
        <v>151.23456790123458</v>
      </c>
      <c r="G336" s="97">
        <v>10</v>
      </c>
      <c r="H336" s="100">
        <f t="shared" si="63"/>
        <v>8.5302000000000007</v>
      </c>
      <c r="I336" s="404">
        <f t="shared" si="64"/>
        <v>1814.814814814815</v>
      </c>
      <c r="J336" s="404">
        <f t="shared" si="65"/>
        <v>3942.3321236877782</v>
      </c>
      <c r="K336" s="214">
        <f>'Utilisation rate workouts '!C31</f>
        <v>0.16597294484911551</v>
      </c>
      <c r="L336" s="404">
        <f t="shared" si="66"/>
        <v>654.32047214172803</v>
      </c>
      <c r="M336" s="404">
        <f>J336/'Utilisation rate workouts '!$C$27</f>
        <v>12.358407911246953</v>
      </c>
    </row>
    <row r="337" spans="1:13">
      <c r="A337" s="95">
        <v>199</v>
      </c>
      <c r="B337" s="100" t="s">
        <v>345</v>
      </c>
      <c r="C337" s="379">
        <v>1</v>
      </c>
      <c r="D337" s="389">
        <f>1618433/13.5</f>
        <v>119883.92592592593</v>
      </c>
      <c r="E337" s="404">
        <f t="shared" si="61"/>
        <v>119883.92592592593</v>
      </c>
      <c r="F337" s="404">
        <f t="shared" si="62"/>
        <v>999.03271604938288</v>
      </c>
      <c r="G337" s="97">
        <v>15</v>
      </c>
      <c r="H337" s="100">
        <f t="shared" si="63"/>
        <v>11.937900000000001</v>
      </c>
      <c r="I337" s="404">
        <f t="shared" si="64"/>
        <v>11988.392592592594</v>
      </c>
      <c r="J337" s="404">
        <f t="shared" si="65"/>
        <v>22030.688635106431</v>
      </c>
      <c r="K337" s="214">
        <f>'Utilisation rate workouts '!C31</f>
        <v>0.16597294484911551</v>
      </c>
      <c r="L337" s="404">
        <f t="shared" si="66"/>
        <v>3656.4982698225558</v>
      </c>
      <c r="M337" s="404">
        <f>J337/'Utilisation rate workouts '!$C$27</f>
        <v>69.061719859267811</v>
      </c>
    </row>
    <row r="338" spans="1:13">
      <c r="A338" s="95">
        <v>200</v>
      </c>
      <c r="B338" s="100" t="s">
        <v>346</v>
      </c>
      <c r="C338" s="379">
        <v>1</v>
      </c>
      <c r="D338" s="389">
        <f>83748/13.5</f>
        <v>6203.5555555555557</v>
      </c>
      <c r="E338" s="404">
        <f t="shared" si="61"/>
        <v>6203.5555555555557</v>
      </c>
      <c r="F338" s="404">
        <f t="shared" si="62"/>
        <v>51.696296296296303</v>
      </c>
      <c r="G338" s="97">
        <v>10</v>
      </c>
      <c r="H338" s="100">
        <f t="shared" si="63"/>
        <v>8.5302000000000007</v>
      </c>
      <c r="I338" s="404">
        <f t="shared" si="64"/>
        <v>620.35555555555561</v>
      </c>
      <c r="J338" s="404">
        <f t="shared" si="65"/>
        <v>1347.6017579371592</v>
      </c>
      <c r="K338" s="214">
        <f>'Utilisation rate workouts '!C31</f>
        <v>0.16597294484911551</v>
      </c>
      <c r="L338" s="404">
        <f t="shared" si="66"/>
        <v>223.66543224867522</v>
      </c>
      <c r="M338" s="404">
        <f>J338/'Utilisation rate workouts '!$C$27</f>
        <v>4.2244569214331005</v>
      </c>
    </row>
    <row r="339" spans="1:13">
      <c r="A339" s="95">
        <v>2001</v>
      </c>
      <c r="B339" s="100" t="s">
        <v>347</v>
      </c>
      <c r="C339" s="379">
        <v>1</v>
      </c>
      <c r="D339" s="389">
        <f>259000/13.5</f>
        <v>19185.185185185186</v>
      </c>
      <c r="E339" s="404">
        <f t="shared" si="61"/>
        <v>19185.185185185186</v>
      </c>
      <c r="F339" s="404">
        <f t="shared" si="62"/>
        <v>159.87654320987656</v>
      </c>
      <c r="G339" s="97">
        <v>10</v>
      </c>
      <c r="H339" s="100">
        <f t="shared" si="63"/>
        <v>8.5302000000000007</v>
      </c>
      <c r="I339" s="404">
        <f t="shared" si="64"/>
        <v>1918.5185185185187</v>
      </c>
      <c r="J339" s="404">
        <f t="shared" si="65"/>
        <v>4167.6082450413651</v>
      </c>
      <c r="K339" s="214">
        <f>'Utilisation rate workouts '!C31</f>
        <v>0.16597294484911551</v>
      </c>
      <c r="L339" s="404">
        <f t="shared" si="66"/>
        <v>691.71021340696961</v>
      </c>
      <c r="M339" s="404">
        <f>J339/'Utilisation rate workouts '!$C$27</f>
        <v>13.064602649032492</v>
      </c>
    </row>
    <row r="340" spans="1:13">
      <c r="A340" s="95">
        <v>202</v>
      </c>
      <c r="B340" s="100" t="s">
        <v>348</v>
      </c>
      <c r="C340" s="379">
        <v>1</v>
      </c>
      <c r="D340" s="389">
        <f>3083000.34/13.5</f>
        <v>228370.39555555556</v>
      </c>
      <c r="E340" s="404">
        <f t="shared" si="61"/>
        <v>228370.39555555556</v>
      </c>
      <c r="F340" s="404">
        <f t="shared" si="62"/>
        <v>1903.0866296296299</v>
      </c>
      <c r="G340" s="97">
        <v>10</v>
      </c>
      <c r="H340" s="100">
        <f t="shared" si="63"/>
        <v>8.5302000000000007</v>
      </c>
      <c r="I340" s="404">
        <f t="shared" si="64"/>
        <v>22837.039555555559</v>
      </c>
      <c r="J340" s="404">
        <f t="shared" si="65"/>
        <v>49609.025623356494</v>
      </c>
      <c r="K340" s="214">
        <f>'Utilisation rate workouts '!C31</f>
        <v>0.16597294484911551</v>
      </c>
      <c r="L340" s="404">
        <f t="shared" si="66"/>
        <v>8233.7560738037064</v>
      </c>
      <c r="M340" s="404">
        <f>J340/'Utilisation rate workouts '!$C$27</f>
        <v>155.51418690707365</v>
      </c>
    </row>
    <row r="341" spans="1:13">
      <c r="A341" s="95">
        <v>203</v>
      </c>
      <c r="B341" s="100" t="s">
        <v>217</v>
      </c>
      <c r="C341" s="379">
        <v>6</v>
      </c>
      <c r="D341" s="389">
        <f>3694/13.5</f>
        <v>273.62962962962962</v>
      </c>
      <c r="E341" s="404">
        <f t="shared" si="61"/>
        <v>1641.7777777777778</v>
      </c>
      <c r="F341" s="404">
        <f t="shared" si="62"/>
        <v>13.681481481481484</v>
      </c>
      <c r="G341" s="97">
        <v>5</v>
      </c>
      <c r="H341" s="100">
        <f t="shared" si="63"/>
        <v>4.5796999999999999</v>
      </c>
      <c r="I341" s="404">
        <f t="shared" si="64"/>
        <v>164.17777777777781</v>
      </c>
      <c r="J341" s="404">
        <f t="shared" si="65"/>
        <v>522.66802337853278</v>
      </c>
      <c r="K341" s="214">
        <f>'Utilisation rate workouts '!C31</f>
        <v>0.16597294484911551</v>
      </c>
      <c r="L341" s="404">
        <f t="shared" si="66"/>
        <v>86.748751018601439</v>
      </c>
      <c r="M341" s="404">
        <f>J341/'Utilisation rate workouts '!$C$27</f>
        <v>1.6384577535377203</v>
      </c>
    </row>
    <row r="342" spans="1:13">
      <c r="A342" s="95">
        <v>204</v>
      </c>
      <c r="B342" s="100" t="s">
        <v>349</v>
      </c>
      <c r="C342" s="379">
        <v>1</v>
      </c>
      <c r="D342" s="389">
        <f>500000/13.5</f>
        <v>37037.037037037036</v>
      </c>
      <c r="E342" s="404">
        <f t="shared" si="61"/>
        <v>37037.037037037036</v>
      </c>
      <c r="F342" s="404">
        <f t="shared" si="62"/>
        <v>308.64197530864197</v>
      </c>
      <c r="G342" s="97">
        <v>10</v>
      </c>
      <c r="H342" s="100">
        <f t="shared" si="63"/>
        <v>8.5302000000000007</v>
      </c>
      <c r="I342" s="404">
        <f t="shared" si="64"/>
        <v>3703.7037037037035</v>
      </c>
      <c r="J342" s="404">
        <f t="shared" si="65"/>
        <v>8045.5757626281174</v>
      </c>
      <c r="K342" s="214">
        <f>'Utilisation rate workouts '!C31</f>
        <v>0.16597294484911551</v>
      </c>
      <c r="L342" s="404">
        <f t="shared" si="66"/>
        <v>1335.347902330057</v>
      </c>
      <c r="M342" s="404">
        <f>J342/'Utilisation rate workouts '!$C$27</f>
        <v>25.221240635197859</v>
      </c>
    </row>
    <row r="343" spans="1:13">
      <c r="A343" s="95">
        <v>205</v>
      </c>
      <c r="B343" s="100" t="s">
        <v>350</v>
      </c>
      <c r="C343" s="379">
        <v>1</v>
      </c>
      <c r="D343" s="389">
        <f>1332/13.5</f>
        <v>98.666666666666671</v>
      </c>
      <c r="E343" s="404">
        <f t="shared" si="61"/>
        <v>98.666666666666671</v>
      </c>
      <c r="F343" s="404">
        <f t="shared" si="62"/>
        <v>0.8222222222222223</v>
      </c>
      <c r="G343" s="97">
        <v>15</v>
      </c>
      <c r="H343" s="100">
        <f t="shared" si="63"/>
        <v>11.937900000000001</v>
      </c>
      <c r="I343" s="404">
        <f t="shared" si="64"/>
        <v>9.8666666666666671</v>
      </c>
      <c r="J343" s="404">
        <f t="shared" si="65"/>
        <v>18.131660230582153</v>
      </c>
      <c r="K343" s="214">
        <f>'Utilisation rate workouts '!C31</f>
        <v>0.16597294484911551</v>
      </c>
      <c r="L343" s="404">
        <f t="shared" si="66"/>
        <v>3.0093650434733128</v>
      </c>
      <c r="M343" s="404">
        <f>J343/'Utilisation rate workouts '!$C$27</f>
        <v>5.6839060283956591E-2</v>
      </c>
    </row>
    <row r="344" spans="1:13">
      <c r="A344" s="95">
        <v>206</v>
      </c>
      <c r="B344" s="100" t="s">
        <v>351</v>
      </c>
      <c r="C344" s="379">
        <v>2</v>
      </c>
      <c r="D344" s="389">
        <f>3641/13.5</f>
        <v>269.7037037037037</v>
      </c>
      <c r="E344" s="404">
        <f t="shared" si="61"/>
        <v>539.40740740740739</v>
      </c>
      <c r="F344" s="404">
        <f t="shared" si="62"/>
        <v>4.4950617283950622</v>
      </c>
      <c r="G344" s="97">
        <v>15</v>
      </c>
      <c r="H344" s="100">
        <f t="shared" si="63"/>
        <v>11.937900000000001</v>
      </c>
      <c r="I344" s="404">
        <f t="shared" si="64"/>
        <v>53.94074074074075</v>
      </c>
      <c r="J344" s="404">
        <f t="shared" si="65"/>
        <v>99.12518753686129</v>
      </c>
      <c r="K344" s="214">
        <f>'Utilisation rate workouts '!C31</f>
        <v>0.16597294484911551</v>
      </c>
      <c r="L344" s="404">
        <f t="shared" si="66"/>
        <v>16.452099284213713</v>
      </c>
      <c r="M344" s="404">
        <f>J344/'Utilisation rate workouts '!$C$27</f>
        <v>0.31073726500583476</v>
      </c>
    </row>
    <row r="345" spans="1:13">
      <c r="A345" s="95">
        <v>207</v>
      </c>
      <c r="B345" s="100" t="s">
        <v>150</v>
      </c>
      <c r="C345" s="379">
        <v>1</v>
      </c>
      <c r="D345" s="389">
        <f>599/13.5</f>
        <v>44.370370370370374</v>
      </c>
      <c r="E345" s="404">
        <f t="shared" si="61"/>
        <v>44.370370370370374</v>
      </c>
      <c r="F345" s="404">
        <f t="shared" si="62"/>
        <v>0.36975308641975313</v>
      </c>
      <c r="G345" s="97">
        <v>15</v>
      </c>
      <c r="H345" s="100">
        <f t="shared" si="63"/>
        <v>11.937900000000001</v>
      </c>
      <c r="I345" s="404">
        <f t="shared" si="64"/>
        <v>4.4370370370370376</v>
      </c>
      <c r="J345" s="404">
        <f t="shared" si="65"/>
        <v>8.1538021607497821</v>
      </c>
      <c r="K345" s="214">
        <f>'Utilisation rate workouts '!C31</f>
        <v>0.16597294484911551</v>
      </c>
      <c r="L345" s="404">
        <f t="shared" si="66"/>
        <v>1.3533105563367225</v>
      </c>
      <c r="M345" s="404">
        <f>J345/'Utilisation rate workouts '!$C$27</f>
        <v>2.5560508340908408E-2</v>
      </c>
    </row>
    <row r="346" spans="1:13">
      <c r="A346" s="95"/>
      <c r="B346" s="216" t="s">
        <v>456</v>
      </c>
      <c r="C346" s="103"/>
      <c r="D346" s="104"/>
      <c r="E346" s="104"/>
      <c r="F346" s="106"/>
      <c r="G346" s="106"/>
      <c r="H346" s="96"/>
      <c r="I346" s="416"/>
      <c r="J346" s="418">
        <f>SUM(J334:J345)</f>
        <v>129214.23205794184</v>
      </c>
      <c r="K346" s="108"/>
      <c r="L346" s="418">
        <f>SUM(L334:L345)</f>
        <v>21446.066611073595</v>
      </c>
      <c r="M346" s="418">
        <f>SUM(M334:M345)</f>
        <v>405.06028858288971</v>
      </c>
    </row>
    <row r="347" spans="1:13">
      <c r="A347" s="271"/>
      <c r="B347" s="116" t="s">
        <v>352</v>
      </c>
      <c r="C347" s="109"/>
      <c r="D347" s="118"/>
      <c r="E347" s="118"/>
      <c r="F347" s="215"/>
      <c r="G347" s="109"/>
      <c r="H347" s="109"/>
      <c r="I347" s="120"/>
      <c r="J347" s="121"/>
      <c r="K347" s="109"/>
      <c r="L347" s="121"/>
      <c r="M347" s="121"/>
    </row>
    <row r="348" spans="1:13">
      <c r="A348" s="87">
        <v>208</v>
      </c>
      <c r="B348" s="86" t="s">
        <v>353</v>
      </c>
      <c r="C348" s="379">
        <v>1</v>
      </c>
      <c r="D348" s="389">
        <f>1332/13.5</f>
        <v>98.666666666666671</v>
      </c>
      <c r="E348" s="404">
        <f>C348*D348</f>
        <v>98.666666666666671</v>
      </c>
      <c r="F348" s="404">
        <f t="shared" ref="F348:F363" si="67">((10/100)*E348)/12</f>
        <v>0.8222222222222223</v>
      </c>
      <c r="G348" s="97">
        <v>15</v>
      </c>
      <c r="H348" s="100">
        <f t="shared" ref="H348:H363" si="68">IF(G348=30,19.6004, IF(G348=15,11.9379,IF(G348=10,8.5302,IF(G348=5,4.5797,IF(G348=2,1.9135)))))</f>
        <v>11.937900000000001</v>
      </c>
      <c r="I348" s="404">
        <f t="shared" ref="I348:I363" si="69">F348*12</f>
        <v>9.8666666666666671</v>
      </c>
      <c r="J348" s="404">
        <f t="shared" ref="J348:J363" si="70">E348/H348+I348</f>
        <v>18.131660230582153</v>
      </c>
      <c r="K348" s="214">
        <f>'Utilisation rate workouts '!C31</f>
        <v>0.16597294484911551</v>
      </c>
      <c r="L348" s="404">
        <f t="shared" ref="L348:L364" si="71">J348*K348</f>
        <v>3.0093650434733128</v>
      </c>
      <c r="M348" s="404">
        <f>J348/'Utilisation rate workouts '!$C$27</f>
        <v>5.6839060283956591E-2</v>
      </c>
    </row>
    <row r="349" spans="1:13">
      <c r="A349" s="87">
        <v>209</v>
      </c>
      <c r="B349" s="86" t="s">
        <v>354</v>
      </c>
      <c r="C349" s="379">
        <v>9</v>
      </c>
      <c r="D349" s="389">
        <f>1997/13.5</f>
        <v>147.92592592592592</v>
      </c>
      <c r="E349" s="404">
        <f>C349*D349</f>
        <v>1331.3333333333333</v>
      </c>
      <c r="F349" s="404">
        <f t="shared" si="67"/>
        <v>11.094444444444443</v>
      </c>
      <c r="G349" s="97">
        <v>15</v>
      </c>
      <c r="H349" s="100">
        <f t="shared" si="68"/>
        <v>11.937900000000001</v>
      </c>
      <c r="I349" s="404">
        <f t="shared" si="69"/>
        <v>133.13333333333333</v>
      </c>
      <c r="J349" s="404">
        <f t="shared" si="70"/>
        <v>244.65490189508483</v>
      </c>
      <c r="K349" s="214">
        <f>'Utilisation rate workouts '!C31</f>
        <v>0.16597294484911551</v>
      </c>
      <c r="L349" s="404">
        <f t="shared" si="71"/>
        <v>40.606094539298681</v>
      </c>
      <c r="M349" s="404">
        <f>J349/'Utilisation rate workouts '!$C$27</f>
        <v>0.7669432661287926</v>
      </c>
    </row>
    <row r="350" spans="1:13">
      <c r="A350" s="87">
        <v>210</v>
      </c>
      <c r="B350" s="86" t="s">
        <v>355</v>
      </c>
      <c r="C350" s="379">
        <v>2</v>
      </c>
      <c r="D350" s="389">
        <f>250/13.5</f>
        <v>18.518518518518519</v>
      </c>
      <c r="E350" s="404">
        <f>C350*D350</f>
        <v>37.037037037037038</v>
      </c>
      <c r="F350" s="404">
        <f t="shared" si="67"/>
        <v>0.30864197530864201</v>
      </c>
      <c r="G350" s="97">
        <v>15</v>
      </c>
      <c r="H350" s="100">
        <f t="shared" si="68"/>
        <v>11.937900000000001</v>
      </c>
      <c r="I350" s="404">
        <f t="shared" si="69"/>
        <v>3.7037037037037042</v>
      </c>
      <c r="J350" s="404">
        <f t="shared" si="70"/>
        <v>6.8061787652335406</v>
      </c>
      <c r="K350" s="214">
        <f>'Utilisation rate workouts '!C31</f>
        <v>0.16597294484911551</v>
      </c>
      <c r="L350" s="404">
        <f t="shared" si="71"/>
        <v>1.1296415328353275</v>
      </c>
      <c r="M350" s="404">
        <f>J350/'Utilisation rate workouts '!$C$27</f>
        <v>2.1335983590073795E-2</v>
      </c>
    </row>
    <row r="351" spans="1:13">
      <c r="A351" s="87">
        <v>211</v>
      </c>
      <c r="B351" s="86" t="s">
        <v>356</v>
      </c>
      <c r="C351" s="379">
        <v>1</v>
      </c>
      <c r="D351" s="389">
        <f>390/13.5</f>
        <v>28.888888888888889</v>
      </c>
      <c r="E351" s="404">
        <f>C351*D351</f>
        <v>28.888888888888889</v>
      </c>
      <c r="F351" s="404">
        <f t="shared" si="67"/>
        <v>0.24074074074074078</v>
      </c>
      <c r="G351" s="97">
        <v>10</v>
      </c>
      <c r="H351" s="100">
        <f t="shared" si="68"/>
        <v>8.5302000000000007</v>
      </c>
      <c r="I351" s="404">
        <f t="shared" si="69"/>
        <v>2.8888888888888893</v>
      </c>
      <c r="J351" s="404">
        <f t="shared" si="70"/>
        <v>6.2755490948499322</v>
      </c>
      <c r="K351" s="214">
        <f>'Utilisation rate workouts '!C31</f>
        <v>0.16597294484911551</v>
      </c>
      <c r="L351" s="404">
        <f t="shared" si="71"/>
        <v>1.0415713638174446</v>
      </c>
      <c r="M351" s="404">
        <f>J351/'Utilisation rate workouts '!$C$27</f>
        <v>1.9672567695454331E-2</v>
      </c>
    </row>
    <row r="352" spans="1:13">
      <c r="A352" s="87">
        <v>212</v>
      </c>
      <c r="B352" s="86" t="s">
        <v>357</v>
      </c>
      <c r="C352" s="379">
        <v>2</v>
      </c>
      <c r="D352" s="389">
        <f>1332/13.5</f>
        <v>98.666666666666671</v>
      </c>
      <c r="E352" s="404">
        <f>C352*D352</f>
        <v>197.33333333333334</v>
      </c>
      <c r="F352" s="404">
        <f t="shared" si="67"/>
        <v>1.6444444444444446</v>
      </c>
      <c r="G352" s="97">
        <v>15</v>
      </c>
      <c r="H352" s="100">
        <f t="shared" si="68"/>
        <v>11.937900000000001</v>
      </c>
      <c r="I352" s="404">
        <f t="shared" si="69"/>
        <v>19.733333333333334</v>
      </c>
      <c r="J352" s="404">
        <f t="shared" si="70"/>
        <v>36.263320461164305</v>
      </c>
      <c r="K352" s="214">
        <f>'Utilisation rate workouts '!C31</f>
        <v>0.16597294484911551</v>
      </c>
      <c r="L352" s="404">
        <f t="shared" si="71"/>
        <v>6.0187300869466256</v>
      </c>
      <c r="M352" s="404">
        <f>J352/'Utilisation rate workouts '!$C$27</f>
        <v>0.11367812056791318</v>
      </c>
    </row>
    <row r="353" spans="1:13">
      <c r="A353" s="87">
        <v>213</v>
      </c>
      <c r="B353" s="86" t="s">
        <v>358</v>
      </c>
      <c r="C353" s="379">
        <v>1</v>
      </c>
      <c r="D353" s="389">
        <f>3641/13/5</f>
        <v>56.015384615384619</v>
      </c>
      <c r="E353" s="403">
        <f t="shared" ref="E353:E363" si="72">D353*C353</f>
        <v>56.015384615384619</v>
      </c>
      <c r="F353" s="404">
        <f t="shared" si="67"/>
        <v>0.46679487179487184</v>
      </c>
      <c r="G353" s="106">
        <v>15</v>
      </c>
      <c r="H353" s="96">
        <f t="shared" si="68"/>
        <v>11.937900000000001</v>
      </c>
      <c r="I353" s="416">
        <f t="shared" si="69"/>
        <v>5.6015384615384622</v>
      </c>
      <c r="J353" s="404">
        <f t="shared" si="70"/>
        <v>10.293769474981749</v>
      </c>
      <c r="K353" s="214">
        <f>'Utilisation rate workouts '!C31</f>
        <v>0.16597294484911551</v>
      </c>
      <c r="L353" s="404">
        <f t="shared" si="71"/>
        <v>1.7084872333606547</v>
      </c>
      <c r="M353" s="404">
        <f>J353/'Utilisation rate workouts '!$C$27</f>
        <v>3.2268869827528995E-2</v>
      </c>
    </row>
    <row r="354" spans="1:13">
      <c r="A354" s="87">
        <v>214</v>
      </c>
      <c r="B354" s="86" t="s">
        <v>359</v>
      </c>
      <c r="C354" s="379">
        <v>1</v>
      </c>
      <c r="D354" s="389">
        <f>1550/13.5</f>
        <v>114.81481481481481</v>
      </c>
      <c r="E354" s="403">
        <f t="shared" si="72"/>
        <v>114.81481481481481</v>
      </c>
      <c r="F354" s="404">
        <f t="shared" si="67"/>
        <v>0.95679012345679004</v>
      </c>
      <c r="G354" s="106">
        <v>15</v>
      </c>
      <c r="H354" s="96">
        <f t="shared" si="68"/>
        <v>11.937900000000001</v>
      </c>
      <c r="I354" s="416">
        <f t="shared" si="69"/>
        <v>11.481481481481481</v>
      </c>
      <c r="J354" s="404">
        <f t="shared" si="70"/>
        <v>21.099154172223976</v>
      </c>
      <c r="K354" s="214">
        <f>'Utilisation rate workouts '!C31</f>
        <v>0.16597294484911551</v>
      </c>
      <c r="L354" s="404">
        <f t="shared" si="71"/>
        <v>3.5018887517895152</v>
      </c>
      <c r="M354" s="404">
        <f>J354/'Utilisation rate workouts '!$C$27</f>
        <v>6.6141549129228761E-2</v>
      </c>
    </row>
    <row r="355" spans="1:13">
      <c r="A355" s="87">
        <v>215</v>
      </c>
      <c r="B355" s="86" t="s">
        <v>360</v>
      </c>
      <c r="C355" s="379">
        <v>1</v>
      </c>
      <c r="D355" s="389">
        <f>650/13.5</f>
        <v>48.148148148148145</v>
      </c>
      <c r="E355" s="403">
        <f t="shared" si="72"/>
        <v>48.148148148148145</v>
      </c>
      <c r="F355" s="404">
        <f t="shared" si="67"/>
        <v>0.40123456790123457</v>
      </c>
      <c r="G355" s="106">
        <v>15</v>
      </c>
      <c r="H355" s="96">
        <f t="shared" si="68"/>
        <v>11.937900000000001</v>
      </c>
      <c r="I355" s="416">
        <f t="shared" si="69"/>
        <v>4.8148148148148149</v>
      </c>
      <c r="J355" s="404">
        <f t="shared" si="70"/>
        <v>8.848032394803603</v>
      </c>
      <c r="K355" s="214">
        <f>'Utilisation rate workouts '!C31</f>
        <v>0.16597294484911551</v>
      </c>
      <c r="L355" s="404">
        <f t="shared" si="71"/>
        <v>1.4685339926859258</v>
      </c>
      <c r="M355" s="404">
        <f>J355/'Utilisation rate workouts '!$C$27</f>
        <v>2.7736778667095934E-2</v>
      </c>
    </row>
    <row r="356" spans="1:13">
      <c r="A356" s="87">
        <v>216</v>
      </c>
      <c r="B356" s="86" t="s">
        <v>217</v>
      </c>
      <c r="C356" s="379">
        <v>1</v>
      </c>
      <c r="D356" s="389">
        <f>3694/13.5</f>
        <v>273.62962962962962</v>
      </c>
      <c r="E356" s="403">
        <f t="shared" si="72"/>
        <v>273.62962962962962</v>
      </c>
      <c r="F356" s="404">
        <f t="shared" si="67"/>
        <v>2.280246913580247</v>
      </c>
      <c r="G356" s="106">
        <v>5</v>
      </c>
      <c r="H356" s="96">
        <f t="shared" si="68"/>
        <v>4.5796999999999999</v>
      </c>
      <c r="I356" s="416">
        <f t="shared" si="69"/>
        <v>27.362962962962964</v>
      </c>
      <c r="J356" s="404">
        <f t="shared" si="70"/>
        <v>87.111337229755463</v>
      </c>
      <c r="K356" s="214">
        <f>'Utilisation rate workouts '!C31</f>
        <v>0.16597294484911551</v>
      </c>
      <c r="L356" s="404">
        <f t="shared" si="71"/>
        <v>14.458125169766907</v>
      </c>
      <c r="M356" s="404">
        <f>J356/'Utilisation rate workouts '!$C$27</f>
        <v>0.27307629225628671</v>
      </c>
    </row>
    <row r="357" spans="1:13">
      <c r="A357" s="87">
        <v>217</v>
      </c>
      <c r="B357" s="86" t="s">
        <v>298</v>
      </c>
      <c r="C357" s="379">
        <v>2</v>
      </c>
      <c r="D357" s="389">
        <f>175/13.5</f>
        <v>12.962962962962964</v>
      </c>
      <c r="E357" s="403">
        <f t="shared" si="72"/>
        <v>25.925925925925927</v>
      </c>
      <c r="F357" s="404">
        <f t="shared" si="67"/>
        <v>0.21604938271604943</v>
      </c>
      <c r="G357" s="106">
        <v>5</v>
      </c>
      <c r="H357" s="96">
        <f t="shared" si="68"/>
        <v>4.5796999999999999</v>
      </c>
      <c r="I357" s="416">
        <f t="shared" si="69"/>
        <v>2.592592592592593</v>
      </c>
      <c r="J357" s="404">
        <f t="shared" si="70"/>
        <v>8.253645920523665</v>
      </c>
      <c r="K357" s="214">
        <f>'Utilisation rate workouts '!C31</f>
        <v>0.16597294484911551</v>
      </c>
      <c r="L357" s="404">
        <f t="shared" si="71"/>
        <v>1.3698819191712015</v>
      </c>
      <c r="M357" s="404">
        <f>J357/'Utilisation rate workouts '!$C$27</f>
        <v>2.5873498183459766E-2</v>
      </c>
    </row>
    <row r="358" spans="1:13">
      <c r="A358" s="87">
        <v>218</v>
      </c>
      <c r="B358" s="86" t="s">
        <v>361</v>
      </c>
      <c r="C358" s="379">
        <v>1</v>
      </c>
      <c r="D358" s="389">
        <f>342/13.5</f>
        <v>25.333333333333332</v>
      </c>
      <c r="E358" s="403">
        <f t="shared" si="72"/>
        <v>25.333333333333332</v>
      </c>
      <c r="F358" s="404">
        <f t="shared" si="67"/>
        <v>0.21111111111111111</v>
      </c>
      <c r="G358" s="106">
        <v>5</v>
      </c>
      <c r="H358" s="96">
        <f t="shared" si="68"/>
        <v>4.5796999999999999</v>
      </c>
      <c r="I358" s="416">
        <f t="shared" si="69"/>
        <v>2.5333333333333332</v>
      </c>
      <c r="J358" s="404">
        <f t="shared" si="70"/>
        <v>8.0649911566259789</v>
      </c>
      <c r="K358" s="214">
        <f>'Utilisation rate workouts '!C31</f>
        <v>0.16597294484911551</v>
      </c>
      <c r="L358" s="404">
        <f t="shared" si="71"/>
        <v>1.338570332447288</v>
      </c>
      <c r="M358" s="404">
        <f>J358/'Utilisation rate workouts '!$C$27</f>
        <v>2.5282103939266391E-2</v>
      </c>
    </row>
    <row r="359" spans="1:13">
      <c r="A359" s="87">
        <v>219</v>
      </c>
      <c r="B359" s="86" t="s">
        <v>299</v>
      </c>
      <c r="C359" s="379">
        <v>1</v>
      </c>
      <c r="D359" s="389">
        <f>179/13.5</f>
        <v>13.25925925925926</v>
      </c>
      <c r="E359" s="403">
        <f t="shared" si="72"/>
        <v>13.25925925925926</v>
      </c>
      <c r="F359" s="404">
        <f t="shared" si="67"/>
        <v>0.11049382716049383</v>
      </c>
      <c r="G359" s="106">
        <v>5</v>
      </c>
      <c r="H359" s="96">
        <f t="shared" si="68"/>
        <v>4.5796999999999999</v>
      </c>
      <c r="I359" s="416">
        <f t="shared" si="69"/>
        <v>1.325925925925926</v>
      </c>
      <c r="J359" s="404">
        <f t="shared" si="70"/>
        <v>4.2211503422106738</v>
      </c>
      <c r="K359" s="214">
        <f>'Utilisation rate workouts '!C31</f>
        <v>0.16597294484911551</v>
      </c>
      <c r="L359" s="404">
        <f t="shared" si="71"/>
        <v>0.70059675294755719</v>
      </c>
      <c r="M359" s="404">
        <f>J359/'Utilisation rate workouts '!$C$27</f>
        <v>1.3232446213826564E-2</v>
      </c>
    </row>
    <row r="360" spans="1:13">
      <c r="A360" s="87">
        <v>220</v>
      </c>
      <c r="B360" s="86" t="s">
        <v>362</v>
      </c>
      <c r="C360" s="379">
        <v>2</v>
      </c>
      <c r="D360" s="389">
        <f>3999/13.5</f>
        <v>296.22222222222223</v>
      </c>
      <c r="E360" s="403">
        <f t="shared" si="72"/>
        <v>592.44444444444446</v>
      </c>
      <c r="F360" s="404">
        <f t="shared" si="67"/>
        <v>4.9370370370370376</v>
      </c>
      <c r="G360" s="106">
        <v>10</v>
      </c>
      <c r="H360" s="96">
        <f t="shared" si="68"/>
        <v>8.5302000000000007</v>
      </c>
      <c r="I360" s="416">
        <f t="shared" si="69"/>
        <v>59.244444444444454</v>
      </c>
      <c r="J360" s="404">
        <f t="shared" si="70"/>
        <v>128.69702989899938</v>
      </c>
      <c r="K360" s="214">
        <f>'Utilisation rate workouts '!C31</f>
        <v>0.16597294484911551</v>
      </c>
      <c r="L360" s="404">
        <f t="shared" si="71"/>
        <v>21.360225045671594</v>
      </c>
      <c r="M360" s="404">
        <f>J360/'Utilisation rate workouts '!$C$27</f>
        <v>0.403438965200625</v>
      </c>
    </row>
    <row r="361" spans="1:13">
      <c r="A361" s="87">
        <v>221</v>
      </c>
      <c r="B361" s="86" t="s">
        <v>301</v>
      </c>
      <c r="C361" s="379">
        <v>4</v>
      </c>
      <c r="D361" s="389">
        <f>399/13.5</f>
        <v>29.555555555555557</v>
      </c>
      <c r="E361" s="403">
        <f t="shared" si="72"/>
        <v>118.22222222222223</v>
      </c>
      <c r="F361" s="404">
        <f t="shared" si="67"/>
        <v>0.98518518518518527</v>
      </c>
      <c r="G361" s="106">
        <v>15</v>
      </c>
      <c r="H361" s="96">
        <f t="shared" si="68"/>
        <v>11.937900000000001</v>
      </c>
      <c r="I361" s="416">
        <f t="shared" si="69"/>
        <v>11.822222222222223</v>
      </c>
      <c r="J361" s="404">
        <f t="shared" si="70"/>
        <v>21.725322618625462</v>
      </c>
      <c r="K361" s="214">
        <f>'Utilisation rate workouts '!C31</f>
        <v>0.16597294484911551</v>
      </c>
      <c r="L361" s="404">
        <f t="shared" si="71"/>
        <v>3.6058157728103657</v>
      </c>
      <c r="M361" s="404">
        <f>J361/'Utilisation rate workouts '!$C$27</f>
        <v>6.8104459619515556E-2</v>
      </c>
    </row>
    <row r="362" spans="1:13">
      <c r="A362" s="87">
        <v>222</v>
      </c>
      <c r="B362" s="86" t="s">
        <v>302</v>
      </c>
      <c r="C362" s="379">
        <v>2</v>
      </c>
      <c r="D362" s="389">
        <f>990/13.5</f>
        <v>73.333333333333329</v>
      </c>
      <c r="E362" s="403">
        <f t="shared" si="72"/>
        <v>146.66666666666666</v>
      </c>
      <c r="F362" s="404">
        <f t="shared" si="67"/>
        <v>1.2222222222222221</v>
      </c>
      <c r="G362" s="106">
        <v>15</v>
      </c>
      <c r="H362" s="96">
        <f t="shared" si="68"/>
        <v>11.937900000000001</v>
      </c>
      <c r="I362" s="416">
        <f t="shared" si="69"/>
        <v>14.666666666666664</v>
      </c>
      <c r="J362" s="404">
        <f t="shared" si="70"/>
        <v>26.952467910324813</v>
      </c>
      <c r="K362" s="214">
        <f>'Utilisation rate workouts '!C31</f>
        <v>0.16597294484911551</v>
      </c>
      <c r="L362" s="404">
        <f t="shared" si="71"/>
        <v>4.4733804700278954</v>
      </c>
      <c r="M362" s="404">
        <f>J362/'Utilisation rate workouts '!$C$27</f>
        <v>8.4490495016692202E-2</v>
      </c>
    </row>
    <row r="363" spans="1:13">
      <c r="A363" s="87">
        <v>223</v>
      </c>
      <c r="B363" s="86" t="s">
        <v>363</v>
      </c>
      <c r="C363" s="379">
        <v>3</v>
      </c>
      <c r="D363" s="389">
        <f>1332/13.5</f>
        <v>98.666666666666671</v>
      </c>
      <c r="E363" s="403">
        <f t="shared" si="72"/>
        <v>296</v>
      </c>
      <c r="F363" s="404">
        <f t="shared" si="67"/>
        <v>2.4666666666666668</v>
      </c>
      <c r="G363" s="106">
        <v>10</v>
      </c>
      <c r="H363" s="96">
        <f t="shared" si="68"/>
        <v>8.5302000000000007</v>
      </c>
      <c r="I363" s="416">
        <f t="shared" si="69"/>
        <v>29.6</v>
      </c>
      <c r="J363" s="404">
        <f t="shared" si="70"/>
        <v>64.30024149492391</v>
      </c>
      <c r="K363" s="214">
        <f>'Utilisation rate workouts '!C31</f>
        <v>0.16597294484911551</v>
      </c>
      <c r="L363" s="404">
        <f t="shared" si="71"/>
        <v>10.672100435421815</v>
      </c>
      <c r="M363" s="404">
        <f>J363/'Utilisation rate workouts '!$C$27</f>
        <v>0.20156815515650128</v>
      </c>
    </row>
    <row r="364" spans="1:13">
      <c r="A364" s="87">
        <v>224</v>
      </c>
      <c r="B364" s="96" t="s">
        <v>164</v>
      </c>
      <c r="C364" s="379">
        <v>2</v>
      </c>
      <c r="D364" s="389">
        <f>173.32/13.5</f>
        <v>12.838518518518518</v>
      </c>
      <c r="E364" s="403">
        <f>D364*C364</f>
        <v>25.677037037037035</v>
      </c>
      <c r="F364" s="404">
        <f>((10/100)*E364)/12</f>
        <v>0.21397530864197531</v>
      </c>
      <c r="G364" s="106">
        <v>5</v>
      </c>
      <c r="H364" s="96">
        <f>IF(G364=30,19.6004, IF(G364=15,11.9379,IF(G364=10,8.5302,IF(G364=5,4.5797,IF(G364=2,1.9135)))))</f>
        <v>4.5796999999999999</v>
      </c>
      <c r="I364" s="416">
        <f>F364*12</f>
        <v>2.5677037037037036</v>
      </c>
      <c r="J364" s="404">
        <f>E364/H364+I364</f>
        <v>8.1744109196866361</v>
      </c>
      <c r="K364" s="214">
        <f>'Utilisation rate workouts '!C31</f>
        <v>0.16597294484911551</v>
      </c>
      <c r="L364" s="404">
        <f t="shared" si="71"/>
        <v>1.3567310527471577</v>
      </c>
      <c r="M364" s="404">
        <f>J364/'Utilisation rate workouts '!$C$27</f>
        <v>2.5625112600898545E-2</v>
      </c>
    </row>
    <row r="365" spans="1:13">
      <c r="A365" s="95"/>
      <c r="B365" s="102" t="s">
        <v>456</v>
      </c>
      <c r="C365" s="58"/>
      <c r="D365" s="58"/>
      <c r="E365" s="58"/>
      <c r="F365" s="58"/>
      <c r="G365" s="58"/>
      <c r="H365" s="58"/>
      <c r="I365" s="401"/>
      <c r="J365" s="418">
        <f>SUM(J348:J364)</f>
        <v>709.87316398059988</v>
      </c>
      <c r="K365" s="58"/>
      <c r="L365" s="418">
        <f>SUM(L348:L364)</f>
        <v>117.81973949521927</v>
      </c>
      <c r="M365" s="418">
        <f>SUM(M348:M364)</f>
        <v>2.2253077240771164</v>
      </c>
    </row>
    <row r="366" spans="1:13">
      <c r="A366" s="272"/>
      <c r="B366" s="116" t="s">
        <v>304</v>
      </c>
      <c r="C366" s="218"/>
      <c r="D366" s="217"/>
      <c r="E366" s="219"/>
      <c r="F366" s="220"/>
      <c r="G366" s="218"/>
      <c r="H366" s="218"/>
      <c r="I366" s="221"/>
      <c r="J366" s="220"/>
      <c r="K366" s="222"/>
      <c r="L366" s="220"/>
      <c r="M366" s="220"/>
    </row>
    <row r="367" spans="1:13">
      <c r="A367" s="87">
        <v>225</v>
      </c>
      <c r="B367" s="96" t="s">
        <v>364</v>
      </c>
      <c r="C367" s="379">
        <v>2</v>
      </c>
      <c r="D367" s="389">
        <f>600/13.5</f>
        <v>44.444444444444443</v>
      </c>
      <c r="E367" s="403">
        <f t="shared" ref="E367:E378" si="73">D367*C367</f>
        <v>88.888888888888886</v>
      </c>
      <c r="F367" s="404">
        <f t="shared" ref="F367:F378" si="74">((10/100)*E367)/12</f>
        <v>0.74074074074074081</v>
      </c>
      <c r="G367" s="106">
        <v>15</v>
      </c>
      <c r="H367" s="96">
        <f t="shared" ref="H367:H378" si="75">IF(G367=30,19.6004, IF(G367=15,11.9379,IF(G367=10,8.5302,IF(G367=5,4.5797,IF(G367=2,1.9135)))))</f>
        <v>11.937900000000001</v>
      </c>
      <c r="I367" s="416">
        <f t="shared" ref="I367:I378" si="76">F367*12</f>
        <v>8.8888888888888893</v>
      </c>
      <c r="J367" s="404">
        <f t="shared" ref="J367:J378" si="77">E367/H367+I367</f>
        <v>16.334829036560496</v>
      </c>
      <c r="K367" s="214">
        <f>'Utilisation rate workouts '!C31</f>
        <v>0.16597294484911551</v>
      </c>
      <c r="L367" s="404">
        <f t="shared" ref="L367:L378" si="78">J367*K367</f>
        <v>2.7111396788047859</v>
      </c>
      <c r="M367" s="404">
        <f>J367/'Utilisation rate workouts '!$C$27</f>
        <v>5.1206360616177102E-2</v>
      </c>
    </row>
    <row r="368" spans="1:13">
      <c r="A368" s="87">
        <v>226</v>
      </c>
      <c r="B368" s="86" t="s">
        <v>365</v>
      </c>
      <c r="C368" s="379">
        <v>6</v>
      </c>
      <c r="D368" s="389">
        <f>951/13.5</f>
        <v>70.444444444444443</v>
      </c>
      <c r="E368" s="403">
        <f t="shared" si="73"/>
        <v>422.66666666666663</v>
      </c>
      <c r="F368" s="404">
        <f t="shared" si="74"/>
        <v>3.5222222222222221</v>
      </c>
      <c r="G368" s="106">
        <v>15</v>
      </c>
      <c r="H368" s="96">
        <f t="shared" si="75"/>
        <v>11.937900000000001</v>
      </c>
      <c r="I368" s="416">
        <f t="shared" si="76"/>
        <v>42.266666666666666</v>
      </c>
      <c r="J368" s="404">
        <f t="shared" si="77"/>
        <v>77.672112068845166</v>
      </c>
      <c r="K368" s="214">
        <f>'Utilisation rate workouts '!C31</f>
        <v>0.16597294484911551</v>
      </c>
      <c r="L368" s="404">
        <f t="shared" si="78"/>
        <v>12.891469172716759</v>
      </c>
      <c r="M368" s="404">
        <f>J368/'Utilisation rate workouts '!$C$27</f>
        <v>0.24348624472992214</v>
      </c>
    </row>
    <row r="369" spans="1:13">
      <c r="A369" s="87">
        <v>227</v>
      </c>
      <c r="B369" s="86" t="s">
        <v>305</v>
      </c>
      <c r="C369" s="379">
        <v>3</v>
      </c>
      <c r="D369" s="389">
        <f>3694/13.5</f>
        <v>273.62962962962962</v>
      </c>
      <c r="E369" s="403">
        <f t="shared" si="73"/>
        <v>820.88888888888891</v>
      </c>
      <c r="F369" s="404">
        <f t="shared" si="74"/>
        <v>6.8407407407407419</v>
      </c>
      <c r="G369" s="106">
        <v>5</v>
      </c>
      <c r="H369" s="96">
        <f t="shared" si="75"/>
        <v>4.5796999999999999</v>
      </c>
      <c r="I369" s="416">
        <f t="shared" si="76"/>
        <v>82.088888888888903</v>
      </c>
      <c r="J369" s="404">
        <f t="shared" si="77"/>
        <v>261.33401168926639</v>
      </c>
      <c r="K369" s="214">
        <f>'Utilisation rate workouts '!C31</f>
        <v>0.16597294484911551</v>
      </c>
      <c r="L369" s="404">
        <f t="shared" si="78"/>
        <v>43.37437550930072</v>
      </c>
      <c r="M369" s="404">
        <f>J369/'Utilisation rate workouts '!$C$27</f>
        <v>0.81922887676886014</v>
      </c>
    </row>
    <row r="370" spans="1:13">
      <c r="A370" s="87">
        <v>228</v>
      </c>
      <c r="B370" s="86" t="s">
        <v>306</v>
      </c>
      <c r="C370" s="379">
        <v>1</v>
      </c>
      <c r="D370" s="389">
        <f>795/13.5</f>
        <v>58.888888888888886</v>
      </c>
      <c r="E370" s="403">
        <f t="shared" si="73"/>
        <v>58.888888888888886</v>
      </c>
      <c r="F370" s="404">
        <f t="shared" si="74"/>
        <v>0.49074074074074076</v>
      </c>
      <c r="G370" s="106">
        <v>5</v>
      </c>
      <c r="H370" s="96">
        <f t="shared" si="75"/>
        <v>4.5796999999999999</v>
      </c>
      <c r="I370" s="416">
        <f t="shared" si="76"/>
        <v>5.8888888888888893</v>
      </c>
      <c r="J370" s="404">
        <f t="shared" si="77"/>
        <v>18.747567162332324</v>
      </c>
      <c r="K370" s="223">
        <f>'Utilisation rate workouts '!C31</f>
        <v>0.16597294484911551</v>
      </c>
      <c r="L370" s="404">
        <f t="shared" si="78"/>
        <v>3.1115889306888715</v>
      </c>
      <c r="M370" s="404">
        <f>J370/'Utilisation rate workouts '!$C$27</f>
        <v>5.8769803016715749E-2</v>
      </c>
    </row>
    <row r="371" spans="1:13">
      <c r="A371" s="87">
        <v>229</v>
      </c>
      <c r="B371" s="86" t="s">
        <v>299</v>
      </c>
      <c r="C371" s="379">
        <v>1</v>
      </c>
      <c r="D371" s="389">
        <f>179/13.5</f>
        <v>13.25925925925926</v>
      </c>
      <c r="E371" s="403">
        <f t="shared" si="73"/>
        <v>13.25925925925926</v>
      </c>
      <c r="F371" s="404">
        <f t="shared" si="74"/>
        <v>0.11049382716049383</v>
      </c>
      <c r="G371" s="106">
        <v>5</v>
      </c>
      <c r="H371" s="96">
        <f t="shared" si="75"/>
        <v>4.5796999999999999</v>
      </c>
      <c r="I371" s="416">
        <f t="shared" si="76"/>
        <v>1.325925925925926</v>
      </c>
      <c r="J371" s="404">
        <f t="shared" si="77"/>
        <v>4.2211503422106738</v>
      </c>
      <c r="K371" s="223">
        <f>'Utilisation rate workouts '!C31</f>
        <v>0.16597294484911551</v>
      </c>
      <c r="L371" s="404">
        <f t="shared" si="78"/>
        <v>0.70059675294755719</v>
      </c>
      <c r="M371" s="404">
        <f>J371/'Utilisation rate workouts '!$C$27</f>
        <v>1.3232446213826564E-2</v>
      </c>
    </row>
    <row r="372" spans="1:13">
      <c r="A372" s="87">
        <v>230</v>
      </c>
      <c r="B372" s="86" t="s">
        <v>366</v>
      </c>
      <c r="C372" s="379">
        <v>1</v>
      </c>
      <c r="D372" s="389">
        <f>1605/13.5</f>
        <v>118.88888888888889</v>
      </c>
      <c r="E372" s="403">
        <f t="shared" si="73"/>
        <v>118.88888888888889</v>
      </c>
      <c r="F372" s="404">
        <f t="shared" si="74"/>
        <v>0.99074074074074081</v>
      </c>
      <c r="G372" s="106">
        <v>5</v>
      </c>
      <c r="H372" s="96">
        <f t="shared" si="75"/>
        <v>4.5796999999999999</v>
      </c>
      <c r="I372" s="416">
        <f t="shared" si="76"/>
        <v>11.888888888888889</v>
      </c>
      <c r="J372" s="404">
        <f t="shared" si="77"/>
        <v>37.848862006972801</v>
      </c>
      <c r="K372" s="223">
        <f>'Utilisation rate workouts '!C31</f>
        <v>0.16597294484911551</v>
      </c>
      <c r="L372" s="404">
        <f t="shared" si="78"/>
        <v>6.2818870864850798</v>
      </c>
      <c r="M372" s="404">
        <f>J372/'Utilisation rate workouts '!$C$27</f>
        <v>0.11864847024129405</v>
      </c>
    </row>
    <row r="373" spans="1:13">
      <c r="A373" s="87">
        <v>231</v>
      </c>
      <c r="B373" s="86" t="s">
        <v>193</v>
      </c>
      <c r="C373" s="379">
        <v>1</v>
      </c>
      <c r="D373" s="389">
        <f>1164.72/13.5</f>
        <v>86.275555555555556</v>
      </c>
      <c r="E373" s="403">
        <f t="shared" si="73"/>
        <v>86.275555555555556</v>
      </c>
      <c r="F373" s="404">
        <f t="shared" si="74"/>
        <v>0.71896296296296303</v>
      </c>
      <c r="G373" s="106">
        <v>15</v>
      </c>
      <c r="H373" s="96">
        <f t="shared" si="75"/>
        <v>11.937900000000001</v>
      </c>
      <c r="I373" s="416">
        <f t="shared" si="76"/>
        <v>8.6275555555555563</v>
      </c>
      <c r="J373" s="404">
        <f t="shared" si="77"/>
        <v>15.854585062885619</v>
      </c>
      <c r="K373" s="223">
        <f>'Utilisation rate workouts '!C31</f>
        <v>0.16597294484911551</v>
      </c>
      <c r="L373" s="404">
        <f t="shared" si="78"/>
        <v>2.6314321722479255</v>
      </c>
      <c r="M373" s="404">
        <f>J373/'Utilisation rate workouts '!$C$27</f>
        <v>4.9700893614061499E-2</v>
      </c>
    </row>
    <row r="374" spans="1:13">
      <c r="A374" s="87">
        <v>232</v>
      </c>
      <c r="B374" s="86" t="s">
        <v>367</v>
      </c>
      <c r="C374" s="379">
        <v>1</v>
      </c>
      <c r="D374" s="389">
        <f>1173/13.5</f>
        <v>86.888888888888886</v>
      </c>
      <c r="E374" s="403">
        <f t="shared" si="73"/>
        <v>86.888888888888886</v>
      </c>
      <c r="F374" s="404">
        <f t="shared" si="74"/>
        <v>0.72407407407407398</v>
      </c>
      <c r="G374" s="106">
        <v>15</v>
      </c>
      <c r="H374" s="96">
        <f t="shared" si="75"/>
        <v>11.937900000000001</v>
      </c>
      <c r="I374" s="416">
        <f t="shared" si="76"/>
        <v>8.6888888888888882</v>
      </c>
      <c r="J374" s="404">
        <f t="shared" si="77"/>
        <v>15.967295383237884</v>
      </c>
      <c r="K374" s="223">
        <f>'Utilisation rate workouts '!C31</f>
        <v>0.16597294484911551</v>
      </c>
      <c r="L374" s="404">
        <f t="shared" si="78"/>
        <v>2.6501390360316779</v>
      </c>
      <c r="M374" s="404">
        <f>J374/'Utilisation rate workouts '!$C$27</f>
        <v>5.005421750231312E-2</v>
      </c>
    </row>
    <row r="375" spans="1:13">
      <c r="A375" s="87">
        <v>233</v>
      </c>
      <c r="B375" s="86" t="s">
        <v>170</v>
      </c>
      <c r="C375" s="379">
        <v>1</v>
      </c>
      <c r="D375" s="389">
        <f>5999/13.5</f>
        <v>444.37037037037038</v>
      </c>
      <c r="E375" s="403">
        <f t="shared" si="73"/>
        <v>444.37037037037038</v>
      </c>
      <c r="F375" s="404">
        <f t="shared" si="74"/>
        <v>3.7030864197530868</v>
      </c>
      <c r="G375" s="106">
        <v>15</v>
      </c>
      <c r="H375" s="96">
        <f t="shared" si="75"/>
        <v>11.937900000000001</v>
      </c>
      <c r="I375" s="416">
        <f t="shared" si="76"/>
        <v>44.437037037037044</v>
      </c>
      <c r="J375" s="404">
        <f t="shared" si="77"/>
        <v>81.660532825272014</v>
      </c>
      <c r="K375" s="223">
        <f>'Utilisation rate workouts '!C31</f>
        <v>0.16597294484911551</v>
      </c>
      <c r="L375" s="404">
        <f t="shared" si="78"/>
        <v>13.553439110958259</v>
      </c>
      <c r="M375" s="404">
        <f>J375/'Utilisation rate workouts '!$C$27</f>
        <v>0.25598913111370536</v>
      </c>
    </row>
    <row r="376" spans="1:13">
      <c r="A376" s="87">
        <v>234</v>
      </c>
      <c r="B376" s="96" t="s">
        <v>191</v>
      </c>
      <c r="C376" s="379">
        <v>1</v>
      </c>
      <c r="D376" s="389">
        <f>1265/13.5</f>
        <v>93.703703703703709</v>
      </c>
      <c r="E376" s="403">
        <f t="shared" si="73"/>
        <v>93.703703703703709</v>
      </c>
      <c r="F376" s="404">
        <f t="shared" si="74"/>
        <v>0.78086419753086433</v>
      </c>
      <c r="G376" s="106">
        <v>5</v>
      </c>
      <c r="H376" s="96">
        <f t="shared" si="75"/>
        <v>4.5796999999999999</v>
      </c>
      <c r="I376" s="416">
        <f t="shared" si="76"/>
        <v>9.370370370370372</v>
      </c>
      <c r="J376" s="404">
        <f t="shared" si="77"/>
        <v>29.831034541321245</v>
      </c>
      <c r="K376" s="223">
        <f>'Utilisation rate workouts '!C31</f>
        <v>0.16597294484911551</v>
      </c>
      <c r="L376" s="404">
        <f t="shared" si="78"/>
        <v>4.9511446507187706</v>
      </c>
      <c r="M376" s="404">
        <f>J376/'Utilisation rate workouts '!$C$27</f>
        <v>9.3514214863075998E-2</v>
      </c>
    </row>
    <row r="377" spans="1:13">
      <c r="A377" s="87">
        <v>235</v>
      </c>
      <c r="B377" s="86" t="s">
        <v>368</v>
      </c>
      <c r="C377" s="379">
        <v>1</v>
      </c>
      <c r="D377" s="389">
        <f>999/13.5</f>
        <v>74</v>
      </c>
      <c r="E377" s="403">
        <f t="shared" si="73"/>
        <v>74</v>
      </c>
      <c r="F377" s="404">
        <f t="shared" si="74"/>
        <v>0.6166666666666667</v>
      </c>
      <c r="G377" s="106">
        <v>15</v>
      </c>
      <c r="H377" s="96">
        <f t="shared" si="75"/>
        <v>11.937900000000001</v>
      </c>
      <c r="I377" s="416">
        <f t="shared" si="76"/>
        <v>7.4</v>
      </c>
      <c r="J377" s="404">
        <f t="shared" si="77"/>
        <v>13.598745172936614</v>
      </c>
      <c r="K377" s="223">
        <f>'Utilisation rate workouts '!C31</f>
        <v>0.16597294484911551</v>
      </c>
      <c r="L377" s="404">
        <f t="shared" si="78"/>
        <v>2.2570237826049842</v>
      </c>
      <c r="M377" s="404">
        <f>J377/'Utilisation rate workouts '!$C$27</f>
        <v>4.262929521296744E-2</v>
      </c>
    </row>
    <row r="378" spans="1:13">
      <c r="A378" s="87">
        <v>236</v>
      </c>
      <c r="B378" s="96" t="s">
        <v>369</v>
      </c>
      <c r="C378" s="379">
        <v>1</v>
      </c>
      <c r="D378" s="389">
        <f>2159/13.5</f>
        <v>159.92592592592592</v>
      </c>
      <c r="E378" s="403">
        <f t="shared" si="73"/>
        <v>159.92592592592592</v>
      </c>
      <c r="F378" s="404">
        <f t="shared" si="74"/>
        <v>1.3327160493827162</v>
      </c>
      <c r="G378" s="96">
        <v>15</v>
      </c>
      <c r="H378" s="96">
        <f t="shared" si="75"/>
        <v>11.937900000000001</v>
      </c>
      <c r="I378" s="416">
        <f t="shared" si="76"/>
        <v>15.992592592592594</v>
      </c>
      <c r="J378" s="404">
        <f t="shared" si="77"/>
        <v>29.389079908278426</v>
      </c>
      <c r="K378" s="223">
        <f>'Utilisation rate workouts '!C31</f>
        <v>0.16597294484911551</v>
      </c>
      <c r="L378" s="404">
        <f t="shared" si="78"/>
        <v>4.8777921387829437</v>
      </c>
      <c r="M378" s="404">
        <f>J378/'Utilisation rate workouts '!$C$27</f>
        <v>9.2128777141938636E-2</v>
      </c>
    </row>
    <row r="379" spans="1:13">
      <c r="A379" s="87"/>
      <c r="B379" s="102" t="s">
        <v>456</v>
      </c>
      <c r="C379" s="96"/>
      <c r="D379" s="224"/>
      <c r="E379" s="224"/>
      <c r="F379" s="225"/>
      <c r="G379" s="96"/>
      <c r="H379" s="96"/>
      <c r="I379" s="416"/>
      <c r="J379" s="418">
        <f>SUM(J367:J378)</f>
        <v>602.4598052001196</v>
      </c>
      <c r="K379" s="226"/>
      <c r="L379" s="392">
        <f>SUM(L367:L378)</f>
        <v>99.992028022288338</v>
      </c>
      <c r="M379" s="405">
        <f>SUM(M367:M378)</f>
        <v>1.8885887310348577</v>
      </c>
    </row>
    <row r="380" spans="1:13">
      <c r="A380" s="272"/>
      <c r="B380" s="227" t="s">
        <v>370</v>
      </c>
      <c r="C380" s="218"/>
      <c r="D380" s="217"/>
      <c r="E380" s="219"/>
      <c r="F380" s="220"/>
      <c r="G380" s="218"/>
      <c r="H380" s="218"/>
      <c r="I380" s="221"/>
      <c r="J380" s="220"/>
      <c r="K380" s="222"/>
      <c r="L380" s="220"/>
      <c r="M380" s="220"/>
    </row>
    <row r="381" spans="1:13">
      <c r="A381" s="95">
        <v>237</v>
      </c>
      <c r="B381" s="86" t="s">
        <v>371</v>
      </c>
      <c r="C381" s="379">
        <v>5</v>
      </c>
      <c r="D381" s="389">
        <v>3694</v>
      </c>
      <c r="E381" s="426">
        <f>C381*D381</f>
        <v>18470</v>
      </c>
      <c r="F381" s="426">
        <f>((10/100)*E381)/12</f>
        <v>153.91666666666666</v>
      </c>
      <c r="G381" s="96">
        <v>10</v>
      </c>
      <c r="H381" s="96">
        <f>IF(G381=30,19.6004, IF(G381=15,11.9379,IF(G381=10,8.5302,IF(G381=5,4.5797,IF(G381=2,1.9135)))))</f>
        <v>8.5302000000000007</v>
      </c>
      <c r="I381" s="416">
        <f>F381*12</f>
        <v>1847</v>
      </c>
      <c r="J381" s="416">
        <f>E381/H381+I381</f>
        <v>4012.2481770650161</v>
      </c>
      <c r="K381" s="223">
        <f>'Utilisation rate workouts '!C31</f>
        <v>0.16597294484911551</v>
      </c>
      <c r="L381" s="416">
        <f>J381*K381</f>
        <v>665.92464541297613</v>
      </c>
      <c r="M381" s="404">
        <f>J381/'Utilisation rate workouts '!$C$27</f>
        <v>12.577580492366822</v>
      </c>
    </row>
    <row r="382" spans="1:13">
      <c r="A382" s="95">
        <v>238</v>
      </c>
      <c r="B382" s="86" t="s">
        <v>215</v>
      </c>
      <c r="C382" s="379">
        <v>2</v>
      </c>
      <c r="D382" s="389">
        <v>399</v>
      </c>
      <c r="E382" s="426">
        <f>C382*D382</f>
        <v>798</v>
      </c>
      <c r="F382" s="426">
        <f>((10/100)*E382)/12</f>
        <v>6.6500000000000012</v>
      </c>
      <c r="G382" s="96">
        <v>15</v>
      </c>
      <c r="H382" s="96">
        <f>IF(G382=30,19.6004, IF(G382=15,11.9379,IF(G382=10,8.5302,IF(G382=5,4.5797,IF(G382=2,1.9135)))))</f>
        <v>11.937900000000001</v>
      </c>
      <c r="I382" s="416">
        <f>F382*12</f>
        <v>79.800000000000011</v>
      </c>
      <c r="J382" s="416">
        <f>E382/H382+I382</f>
        <v>146.64592767572185</v>
      </c>
      <c r="K382" s="223">
        <f>'Utilisation rate workouts '!C31</f>
        <v>0.16597294484911551</v>
      </c>
      <c r="L382" s="416">
        <f>J382*K382</f>
        <v>24.339256466469966</v>
      </c>
      <c r="M382" s="404">
        <f>J382/'Utilisation rate workouts '!$C$27</f>
        <v>0.45970510243172996</v>
      </c>
    </row>
    <row r="383" spans="1:13">
      <c r="A383" s="95">
        <v>239</v>
      </c>
      <c r="B383" s="96" t="s">
        <v>372</v>
      </c>
      <c r="C383" s="379">
        <v>1</v>
      </c>
      <c r="D383" s="389">
        <v>175</v>
      </c>
      <c r="E383" s="426">
        <f>C383*D383</f>
        <v>175</v>
      </c>
      <c r="F383" s="426">
        <f>((10/100)*E383)/12</f>
        <v>1.4583333333333333</v>
      </c>
      <c r="G383" s="96">
        <v>5</v>
      </c>
      <c r="H383" s="96">
        <f>IF(G383=30,19.6004, IF(G383=15,11.9379,IF(G383=10,8.5302,IF(G383=5,4.5797,IF(G383=2,1.9135)))))</f>
        <v>4.5796999999999999</v>
      </c>
      <c r="I383" s="416">
        <f>F383*12</f>
        <v>17.5</v>
      </c>
      <c r="J383" s="416">
        <f>E383/H383+I383</f>
        <v>55.712109963534729</v>
      </c>
      <c r="K383" s="223">
        <f>'Utilisation rate workouts '!C31</f>
        <v>0.16597294484911551</v>
      </c>
      <c r="L383" s="416">
        <f>J383*K383</f>
        <v>9.2467029544056079</v>
      </c>
      <c r="M383" s="404">
        <f>J383/'Utilisation rate workouts '!$C$27</f>
        <v>0.17464611273835337</v>
      </c>
    </row>
    <row r="384" spans="1:13">
      <c r="A384" s="95">
        <v>240</v>
      </c>
      <c r="B384" s="96" t="s">
        <v>223</v>
      </c>
      <c r="C384" s="379">
        <v>1</v>
      </c>
      <c r="D384" s="389">
        <v>795</v>
      </c>
      <c r="E384" s="426">
        <f>C384*D384</f>
        <v>795</v>
      </c>
      <c r="F384" s="426">
        <f>((10/100)*E384)/12</f>
        <v>6.625</v>
      </c>
      <c r="G384" s="96">
        <v>5</v>
      </c>
      <c r="H384" s="96">
        <f>IF(G384=30,19.6004, IF(G384=15,11.9379,IF(G384=10,8.5302,IF(G384=5,4.5797,IF(G384=2,1.9135)))))</f>
        <v>4.5796999999999999</v>
      </c>
      <c r="I384" s="416">
        <f>F384*12</f>
        <v>79.5</v>
      </c>
      <c r="J384" s="416">
        <f>E384/H384+I384</f>
        <v>253.09215669148634</v>
      </c>
      <c r="K384" s="223">
        <f>'Utilisation rate workouts '!C31</f>
        <v>0.16597294484911551</v>
      </c>
      <c r="L384" s="416">
        <f>J384*K384</f>
        <v>42.006450564299762</v>
      </c>
      <c r="M384" s="404">
        <f>J384/'Utilisation rate workouts '!$C$27</f>
        <v>0.79339234072566245</v>
      </c>
    </row>
    <row r="385" spans="1:29">
      <c r="A385" s="95">
        <v>241</v>
      </c>
      <c r="B385" s="96" t="s">
        <v>373</v>
      </c>
      <c r="C385" s="379">
        <v>1</v>
      </c>
      <c r="D385" s="389">
        <v>999</v>
      </c>
      <c r="E385" s="426">
        <f>C385*D385</f>
        <v>999</v>
      </c>
      <c r="F385" s="426">
        <f>((10/100)*E385)/12</f>
        <v>8.3250000000000011</v>
      </c>
      <c r="G385" s="96">
        <v>10</v>
      </c>
      <c r="H385" s="96">
        <f>IF(G385=30,19.6004, IF(G385=15,11.9379,IF(G385=10,8.5302,IF(G385=5,4.5797,IF(G385=2,1.9135)))))</f>
        <v>8.5302000000000007</v>
      </c>
      <c r="I385" s="416">
        <f>F385*12</f>
        <v>99.9</v>
      </c>
      <c r="J385" s="416">
        <f>E385/H385+I385</f>
        <v>217.01331504536822</v>
      </c>
      <c r="K385" s="223">
        <f>'Utilisation rate workouts '!C31</f>
        <v>0.16597294484911551</v>
      </c>
      <c r="L385" s="416">
        <f>J385*K385</f>
        <v>36.01833896954863</v>
      </c>
      <c r="M385" s="404">
        <f>J385/'Utilisation rate workouts '!$C$27</f>
        <v>0.68029252365319193</v>
      </c>
    </row>
    <row r="386" spans="1:29">
      <c r="A386" s="95"/>
      <c r="B386" s="102" t="s">
        <v>154</v>
      </c>
      <c r="C386" s="96"/>
      <c r="D386" s="228"/>
      <c r="E386" s="228"/>
      <c r="F386" s="229"/>
      <c r="G386" s="96"/>
      <c r="H386" s="96"/>
      <c r="I386" s="416"/>
      <c r="J386" s="418">
        <f>SUM(J381:J385)</f>
        <v>4684.7116864411282</v>
      </c>
      <c r="K386" s="230"/>
      <c r="L386" s="418">
        <f>SUM(L381:L385)</f>
        <v>777.53539436769995</v>
      </c>
      <c r="M386" s="405">
        <f>SUM(M381:M385)</f>
        <v>14.685616571915759</v>
      </c>
    </row>
    <row r="387" spans="1:29">
      <c r="A387" s="95"/>
      <c r="B387" s="461" t="s">
        <v>375</v>
      </c>
      <c r="C387" s="462"/>
      <c r="D387" s="463"/>
      <c r="E387" s="96"/>
      <c r="F387" s="96"/>
      <c r="G387" s="96"/>
      <c r="H387" s="96"/>
      <c r="I387" s="416"/>
      <c r="J387" s="392">
        <f>SUM(J346+J365+J379+J386)</f>
        <v>135211.27671356371</v>
      </c>
      <c r="K387" s="231"/>
      <c r="L387" s="392">
        <f>SUM(L346+L365+L379+L386)</f>
        <v>22441.4137729588</v>
      </c>
      <c r="M387" s="392">
        <f>SUM(M346+M365+M379+M386)</f>
        <v>423.8598016099175</v>
      </c>
    </row>
    <row r="388" spans="1:29" ht="23" customHeight="1" thickBot="1">
      <c r="A388" s="464" t="s">
        <v>588</v>
      </c>
      <c r="B388" s="464"/>
      <c r="C388" s="464"/>
      <c r="D388" s="464"/>
      <c r="E388" s="464"/>
      <c r="F388" s="464"/>
      <c r="G388" s="464"/>
      <c r="H388" s="464"/>
      <c r="I388" s="464"/>
      <c r="J388" s="464"/>
      <c r="K388" s="464"/>
      <c r="L388" s="464"/>
      <c r="M388" s="464"/>
      <c r="N388" s="9"/>
      <c r="O388" s="18"/>
      <c r="P388" s="19"/>
      <c r="Q388" s="19"/>
      <c r="R388" s="2"/>
    </row>
    <row r="389" spans="1:29" ht="17" thickBot="1">
      <c r="A389" s="465" t="s">
        <v>9</v>
      </c>
      <c r="B389" s="466"/>
      <c r="C389" s="467"/>
      <c r="D389" s="11"/>
      <c r="E389" s="12"/>
      <c r="F389" s="13"/>
      <c r="G389" s="10"/>
      <c r="H389" s="9"/>
      <c r="I389" s="9"/>
      <c r="J389" s="9"/>
      <c r="K389" s="9"/>
      <c r="L389" s="9"/>
      <c r="M389" s="9"/>
      <c r="N389" s="9"/>
      <c r="O389" s="18"/>
      <c r="P389" s="19"/>
      <c r="Q389" s="19"/>
      <c r="R389" s="2"/>
      <c r="S389" s="2"/>
      <c r="T389" s="2"/>
      <c r="U389" s="2"/>
      <c r="V389" s="2"/>
      <c r="W389" s="2"/>
      <c r="X389" s="2"/>
      <c r="Y389" s="2"/>
      <c r="Z389" s="2"/>
      <c r="AA389" s="2"/>
      <c r="AB389" s="2"/>
      <c r="AC389" s="2"/>
    </row>
    <row r="390" spans="1:29">
      <c r="A390" s="258" t="s">
        <v>3</v>
      </c>
      <c r="B390" s="29" t="s">
        <v>11</v>
      </c>
      <c r="C390" s="28"/>
      <c r="D390" s="201"/>
      <c r="E390" s="201"/>
      <c r="F390" s="201"/>
      <c r="G390" s="201"/>
      <c r="H390" s="201"/>
      <c r="I390" s="201"/>
      <c r="K390" s="136"/>
      <c r="L390" s="136"/>
      <c r="M390" s="136"/>
    </row>
    <row r="391" spans="1:29" ht="42">
      <c r="A391" s="140" t="s">
        <v>4</v>
      </c>
      <c r="B391" s="63" t="s">
        <v>5</v>
      </c>
      <c r="C391" s="64" t="s">
        <v>12</v>
      </c>
      <c r="D391" s="64" t="s">
        <v>230</v>
      </c>
      <c r="E391" s="65" t="s">
        <v>62</v>
      </c>
      <c r="F391" s="66" t="s">
        <v>510</v>
      </c>
      <c r="G391" s="64" t="s">
        <v>511</v>
      </c>
      <c r="H391" s="67" t="s">
        <v>512</v>
      </c>
      <c r="I391" s="130" t="s">
        <v>574</v>
      </c>
    </row>
    <row r="392" spans="1:29" ht="28">
      <c r="A392" s="232"/>
      <c r="B392" s="233"/>
      <c r="C392" s="233"/>
      <c r="D392" s="234" t="s">
        <v>6</v>
      </c>
      <c r="E392" s="234" t="s">
        <v>7</v>
      </c>
      <c r="F392" s="234" t="s">
        <v>8</v>
      </c>
      <c r="G392" s="234" t="s">
        <v>63</v>
      </c>
      <c r="H392" s="234" t="s">
        <v>64</v>
      </c>
      <c r="I392" s="235" t="s">
        <v>448</v>
      </c>
    </row>
    <row r="393" spans="1:29">
      <c r="A393" s="268">
        <v>242</v>
      </c>
      <c r="B393" s="146" t="s">
        <v>376</v>
      </c>
      <c r="C393" s="379">
        <v>2</v>
      </c>
      <c r="D393" s="379">
        <v>2</v>
      </c>
      <c r="E393" s="73">
        <f>'Utilisation rate workouts '!C42</f>
        <v>0.28260869565217389</v>
      </c>
      <c r="F393" s="389">
        <f>1128266.67/13.5</f>
        <v>83575.308888888889</v>
      </c>
      <c r="G393" s="428">
        <f>D393*F393</f>
        <v>167150.61777777778</v>
      </c>
      <c r="H393" s="390">
        <f>G393*'% of time allocation workouts'!G315</f>
        <v>38305.349907407406</v>
      </c>
      <c r="I393" s="390">
        <f>H393/'Utilisation rate workouts '!$C$38</f>
        <v>420.93791107041108</v>
      </c>
    </row>
    <row r="394" spans="1:29">
      <c r="A394" s="268">
        <v>243</v>
      </c>
      <c r="B394" s="100" t="s">
        <v>377</v>
      </c>
      <c r="C394" s="379">
        <v>3</v>
      </c>
      <c r="D394" s="379">
        <v>3</v>
      </c>
      <c r="E394" s="73">
        <f>'Utilisation rate workouts '!C42</f>
        <v>0.28260869565217389</v>
      </c>
      <c r="F394" s="389">
        <f>1007921.63/13.5</f>
        <v>74660.861481481479</v>
      </c>
      <c r="G394" s="428">
        <f t="shared" ref="G394:G402" si="79">D394*F394</f>
        <v>223982.58444444445</v>
      </c>
      <c r="H394" s="390">
        <f>G394*'% of time allocation workouts'!G328</f>
        <v>55995.646111111113</v>
      </c>
      <c r="I394" s="390">
        <f>H394/'Utilisation rate workouts '!$C$38</f>
        <v>615.33677045177046</v>
      </c>
    </row>
    <row r="395" spans="1:29">
      <c r="A395" s="268">
        <v>244</v>
      </c>
      <c r="B395" s="100" t="s">
        <v>378</v>
      </c>
      <c r="C395" s="379">
        <v>2</v>
      </c>
      <c r="D395" s="379">
        <v>2</v>
      </c>
      <c r="E395" s="73">
        <f>'Utilisation rate workouts '!C42</f>
        <v>0.28260869565217389</v>
      </c>
      <c r="F395" s="389">
        <f>637341/13.5</f>
        <v>47210.444444444445</v>
      </c>
      <c r="G395" s="428">
        <f t="shared" si="79"/>
        <v>94420.888888888891</v>
      </c>
      <c r="H395" s="390">
        <f>G395*'% of time allocation workouts'!G342</f>
        <v>27146.005555555555</v>
      </c>
      <c r="I395" s="390">
        <f>H395/'Utilisation rate workouts '!$C$38</f>
        <v>298.30775335775337</v>
      </c>
    </row>
    <row r="396" spans="1:29">
      <c r="A396" s="268">
        <v>245</v>
      </c>
      <c r="B396" s="100" t="s">
        <v>379</v>
      </c>
      <c r="C396" s="379">
        <v>3</v>
      </c>
      <c r="D396" s="379">
        <v>3</v>
      </c>
      <c r="E396" s="73">
        <f>'Utilisation rate workouts '!C42</f>
        <v>0.28260869565217389</v>
      </c>
      <c r="F396" s="389">
        <f>567341/13.5</f>
        <v>42025.259259259263</v>
      </c>
      <c r="G396" s="428">
        <f t="shared" si="79"/>
        <v>126075.77777777778</v>
      </c>
      <c r="H396" s="390">
        <f>G396*'% of time allocation workouts'!G355</f>
        <v>39923.996296296296</v>
      </c>
      <c r="I396" s="390">
        <f>H396/'Utilisation rate workouts '!$C$38</f>
        <v>438.72523402523404</v>
      </c>
    </row>
    <row r="397" spans="1:29">
      <c r="A397" s="268">
        <v>246</v>
      </c>
      <c r="B397" s="100" t="s">
        <v>380</v>
      </c>
      <c r="C397" s="379">
        <v>2</v>
      </c>
      <c r="D397" s="379">
        <v>2</v>
      </c>
      <c r="E397" s="73">
        <f>'Utilisation rate workouts '!C42</f>
        <v>0.28260869565217389</v>
      </c>
      <c r="F397" s="389">
        <f>479393.14/13.5</f>
        <v>35510.602962962963</v>
      </c>
      <c r="G397" s="428">
        <f t="shared" si="79"/>
        <v>71021.205925925926</v>
      </c>
      <c r="H397" s="390">
        <f>G397*'% of time allocation workouts'!G368</f>
        <v>22194.126851851852</v>
      </c>
      <c r="I397" s="390">
        <f>H397/'Utilisation rate workouts '!$C$38</f>
        <v>243.89150386650385</v>
      </c>
    </row>
    <row r="398" spans="1:29">
      <c r="A398" s="268">
        <v>247</v>
      </c>
      <c r="B398" s="100" t="s">
        <v>381</v>
      </c>
      <c r="C398" s="379">
        <v>2</v>
      </c>
      <c r="D398" s="379">
        <v>2</v>
      </c>
      <c r="E398" s="73">
        <f>'Utilisation rate workouts '!C42</f>
        <v>0.28260869565217389</v>
      </c>
      <c r="F398" s="389">
        <f>116196/13.5</f>
        <v>8607.1111111111113</v>
      </c>
      <c r="G398" s="428">
        <f t="shared" si="79"/>
        <v>17214.222222222223</v>
      </c>
      <c r="H398" s="390">
        <f>G398*'% of time allocation workouts'!G381</f>
        <v>4733.9111111111115</v>
      </c>
      <c r="I398" s="390">
        <f>H398/'Utilisation rate workouts '!$C$38</f>
        <v>52.021001221001228</v>
      </c>
    </row>
    <row r="399" spans="1:29">
      <c r="A399" s="87">
        <v>248</v>
      </c>
      <c r="B399" s="100" t="s">
        <v>382</v>
      </c>
      <c r="C399" s="379">
        <v>3</v>
      </c>
      <c r="D399" s="379">
        <v>3</v>
      </c>
      <c r="E399" s="73">
        <f>'Utilisation rate workouts '!C42</f>
        <v>0.28260869565217389</v>
      </c>
      <c r="F399" s="389">
        <f>65015/13.5</f>
        <v>4815.9259259259261</v>
      </c>
      <c r="G399" s="428">
        <f t="shared" si="79"/>
        <v>14447.777777777777</v>
      </c>
      <c r="H399" s="390">
        <f>G399*'% of time allocation workouts'!G407</f>
        <v>4876.125</v>
      </c>
      <c r="I399" s="390">
        <f>H399/'Utilisation rate workouts '!$C$38</f>
        <v>53.583791208791212</v>
      </c>
    </row>
    <row r="400" spans="1:29">
      <c r="A400" s="87">
        <v>249</v>
      </c>
      <c r="B400" s="100" t="s">
        <v>383</v>
      </c>
      <c r="C400" s="379">
        <v>2</v>
      </c>
      <c r="D400" s="379">
        <v>2</v>
      </c>
      <c r="E400" s="76">
        <f>'Utilisation rate workouts '!C42</f>
        <v>0.28260869565217389</v>
      </c>
      <c r="F400" s="389">
        <f>114000/13.5</f>
        <v>8444.4444444444453</v>
      </c>
      <c r="G400" s="428">
        <f t="shared" si="79"/>
        <v>16888.888888888891</v>
      </c>
      <c r="H400" s="390">
        <f>G400*'% of time allocation workouts'!G420</f>
        <v>5066.666666666667</v>
      </c>
      <c r="I400" s="390">
        <f>H400/'Utilisation rate workouts '!$C$38</f>
        <v>55.677655677655679</v>
      </c>
    </row>
    <row r="401" spans="1:11">
      <c r="A401" s="87">
        <v>250</v>
      </c>
      <c r="B401" s="100" t="s">
        <v>384</v>
      </c>
      <c r="C401" s="379">
        <v>4</v>
      </c>
      <c r="D401" s="379">
        <v>4</v>
      </c>
      <c r="E401" s="76">
        <f>'Utilisation rate workouts '!C42</f>
        <v>0.28260869565217389</v>
      </c>
      <c r="F401" s="389">
        <f>106658/13.5</f>
        <v>7900.5925925925922</v>
      </c>
      <c r="G401" s="428">
        <f t="shared" si="79"/>
        <v>31602.370370370369</v>
      </c>
      <c r="H401" s="390">
        <f>G401*'% of time allocation workouts'!G433</f>
        <v>7110.5333333333328</v>
      </c>
      <c r="I401" s="390">
        <f>H401/'Utilisation rate workouts '!$C$38</f>
        <v>78.137728937728937</v>
      </c>
    </row>
    <row r="402" spans="1:11">
      <c r="A402" s="87">
        <v>251</v>
      </c>
      <c r="B402" s="236" t="s">
        <v>66</v>
      </c>
      <c r="C402" s="379">
        <v>4</v>
      </c>
      <c r="D402" s="379">
        <v>4</v>
      </c>
      <c r="E402" s="76">
        <f>'Utilisation rate workouts '!C42</f>
        <v>0.28260869565217389</v>
      </c>
      <c r="F402" s="389">
        <f>97584/13.5</f>
        <v>7228.4444444444443</v>
      </c>
      <c r="G402" s="428">
        <f t="shared" si="79"/>
        <v>28913.777777777777</v>
      </c>
      <c r="H402" s="390">
        <f>G402*'% of time allocation workouts'!G446</f>
        <v>1626.4</v>
      </c>
      <c r="I402" s="390">
        <f>H402/'Utilisation rate workouts '!$C$38</f>
        <v>17.872527472527473</v>
      </c>
    </row>
    <row r="403" spans="1:11">
      <c r="A403" s="468" t="s">
        <v>233</v>
      </c>
      <c r="B403" s="469"/>
      <c r="C403" s="202"/>
      <c r="D403" s="202"/>
      <c r="E403" s="202"/>
      <c r="F403" s="429"/>
      <c r="G403" s="429"/>
      <c r="H403" s="391">
        <f>SUM(H393:H402)</f>
        <v>206978.7608333333</v>
      </c>
      <c r="I403" s="391">
        <f>SUM(I393:I402)</f>
        <v>2274.4918772893775</v>
      </c>
    </row>
    <row r="404" spans="1:11">
      <c r="A404" s="452" t="s">
        <v>397</v>
      </c>
      <c r="B404" s="453"/>
      <c r="C404" s="453"/>
      <c r="D404" s="28"/>
      <c r="E404" s="28"/>
      <c r="F404" s="28"/>
      <c r="G404" s="28"/>
      <c r="H404" s="459"/>
      <c r="I404" s="460"/>
    </row>
    <row r="405" spans="1:11" ht="42">
      <c r="A405" s="273"/>
      <c r="B405" s="63"/>
      <c r="C405" s="63"/>
      <c r="D405" s="63"/>
      <c r="E405" s="63"/>
      <c r="F405" s="63"/>
      <c r="G405" s="64" t="s">
        <v>575</v>
      </c>
      <c r="H405" s="64" t="s">
        <v>576</v>
      </c>
      <c r="I405" s="130" t="s">
        <v>577</v>
      </c>
      <c r="K405" s="241"/>
    </row>
    <row r="406" spans="1:11">
      <c r="A406" s="69"/>
      <c r="B406" s="69"/>
      <c r="C406" s="69"/>
      <c r="D406" s="69"/>
      <c r="E406" s="69"/>
      <c r="F406" s="69"/>
      <c r="G406" s="79" t="s">
        <v>6</v>
      </c>
      <c r="H406" s="79" t="s">
        <v>401</v>
      </c>
      <c r="I406" s="79" t="s">
        <v>458</v>
      </c>
    </row>
    <row r="407" spans="1:11">
      <c r="A407" s="274">
        <v>252</v>
      </c>
      <c r="B407" s="72" t="s">
        <v>399</v>
      </c>
      <c r="C407" s="75"/>
      <c r="D407" s="75"/>
      <c r="E407" s="74"/>
      <c r="F407" s="74"/>
      <c r="G407" s="389">
        <f>2939253.72/13.5</f>
        <v>217722.49777777778</v>
      </c>
      <c r="H407" s="399">
        <f>G407*'Utilisation rate workouts '!C42</f>
        <v>61530.271111111106</v>
      </c>
      <c r="I407" s="391">
        <f>H407/'Utilisation rate workouts '!C38</f>
        <v>676.1568253968253</v>
      </c>
    </row>
    <row r="408" spans="1:11" ht="28">
      <c r="A408" s="274">
        <v>253</v>
      </c>
      <c r="B408" s="240" t="s">
        <v>398</v>
      </c>
      <c r="C408" s="75"/>
      <c r="D408" s="75"/>
      <c r="E408" s="74"/>
      <c r="F408" s="74"/>
      <c r="G408" s="389">
        <f>861591.83/13.5</f>
        <v>63821.617037037031</v>
      </c>
      <c r="H408" s="399">
        <f>G408*'Utilisation rate workouts '!C42</f>
        <v>18036.543945249596</v>
      </c>
      <c r="I408" s="391">
        <f>H408/'Utilisation rate workouts '!C38</f>
        <v>198.20377961812741</v>
      </c>
      <c r="K408" s="241"/>
    </row>
    <row r="409" spans="1:11" ht="27" customHeight="1">
      <c r="A409" s="274">
        <v>254</v>
      </c>
      <c r="B409" s="240" t="s">
        <v>402</v>
      </c>
      <c r="C409" s="75"/>
      <c r="D409" s="75"/>
      <c r="E409" s="74"/>
      <c r="F409" s="74"/>
      <c r="G409" s="389">
        <f>11977939.85/13.5</f>
        <v>887254.80370370368</v>
      </c>
      <c r="H409" s="399">
        <f>G409*'Utilisation rate workouts '!C42</f>
        <v>250745.92278582929</v>
      </c>
      <c r="I409" s="391">
        <f>H409/'Utilisation rate workouts '!C38</f>
        <v>2755.4497009431789</v>
      </c>
      <c r="K409" s="241"/>
    </row>
    <row r="410" spans="1:11" ht="20" customHeight="1">
      <c r="A410" s="274">
        <v>255</v>
      </c>
      <c r="B410" s="240" t="s">
        <v>400</v>
      </c>
      <c r="C410" s="75"/>
      <c r="D410" s="75"/>
      <c r="E410" s="74"/>
      <c r="F410" s="74"/>
      <c r="G410" s="389">
        <f>4332000/13.5</f>
        <v>320888.88888888888</v>
      </c>
      <c r="H410" s="399">
        <f>G410*'Utilisation rate workouts '!C42</f>
        <v>90685.990338164236</v>
      </c>
      <c r="I410" s="391">
        <f>H410/'Utilisation rate workouts '!C38</f>
        <v>996.54934437543113</v>
      </c>
    </row>
    <row r="411" spans="1:11">
      <c r="A411" s="452" t="s">
        <v>451</v>
      </c>
      <c r="B411" s="453"/>
      <c r="C411" s="454"/>
      <c r="D411" s="470"/>
      <c r="E411" s="459"/>
      <c r="F411" s="459"/>
      <c r="G411" s="459"/>
      <c r="H411" s="459"/>
      <c r="I411" s="460"/>
    </row>
    <row r="412" spans="1:11" ht="42">
      <c r="A412" s="63"/>
      <c r="B412" s="63"/>
      <c r="C412" s="63"/>
      <c r="D412" s="63"/>
      <c r="E412" s="63"/>
      <c r="F412" s="63"/>
      <c r="G412" s="64" t="s">
        <v>578</v>
      </c>
      <c r="H412" s="64" t="s">
        <v>579</v>
      </c>
      <c r="I412" s="130" t="s">
        <v>580</v>
      </c>
    </row>
    <row r="413" spans="1:11">
      <c r="A413" s="143"/>
      <c r="B413" s="21"/>
      <c r="C413" s="21"/>
      <c r="D413" s="21"/>
      <c r="E413" s="21"/>
      <c r="F413" s="21"/>
      <c r="G413" s="79" t="s">
        <v>6</v>
      </c>
      <c r="H413" s="79" t="s">
        <v>457</v>
      </c>
      <c r="I413" s="79" t="s">
        <v>458</v>
      </c>
    </row>
    <row r="414" spans="1:11" s="53" customFormat="1">
      <c r="A414" s="275">
        <v>256</v>
      </c>
      <c r="B414" s="205" t="s">
        <v>90</v>
      </c>
      <c r="C414" s="206"/>
      <c r="D414" s="207"/>
      <c r="E414" s="208"/>
      <c r="F414" s="209"/>
      <c r="G414" s="420">
        <f>J424</f>
        <v>15980.969878933178</v>
      </c>
      <c r="H414" s="399">
        <f>G414*'Utilisation rate workouts '!C42</f>
        <v>4516.3610527419851</v>
      </c>
      <c r="I414" s="419">
        <f>H414/'Utilisation rate workouts '!C38</f>
        <v>49.630341238922909</v>
      </c>
    </row>
    <row r="415" spans="1:11">
      <c r="A415" s="452" t="s">
        <v>452</v>
      </c>
      <c r="B415" s="453"/>
      <c r="C415" s="454"/>
      <c r="D415" s="452"/>
      <c r="E415" s="453"/>
      <c r="F415" s="454"/>
      <c r="G415" s="452"/>
      <c r="H415" s="453"/>
      <c r="I415" s="200"/>
    </row>
    <row r="416" spans="1:11" ht="42">
      <c r="A416" s="259"/>
      <c r="B416" s="63"/>
      <c r="C416" s="63"/>
      <c r="D416" s="63"/>
      <c r="E416" s="63"/>
      <c r="F416" s="63"/>
      <c r="G416" s="130" t="s">
        <v>569</v>
      </c>
      <c r="H416" s="130" t="s">
        <v>403</v>
      </c>
      <c r="I416" s="130" t="s">
        <v>581</v>
      </c>
    </row>
    <row r="417" spans="1:13">
      <c r="A417" s="141"/>
      <c r="B417" s="69"/>
      <c r="C417" s="69"/>
      <c r="D417" s="69"/>
      <c r="E417" s="69"/>
      <c r="F417" s="69"/>
      <c r="G417" s="79" t="s">
        <v>6</v>
      </c>
      <c r="H417" s="79" t="s">
        <v>115</v>
      </c>
      <c r="I417" s="79" t="s">
        <v>118</v>
      </c>
    </row>
    <row r="418" spans="1:13">
      <c r="A418" s="95">
        <v>267</v>
      </c>
      <c r="B418" s="87" t="s">
        <v>454</v>
      </c>
      <c r="C418" s="68"/>
      <c r="D418" s="68"/>
      <c r="E418" s="68"/>
      <c r="F418" s="68"/>
      <c r="G418" s="389">
        <f>603736/13.5</f>
        <v>44721.185185185182</v>
      </c>
      <c r="H418" s="87">
        <v>56</v>
      </c>
      <c r="I418" s="397">
        <f>G418/H418</f>
        <v>798.5925925925925</v>
      </c>
    </row>
    <row r="419" spans="1:13" ht="16">
      <c r="A419" s="456" t="s">
        <v>122</v>
      </c>
      <c r="B419" s="457"/>
      <c r="C419" s="125"/>
      <c r="D419" s="125"/>
      <c r="E419" s="125"/>
      <c r="F419" s="125"/>
      <c r="G419" s="125"/>
      <c r="H419" s="125"/>
      <c r="I419" s="125"/>
      <c r="J419" s="2"/>
    </row>
    <row r="420" spans="1:13">
      <c r="A420" s="452" t="s">
        <v>123</v>
      </c>
      <c r="B420" s="453"/>
      <c r="C420" s="454"/>
      <c r="D420" s="452"/>
      <c r="E420" s="453"/>
      <c r="F420" s="454"/>
      <c r="G420" s="455"/>
      <c r="H420" s="455"/>
      <c r="I420" s="285">
        <v>20</v>
      </c>
      <c r="J420" s="278"/>
      <c r="K420" s="24"/>
      <c r="L420" s="24"/>
    </row>
    <row r="421" spans="1:13" ht="45">
      <c r="A421" s="260"/>
      <c r="B421" s="145"/>
      <c r="C421" s="31" t="s">
        <v>404</v>
      </c>
      <c r="D421" s="30" t="s">
        <v>124</v>
      </c>
      <c r="E421" s="30" t="s">
        <v>405</v>
      </c>
      <c r="F421" s="30" t="s">
        <v>582</v>
      </c>
      <c r="G421" s="30" t="s">
        <v>546</v>
      </c>
      <c r="H421" s="30" t="s">
        <v>583</v>
      </c>
      <c r="I421" s="30" t="s">
        <v>406</v>
      </c>
      <c r="J421" s="128" t="s">
        <v>557</v>
      </c>
      <c r="K421" s="128" t="s">
        <v>590</v>
      </c>
      <c r="L421" s="243" t="s">
        <v>584</v>
      </c>
    </row>
    <row r="422" spans="1:13" ht="18" customHeight="1">
      <c r="A422" s="248"/>
      <c r="B422" s="248"/>
      <c r="C422" s="79" t="s">
        <v>6</v>
      </c>
      <c r="D422" s="79" t="s">
        <v>115</v>
      </c>
      <c r="E422" s="79" t="s">
        <v>134</v>
      </c>
      <c r="F422" s="79" t="s">
        <v>133</v>
      </c>
      <c r="G422" s="79" t="s">
        <v>135</v>
      </c>
      <c r="H422" s="79" t="s">
        <v>137</v>
      </c>
      <c r="I422" s="79" t="s">
        <v>138</v>
      </c>
      <c r="J422" s="79" t="s">
        <v>139</v>
      </c>
      <c r="K422" s="79" t="s">
        <v>136</v>
      </c>
      <c r="L422" s="79" t="s">
        <v>140</v>
      </c>
    </row>
    <row r="423" spans="1:13" s="53" customFormat="1" ht="15">
      <c r="A423" s="277">
        <v>258</v>
      </c>
      <c r="B423" s="249" t="s">
        <v>131</v>
      </c>
      <c r="C423" s="421">
        <v>830</v>
      </c>
      <c r="D423" s="245">
        <f>'Utilisation rate workouts '!C42</f>
        <v>0.28260869565217389</v>
      </c>
      <c r="E423" s="246">
        <f>(C423*D423)</f>
        <v>234.56521739130432</v>
      </c>
      <c r="F423" s="430">
        <f>38670/13.5</f>
        <v>2864.4444444444443</v>
      </c>
      <c r="G423" s="396">
        <f>E423*F423</f>
        <v>671899.03381642501</v>
      </c>
      <c r="H423" s="396">
        <f>((10/100)*K423)/12</f>
        <v>376.36342106183201</v>
      </c>
      <c r="I423" s="247">
        <v>14.877000000000001</v>
      </c>
      <c r="J423" s="397">
        <f>H423*12</f>
        <v>4516.3610527419842</v>
      </c>
      <c r="K423" s="397">
        <f>G423/I423</f>
        <v>45163.610527419842</v>
      </c>
      <c r="L423" s="431">
        <f>K423/'Utilisation rate workouts '!$C$38</f>
        <v>496.30341238922904</v>
      </c>
      <c r="M423" s="4"/>
    </row>
    <row r="424" spans="1:13">
      <c r="A424" s="95"/>
      <c r="B424" s="95"/>
      <c r="C424" s="68" t="s">
        <v>453</v>
      </c>
      <c r="D424" s="244">
        <v>1</v>
      </c>
      <c r="E424" s="421">
        <v>830</v>
      </c>
      <c r="F424" s="398">
        <f>38670/13.5</f>
        <v>2864.4444444444443</v>
      </c>
      <c r="G424" s="396">
        <f>E424*F424</f>
        <v>2377488.888888889</v>
      </c>
      <c r="H424" s="396">
        <f>((10/100)*K424)/12</f>
        <v>1331.7474899110982</v>
      </c>
      <c r="I424" s="247">
        <v>14.877000000000001</v>
      </c>
      <c r="J424" s="397">
        <f>H424*12</f>
        <v>15980.969878933178</v>
      </c>
      <c r="K424" s="397">
        <f>G424/I424</f>
        <v>159809.69878933177</v>
      </c>
      <c r="L424" s="397"/>
    </row>
    <row r="425" spans="1:13" ht="17.25" customHeight="1">
      <c r="A425" s="276"/>
      <c r="B425" s="38" t="s">
        <v>407</v>
      </c>
      <c r="C425" s="40"/>
      <c r="D425" s="40"/>
      <c r="E425" s="40"/>
      <c r="F425" s="40"/>
      <c r="G425" s="40"/>
      <c r="H425" s="40"/>
      <c r="I425" s="40"/>
      <c r="J425" s="40"/>
      <c r="K425" s="40"/>
      <c r="L425" s="40"/>
      <c r="M425" s="40"/>
    </row>
    <row r="426" spans="1:13" ht="41" customHeight="1">
      <c r="B426" s="157" t="s">
        <v>408</v>
      </c>
      <c r="C426" s="157" t="s">
        <v>195</v>
      </c>
      <c r="D426" s="157" t="s">
        <v>555</v>
      </c>
      <c r="E426" s="157" t="s">
        <v>546</v>
      </c>
      <c r="F426" s="157" t="s">
        <v>556</v>
      </c>
      <c r="G426" s="157" t="s">
        <v>156</v>
      </c>
      <c r="H426" s="157" t="s">
        <v>146</v>
      </c>
      <c r="I426" s="157" t="s">
        <v>557</v>
      </c>
      <c r="J426" s="157" t="s">
        <v>553</v>
      </c>
      <c r="K426" s="157" t="s">
        <v>147</v>
      </c>
      <c r="L426" s="157" t="s">
        <v>585</v>
      </c>
      <c r="M426" s="158" t="s">
        <v>586</v>
      </c>
    </row>
    <row r="427" spans="1:13">
      <c r="A427" s="87">
        <v>259</v>
      </c>
      <c r="B427" s="100" t="s">
        <v>409</v>
      </c>
      <c r="C427" s="421">
        <v>2</v>
      </c>
      <c r="D427" s="389">
        <f>5500000/13.5</f>
        <v>407407.40740740742</v>
      </c>
      <c r="E427" s="404">
        <f t="shared" ref="E427:E443" si="80">C427*D427</f>
        <v>814814.81481481483</v>
      </c>
      <c r="F427" s="404">
        <f t="shared" ref="F427:F443" si="81">((10/100)*E427)/12</f>
        <v>6790.1234567901238</v>
      </c>
      <c r="G427" s="97">
        <v>15</v>
      </c>
      <c r="H427" s="100">
        <f t="shared" ref="H427:H443" si="82">IF(G427=30,19.6004, IF(G427=15,11.9379,IF(G427=10,8.5302,IF(G427=5,4.5797,IF(G427=2,1.9135)))))</f>
        <v>11.937900000000001</v>
      </c>
      <c r="I427" s="404">
        <f t="shared" ref="I427:I443" si="83">F427*12</f>
        <v>81481.481481481489</v>
      </c>
      <c r="J427" s="404">
        <f t="shared" ref="J427:J443" si="84">E427/H427+I427</f>
        <v>149735.93283513788</v>
      </c>
      <c r="K427" s="214">
        <f>'Utilisation rate workouts '!C42</f>
        <v>0.28260869565217389</v>
      </c>
      <c r="L427" s="404">
        <f t="shared" ref="L427:L443" si="85">J427*K427</f>
        <v>42316.676670799832</v>
      </c>
      <c r="M427" s="404">
        <f>J427/'Utilisation rate workouts '!$C$38</f>
        <v>1645.4498113751415</v>
      </c>
    </row>
    <row r="428" spans="1:13">
      <c r="A428" s="87">
        <v>260</v>
      </c>
      <c r="B428" s="100" t="s">
        <v>410</v>
      </c>
      <c r="C428" s="421">
        <v>2</v>
      </c>
      <c r="D428" s="389">
        <f>149319.64/13.5</f>
        <v>11060.714074074074</v>
      </c>
      <c r="E428" s="404">
        <f t="shared" si="80"/>
        <v>22121.428148148148</v>
      </c>
      <c r="F428" s="404">
        <f t="shared" si="81"/>
        <v>184.34523456790123</v>
      </c>
      <c r="G428" s="97">
        <v>15</v>
      </c>
      <c r="H428" s="100">
        <f t="shared" si="82"/>
        <v>11.937900000000001</v>
      </c>
      <c r="I428" s="404">
        <f t="shared" si="83"/>
        <v>2212.1428148148148</v>
      </c>
      <c r="J428" s="404">
        <f t="shared" si="84"/>
        <v>4065.1846520012668</v>
      </c>
      <c r="K428" s="214">
        <f>'Utilisation rate workouts '!C42</f>
        <v>0.28260869565217389</v>
      </c>
      <c r="L428" s="404">
        <f t="shared" si="85"/>
        <v>1148.8565320873145</v>
      </c>
      <c r="M428" s="404">
        <f>J428/'Utilisation rate workouts '!$C$38</f>
        <v>44.672358813200738</v>
      </c>
    </row>
    <row r="429" spans="1:13">
      <c r="A429" s="87">
        <v>261</v>
      </c>
      <c r="B429" s="100" t="s">
        <v>411</v>
      </c>
      <c r="C429" s="421">
        <v>2</v>
      </c>
      <c r="D429" s="389">
        <f>1000000/13.5</f>
        <v>74074.074074074073</v>
      </c>
      <c r="E429" s="404">
        <f t="shared" si="80"/>
        <v>148148.14814814815</v>
      </c>
      <c r="F429" s="404">
        <f t="shared" si="81"/>
        <v>1234.5679012345679</v>
      </c>
      <c r="G429" s="97">
        <v>15</v>
      </c>
      <c r="H429" s="100">
        <f t="shared" si="82"/>
        <v>11.937900000000001</v>
      </c>
      <c r="I429" s="404">
        <f t="shared" si="83"/>
        <v>14814.814814814814</v>
      </c>
      <c r="J429" s="404">
        <f t="shared" si="84"/>
        <v>27224.715060934159</v>
      </c>
      <c r="K429" s="214">
        <f>'Utilisation rate workouts '!C42</f>
        <v>0.28260869565217389</v>
      </c>
      <c r="L429" s="404">
        <f t="shared" si="85"/>
        <v>7693.9412128726963</v>
      </c>
      <c r="M429" s="404">
        <f>J429/'Utilisation rate workouts '!$C$38</f>
        <v>299.17269297729842</v>
      </c>
    </row>
    <row r="430" spans="1:13">
      <c r="A430" s="87">
        <v>262</v>
      </c>
      <c r="B430" s="100" t="s">
        <v>412</v>
      </c>
      <c r="C430" s="421">
        <v>2</v>
      </c>
      <c r="D430" s="389">
        <f>75000/13.5</f>
        <v>5555.5555555555557</v>
      </c>
      <c r="E430" s="404">
        <f t="shared" si="80"/>
        <v>11111.111111111111</v>
      </c>
      <c r="F430" s="404">
        <f t="shared" si="81"/>
        <v>92.592592592592595</v>
      </c>
      <c r="G430" s="97">
        <v>15</v>
      </c>
      <c r="H430" s="100">
        <f t="shared" si="82"/>
        <v>11.937900000000001</v>
      </c>
      <c r="I430" s="404">
        <f t="shared" si="83"/>
        <v>1111.1111111111111</v>
      </c>
      <c r="J430" s="404">
        <f t="shared" si="84"/>
        <v>2041.8536295700619</v>
      </c>
      <c r="K430" s="214">
        <f>'Utilisation rate workouts '!C42</f>
        <v>0.28260869565217389</v>
      </c>
      <c r="L430" s="404">
        <f t="shared" si="85"/>
        <v>577.04559096545222</v>
      </c>
      <c r="M430" s="404">
        <f>J430/'Utilisation rate workouts '!$C$38</f>
        <v>22.437951973297384</v>
      </c>
    </row>
    <row r="431" spans="1:13">
      <c r="A431" s="87">
        <v>263</v>
      </c>
      <c r="B431" s="100" t="s">
        <v>413</v>
      </c>
      <c r="C431" s="421">
        <v>2</v>
      </c>
      <c r="D431" s="389">
        <f>13000/13.5</f>
        <v>962.96296296296293</v>
      </c>
      <c r="E431" s="404">
        <f t="shared" si="80"/>
        <v>1925.9259259259259</v>
      </c>
      <c r="F431" s="404">
        <f t="shared" si="81"/>
        <v>16.049382716049383</v>
      </c>
      <c r="G431" s="97">
        <v>15</v>
      </c>
      <c r="H431" s="100">
        <f t="shared" si="82"/>
        <v>11.937900000000001</v>
      </c>
      <c r="I431" s="404">
        <f t="shared" si="83"/>
        <v>192.59259259259261</v>
      </c>
      <c r="J431" s="404">
        <f t="shared" si="84"/>
        <v>353.92129579214406</v>
      </c>
      <c r="K431" s="214">
        <f>'Utilisation rate workouts '!C42</f>
        <v>0.28260869565217389</v>
      </c>
      <c r="L431" s="404">
        <f t="shared" si="85"/>
        <v>100.02123576734506</v>
      </c>
      <c r="M431" s="404">
        <f>J431/'Utilisation rate workouts '!$C$38</f>
        <v>3.8892450087048798</v>
      </c>
    </row>
    <row r="432" spans="1:13">
      <c r="A432" s="87">
        <v>264</v>
      </c>
      <c r="B432" s="100" t="s">
        <v>414</v>
      </c>
      <c r="C432" s="421">
        <v>2</v>
      </c>
      <c r="D432" s="389">
        <f>800000/13.5</f>
        <v>59259.259259259263</v>
      </c>
      <c r="E432" s="404">
        <f t="shared" si="80"/>
        <v>118518.51851851853</v>
      </c>
      <c r="F432" s="404">
        <f t="shared" si="81"/>
        <v>987.6543209876545</v>
      </c>
      <c r="G432" s="97">
        <v>15</v>
      </c>
      <c r="H432" s="100">
        <f t="shared" si="82"/>
        <v>11.937900000000001</v>
      </c>
      <c r="I432" s="404">
        <f t="shared" si="83"/>
        <v>11851.851851851854</v>
      </c>
      <c r="J432" s="404">
        <f t="shared" si="84"/>
        <v>21779.772048747331</v>
      </c>
      <c r="K432" s="214">
        <f>'Utilisation rate workouts '!C42</f>
        <v>0.28260869565217389</v>
      </c>
      <c r="L432" s="404">
        <f t="shared" si="85"/>
        <v>6155.1529702981579</v>
      </c>
      <c r="M432" s="404">
        <f>J432/'Utilisation rate workouts '!$C$38</f>
        <v>239.33815438183879</v>
      </c>
    </row>
    <row r="433" spans="1:13">
      <c r="A433" s="87">
        <v>265</v>
      </c>
      <c r="B433" s="100" t="s">
        <v>415</v>
      </c>
      <c r="C433" s="421">
        <v>2</v>
      </c>
      <c r="D433" s="389">
        <f>58000/13.5</f>
        <v>4296.2962962962965</v>
      </c>
      <c r="E433" s="404">
        <f t="shared" si="80"/>
        <v>8592.5925925925931</v>
      </c>
      <c r="F433" s="404">
        <f t="shared" si="81"/>
        <v>71.604938271604951</v>
      </c>
      <c r="G433" s="97">
        <v>5</v>
      </c>
      <c r="H433" s="100">
        <f t="shared" si="82"/>
        <v>4.5796999999999999</v>
      </c>
      <c r="I433" s="404">
        <f t="shared" si="83"/>
        <v>859.25925925925935</v>
      </c>
      <c r="J433" s="404">
        <f t="shared" si="84"/>
        <v>2735.4940765164147</v>
      </c>
      <c r="K433" s="214">
        <f>'Utilisation rate workouts '!C42</f>
        <v>0.28260869565217389</v>
      </c>
      <c r="L433" s="404">
        <f t="shared" si="85"/>
        <v>773.07441292855196</v>
      </c>
      <c r="M433" s="404">
        <f>J433/'Utilisation rate workouts '!$C$38</f>
        <v>30.060374467213347</v>
      </c>
    </row>
    <row r="434" spans="1:13">
      <c r="A434" s="87">
        <v>266</v>
      </c>
      <c r="B434" s="100" t="s">
        <v>416</v>
      </c>
      <c r="C434" s="421">
        <v>2</v>
      </c>
      <c r="D434" s="389">
        <f>15000/13.5</f>
        <v>1111.1111111111111</v>
      </c>
      <c r="E434" s="404">
        <f t="shared" si="80"/>
        <v>2222.2222222222222</v>
      </c>
      <c r="F434" s="404">
        <f t="shared" si="81"/>
        <v>18.518518518518519</v>
      </c>
      <c r="G434" s="97">
        <v>5</v>
      </c>
      <c r="H434" s="100">
        <f t="shared" si="82"/>
        <v>4.5796999999999999</v>
      </c>
      <c r="I434" s="404">
        <f t="shared" si="83"/>
        <v>222.22222222222223</v>
      </c>
      <c r="J434" s="404">
        <f t="shared" si="84"/>
        <v>707.455364616314</v>
      </c>
      <c r="K434" s="214">
        <f>'Utilisation rate workouts '!C42</f>
        <v>0.28260869565217389</v>
      </c>
      <c r="L434" s="404">
        <f t="shared" si="85"/>
        <v>199.93303782634959</v>
      </c>
      <c r="M434" s="404">
        <f>J434/'Utilisation rate workouts '!$C$38</f>
        <v>7.7742347760034507</v>
      </c>
    </row>
    <row r="435" spans="1:13">
      <c r="A435" s="87">
        <v>267</v>
      </c>
      <c r="B435" s="100" t="s">
        <v>417</v>
      </c>
      <c r="C435" s="421">
        <v>2</v>
      </c>
      <c r="D435" s="389">
        <f>1000000/13.5</f>
        <v>74074.074074074073</v>
      </c>
      <c r="E435" s="404">
        <f t="shared" si="80"/>
        <v>148148.14814814815</v>
      </c>
      <c r="F435" s="404">
        <f t="shared" si="81"/>
        <v>1234.5679012345679</v>
      </c>
      <c r="G435" s="97">
        <v>15</v>
      </c>
      <c r="H435" s="100">
        <f t="shared" si="82"/>
        <v>11.937900000000001</v>
      </c>
      <c r="I435" s="404">
        <f t="shared" si="83"/>
        <v>14814.814814814814</v>
      </c>
      <c r="J435" s="404">
        <f t="shared" si="84"/>
        <v>27224.715060934159</v>
      </c>
      <c r="K435" s="214">
        <f>'Utilisation rate workouts '!C42</f>
        <v>0.28260869565217389</v>
      </c>
      <c r="L435" s="404">
        <f t="shared" si="85"/>
        <v>7693.9412128726963</v>
      </c>
      <c r="M435" s="404">
        <f>J435/'Utilisation rate workouts '!$C$38</f>
        <v>299.17269297729842</v>
      </c>
    </row>
    <row r="436" spans="1:13">
      <c r="A436" s="87">
        <v>268</v>
      </c>
      <c r="B436" s="100" t="s">
        <v>418</v>
      </c>
      <c r="C436" s="421">
        <v>2</v>
      </c>
      <c r="D436" s="389">
        <f>230000/13.5</f>
        <v>17037.037037037036</v>
      </c>
      <c r="E436" s="404">
        <f t="shared" si="80"/>
        <v>34074.074074074073</v>
      </c>
      <c r="F436" s="404">
        <f t="shared" si="81"/>
        <v>283.95061728395063</v>
      </c>
      <c r="G436" s="97">
        <v>10</v>
      </c>
      <c r="H436" s="100">
        <f t="shared" si="82"/>
        <v>8.5302000000000007</v>
      </c>
      <c r="I436" s="404">
        <f t="shared" si="83"/>
        <v>3407.4074074074078</v>
      </c>
      <c r="J436" s="404">
        <f t="shared" si="84"/>
        <v>7401.929701617868</v>
      </c>
      <c r="K436" s="214">
        <f>'Utilisation rate workouts '!C42</f>
        <v>0.28260869565217389</v>
      </c>
      <c r="L436" s="404">
        <f t="shared" si="85"/>
        <v>2091.8496982833103</v>
      </c>
      <c r="M436" s="404">
        <f>J436/'Utilisation rate workouts '!$C$38</f>
        <v>81.339886830965582</v>
      </c>
    </row>
    <row r="437" spans="1:13">
      <c r="A437" s="87">
        <v>269</v>
      </c>
      <c r="B437" s="100" t="s">
        <v>419</v>
      </c>
      <c r="C437" s="421">
        <v>2</v>
      </c>
      <c r="D437" s="389">
        <f>58000/13.5</f>
        <v>4296.2962962962965</v>
      </c>
      <c r="E437" s="404">
        <f t="shared" si="80"/>
        <v>8592.5925925925931</v>
      </c>
      <c r="F437" s="404">
        <f t="shared" si="81"/>
        <v>71.604938271604951</v>
      </c>
      <c r="G437" s="97">
        <v>10</v>
      </c>
      <c r="H437" s="100">
        <f t="shared" si="82"/>
        <v>8.5302000000000007</v>
      </c>
      <c r="I437" s="404">
        <f t="shared" si="83"/>
        <v>859.25925925925935</v>
      </c>
      <c r="J437" s="404">
        <f t="shared" si="84"/>
        <v>1866.5735769297235</v>
      </c>
      <c r="K437" s="214">
        <f>'Utilisation rate workouts '!C42</f>
        <v>0.28260869565217389</v>
      </c>
      <c r="L437" s="404">
        <f t="shared" si="85"/>
        <v>527.50992391492184</v>
      </c>
      <c r="M437" s="404">
        <f>J437/'Utilisation rate workouts '!$C$38</f>
        <v>20.511797548678281</v>
      </c>
    </row>
    <row r="438" spans="1:13">
      <c r="A438" s="87">
        <v>270</v>
      </c>
      <c r="B438" s="86" t="s">
        <v>420</v>
      </c>
      <c r="C438" s="421">
        <v>2</v>
      </c>
      <c r="D438" s="389">
        <f>800000/13.5</f>
        <v>59259.259259259263</v>
      </c>
      <c r="E438" s="404">
        <f t="shared" si="80"/>
        <v>118518.51851851853</v>
      </c>
      <c r="F438" s="404">
        <f t="shared" si="81"/>
        <v>987.6543209876545</v>
      </c>
      <c r="G438" s="97">
        <v>15</v>
      </c>
      <c r="H438" s="100">
        <f t="shared" si="82"/>
        <v>11.937900000000001</v>
      </c>
      <c r="I438" s="404">
        <f t="shared" si="83"/>
        <v>11851.851851851854</v>
      </c>
      <c r="J438" s="404">
        <f t="shared" si="84"/>
        <v>21779.772048747331</v>
      </c>
      <c r="K438" s="214">
        <f>'Utilisation rate workouts '!C42</f>
        <v>0.28260869565217389</v>
      </c>
      <c r="L438" s="404">
        <f t="shared" si="85"/>
        <v>6155.1529702981579</v>
      </c>
      <c r="M438" s="404">
        <f>J438/'Utilisation rate workouts '!$C$38</f>
        <v>239.33815438183879</v>
      </c>
    </row>
    <row r="439" spans="1:13">
      <c r="A439" s="87">
        <v>271</v>
      </c>
      <c r="B439" s="86" t="s">
        <v>421</v>
      </c>
      <c r="C439" s="421">
        <v>2</v>
      </c>
      <c r="D439" s="389">
        <f>3267.78/13.5</f>
        <v>242.0577777777778</v>
      </c>
      <c r="E439" s="404">
        <f t="shared" si="80"/>
        <v>484.1155555555556</v>
      </c>
      <c r="F439" s="404">
        <f t="shared" si="81"/>
        <v>4.0342962962962972</v>
      </c>
      <c r="G439" s="97">
        <v>15</v>
      </c>
      <c r="H439" s="100">
        <f t="shared" si="82"/>
        <v>11.937900000000001</v>
      </c>
      <c r="I439" s="404">
        <f t="shared" si="83"/>
        <v>48.411555555555566</v>
      </c>
      <c r="J439" s="404">
        <f t="shared" si="84"/>
        <v>88.964379381819441</v>
      </c>
      <c r="K439" s="214">
        <f>'Utilisation rate workouts '!C42</f>
        <v>0.28260869565217389</v>
      </c>
      <c r="L439" s="404">
        <f t="shared" si="85"/>
        <v>25.142107216601143</v>
      </c>
      <c r="M439" s="404">
        <f>J439/'Utilisation rate workouts '!$C$38</f>
        <v>0.97763054265735649</v>
      </c>
    </row>
    <row r="440" spans="1:13">
      <c r="A440" s="87">
        <v>272</v>
      </c>
      <c r="B440" s="86" t="s">
        <v>422</v>
      </c>
      <c r="C440" s="421">
        <v>2</v>
      </c>
      <c r="D440" s="389">
        <f>8400/13.5</f>
        <v>622.22222222222217</v>
      </c>
      <c r="E440" s="404">
        <f t="shared" si="80"/>
        <v>1244.4444444444443</v>
      </c>
      <c r="F440" s="404">
        <f t="shared" si="81"/>
        <v>10.37037037037037</v>
      </c>
      <c r="G440" s="97">
        <v>10</v>
      </c>
      <c r="H440" s="100">
        <f t="shared" si="82"/>
        <v>8.5302000000000007</v>
      </c>
      <c r="I440" s="404">
        <f t="shared" si="83"/>
        <v>124.44444444444444</v>
      </c>
      <c r="J440" s="404">
        <f t="shared" si="84"/>
        <v>270.33134562430473</v>
      </c>
      <c r="K440" s="214">
        <f>'Utilisation rate workouts '!C42</f>
        <v>0.28260869565217389</v>
      </c>
      <c r="L440" s="404">
        <f t="shared" si="85"/>
        <v>76.397988980781761</v>
      </c>
      <c r="M440" s="404">
        <f>J440/'Utilisation rate workouts '!$C$38</f>
        <v>2.9706741277396125</v>
      </c>
    </row>
    <row r="441" spans="1:13">
      <c r="A441" s="87">
        <v>273</v>
      </c>
      <c r="B441" s="100" t="s">
        <v>423</v>
      </c>
      <c r="C441" s="421">
        <v>2</v>
      </c>
      <c r="D441" s="389">
        <f>150000/13.5</f>
        <v>11111.111111111111</v>
      </c>
      <c r="E441" s="404">
        <f t="shared" si="80"/>
        <v>22222.222222222223</v>
      </c>
      <c r="F441" s="404">
        <f t="shared" si="81"/>
        <v>185.18518518518519</v>
      </c>
      <c r="G441" s="97">
        <v>10</v>
      </c>
      <c r="H441" s="100">
        <f t="shared" si="82"/>
        <v>8.5302000000000007</v>
      </c>
      <c r="I441" s="404">
        <f t="shared" si="83"/>
        <v>2222.2222222222222</v>
      </c>
      <c r="J441" s="404">
        <f t="shared" si="84"/>
        <v>4827.3454575768701</v>
      </c>
      <c r="K441" s="214">
        <f>'Utilisation rate workouts '!C42</f>
        <v>0.28260869565217389</v>
      </c>
      <c r="L441" s="404">
        <f t="shared" si="85"/>
        <v>1364.2498032282458</v>
      </c>
      <c r="M441" s="404">
        <f>J441/'Utilisation rate workouts '!$C$38</f>
        <v>53.047752281064504</v>
      </c>
    </row>
    <row r="442" spans="1:13">
      <c r="A442" s="87">
        <v>274</v>
      </c>
      <c r="B442" s="100" t="s">
        <v>424</v>
      </c>
      <c r="C442" s="421">
        <v>12</v>
      </c>
      <c r="D442" s="389">
        <f>25000/13.5</f>
        <v>1851.851851851852</v>
      </c>
      <c r="E442" s="404">
        <f t="shared" si="80"/>
        <v>22222.222222222223</v>
      </c>
      <c r="F442" s="404">
        <f t="shared" si="81"/>
        <v>185.18518518518519</v>
      </c>
      <c r="G442" s="97">
        <v>15</v>
      </c>
      <c r="H442" s="100">
        <f t="shared" si="82"/>
        <v>11.937900000000001</v>
      </c>
      <c r="I442" s="404">
        <f t="shared" si="83"/>
        <v>2222.2222222222222</v>
      </c>
      <c r="J442" s="404">
        <f t="shared" si="84"/>
        <v>4083.7072591401238</v>
      </c>
      <c r="K442" s="214">
        <f>'Utilisation rate workouts '!C42</f>
        <v>0.28260869565217389</v>
      </c>
      <c r="L442" s="404">
        <f t="shared" si="85"/>
        <v>1154.0911819309044</v>
      </c>
      <c r="M442" s="404">
        <f>J442/'Utilisation rate workouts '!$C$38</f>
        <v>44.875903946594768</v>
      </c>
    </row>
    <row r="443" spans="1:13">
      <c r="A443" s="87">
        <v>275</v>
      </c>
      <c r="B443" s="96" t="s">
        <v>425</v>
      </c>
      <c r="C443" s="421">
        <v>4</v>
      </c>
      <c r="D443" s="389">
        <f>13000/13.5</f>
        <v>962.96296296296293</v>
      </c>
      <c r="E443" s="404">
        <f t="shared" si="80"/>
        <v>3851.8518518518517</v>
      </c>
      <c r="F443" s="404">
        <f t="shared" si="81"/>
        <v>32.098765432098766</v>
      </c>
      <c r="G443" s="97">
        <v>15</v>
      </c>
      <c r="H443" s="100">
        <f t="shared" si="82"/>
        <v>11.937900000000001</v>
      </c>
      <c r="I443" s="404">
        <f t="shared" si="83"/>
        <v>385.18518518518522</v>
      </c>
      <c r="J443" s="404">
        <f t="shared" si="84"/>
        <v>707.84259158428813</v>
      </c>
      <c r="K443" s="214">
        <f>'Utilisation rate workouts '!C42</f>
        <v>0.28260869565217389</v>
      </c>
      <c r="L443" s="404">
        <f t="shared" si="85"/>
        <v>200.04247153469012</v>
      </c>
      <c r="M443" s="404">
        <f>J443/'Utilisation rate workouts '!$C$38</f>
        <v>7.7784900174097595</v>
      </c>
    </row>
    <row r="444" spans="1:13">
      <c r="A444" s="87"/>
      <c r="B444" s="102" t="s">
        <v>434</v>
      </c>
      <c r="C444" s="102"/>
      <c r="D444" s="104"/>
      <c r="E444" s="104"/>
      <c r="F444" s="106"/>
      <c r="G444" s="106"/>
      <c r="H444" s="96"/>
      <c r="I444" s="416"/>
      <c r="J444" s="432">
        <f>SUM(J427:J443)</f>
        <v>276895.51038485212</v>
      </c>
      <c r="K444" s="250"/>
      <c r="L444" s="432">
        <f>SUM(L427:L443)</f>
        <v>78253.079021806028</v>
      </c>
      <c r="M444" s="432">
        <f>SUM(M427:M443)</f>
        <v>3042.8078064269462</v>
      </c>
    </row>
    <row r="445" spans="1:13">
      <c r="A445" s="118"/>
      <c r="B445" s="116" t="s">
        <v>426</v>
      </c>
      <c r="C445" s="109"/>
      <c r="D445" s="118"/>
      <c r="E445" s="118"/>
      <c r="F445" s="215"/>
      <c r="G445" s="109"/>
      <c r="H445" s="109"/>
      <c r="I445" s="120"/>
      <c r="J445" s="121"/>
      <c r="K445" s="109"/>
      <c r="L445" s="121"/>
      <c r="M445" s="121"/>
    </row>
    <row r="446" spans="1:13">
      <c r="A446" s="87">
        <v>276</v>
      </c>
      <c r="B446" s="86" t="s">
        <v>219</v>
      </c>
      <c r="C446" s="379">
        <v>3</v>
      </c>
      <c r="D446" s="389">
        <f>399/13.5</f>
        <v>29.555555555555557</v>
      </c>
      <c r="E446" s="403">
        <f>D446*C446</f>
        <v>88.666666666666671</v>
      </c>
      <c r="F446" s="404">
        <f>((10/100)*E446)/12</f>
        <v>0.73888888888888893</v>
      </c>
      <c r="G446" s="97">
        <v>15</v>
      </c>
      <c r="H446" s="100">
        <f>IF(G446=30,19.6004, IF(G446=15,11.9379,IF(G446=10,8.5302,IF(G446=5,4.5797,IF(G446=2,1.9135)))))</f>
        <v>11.937900000000001</v>
      </c>
      <c r="I446" s="404">
        <f>F446*12</f>
        <v>8.8666666666666671</v>
      </c>
      <c r="J446" s="404">
        <f>E446/H446+I446</f>
        <v>16.293991963969095</v>
      </c>
      <c r="K446" s="404">
        <f>'Utilisation rate workouts '!C42</f>
        <v>0.28260869565217389</v>
      </c>
      <c r="L446" s="404">
        <f>J446*K446</f>
        <v>4.6048238159043091</v>
      </c>
      <c r="M446" s="404">
        <f>J446/'Utilisation rate workouts '!$C$38</f>
        <v>0.17905485674691313</v>
      </c>
    </row>
    <row r="447" spans="1:13">
      <c r="A447" s="87">
        <v>277</v>
      </c>
      <c r="B447" s="86" t="s">
        <v>217</v>
      </c>
      <c r="C447" s="379">
        <v>1</v>
      </c>
      <c r="D447" s="389">
        <f>3694/13.5</f>
        <v>273.62962962962962</v>
      </c>
      <c r="E447" s="403">
        <f>D447*C447</f>
        <v>273.62962962962962</v>
      </c>
      <c r="F447" s="404">
        <f>((10/100)*E447)/12</f>
        <v>2.280246913580247</v>
      </c>
      <c r="G447" s="97">
        <v>5</v>
      </c>
      <c r="H447" s="100">
        <f>IF(G447=30,19.6004, IF(G447=15,11.9379,IF(G447=10,8.5302,IF(G447=5,4.5797,IF(G447=2,1.9135)))))</f>
        <v>4.5796999999999999</v>
      </c>
      <c r="I447" s="404">
        <f>F447*12</f>
        <v>27.362962962962964</v>
      </c>
      <c r="J447" s="404">
        <f>E447/H447+I447</f>
        <v>87.111337229755463</v>
      </c>
      <c r="K447" s="404">
        <f>'Utilisation rate workouts '!C42</f>
        <v>0.28260869565217389</v>
      </c>
      <c r="L447" s="404">
        <f>J447*K447</f>
        <v>24.618421391017847</v>
      </c>
      <c r="M447" s="404">
        <f>J447/'Utilisation rate workouts '!$C$38</f>
        <v>0.95726744208522485</v>
      </c>
    </row>
    <row r="448" spans="1:13">
      <c r="A448" s="87">
        <v>278</v>
      </c>
      <c r="B448" s="86" t="s">
        <v>211</v>
      </c>
      <c r="C448" s="379">
        <v>1</v>
      </c>
      <c r="D448" s="389">
        <f>179/13.5</f>
        <v>13.25925925925926</v>
      </c>
      <c r="E448" s="403">
        <f>D448*C448</f>
        <v>13.25925925925926</v>
      </c>
      <c r="F448" s="404">
        <f>((10/100)*E448)/12</f>
        <v>0.11049382716049383</v>
      </c>
      <c r="G448" s="97">
        <v>5</v>
      </c>
      <c r="H448" s="100">
        <f>IF(G448=30,19.6004, IF(G448=15,11.9379,IF(G448=10,8.5302,IF(G448=5,4.5797,IF(G448=2,1.9135)))))</f>
        <v>4.5796999999999999</v>
      </c>
      <c r="I448" s="404">
        <f>F448*12</f>
        <v>1.325925925925926</v>
      </c>
      <c r="J448" s="404">
        <f>E448/H448+I448</f>
        <v>4.2211503422106738</v>
      </c>
      <c r="K448" s="404">
        <f>'Utilisation rate workouts '!C42</f>
        <v>0.28260869565217389</v>
      </c>
      <c r="L448" s="404">
        <f>J448*K448</f>
        <v>1.1929337923638861</v>
      </c>
      <c r="M448" s="404">
        <f>J448/'Utilisation rate workouts '!$C$38</f>
        <v>4.6386267496820593E-2</v>
      </c>
    </row>
    <row r="449" spans="1:13">
      <c r="A449" s="87">
        <v>279</v>
      </c>
      <c r="B449" s="86" t="s">
        <v>223</v>
      </c>
      <c r="C449" s="379">
        <v>1</v>
      </c>
      <c r="D449" s="389">
        <f>795/13.5</f>
        <v>58.888888888888886</v>
      </c>
      <c r="E449" s="403">
        <f>D449*C449</f>
        <v>58.888888888888886</v>
      </c>
      <c r="F449" s="404">
        <f>((10/100)*E449)/12</f>
        <v>0.49074074074074076</v>
      </c>
      <c r="G449" s="97">
        <v>5</v>
      </c>
      <c r="H449" s="100">
        <f>IF(G449=30,19.6004, IF(G449=15,11.9379,IF(G449=10,8.5302,IF(G449=5,4.5797,IF(G449=2,1.9135)))))</f>
        <v>4.5796999999999999</v>
      </c>
      <c r="I449" s="404">
        <f>F449*12</f>
        <v>5.8888888888888893</v>
      </c>
      <c r="J449" s="404">
        <f>E449/H449+I449</f>
        <v>18.747567162332324</v>
      </c>
      <c r="K449" s="404">
        <f>'Utilisation rate workouts '!C42</f>
        <v>0.28260869565217389</v>
      </c>
      <c r="L449" s="404">
        <f>J449*K449</f>
        <v>5.2982255023982647</v>
      </c>
      <c r="M449" s="404">
        <f>J449/'Utilisation rate workouts '!$C$38</f>
        <v>0.20601722156409147</v>
      </c>
    </row>
    <row r="450" spans="1:13">
      <c r="A450" s="87">
        <v>280</v>
      </c>
      <c r="B450" s="86" t="s">
        <v>190</v>
      </c>
      <c r="C450" s="379">
        <v>1</v>
      </c>
      <c r="D450" s="389">
        <f>175/13.5</f>
        <v>12.962962962962964</v>
      </c>
      <c r="E450" s="403">
        <f>D450*C450</f>
        <v>12.962962962962964</v>
      </c>
      <c r="F450" s="404">
        <f>((10/100)*E450)/12</f>
        <v>0.10802469135802471</v>
      </c>
      <c r="G450" s="97">
        <v>5</v>
      </c>
      <c r="H450" s="100">
        <f>IF(G450=30,19.6004, IF(G450=15,11.9379,IF(G450=10,8.5302,IF(G450=5,4.5797,IF(G450=2,1.9135)))))</f>
        <v>4.5796999999999999</v>
      </c>
      <c r="I450" s="404">
        <f>F450*12</f>
        <v>1.2962962962962965</v>
      </c>
      <c r="J450" s="404">
        <f>E450/H450+I450</f>
        <v>4.1268229602618325</v>
      </c>
      <c r="K450" s="404">
        <f>'Utilisation rate workouts '!C42</f>
        <v>0.28260869565217389</v>
      </c>
      <c r="L450" s="404">
        <f>J450*K450</f>
        <v>1.1662760539870396</v>
      </c>
      <c r="M450" s="404">
        <f>J450/'Utilisation rate workouts '!$C$38</f>
        <v>4.5349702860020137E-2</v>
      </c>
    </row>
    <row r="451" spans="1:13">
      <c r="A451" s="87"/>
      <c r="B451" s="106" t="s">
        <v>434</v>
      </c>
      <c r="C451" s="442"/>
      <c r="D451" s="445"/>
      <c r="E451" s="403"/>
      <c r="F451" s="404"/>
      <c r="G451" s="96"/>
      <c r="H451" s="96"/>
      <c r="I451" s="416"/>
      <c r="J451" s="405">
        <f>SUM(J446:J450)</f>
        <v>130.50086965852938</v>
      </c>
      <c r="K451" s="404"/>
      <c r="L451" s="405">
        <f>SUM(L446:L450)</f>
        <v>36.880680555671347</v>
      </c>
      <c r="M451" s="405">
        <f>SUM(M446:M450)</f>
        <v>1.4340754907530699</v>
      </c>
    </row>
    <row r="452" spans="1:13">
      <c r="A452" s="118"/>
      <c r="B452" s="116" t="s">
        <v>427</v>
      </c>
      <c r="C452" s="443"/>
      <c r="D452" s="446"/>
      <c r="E452" s="433"/>
      <c r="F452" s="434"/>
      <c r="G452" s="109"/>
      <c r="H452" s="109"/>
      <c r="I452" s="436"/>
      <c r="J452" s="434"/>
      <c r="K452" s="434"/>
      <c r="L452" s="434"/>
      <c r="M452" s="434"/>
    </row>
    <row r="453" spans="1:13">
      <c r="A453" s="87">
        <v>281</v>
      </c>
      <c r="B453" s="86" t="s">
        <v>183</v>
      </c>
      <c r="C453" s="379">
        <v>2</v>
      </c>
      <c r="D453" s="389">
        <f>1178/13.5</f>
        <v>87.259259259259252</v>
      </c>
      <c r="E453" s="403">
        <f>D453*C453</f>
        <v>174.5185185185185</v>
      </c>
      <c r="F453" s="404">
        <f>((10/100)*E453)/12</f>
        <v>1.4543209876543211</v>
      </c>
      <c r="G453" s="97">
        <v>15</v>
      </c>
      <c r="H453" s="100">
        <f>IF(G453=30,19.6004, IF(G453=15,11.9379,IF(G453=10,8.5302,IF(G453=5,4.5797,IF(G453=2,1.9135)))))</f>
        <v>11.937900000000001</v>
      </c>
      <c r="I453" s="404">
        <f>F453*12</f>
        <v>17.451851851851853</v>
      </c>
      <c r="J453" s="404">
        <f>E453/H453+I453</f>
        <v>32.070714341780445</v>
      </c>
      <c r="K453" s="404">
        <f>'Utilisation rate workouts '!C42</f>
        <v>0.28260869565217389</v>
      </c>
      <c r="L453" s="404">
        <f>J453*K453</f>
        <v>9.0634627487640387</v>
      </c>
      <c r="M453" s="404">
        <f>J453/'Utilisation rate workouts '!$C$38</f>
        <v>0.35242543232725765</v>
      </c>
    </row>
    <row r="454" spans="1:13">
      <c r="A454" s="87">
        <v>282</v>
      </c>
      <c r="B454" s="86" t="s">
        <v>163</v>
      </c>
      <c r="C454" s="379">
        <v>1</v>
      </c>
      <c r="D454" s="389">
        <f>990/13.5</f>
        <v>73.333333333333329</v>
      </c>
      <c r="E454" s="403">
        <f>D454*C454</f>
        <v>73.333333333333329</v>
      </c>
      <c r="F454" s="404">
        <f>((10/100)*E454)/12</f>
        <v>0.61111111111111105</v>
      </c>
      <c r="G454" s="97">
        <v>15</v>
      </c>
      <c r="H454" s="100">
        <f>IF(G454=30,19.6004, IF(G454=15,11.9379,IF(G454=10,8.5302,IF(G454=5,4.5797,IF(G454=2,1.9135)))))</f>
        <v>11.937900000000001</v>
      </c>
      <c r="I454" s="404">
        <f>F454*12</f>
        <v>7.3333333333333321</v>
      </c>
      <c r="J454" s="404">
        <f>E454/H454+I454</f>
        <v>13.476233955162407</v>
      </c>
      <c r="K454" s="404">
        <f>'Utilisation rate workouts '!C42</f>
        <v>0.28260869565217389</v>
      </c>
      <c r="L454" s="404">
        <f>J454*K454</f>
        <v>3.8085009003719841</v>
      </c>
      <c r="M454" s="404">
        <f>J454/'Utilisation rate workouts '!$C$38</f>
        <v>0.14809048302376271</v>
      </c>
    </row>
    <row r="455" spans="1:13">
      <c r="A455" s="87">
        <v>283</v>
      </c>
      <c r="B455" s="86" t="s">
        <v>428</v>
      </c>
      <c r="C455" s="379">
        <v>2</v>
      </c>
      <c r="D455" s="389">
        <f>175/13.5</f>
        <v>12.962962962962964</v>
      </c>
      <c r="E455" s="403">
        <f>D455*C455</f>
        <v>25.925925925925927</v>
      </c>
      <c r="F455" s="404">
        <f>((10/100)*E455)/12</f>
        <v>0.21604938271604943</v>
      </c>
      <c r="G455" s="97">
        <v>5</v>
      </c>
      <c r="H455" s="100">
        <f>IF(G455=30,19.6004, IF(G455=15,11.9379,IF(G455=10,8.5302,IF(G455=5,4.5797,IF(G455=2,1.9135)))))</f>
        <v>4.5796999999999999</v>
      </c>
      <c r="I455" s="404">
        <f>F455*12</f>
        <v>2.592592592592593</v>
      </c>
      <c r="J455" s="404">
        <f>E455/H455+I455</f>
        <v>8.253645920523665</v>
      </c>
      <c r="K455" s="404">
        <f>'Utilisation rate workouts '!C42</f>
        <v>0.28260869565217389</v>
      </c>
      <c r="L455" s="404">
        <f>J455*K455</f>
        <v>2.3325521079740792</v>
      </c>
      <c r="M455" s="404">
        <f>J455/'Utilisation rate workouts '!$C$38</f>
        <v>9.0699405720040274E-2</v>
      </c>
    </row>
    <row r="456" spans="1:13">
      <c r="A456" s="87">
        <v>284</v>
      </c>
      <c r="B456" s="86" t="s">
        <v>429</v>
      </c>
      <c r="C456" s="379">
        <v>3</v>
      </c>
      <c r="D456" s="389">
        <f>715/13.5</f>
        <v>52.962962962962962</v>
      </c>
      <c r="E456" s="403">
        <f>D456*C456</f>
        <v>158.88888888888889</v>
      </c>
      <c r="F456" s="404">
        <f>((10/100)*E456)/12</f>
        <v>1.3240740740740742</v>
      </c>
      <c r="G456" s="97">
        <v>15</v>
      </c>
      <c r="H456" s="100">
        <f>IF(G456=30,19.6004, IF(G456=15,11.9379,IF(G456=10,8.5302,IF(G456=5,4.5797,IF(G456=2,1.9135)))))</f>
        <v>11.937900000000001</v>
      </c>
      <c r="I456" s="404">
        <f>F456*12</f>
        <v>15.888888888888889</v>
      </c>
      <c r="J456" s="404">
        <f>E456/H456+I456</f>
        <v>29.198506902851889</v>
      </c>
      <c r="K456" s="404">
        <f>D423</f>
        <v>0.28260869565217389</v>
      </c>
      <c r="L456" s="404">
        <f>J456*K456</f>
        <v>8.2517519508059678</v>
      </c>
      <c r="M456" s="404">
        <f>J456/'Utilisation rate workouts '!$C$38</f>
        <v>0.32086271321815263</v>
      </c>
    </row>
    <row r="457" spans="1:13">
      <c r="A457" s="87"/>
      <c r="B457" s="106" t="s">
        <v>434</v>
      </c>
      <c r="C457" s="442"/>
      <c r="D457" s="445"/>
      <c r="E457" s="403"/>
      <c r="F457" s="404"/>
      <c r="G457" s="96"/>
      <c r="H457" s="96"/>
      <c r="I457" s="416"/>
      <c r="J457" s="405">
        <f>SUM(J453:J456)</f>
        <v>82.999101120318414</v>
      </c>
      <c r="K457" s="417"/>
      <c r="L457" s="405">
        <f>SUM(L453:L456)</f>
        <v>23.456267707916069</v>
      </c>
      <c r="M457" s="417">
        <f>SUM(M453:M456)</f>
        <v>0.9120780342892133</v>
      </c>
    </row>
    <row r="458" spans="1:13">
      <c r="A458" s="118"/>
      <c r="B458" s="116" t="s">
        <v>430</v>
      </c>
      <c r="C458" s="443"/>
      <c r="D458" s="446"/>
      <c r="E458" s="433"/>
      <c r="F458" s="434"/>
      <c r="G458" s="109"/>
      <c r="H458" s="109"/>
      <c r="I458" s="436"/>
      <c r="J458" s="434"/>
      <c r="K458" s="434"/>
      <c r="L458" s="434"/>
      <c r="M458" s="434"/>
    </row>
    <row r="459" spans="1:13">
      <c r="A459" s="95">
        <v>285</v>
      </c>
      <c r="B459" s="90" t="s">
        <v>228</v>
      </c>
      <c r="C459" s="379">
        <v>2</v>
      </c>
      <c r="D459" s="389">
        <f>399/13.5</f>
        <v>29.555555555555557</v>
      </c>
      <c r="E459" s="400">
        <f>D459*C459</f>
        <v>59.111111111111114</v>
      </c>
      <c r="F459" s="435">
        <f>((10/100)*E459)/12</f>
        <v>0.49259259259259264</v>
      </c>
      <c r="G459" s="168">
        <v>15</v>
      </c>
      <c r="H459" s="197">
        <f>IF(G459=30,19.6004, IF(G459=15,11.9379,IF(G459=10,8.5302,IF(G459=5,4.5797,IF(G459=2,1.9135)))))</f>
        <v>11.937900000000001</v>
      </c>
      <c r="I459" s="435">
        <f>F459*12</f>
        <v>5.9111111111111114</v>
      </c>
      <c r="J459" s="435">
        <f>E459/H459+I459</f>
        <v>10.862661309312731</v>
      </c>
      <c r="K459" s="435">
        <f>'Utilisation rate workouts '!C42</f>
        <v>0.28260869565217389</v>
      </c>
      <c r="L459" s="435">
        <f>J459*K459</f>
        <v>3.0698825439362065</v>
      </c>
      <c r="M459" s="435">
        <f>J459/'Utilisation rate workouts '!$C$38</f>
        <v>0.1193699044979421</v>
      </c>
    </row>
    <row r="460" spans="1:13">
      <c r="A460" s="95">
        <v>286</v>
      </c>
      <c r="B460" s="90" t="s">
        <v>431</v>
      </c>
      <c r="C460" s="379">
        <v>1</v>
      </c>
      <c r="D460" s="389">
        <f>25000/13.5</f>
        <v>1851.851851851852</v>
      </c>
      <c r="E460" s="400">
        <f>D460*C460</f>
        <v>1851.851851851852</v>
      </c>
      <c r="F460" s="435">
        <v>0</v>
      </c>
      <c r="G460" s="168">
        <v>15</v>
      </c>
      <c r="H460" s="197">
        <f>IF(G460=30,19.6004, IF(G460=15,11.9379,IF(G460=10,8.5302,IF(G460=5,4.5797,IF(G460=2,1.9135)))))</f>
        <v>11.937900000000001</v>
      </c>
      <c r="I460" s="435">
        <f>F460*12</f>
        <v>0</v>
      </c>
      <c r="J460" s="435">
        <f>E460/H460+I460</f>
        <v>155.12375307649182</v>
      </c>
      <c r="K460" s="435">
        <f>'Utilisation rate workouts '!C42</f>
        <v>0.28260869565217389</v>
      </c>
      <c r="L460" s="435">
        <f>J460*K460</f>
        <v>43.839321521617251</v>
      </c>
      <c r="M460" s="435">
        <f>J460/'Utilisation rate workouts '!$C$38</f>
        <v>1.7046566272141959</v>
      </c>
    </row>
    <row r="461" spans="1:13">
      <c r="A461" s="95">
        <v>287</v>
      </c>
      <c r="B461" s="90" t="s">
        <v>428</v>
      </c>
      <c r="C461" s="379">
        <v>1</v>
      </c>
      <c r="D461" s="389">
        <f>175/13.5</f>
        <v>12.962962962962964</v>
      </c>
      <c r="E461" s="400">
        <f>D461*C461</f>
        <v>12.962962962962964</v>
      </c>
      <c r="F461" s="435">
        <f>((10/100)*E461)/12</f>
        <v>0.10802469135802471</v>
      </c>
      <c r="G461" s="168">
        <v>5</v>
      </c>
      <c r="H461" s="197">
        <f>IF(G461=30,19.6004, IF(G461=15,11.9379,IF(G461=10,8.5302,IF(G461=5,4.5797,IF(G461=2,1.9135)))))</f>
        <v>4.5796999999999999</v>
      </c>
      <c r="I461" s="435">
        <f>F461*12</f>
        <v>1.2962962962962965</v>
      </c>
      <c r="J461" s="435">
        <f>E461/H461+I461</f>
        <v>4.1268229602618325</v>
      </c>
      <c r="K461" s="435">
        <f>'Utilisation rate workouts '!C42</f>
        <v>0.28260869565217389</v>
      </c>
      <c r="L461" s="435">
        <f>J461*K461</f>
        <v>1.1662760539870396</v>
      </c>
      <c r="M461" s="435">
        <f>J461/'Utilisation rate workouts '!$C$38</f>
        <v>4.5349702860020137E-2</v>
      </c>
    </row>
    <row r="462" spans="1:13">
      <c r="A462" s="95">
        <v>288</v>
      </c>
      <c r="B462" s="90" t="s">
        <v>217</v>
      </c>
      <c r="C462" s="379">
        <v>1</v>
      </c>
      <c r="D462" s="389">
        <f>3694/13.5</f>
        <v>273.62962962962962</v>
      </c>
      <c r="E462" s="400">
        <f>D462*C462</f>
        <v>273.62962962962962</v>
      </c>
      <c r="F462" s="435">
        <f>((10/100)*E462)/12</f>
        <v>2.280246913580247</v>
      </c>
      <c r="G462" s="168">
        <v>5</v>
      </c>
      <c r="H462" s="197">
        <f>IF(G462=30,19.6004, IF(G462=15,11.9379,IF(G462=10,8.5302,IF(G462=5,4.5797,IF(G462=2,1.9135)))))</f>
        <v>4.5796999999999999</v>
      </c>
      <c r="I462" s="435">
        <f>F462*12</f>
        <v>27.362962962962964</v>
      </c>
      <c r="J462" s="435">
        <f>E462/H462+I462</f>
        <v>87.111337229755463</v>
      </c>
      <c r="K462" s="435">
        <f>'Utilisation rate workouts '!C42</f>
        <v>0.28260869565217389</v>
      </c>
      <c r="L462" s="435">
        <f>J462*K462</f>
        <v>24.618421391017847</v>
      </c>
      <c r="M462" s="435">
        <f>J462/'Utilisation rate workouts '!$C$38</f>
        <v>0.95726744208522485</v>
      </c>
    </row>
    <row r="463" spans="1:13">
      <c r="A463" s="95">
        <v>289</v>
      </c>
      <c r="B463" s="90" t="s">
        <v>432</v>
      </c>
      <c r="C463" s="379">
        <v>1</v>
      </c>
      <c r="D463" s="389">
        <f>2000/13.5</f>
        <v>148.14814814814815</v>
      </c>
      <c r="E463" s="400">
        <f>D463*C463</f>
        <v>148.14814814814815</v>
      </c>
      <c r="F463" s="435">
        <f>((10/100)*E463)/12</f>
        <v>1.2345679012345681</v>
      </c>
      <c r="G463" s="168">
        <v>10</v>
      </c>
      <c r="H463" s="197">
        <f>IF(G463=30,19.6004, IF(G463=15,11.9379,IF(G463=10,8.5302,IF(G463=5,4.5797,IF(G463=2,1.9135)))))</f>
        <v>8.5302000000000007</v>
      </c>
      <c r="I463" s="435">
        <f>F463*12</f>
        <v>14.814814814814817</v>
      </c>
      <c r="J463" s="435">
        <f>E463/H463+I463</f>
        <v>32.182303050512473</v>
      </c>
      <c r="K463" s="435">
        <f>'Utilisation rate workouts '!C42</f>
        <v>0.28260869565217389</v>
      </c>
      <c r="L463" s="435">
        <f>J463*K463</f>
        <v>9.0949986881883067</v>
      </c>
      <c r="M463" s="435">
        <f>J463/'Utilisation rate workouts '!$C$38</f>
        <v>0.35365168187376345</v>
      </c>
    </row>
    <row r="464" spans="1:13">
      <c r="A464" s="95"/>
      <c r="B464" s="106" t="s">
        <v>434</v>
      </c>
      <c r="C464" s="444"/>
      <c r="D464" s="447"/>
      <c r="E464" s="400"/>
      <c r="F464" s="435"/>
      <c r="G464" s="163"/>
      <c r="H464" s="163"/>
      <c r="I464" s="437"/>
      <c r="J464" s="405">
        <f>SUM(J460:J463)</f>
        <v>278.54421631702155</v>
      </c>
      <c r="K464" s="437"/>
      <c r="L464" s="438">
        <f>SUM(L459:L463)</f>
        <v>81.78890019874666</v>
      </c>
      <c r="M464" s="439">
        <f>SUM(M459:M463)</f>
        <v>3.1802953585311462</v>
      </c>
    </row>
    <row r="465" spans="1:13">
      <c r="A465" s="118"/>
      <c r="B465" s="116" t="s">
        <v>433</v>
      </c>
      <c r="C465" s="443"/>
      <c r="D465" s="446"/>
      <c r="E465" s="433"/>
      <c r="F465" s="434"/>
      <c r="G465" s="109"/>
      <c r="H465" s="109"/>
      <c r="I465" s="436"/>
      <c r="J465" s="434"/>
      <c r="K465" s="436"/>
      <c r="L465" s="434"/>
      <c r="M465" s="436"/>
    </row>
    <row r="466" spans="1:13">
      <c r="A466" s="95">
        <v>290</v>
      </c>
      <c r="B466" s="90" t="s">
        <v>219</v>
      </c>
      <c r="C466" s="379">
        <v>4</v>
      </c>
      <c r="D466" s="389">
        <f>399/13.5</f>
        <v>29.555555555555557</v>
      </c>
      <c r="E466" s="400">
        <f>D466*C466</f>
        <v>118.22222222222223</v>
      </c>
      <c r="F466" s="435">
        <v>0</v>
      </c>
      <c r="G466" s="168">
        <v>15</v>
      </c>
      <c r="H466" s="197">
        <f>IF(G466=30,19.6004, IF(G466=15,11.9379,IF(G466=10,8.5302,IF(G466=5,4.5797,IF(G466=2,1.9135)))))</f>
        <v>11.937900000000001</v>
      </c>
      <c r="I466" s="435">
        <f>F466*12</f>
        <v>0</v>
      </c>
      <c r="J466" s="435">
        <f>E466/H466+I466</f>
        <v>9.9031003964032376</v>
      </c>
      <c r="K466" s="435">
        <f>'Utilisation rate workouts '!C42</f>
        <v>0.28260869565217389</v>
      </c>
      <c r="L466" s="435">
        <f>J466*K466</f>
        <v>2.798702285940045</v>
      </c>
      <c r="M466" s="435">
        <f>J466/'Utilisation rate workouts '!$C$38</f>
        <v>0.10882527908135425</v>
      </c>
    </row>
    <row r="467" spans="1:13">
      <c r="A467" s="95">
        <v>291</v>
      </c>
      <c r="B467" s="90" t="s">
        <v>432</v>
      </c>
      <c r="C467" s="379">
        <v>1</v>
      </c>
      <c r="D467" s="389">
        <f>2000/13.5</f>
        <v>148.14814814814815</v>
      </c>
      <c r="E467" s="400">
        <f>D467*C467</f>
        <v>148.14814814814815</v>
      </c>
      <c r="F467" s="435">
        <f>((10/100)*E467)/12</f>
        <v>1.2345679012345681</v>
      </c>
      <c r="G467" s="168">
        <v>5</v>
      </c>
      <c r="H467" s="197">
        <f>IF(G467=30,19.6004, IF(G467=15,11.9379,IF(G467=10,8.5302,IF(G467=5,4.5797,IF(G467=2,1.9135)))))</f>
        <v>4.5796999999999999</v>
      </c>
      <c r="I467" s="435">
        <f>F467*12</f>
        <v>14.814814814814817</v>
      </c>
      <c r="J467" s="435">
        <f>E467/H467+I467</f>
        <v>47.163690974420938</v>
      </c>
      <c r="K467" s="435">
        <f>'Utilisation rate workouts '!C42</f>
        <v>0.28260869565217389</v>
      </c>
      <c r="L467" s="435">
        <f>J467*K467</f>
        <v>13.328869188423308</v>
      </c>
      <c r="M467" s="435">
        <f>J467/'Utilisation rate workouts '!$C$38</f>
        <v>0.51828231840023009</v>
      </c>
    </row>
    <row r="468" spans="1:13">
      <c r="A468" s="95"/>
      <c r="B468" s="106" t="s">
        <v>434</v>
      </c>
      <c r="C468" s="163"/>
      <c r="D468" s="164"/>
      <c r="E468" s="164"/>
      <c r="F468" s="252"/>
      <c r="G468" s="163"/>
      <c r="H468" s="163"/>
      <c r="I468" s="437"/>
      <c r="J468" s="438">
        <f>SUM(J466:J467)</f>
        <v>57.066791370824177</v>
      </c>
      <c r="K468" s="437"/>
      <c r="L468" s="438">
        <f>SUM(L466:L467)</f>
        <v>16.127571474363354</v>
      </c>
      <c r="M468" s="439">
        <f>SUM(M466:M467)</f>
        <v>0.62710759748158429</v>
      </c>
    </row>
    <row r="469" spans="1:13">
      <c r="A469" s="95"/>
      <c r="B469" s="168" t="s">
        <v>587</v>
      </c>
      <c r="C469" s="163"/>
      <c r="D469" s="164"/>
      <c r="E469" s="164"/>
      <c r="F469" s="252"/>
      <c r="G469" s="163"/>
      <c r="H469" s="163"/>
      <c r="I469" s="440"/>
      <c r="J469" s="441">
        <f>SUM(J444+J451+J457+J464+J468)</f>
        <v>277444.62136331882</v>
      </c>
      <c r="K469" s="441"/>
      <c r="L469" s="441">
        <f>SUM(L444+L451+L457+L464+L468)</f>
        <v>78411.332441742736</v>
      </c>
      <c r="M469" s="439">
        <f>SUM(M444+M451+M457+M464+M468)</f>
        <v>3048.9613629080009</v>
      </c>
    </row>
    <row r="471" spans="1:13">
      <c r="L471" s="280"/>
    </row>
    <row r="473" spans="1:13">
      <c r="G473" s="253"/>
    </row>
    <row r="474" spans="1:13">
      <c r="G474" s="253"/>
    </row>
    <row r="475" spans="1:13">
      <c r="E475" s="282"/>
      <c r="F475" s="282"/>
      <c r="G475" s="282"/>
    </row>
    <row r="476" spans="1:13">
      <c r="E476" s="282"/>
      <c r="F476" s="282"/>
      <c r="G476" s="282"/>
    </row>
    <row r="477" spans="1:13">
      <c r="E477" s="282"/>
      <c r="F477" s="282"/>
      <c r="G477" s="282"/>
    </row>
    <row r="478" spans="1:13">
      <c r="E478" s="282"/>
      <c r="F478" s="282"/>
      <c r="G478" s="282"/>
    </row>
    <row r="479" spans="1:13">
      <c r="E479" s="282"/>
      <c r="F479" s="282"/>
      <c r="G479" s="282"/>
    </row>
    <row r="480" spans="1:13">
      <c r="E480" s="282"/>
      <c r="F480" s="282"/>
      <c r="G480" s="253"/>
    </row>
    <row r="481" spans="5:7">
      <c r="E481" s="282"/>
      <c r="F481" s="282"/>
    </row>
    <row r="482" spans="5:7">
      <c r="E482" s="282"/>
      <c r="F482" s="282"/>
    </row>
    <row r="483" spans="5:7">
      <c r="E483" s="283"/>
      <c r="F483" s="284"/>
      <c r="G483" s="254"/>
    </row>
    <row r="484" spans="5:7">
      <c r="F484" s="282"/>
    </row>
    <row r="485" spans="5:7">
      <c r="F485" s="282"/>
    </row>
  </sheetData>
  <mergeCells count="68">
    <mergeCell ref="A303:C303"/>
    <mergeCell ref="A206:H206"/>
    <mergeCell ref="C297:M297"/>
    <mergeCell ref="A252:C252"/>
    <mergeCell ref="A214:H214"/>
    <mergeCell ref="A239:H239"/>
    <mergeCell ref="A247:H247"/>
    <mergeCell ref="A251:B251"/>
    <mergeCell ref="B238:D238"/>
    <mergeCell ref="A243:H243"/>
    <mergeCell ref="D1:I1"/>
    <mergeCell ref="C13:F13"/>
    <mergeCell ref="A39:H39"/>
    <mergeCell ref="A43:H43"/>
    <mergeCell ref="C9:I10"/>
    <mergeCell ref="A2:J2"/>
    <mergeCell ref="D3:H3"/>
    <mergeCell ref="C5:I8"/>
    <mergeCell ref="A12:B12"/>
    <mergeCell ref="A35:H35"/>
    <mergeCell ref="A34:G34"/>
    <mergeCell ref="A18:C18"/>
    <mergeCell ref="A13:B13"/>
    <mergeCell ref="C12:G12"/>
    <mergeCell ref="A17:I17"/>
    <mergeCell ref="C15:G15"/>
    <mergeCell ref="A315:H315"/>
    <mergeCell ref="A319:H319"/>
    <mergeCell ref="A323:H323"/>
    <mergeCell ref="A76:B76"/>
    <mergeCell ref="A77:C77"/>
    <mergeCell ref="A78:H78"/>
    <mergeCell ref="A253:H253"/>
    <mergeCell ref="A258:H258"/>
    <mergeCell ref="A83:H83"/>
    <mergeCell ref="A210:H210"/>
    <mergeCell ref="A205:G205"/>
    <mergeCell ref="B128:C128"/>
    <mergeCell ref="A192:C192"/>
    <mergeCell ref="A314:G314"/>
    <mergeCell ref="A274:M274"/>
    <mergeCell ref="A289:M289"/>
    <mergeCell ref="A191:I191"/>
    <mergeCell ref="J191:M191"/>
    <mergeCell ref="A302:I302"/>
    <mergeCell ref="J302:M302"/>
    <mergeCell ref="A66:B66"/>
    <mergeCell ref="A68:H68"/>
    <mergeCell ref="A72:H72"/>
    <mergeCell ref="A67:C67"/>
    <mergeCell ref="J388:M388"/>
    <mergeCell ref="A389:C389"/>
    <mergeCell ref="A404:C404"/>
    <mergeCell ref="A411:C411"/>
    <mergeCell ref="A415:C415"/>
    <mergeCell ref="D415:F415"/>
    <mergeCell ref="G415:H415"/>
    <mergeCell ref="A403:B403"/>
    <mergeCell ref="D411:I411"/>
    <mergeCell ref="A420:C420"/>
    <mergeCell ref="D420:F420"/>
    <mergeCell ref="G420:H420"/>
    <mergeCell ref="A327:B327"/>
    <mergeCell ref="A419:B419"/>
    <mergeCell ref="A328:H328"/>
    <mergeCell ref="H404:I404"/>
    <mergeCell ref="B387:D387"/>
    <mergeCell ref="A388:I388"/>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42"/>
  <sheetViews>
    <sheetView topLeftCell="A12" workbookViewId="0">
      <selection activeCell="I12" sqref="I12"/>
    </sheetView>
  </sheetViews>
  <sheetFormatPr baseColWidth="10" defaultColWidth="8.83203125" defaultRowHeight="14"/>
  <cols>
    <col min="1" max="1" width="73" style="4" customWidth="1"/>
    <col min="2" max="2" width="29.33203125" style="4" customWidth="1"/>
    <col min="3" max="3" width="29.83203125" style="4" customWidth="1"/>
    <col min="4" max="4" width="3.5" style="4" customWidth="1"/>
    <col min="5" max="5" width="3.6640625" style="4" hidden="1" customWidth="1"/>
    <col min="6" max="6" width="26.5" style="4" customWidth="1"/>
    <col min="7" max="7" width="12.1640625" style="4" customWidth="1"/>
    <col min="8" max="8" width="13" style="4" customWidth="1"/>
    <col min="9" max="9" width="14" style="4" customWidth="1"/>
    <col min="10" max="10" width="14.33203125" style="4" customWidth="1"/>
    <col min="11" max="16384" width="8.83203125" style="4"/>
  </cols>
  <sheetData>
    <row r="1" spans="1:11" ht="22.5" customHeight="1" thickBot="1">
      <c r="A1" s="54" t="s">
        <v>69</v>
      </c>
      <c r="F1" s="170" t="s">
        <v>201</v>
      </c>
      <c r="G1" s="171"/>
      <c r="H1" s="171"/>
      <c r="I1" s="171"/>
      <c r="J1" s="171"/>
    </row>
    <row r="2" spans="1:11" ht="30" customHeight="1">
      <c r="A2" s="172" t="s">
        <v>72</v>
      </c>
      <c r="B2" s="173"/>
      <c r="C2" s="173"/>
      <c r="F2" s="174" t="s">
        <v>80</v>
      </c>
      <c r="G2" s="174" t="s">
        <v>81</v>
      </c>
      <c r="H2" s="174" t="s">
        <v>82</v>
      </c>
      <c r="I2" s="174" t="s">
        <v>83</v>
      </c>
      <c r="J2" s="175" t="s">
        <v>84</v>
      </c>
    </row>
    <row r="3" spans="1:11" ht="23.25" customHeight="1">
      <c r="A3" s="176" t="s">
        <v>71</v>
      </c>
      <c r="B3" s="173"/>
      <c r="C3" s="173"/>
      <c r="F3" s="295"/>
      <c r="G3" s="295"/>
      <c r="H3" s="295"/>
      <c r="I3" s="295"/>
      <c r="J3" s="296" t="s">
        <v>85</v>
      </c>
    </row>
    <row r="4" spans="1:11" ht="31.5" customHeight="1">
      <c r="A4" s="177" t="s">
        <v>73</v>
      </c>
      <c r="B4" s="178" t="s">
        <v>74</v>
      </c>
      <c r="C4" s="179" t="s">
        <v>269</v>
      </c>
      <c r="F4" s="298" t="s">
        <v>468</v>
      </c>
      <c r="G4" s="58">
        <v>2.9</v>
      </c>
      <c r="H4" s="58">
        <v>0.31</v>
      </c>
      <c r="I4" s="58">
        <v>0.19</v>
      </c>
      <c r="J4" s="58">
        <v>0.22</v>
      </c>
    </row>
    <row r="5" spans="1:11" ht="24" customHeight="1">
      <c r="A5" s="180" t="s">
        <v>75</v>
      </c>
      <c r="B5" s="181">
        <v>668</v>
      </c>
      <c r="C5" s="181">
        <v>3408</v>
      </c>
      <c r="F5" s="127" t="s">
        <v>86</v>
      </c>
      <c r="G5" s="297" t="s">
        <v>200</v>
      </c>
      <c r="H5" s="297" t="s">
        <v>87</v>
      </c>
      <c r="I5" s="297" t="s">
        <v>88</v>
      </c>
      <c r="J5" s="297" t="s">
        <v>89</v>
      </c>
      <c r="K5" s="512"/>
    </row>
    <row r="6" spans="1:11" ht="38.25" customHeight="1">
      <c r="A6" s="180"/>
      <c r="B6" s="182"/>
      <c r="C6" s="182"/>
      <c r="J6" s="299"/>
      <c r="K6" s="512"/>
    </row>
    <row r="7" spans="1:11" ht="31" customHeight="1">
      <c r="A7" s="183" t="s">
        <v>76</v>
      </c>
      <c r="B7" s="181">
        <v>7423</v>
      </c>
      <c r="C7" s="181">
        <v>18402</v>
      </c>
      <c r="K7" s="184"/>
    </row>
    <row r="8" spans="1:11" ht="16">
      <c r="A8" s="180"/>
      <c r="B8" s="185"/>
      <c r="C8" s="185"/>
      <c r="K8" s="184"/>
    </row>
    <row r="9" spans="1:11" ht="16">
      <c r="A9" s="193" t="s">
        <v>77</v>
      </c>
      <c r="B9" s="194">
        <f>B5/B7</f>
        <v>8.9990569850464774E-2</v>
      </c>
      <c r="C9" s="194">
        <f>C5/C7</f>
        <v>0.18519726116726443</v>
      </c>
      <c r="K9" s="184"/>
    </row>
    <row r="10" spans="1:11" ht="28.5" customHeight="1"/>
    <row r="11" spans="1:11" ht="19">
      <c r="A11" s="54" t="s">
        <v>268</v>
      </c>
      <c r="H11" s="291"/>
    </row>
    <row r="12" spans="1:11" ht="25" customHeight="1">
      <c r="A12" s="172" t="s">
        <v>72</v>
      </c>
      <c r="B12" s="187"/>
      <c r="C12" s="187"/>
      <c r="H12" s="291"/>
    </row>
    <row r="13" spans="1:11" ht="16">
      <c r="A13" s="186" t="s">
        <v>263</v>
      </c>
      <c r="B13" s="187"/>
      <c r="C13" s="187"/>
      <c r="H13" s="291"/>
    </row>
    <row r="14" spans="1:11" ht="16">
      <c r="A14" s="154"/>
      <c r="B14" s="154"/>
      <c r="C14" s="154"/>
      <c r="H14" s="291"/>
    </row>
    <row r="15" spans="1:11" ht="16">
      <c r="A15" s="188" t="s">
        <v>73</v>
      </c>
      <c r="B15" s="189" t="s">
        <v>74</v>
      </c>
      <c r="C15" s="190" t="s">
        <v>264</v>
      </c>
      <c r="G15" s="290"/>
    </row>
    <row r="16" spans="1:11" ht="16">
      <c r="A16" s="191" t="s">
        <v>265</v>
      </c>
      <c r="B16" s="181">
        <v>309</v>
      </c>
      <c r="C16" s="181">
        <v>1883</v>
      </c>
    </row>
    <row r="17" spans="1:3" ht="16">
      <c r="A17" s="191"/>
      <c r="B17" s="181"/>
      <c r="C17" s="181"/>
    </row>
    <row r="18" spans="1:3" ht="16">
      <c r="A18" s="191" t="s">
        <v>266</v>
      </c>
      <c r="B18" s="181">
        <v>1227</v>
      </c>
      <c r="C18" s="181">
        <v>7720</v>
      </c>
    </row>
    <row r="19" spans="1:3" ht="16">
      <c r="A19" s="191"/>
      <c r="B19" s="192"/>
      <c r="C19" s="192"/>
    </row>
    <row r="20" spans="1:3" ht="16">
      <c r="A20" s="193" t="s">
        <v>267</v>
      </c>
      <c r="B20" s="194">
        <f>(B16/B18)</f>
        <v>0.25183374083129584</v>
      </c>
      <c r="C20" s="194">
        <f>(C16/C18)</f>
        <v>0.24391191709844559</v>
      </c>
    </row>
    <row r="22" spans="1:3" ht="19">
      <c r="A22" s="54" t="s">
        <v>315</v>
      </c>
    </row>
    <row r="23" spans="1:3" ht="25" customHeight="1">
      <c r="A23" s="172" t="s">
        <v>72</v>
      </c>
      <c r="B23" s="187"/>
      <c r="C23" s="187"/>
    </row>
    <row r="24" spans="1:3">
      <c r="A24" s="195" t="s">
        <v>311</v>
      </c>
      <c r="B24" s="196"/>
      <c r="C24" s="196"/>
    </row>
    <row r="25" spans="1:3">
      <c r="A25" s="153"/>
      <c r="B25" s="153"/>
      <c r="C25" s="153"/>
    </row>
    <row r="26" spans="1:3">
      <c r="A26" s="168" t="s">
        <v>73</v>
      </c>
      <c r="B26" s="168" t="s">
        <v>74</v>
      </c>
      <c r="C26" s="168" t="s">
        <v>374</v>
      </c>
    </row>
    <row r="27" spans="1:3" ht="16">
      <c r="A27" s="197" t="s">
        <v>312</v>
      </c>
      <c r="B27" s="181">
        <v>301</v>
      </c>
      <c r="C27" s="181">
        <v>319</v>
      </c>
    </row>
    <row r="28" spans="1:3" ht="16">
      <c r="A28" s="197"/>
      <c r="B28" s="181"/>
      <c r="C28" s="181"/>
    </row>
    <row r="29" spans="1:3" ht="30">
      <c r="A29" s="281" t="s">
        <v>313</v>
      </c>
      <c r="B29" s="181">
        <v>1426</v>
      </c>
      <c r="C29" s="181">
        <v>1922</v>
      </c>
    </row>
    <row r="30" spans="1:3" ht="16">
      <c r="A30" s="197"/>
      <c r="B30" s="192"/>
      <c r="C30" s="192"/>
    </row>
    <row r="31" spans="1:3">
      <c r="A31" s="198" t="s">
        <v>314</v>
      </c>
      <c r="B31" s="199">
        <f>(B27/B29)</f>
        <v>0.21107994389901824</v>
      </c>
      <c r="C31" s="199">
        <f>(C27/C29)</f>
        <v>0.16597294484911551</v>
      </c>
    </row>
    <row r="33" spans="1:3" ht="19">
      <c r="A33" s="54" t="s">
        <v>385</v>
      </c>
    </row>
    <row r="34" spans="1:3" ht="25" customHeight="1">
      <c r="A34" s="172" t="s">
        <v>72</v>
      </c>
      <c r="B34" s="187"/>
      <c r="C34" s="187"/>
    </row>
    <row r="35" spans="1:3">
      <c r="A35" s="195" t="s">
        <v>386</v>
      </c>
      <c r="B35" s="196"/>
      <c r="C35" s="196"/>
    </row>
    <row r="36" spans="1:3">
      <c r="A36" s="237"/>
      <c r="B36" s="237"/>
      <c r="C36" s="237"/>
    </row>
    <row r="37" spans="1:3">
      <c r="A37" s="168" t="s">
        <v>73</v>
      </c>
      <c r="B37" s="168" t="s">
        <v>74</v>
      </c>
      <c r="C37" s="168" t="s">
        <v>435</v>
      </c>
    </row>
    <row r="38" spans="1:3" ht="16">
      <c r="A38" s="197" t="s">
        <v>387</v>
      </c>
      <c r="B38" s="181">
        <v>56</v>
      </c>
      <c r="C38" s="181">
        <v>91</v>
      </c>
    </row>
    <row r="39" spans="1:3" ht="16">
      <c r="A39" s="197"/>
      <c r="B39" s="181"/>
      <c r="C39" s="181"/>
    </row>
    <row r="40" spans="1:3" ht="30">
      <c r="A40" s="281" t="s">
        <v>388</v>
      </c>
      <c r="B40" s="181">
        <v>294</v>
      </c>
      <c r="C40" s="181">
        <v>322</v>
      </c>
    </row>
    <row r="41" spans="1:3" ht="16">
      <c r="A41" s="197"/>
      <c r="B41" s="242"/>
      <c r="C41" s="242"/>
    </row>
    <row r="42" spans="1:3">
      <c r="A42" s="198" t="s">
        <v>389</v>
      </c>
      <c r="B42" s="199">
        <f>(B38/B40)</f>
        <v>0.19047619047619047</v>
      </c>
      <c r="C42" s="199">
        <f>(C38/C40)</f>
        <v>0.28260869565217389</v>
      </c>
    </row>
  </sheetData>
  <mergeCells count="1">
    <mergeCell ref="K5:K6"/>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446"/>
  <sheetViews>
    <sheetView topLeftCell="A172" workbookViewId="0">
      <selection activeCell="J311" sqref="J311"/>
    </sheetView>
  </sheetViews>
  <sheetFormatPr baseColWidth="10" defaultColWidth="8.83203125" defaultRowHeight="14"/>
  <cols>
    <col min="1" max="1" width="23.5" style="312" customWidth="1"/>
    <col min="2" max="2" width="31.83203125" style="312" customWidth="1"/>
    <col min="3" max="3" width="34.83203125" style="312" customWidth="1"/>
    <col min="4" max="4" width="28.33203125" style="312" customWidth="1"/>
    <col min="5" max="5" width="22" style="312" customWidth="1"/>
    <col min="6" max="6" width="21.5" style="312" customWidth="1"/>
    <col min="7" max="7" width="22.5" style="312" customWidth="1"/>
    <col min="8" max="16384" width="8.83203125" style="312"/>
  </cols>
  <sheetData>
    <row r="1" spans="1:23" ht="24" customHeight="1">
      <c r="A1" s="307" t="s">
        <v>390</v>
      </c>
      <c r="B1" s="308"/>
      <c r="C1" s="309"/>
      <c r="D1" s="309"/>
      <c r="E1" s="309"/>
      <c r="F1" s="309"/>
      <c r="G1" s="309"/>
      <c r="H1" s="310"/>
      <c r="I1" s="310"/>
      <c r="J1" s="523"/>
      <c r="K1" s="524"/>
      <c r="L1" s="524"/>
      <c r="M1" s="524"/>
      <c r="N1" s="524"/>
      <c r="O1" s="524"/>
      <c r="P1" s="524"/>
      <c r="Q1" s="524"/>
      <c r="R1" s="524"/>
      <c r="S1" s="524"/>
      <c r="T1" s="311"/>
      <c r="U1" s="311"/>
      <c r="V1" s="311"/>
      <c r="W1" s="311"/>
    </row>
    <row r="2" spans="1:23" ht="15">
      <c r="A2" s="313"/>
      <c r="B2" s="313"/>
      <c r="C2" s="314" t="s">
        <v>61</v>
      </c>
      <c r="D2" s="313"/>
      <c r="E2" s="313"/>
      <c r="F2" s="313"/>
      <c r="G2" s="313"/>
      <c r="H2" s="311"/>
      <c r="I2" s="310"/>
      <c r="J2" s="310"/>
      <c r="K2" s="310"/>
      <c r="L2" s="310"/>
      <c r="M2" s="310"/>
      <c r="N2" s="310"/>
      <c r="O2" s="310"/>
      <c r="P2" s="310"/>
      <c r="Q2" s="310"/>
      <c r="R2" s="310"/>
      <c r="S2" s="310"/>
      <c r="T2" s="311"/>
      <c r="U2" s="311"/>
      <c r="V2" s="311"/>
      <c r="W2" s="311"/>
    </row>
    <row r="3" spans="1:23" ht="15">
      <c r="A3" s="313" t="s">
        <v>470</v>
      </c>
      <c r="B3" s="323" t="s">
        <v>21</v>
      </c>
      <c r="C3" s="316">
        <v>124800</v>
      </c>
      <c r="D3" s="526"/>
      <c r="E3" s="527"/>
      <c r="F3" s="527"/>
      <c r="G3" s="527"/>
      <c r="H3" s="317"/>
      <c r="I3" s="311"/>
      <c r="J3" s="318"/>
      <c r="K3" s="318"/>
      <c r="L3" s="318"/>
      <c r="M3" s="318"/>
      <c r="N3" s="318"/>
      <c r="O3" s="318"/>
      <c r="P3" s="318"/>
      <c r="Q3" s="318"/>
      <c r="R3" s="318"/>
      <c r="S3" s="318"/>
      <c r="T3" s="317">
        <v>0</v>
      </c>
      <c r="U3" s="311"/>
      <c r="V3" s="311"/>
      <c r="W3" s="311"/>
    </row>
    <row r="4" spans="1:23" ht="30">
      <c r="A4" s="319" t="s">
        <v>242</v>
      </c>
      <c r="B4" s="320" t="s">
        <v>22</v>
      </c>
      <c r="C4" s="321"/>
      <c r="D4" s="321"/>
      <c r="E4" s="321"/>
      <c r="F4" s="321"/>
      <c r="G4" s="325" t="s">
        <v>25</v>
      </c>
      <c r="H4" s="317"/>
      <c r="I4" s="311"/>
      <c r="J4" s="318"/>
      <c r="K4" s="318"/>
      <c r="L4" s="318"/>
      <c r="M4" s="318"/>
      <c r="N4" s="318"/>
      <c r="O4" s="318"/>
      <c r="P4" s="318"/>
      <c r="Q4" s="318"/>
      <c r="R4" s="318"/>
      <c r="S4" s="318"/>
      <c r="T4" s="317">
        <v>0</v>
      </c>
      <c r="U4" s="311"/>
      <c r="V4" s="311"/>
      <c r="W4" s="311"/>
    </row>
    <row r="5" spans="1:23" ht="15">
      <c r="A5" s="313" t="s">
        <v>23</v>
      </c>
      <c r="B5" s="528" t="s">
        <v>24</v>
      </c>
      <c r="C5" s="527"/>
      <c r="D5" s="527"/>
      <c r="E5" s="527"/>
      <c r="F5" s="527"/>
      <c r="G5" s="527"/>
      <c r="H5" s="317"/>
      <c r="I5" s="311"/>
      <c r="J5" s="318"/>
      <c r="K5" s="318"/>
      <c r="L5" s="318"/>
      <c r="M5" s="318"/>
      <c r="N5" s="318"/>
      <c r="O5" s="318"/>
      <c r="P5" s="318"/>
      <c r="Q5" s="318"/>
      <c r="R5" s="318"/>
      <c r="S5" s="318"/>
      <c r="T5" s="317">
        <v>0</v>
      </c>
      <c r="U5" s="311"/>
      <c r="V5" s="311"/>
      <c r="W5" s="311"/>
    </row>
    <row r="6" spans="1:23" ht="27" customHeight="1">
      <c r="A6" s="322"/>
      <c r="B6" s="516" t="s">
        <v>70</v>
      </c>
      <c r="C6" s="517"/>
      <c r="D6" s="517"/>
      <c r="E6" s="517"/>
      <c r="F6" s="517"/>
      <c r="G6" s="518"/>
      <c r="H6" s="529"/>
      <c r="I6" s="311"/>
      <c r="J6" s="318"/>
      <c r="K6" s="318"/>
      <c r="L6" s="311"/>
      <c r="M6" s="311"/>
      <c r="N6" s="311"/>
      <c r="O6" s="311"/>
      <c r="P6" s="311"/>
      <c r="Q6" s="311"/>
      <c r="R6" s="311"/>
      <c r="S6" s="311"/>
      <c r="T6" s="310"/>
      <c r="U6" s="310"/>
      <c r="V6" s="310"/>
      <c r="W6" s="310"/>
    </row>
    <row r="7" spans="1:23" ht="15">
      <c r="A7" s="323" t="s">
        <v>25</v>
      </c>
      <c r="B7" s="324"/>
      <c r="C7" s="324"/>
      <c r="E7" s="324"/>
      <c r="G7" s="325">
        <f>('Utilisation rate workouts '!C5/'Utilisation rate workouts '!C7)</f>
        <v>0.18519726116726443</v>
      </c>
      <c r="H7" s="524"/>
      <c r="I7" s="311"/>
      <c r="J7" s="318"/>
      <c r="K7" s="318"/>
      <c r="L7" s="311"/>
      <c r="M7" s="311"/>
      <c r="N7" s="311"/>
      <c r="O7" s="311"/>
      <c r="P7" s="311"/>
      <c r="Q7" s="311"/>
      <c r="R7" s="311"/>
      <c r="S7" s="311"/>
      <c r="T7" s="311"/>
      <c r="U7" s="311"/>
      <c r="V7" s="311"/>
      <c r="W7" s="311"/>
    </row>
    <row r="8" spans="1:23" ht="15">
      <c r="A8" s="319"/>
      <c r="B8" s="320" t="s">
        <v>13</v>
      </c>
      <c r="C8" s="320"/>
      <c r="D8" s="320"/>
      <c r="E8" s="320"/>
      <c r="F8" s="320"/>
      <c r="G8" s="320"/>
      <c r="H8" s="311"/>
      <c r="I8" s="311"/>
      <c r="J8" s="318"/>
      <c r="K8" s="318"/>
      <c r="L8" s="311"/>
      <c r="M8" s="311"/>
      <c r="N8" s="311"/>
      <c r="O8" s="311"/>
      <c r="P8" s="311"/>
      <c r="Q8" s="311"/>
      <c r="R8" s="311"/>
      <c r="S8" s="311"/>
      <c r="T8" s="311"/>
      <c r="U8" s="311"/>
      <c r="V8" s="311"/>
      <c r="W8" s="311"/>
    </row>
    <row r="9" spans="1:23" ht="30">
      <c r="A9" s="313" t="s">
        <v>23</v>
      </c>
      <c r="B9" s="326" t="s">
        <v>26</v>
      </c>
      <c r="C9" s="326" t="s">
        <v>27</v>
      </c>
      <c r="D9" s="326" t="s">
        <v>28</v>
      </c>
      <c r="E9" s="326" t="s">
        <v>29</v>
      </c>
      <c r="F9" s="326" t="s">
        <v>30</v>
      </c>
      <c r="G9" s="326"/>
      <c r="H9" s="311"/>
      <c r="I9" s="311"/>
      <c r="J9" s="311"/>
      <c r="K9" s="311"/>
      <c r="L9" s="311"/>
      <c r="M9" s="311"/>
      <c r="N9" s="311"/>
      <c r="O9" s="311"/>
      <c r="P9" s="311"/>
      <c r="Q9" s="311"/>
      <c r="R9" s="311"/>
      <c r="S9" s="311"/>
      <c r="T9" s="311"/>
      <c r="U9" s="311"/>
      <c r="V9" s="311"/>
      <c r="W9" s="311"/>
    </row>
    <row r="10" spans="1:23" ht="15">
      <c r="A10" s="313" t="s">
        <v>31</v>
      </c>
      <c r="B10" s="323"/>
      <c r="C10" s="323"/>
      <c r="D10" s="323"/>
      <c r="E10" s="323"/>
      <c r="F10" s="323"/>
      <c r="G10" s="323"/>
      <c r="H10" s="311"/>
      <c r="I10" s="311"/>
      <c r="J10" s="311"/>
      <c r="K10" s="311"/>
      <c r="L10" s="311"/>
      <c r="M10" s="311"/>
      <c r="N10" s="311"/>
      <c r="O10" s="311"/>
      <c r="P10" s="311"/>
      <c r="Q10" s="311"/>
      <c r="R10" s="311"/>
      <c r="S10" s="311"/>
      <c r="T10" s="311"/>
      <c r="U10" s="311"/>
      <c r="V10" s="311"/>
      <c r="W10" s="311"/>
    </row>
    <row r="11" spans="1:23" ht="15">
      <c r="A11" s="313" t="s">
        <v>32</v>
      </c>
      <c r="B11" s="323"/>
      <c r="C11" s="323"/>
      <c r="D11" s="323"/>
      <c r="E11" s="323"/>
      <c r="F11" s="323"/>
      <c r="G11" s="323"/>
      <c r="H11" s="311"/>
      <c r="I11" s="311"/>
      <c r="J11" s="311"/>
      <c r="K11" s="311"/>
      <c r="L11" s="311"/>
      <c r="M11" s="311"/>
      <c r="N11" s="311"/>
      <c r="O11" s="311"/>
      <c r="P11" s="311"/>
      <c r="Q11" s="311"/>
      <c r="R11" s="311"/>
      <c r="S11" s="311"/>
      <c r="T11" s="311"/>
      <c r="U11" s="311"/>
      <c r="V11" s="311"/>
      <c r="W11" s="311"/>
    </row>
    <row r="12" spans="1:23" ht="15">
      <c r="A12" s="313" t="s">
        <v>33</v>
      </c>
      <c r="B12" s="323">
        <v>20</v>
      </c>
      <c r="C12" s="323">
        <v>45</v>
      </c>
      <c r="D12" s="323">
        <v>30</v>
      </c>
      <c r="E12" s="323"/>
      <c r="F12" s="323">
        <v>10</v>
      </c>
      <c r="G12" s="323"/>
      <c r="H12" s="311"/>
      <c r="I12" s="311"/>
      <c r="J12" s="311"/>
      <c r="K12" s="311"/>
      <c r="L12" s="311"/>
      <c r="M12" s="311"/>
      <c r="N12" s="311"/>
      <c r="O12" s="311"/>
      <c r="P12" s="311"/>
      <c r="Q12" s="311"/>
      <c r="R12" s="311"/>
      <c r="S12" s="311"/>
      <c r="T12" s="311"/>
      <c r="U12" s="311"/>
      <c r="V12" s="311"/>
      <c r="W12" s="311"/>
    </row>
    <row r="13" spans="1:23" ht="15">
      <c r="A13" s="313" t="s">
        <v>34</v>
      </c>
      <c r="B13" s="323"/>
      <c r="C13" s="323"/>
      <c r="D13" s="323"/>
      <c r="E13" s="323">
        <v>10</v>
      </c>
      <c r="F13" s="323"/>
      <c r="G13" s="323"/>
      <c r="H13" s="311"/>
      <c r="I13" s="311"/>
      <c r="J13" s="311"/>
      <c r="K13" s="311"/>
      <c r="L13" s="311"/>
      <c r="M13" s="311"/>
      <c r="N13" s="311"/>
      <c r="O13" s="311"/>
      <c r="P13" s="311"/>
      <c r="Q13" s="311"/>
      <c r="R13" s="311"/>
      <c r="S13" s="311"/>
      <c r="T13" s="311"/>
      <c r="U13" s="311"/>
      <c r="V13" s="311"/>
      <c r="W13" s="311"/>
    </row>
    <row r="14" spans="1:23" ht="15">
      <c r="A14" s="313" t="s">
        <v>35</v>
      </c>
      <c r="B14" s="323"/>
      <c r="C14" s="323"/>
      <c r="D14" s="323"/>
      <c r="E14" s="323"/>
      <c r="F14" s="323"/>
      <c r="G14" s="323"/>
      <c r="H14" s="311"/>
      <c r="I14" s="311"/>
      <c r="J14" s="311"/>
      <c r="K14" s="311"/>
      <c r="L14" s="311"/>
      <c r="M14" s="311"/>
      <c r="N14" s="311"/>
      <c r="O14" s="311"/>
      <c r="P14" s="311"/>
      <c r="Q14" s="311"/>
      <c r="R14" s="311"/>
      <c r="S14" s="311"/>
      <c r="T14" s="311"/>
      <c r="U14" s="311"/>
      <c r="V14" s="311"/>
      <c r="W14" s="311"/>
    </row>
    <row r="15" spans="1:23" ht="15">
      <c r="A15" s="313" t="s">
        <v>36</v>
      </c>
      <c r="B15" s="323">
        <v>20</v>
      </c>
      <c r="C15" s="323">
        <v>45</v>
      </c>
      <c r="D15" s="323">
        <v>30</v>
      </c>
      <c r="E15" s="323"/>
      <c r="F15" s="323"/>
      <c r="G15" s="323"/>
      <c r="H15" s="311"/>
      <c r="I15" s="310"/>
      <c r="J15" s="310"/>
      <c r="K15" s="310"/>
      <c r="L15" s="310"/>
      <c r="M15" s="310"/>
      <c r="N15" s="310"/>
      <c r="O15" s="310"/>
      <c r="P15" s="310"/>
      <c r="Q15" s="310"/>
      <c r="R15" s="310"/>
      <c r="S15" s="310"/>
      <c r="T15" s="311"/>
      <c r="U15" s="311"/>
      <c r="V15" s="311"/>
      <c r="W15" s="311"/>
    </row>
    <row r="16" spans="1:23" ht="15">
      <c r="A16" s="313" t="s">
        <v>37</v>
      </c>
      <c r="B16" s="323"/>
      <c r="C16" s="323"/>
      <c r="D16" s="323"/>
      <c r="E16" s="323">
        <v>10</v>
      </c>
      <c r="F16" s="323">
        <v>10</v>
      </c>
      <c r="G16" s="323"/>
      <c r="H16" s="311"/>
      <c r="I16" s="310"/>
      <c r="J16" s="310"/>
      <c r="K16" s="310"/>
      <c r="L16" s="310"/>
      <c r="M16" s="310"/>
      <c r="N16" s="310"/>
      <c r="O16" s="310"/>
      <c r="P16" s="310"/>
      <c r="Q16" s="310"/>
      <c r="R16" s="310"/>
      <c r="S16" s="310"/>
      <c r="T16" s="311"/>
      <c r="U16" s="311"/>
      <c r="V16" s="311"/>
      <c r="W16" s="311"/>
    </row>
    <row r="17" spans="1:23" ht="15">
      <c r="A17" s="313" t="s">
        <v>38</v>
      </c>
      <c r="B17" s="323">
        <v>20</v>
      </c>
      <c r="C17" s="323">
        <v>45</v>
      </c>
      <c r="D17" s="323">
        <v>30</v>
      </c>
      <c r="E17" s="323"/>
      <c r="F17" s="323"/>
      <c r="G17" s="323"/>
      <c r="H17" s="311"/>
      <c r="I17" s="311"/>
      <c r="J17" s="311"/>
      <c r="K17" s="311"/>
      <c r="L17" s="311"/>
      <c r="M17" s="311"/>
      <c r="N17" s="311"/>
      <c r="O17" s="311"/>
      <c r="P17" s="311"/>
      <c r="Q17" s="311"/>
      <c r="R17" s="311"/>
      <c r="S17" s="311"/>
      <c r="T17" s="311"/>
      <c r="U17" s="311"/>
      <c r="V17" s="311"/>
      <c r="W17" s="311"/>
    </row>
    <row r="18" spans="1:23" ht="15">
      <c r="A18" s="313" t="s">
        <v>39</v>
      </c>
      <c r="B18" s="323"/>
      <c r="C18" s="323"/>
      <c r="D18" s="323"/>
      <c r="E18" s="323">
        <v>10</v>
      </c>
      <c r="F18" s="323">
        <v>10</v>
      </c>
      <c r="G18" s="323"/>
      <c r="H18" s="311"/>
      <c r="I18" s="311"/>
      <c r="J18" s="311"/>
      <c r="K18" s="311"/>
      <c r="L18" s="311"/>
      <c r="M18" s="311"/>
      <c r="N18" s="311"/>
      <c r="O18" s="311"/>
      <c r="P18" s="311"/>
      <c r="Q18" s="311"/>
      <c r="R18" s="311"/>
      <c r="S18" s="311"/>
      <c r="T18" s="311"/>
      <c r="U18" s="311"/>
      <c r="V18" s="311"/>
      <c r="W18" s="311"/>
    </row>
    <row r="19" spans="1:23" ht="15">
      <c r="A19" s="322" t="s">
        <v>247</v>
      </c>
      <c r="B19" s="323">
        <f>B12+B15+B17</f>
        <v>60</v>
      </c>
      <c r="C19" s="323">
        <f>C12+C15+C17</f>
        <v>135</v>
      </c>
      <c r="D19" s="323">
        <f>D12+D15+D17</f>
        <v>90</v>
      </c>
      <c r="E19" s="323">
        <f>E13+E16+E18</f>
        <v>30</v>
      </c>
      <c r="F19" s="323">
        <f>F12+F16+F18</f>
        <v>30</v>
      </c>
      <c r="G19" s="323"/>
      <c r="H19" s="310"/>
      <c r="I19" s="311"/>
      <c r="J19" s="311"/>
      <c r="K19" s="311"/>
      <c r="L19" s="311"/>
      <c r="M19" s="311"/>
      <c r="N19" s="311"/>
      <c r="O19" s="311"/>
      <c r="P19" s="311"/>
      <c r="Q19" s="311"/>
      <c r="R19" s="311"/>
      <c r="S19" s="311"/>
      <c r="T19" s="310"/>
      <c r="U19" s="310"/>
      <c r="V19" s="310"/>
      <c r="W19" s="310"/>
    </row>
    <row r="20" spans="1:23" ht="15">
      <c r="A20" s="323" t="s">
        <v>248</v>
      </c>
      <c r="B20" s="327"/>
      <c r="C20" s="327"/>
      <c r="D20" s="327"/>
      <c r="E20" s="327"/>
      <c r="F20" s="323">
        <f>SUM(B19:F19)</f>
        <v>345</v>
      </c>
      <c r="G20" s="325">
        <f>(F20*52)/C3</f>
        <v>0.14374999999999999</v>
      </c>
      <c r="H20" s="311"/>
      <c r="I20" s="311"/>
      <c r="J20" s="311"/>
      <c r="K20" s="311"/>
      <c r="L20" s="311"/>
      <c r="M20" s="311"/>
      <c r="N20" s="311"/>
      <c r="O20" s="311"/>
      <c r="P20" s="311"/>
      <c r="Q20" s="311"/>
      <c r="R20" s="311"/>
      <c r="S20" s="311"/>
      <c r="T20" s="311"/>
      <c r="U20" s="311"/>
      <c r="V20" s="311"/>
      <c r="W20" s="311"/>
    </row>
    <row r="21" spans="1:23" ht="15">
      <c r="A21" s="319" t="s">
        <v>242</v>
      </c>
      <c r="B21" s="320" t="s">
        <v>14</v>
      </c>
      <c r="C21" s="320"/>
      <c r="D21" s="320"/>
      <c r="E21" s="320"/>
      <c r="F21" s="320"/>
      <c r="G21" s="320"/>
      <c r="H21" s="311"/>
      <c r="I21" s="311"/>
      <c r="J21" s="311"/>
      <c r="K21" s="311"/>
      <c r="L21" s="311"/>
      <c r="M21" s="311"/>
      <c r="N21" s="311"/>
      <c r="O21" s="311"/>
      <c r="P21" s="311"/>
      <c r="Q21" s="311"/>
      <c r="R21" s="311"/>
      <c r="S21" s="311"/>
      <c r="T21" s="311"/>
      <c r="U21" s="311"/>
      <c r="V21" s="311"/>
      <c r="W21" s="311"/>
    </row>
    <row r="22" spans="1:23" ht="45">
      <c r="A22" s="313" t="s">
        <v>23</v>
      </c>
      <c r="B22" s="328" t="s">
        <v>40</v>
      </c>
      <c r="C22" s="328" t="s">
        <v>41</v>
      </c>
      <c r="D22" s="328" t="s">
        <v>42</v>
      </c>
      <c r="E22" s="328" t="s">
        <v>43</v>
      </c>
      <c r="F22" s="328" t="s">
        <v>30</v>
      </c>
      <c r="G22" s="326"/>
      <c r="H22" s="311"/>
      <c r="I22" s="311"/>
      <c r="J22" s="311"/>
      <c r="K22" s="311"/>
      <c r="L22" s="311"/>
      <c r="M22" s="311"/>
      <c r="N22" s="311"/>
      <c r="O22" s="311"/>
      <c r="P22" s="311"/>
      <c r="Q22" s="311"/>
      <c r="R22" s="311"/>
      <c r="S22" s="311"/>
      <c r="T22" s="311"/>
      <c r="U22" s="311"/>
      <c r="V22" s="311"/>
      <c r="W22" s="311"/>
    </row>
    <row r="23" spans="1:23" ht="15">
      <c r="A23" s="313" t="s">
        <v>31</v>
      </c>
      <c r="B23" s="323"/>
      <c r="C23" s="323"/>
      <c r="D23" s="323"/>
      <c r="E23" s="323"/>
      <c r="F23" s="323"/>
      <c r="G23" s="323"/>
      <c r="H23" s="311"/>
      <c r="I23" s="311"/>
      <c r="J23" s="311"/>
      <c r="K23" s="311"/>
      <c r="L23" s="311"/>
      <c r="M23" s="311"/>
      <c r="N23" s="311"/>
      <c r="O23" s="311"/>
      <c r="P23" s="311"/>
      <c r="Q23" s="311"/>
      <c r="R23" s="311"/>
      <c r="S23" s="311"/>
      <c r="T23" s="311"/>
      <c r="U23" s="311"/>
      <c r="V23" s="311"/>
      <c r="W23" s="311"/>
    </row>
    <row r="24" spans="1:23" ht="15">
      <c r="A24" s="313" t="s">
        <v>32</v>
      </c>
      <c r="B24" s="323"/>
      <c r="C24" s="323"/>
      <c r="D24" s="323"/>
      <c r="E24" s="323"/>
      <c r="F24" s="323"/>
      <c r="G24" s="323"/>
      <c r="H24" s="311"/>
      <c r="I24" s="311"/>
      <c r="J24" s="311"/>
      <c r="K24" s="311"/>
      <c r="L24" s="311"/>
      <c r="M24" s="311"/>
      <c r="N24" s="311"/>
      <c r="O24" s="311"/>
      <c r="P24" s="311"/>
      <c r="Q24" s="311"/>
      <c r="R24" s="311"/>
      <c r="S24" s="311"/>
      <c r="T24" s="311"/>
      <c r="U24" s="311"/>
      <c r="V24" s="311"/>
      <c r="W24" s="311"/>
    </row>
    <row r="25" spans="1:23" ht="15">
      <c r="A25" s="313" t="s">
        <v>33</v>
      </c>
      <c r="B25" s="323">
        <v>10</v>
      </c>
      <c r="C25" s="323">
        <v>30</v>
      </c>
      <c r="D25" s="78"/>
      <c r="E25" s="323">
        <v>10</v>
      </c>
      <c r="F25" s="323"/>
      <c r="G25" s="323"/>
      <c r="H25" s="311"/>
      <c r="I25" s="311"/>
      <c r="J25" s="311"/>
      <c r="K25" s="311"/>
      <c r="L25" s="311"/>
      <c r="M25" s="311"/>
      <c r="N25" s="311"/>
      <c r="O25" s="311"/>
      <c r="P25" s="311"/>
      <c r="Q25" s="311"/>
      <c r="R25" s="311"/>
      <c r="S25" s="311"/>
      <c r="T25" s="311"/>
      <c r="U25" s="311"/>
      <c r="V25" s="311"/>
      <c r="W25" s="311"/>
    </row>
    <row r="26" spans="1:23" ht="15">
      <c r="A26" s="313" t="s">
        <v>34</v>
      </c>
      <c r="B26" s="323"/>
      <c r="C26" s="323"/>
      <c r="D26" s="323">
        <v>20</v>
      </c>
      <c r="E26" s="323"/>
      <c r="F26" s="323"/>
      <c r="G26" s="323"/>
      <c r="H26" s="311"/>
      <c r="I26" s="311"/>
      <c r="J26" s="311"/>
      <c r="K26" s="311"/>
      <c r="L26" s="311"/>
      <c r="M26" s="311"/>
      <c r="N26" s="311"/>
      <c r="O26" s="311"/>
      <c r="P26" s="311"/>
      <c r="Q26" s="311"/>
      <c r="R26" s="311"/>
      <c r="S26" s="311"/>
      <c r="T26" s="311"/>
      <c r="U26" s="311"/>
      <c r="V26" s="311"/>
      <c r="W26" s="311"/>
    </row>
    <row r="27" spans="1:23" ht="15">
      <c r="A27" s="313" t="s">
        <v>35</v>
      </c>
      <c r="B27" s="323">
        <v>10</v>
      </c>
      <c r="C27" s="323">
        <v>30</v>
      </c>
      <c r="D27" s="323"/>
      <c r="E27" s="323">
        <v>10</v>
      </c>
      <c r="F27" s="323"/>
      <c r="G27" s="323"/>
      <c r="H27" s="311"/>
      <c r="I27" s="311"/>
      <c r="J27" s="311"/>
      <c r="K27" s="311"/>
      <c r="L27" s="311"/>
      <c r="M27" s="311"/>
      <c r="N27" s="311"/>
      <c r="O27" s="311"/>
      <c r="P27" s="311"/>
      <c r="Q27" s="311"/>
      <c r="R27" s="311"/>
      <c r="S27" s="311"/>
      <c r="T27" s="311"/>
      <c r="U27" s="311"/>
      <c r="V27" s="311"/>
      <c r="W27" s="311"/>
    </row>
    <row r="28" spans="1:23" ht="15">
      <c r="A28" s="313" t="s">
        <v>36</v>
      </c>
      <c r="B28" s="323"/>
      <c r="C28" s="323"/>
      <c r="D28" s="323"/>
      <c r="E28" s="323"/>
      <c r="F28" s="323"/>
      <c r="G28" s="323"/>
      <c r="H28" s="311"/>
      <c r="I28" s="310"/>
      <c r="J28" s="310"/>
      <c r="K28" s="310"/>
      <c r="L28" s="310"/>
      <c r="M28" s="310"/>
      <c r="N28" s="310"/>
      <c r="O28" s="310"/>
      <c r="P28" s="310"/>
      <c r="Q28" s="310"/>
      <c r="R28" s="310"/>
      <c r="S28" s="310"/>
      <c r="T28" s="311"/>
      <c r="U28" s="311"/>
      <c r="V28" s="311"/>
      <c r="W28" s="311"/>
    </row>
    <row r="29" spans="1:23" ht="15">
      <c r="A29" s="313" t="s">
        <v>37</v>
      </c>
      <c r="B29" s="323">
        <v>10</v>
      </c>
      <c r="C29" s="323">
        <v>30</v>
      </c>
      <c r="D29" s="78"/>
      <c r="E29" s="323">
        <v>10</v>
      </c>
      <c r="F29" s="323"/>
      <c r="G29" s="323"/>
      <c r="H29" s="311"/>
      <c r="I29" s="310"/>
      <c r="J29" s="310"/>
      <c r="K29" s="310"/>
      <c r="L29" s="310"/>
      <c r="M29" s="310"/>
      <c r="N29" s="310"/>
      <c r="O29" s="310"/>
      <c r="P29" s="310"/>
      <c r="Q29" s="310"/>
      <c r="R29" s="310"/>
      <c r="S29" s="310"/>
      <c r="T29" s="311"/>
      <c r="U29" s="311"/>
      <c r="V29" s="311"/>
      <c r="W29" s="311"/>
    </row>
    <row r="30" spans="1:23" ht="15">
      <c r="A30" s="313" t="s">
        <v>38</v>
      </c>
      <c r="B30" s="323"/>
      <c r="C30" s="78"/>
      <c r="D30" s="323">
        <v>20</v>
      </c>
      <c r="E30" s="323"/>
      <c r="F30" s="323"/>
      <c r="G30" s="323"/>
      <c r="H30" s="311"/>
      <c r="I30" s="311"/>
      <c r="J30" s="311"/>
      <c r="K30" s="311"/>
      <c r="L30" s="311"/>
      <c r="M30" s="311"/>
      <c r="N30" s="311"/>
      <c r="O30" s="311"/>
      <c r="P30" s="311"/>
      <c r="Q30" s="311"/>
      <c r="R30" s="311"/>
      <c r="S30" s="311"/>
      <c r="T30" s="311"/>
      <c r="U30" s="311"/>
      <c r="V30" s="311"/>
      <c r="W30" s="311"/>
    </row>
    <row r="31" spans="1:23" ht="15">
      <c r="A31" s="313" t="s">
        <v>39</v>
      </c>
      <c r="B31" s="323"/>
      <c r="C31" s="78"/>
      <c r="D31" s="323"/>
      <c r="E31" s="323"/>
      <c r="F31" s="323"/>
      <c r="G31" s="323"/>
      <c r="H31" s="311"/>
      <c r="I31" s="311"/>
      <c r="J31" s="311"/>
      <c r="K31" s="311"/>
      <c r="L31" s="311"/>
      <c r="M31" s="311"/>
      <c r="N31" s="311"/>
      <c r="O31" s="311"/>
      <c r="P31" s="311"/>
      <c r="Q31" s="311"/>
      <c r="R31" s="311"/>
      <c r="S31" s="311"/>
      <c r="T31" s="311"/>
      <c r="U31" s="311"/>
      <c r="V31" s="311"/>
      <c r="W31" s="311"/>
    </row>
    <row r="32" spans="1:23" ht="15">
      <c r="A32" s="313" t="s">
        <v>44</v>
      </c>
      <c r="B32" s="315"/>
      <c r="C32" s="315"/>
      <c r="D32" s="315"/>
      <c r="E32" s="315"/>
      <c r="F32" s="315"/>
      <c r="G32" s="78"/>
      <c r="H32" s="311"/>
      <c r="I32" s="311"/>
      <c r="J32" s="311"/>
      <c r="K32" s="311"/>
      <c r="L32" s="311"/>
      <c r="M32" s="311"/>
      <c r="N32" s="311"/>
      <c r="O32" s="311"/>
      <c r="P32" s="311"/>
      <c r="Q32" s="311"/>
      <c r="R32" s="311"/>
      <c r="S32" s="311"/>
      <c r="T32" s="311"/>
      <c r="U32" s="311"/>
      <c r="V32" s="311"/>
      <c r="W32" s="311"/>
    </row>
    <row r="33" spans="1:23" ht="15">
      <c r="A33" s="322" t="s">
        <v>247</v>
      </c>
      <c r="B33" s="323">
        <f>SUM(B24:B32)</f>
        <v>30</v>
      </c>
      <c r="C33" s="323">
        <f>SUM(C24:C32)</f>
        <v>90</v>
      </c>
      <c r="D33" s="323">
        <f>SUM(D24:D32)</f>
        <v>40</v>
      </c>
      <c r="E33" s="323">
        <f>SUM(E24:E32)</f>
        <v>30</v>
      </c>
      <c r="F33" s="323"/>
      <c r="G33" s="78"/>
      <c r="H33" s="310"/>
      <c r="I33" s="311"/>
      <c r="J33" s="311"/>
      <c r="K33" s="311"/>
      <c r="L33" s="311"/>
      <c r="M33" s="311"/>
      <c r="N33" s="311"/>
      <c r="O33" s="311"/>
      <c r="P33" s="311"/>
      <c r="Q33" s="311"/>
      <c r="R33" s="311"/>
      <c r="S33" s="311"/>
      <c r="T33" s="310"/>
      <c r="U33" s="310"/>
      <c r="V33" s="310"/>
      <c r="W33" s="310"/>
    </row>
    <row r="34" spans="1:23" ht="15">
      <c r="A34" s="323" t="s">
        <v>248</v>
      </c>
      <c r="B34" s="327"/>
      <c r="C34" s="327"/>
      <c r="D34" s="327"/>
      <c r="E34" s="327"/>
      <c r="F34" s="323">
        <f>SUM(B33:E33)</f>
        <v>190</v>
      </c>
      <c r="G34" s="325">
        <f>(F34*52)/C3</f>
        <v>7.9166666666666663E-2</v>
      </c>
      <c r="H34" s="310"/>
      <c r="I34" s="311"/>
      <c r="J34" s="311"/>
      <c r="K34" s="311"/>
      <c r="L34" s="311"/>
      <c r="M34" s="311"/>
      <c r="N34" s="311"/>
      <c r="O34" s="311"/>
      <c r="P34" s="311"/>
      <c r="Q34" s="311"/>
      <c r="R34" s="311"/>
      <c r="S34" s="311"/>
      <c r="T34" s="310"/>
      <c r="U34" s="310"/>
      <c r="V34" s="310"/>
      <c r="W34" s="310"/>
    </row>
    <row r="35" spans="1:23" ht="15">
      <c r="A35" s="319" t="s">
        <v>242</v>
      </c>
      <c r="B35" s="320" t="s">
        <v>15</v>
      </c>
      <c r="C35" s="320"/>
      <c r="D35" s="320"/>
      <c r="E35" s="320"/>
      <c r="F35" s="320"/>
      <c r="G35" s="320"/>
      <c r="H35" s="311"/>
      <c r="I35" s="311"/>
      <c r="J35" s="311"/>
      <c r="K35" s="311"/>
      <c r="L35" s="311"/>
      <c r="M35" s="311"/>
      <c r="N35" s="311"/>
      <c r="O35" s="311"/>
      <c r="P35" s="311"/>
      <c r="Q35" s="311"/>
      <c r="R35" s="311"/>
      <c r="S35" s="311"/>
      <c r="T35" s="311"/>
      <c r="U35" s="311"/>
      <c r="V35" s="311"/>
      <c r="W35" s="311"/>
    </row>
    <row r="36" spans="1:23" ht="45">
      <c r="A36" s="313" t="s">
        <v>23</v>
      </c>
      <c r="B36" s="326" t="s">
        <v>40</v>
      </c>
      <c r="C36" s="326" t="s">
        <v>41</v>
      </c>
      <c r="D36" s="326" t="s">
        <v>42</v>
      </c>
      <c r="E36" s="326" t="s">
        <v>45</v>
      </c>
      <c r="F36" s="326" t="s">
        <v>46</v>
      </c>
      <c r="G36" s="326"/>
      <c r="H36" s="311"/>
      <c r="I36" s="311"/>
      <c r="J36" s="311"/>
      <c r="K36" s="311"/>
      <c r="L36" s="311"/>
      <c r="M36" s="311"/>
      <c r="N36" s="311"/>
      <c r="O36" s="311"/>
      <c r="P36" s="311"/>
      <c r="Q36" s="311"/>
      <c r="R36" s="311"/>
      <c r="S36" s="311"/>
      <c r="T36" s="311"/>
      <c r="U36" s="311"/>
      <c r="V36" s="311"/>
      <c r="W36" s="311"/>
    </row>
    <row r="37" spans="1:23" ht="15">
      <c r="A37" s="313" t="s">
        <v>31</v>
      </c>
      <c r="B37" s="323"/>
      <c r="C37" s="323"/>
      <c r="D37" s="323"/>
      <c r="E37" s="323"/>
      <c r="F37" s="323"/>
      <c r="G37" s="323"/>
      <c r="H37" s="311"/>
      <c r="I37" s="311"/>
      <c r="J37" s="311"/>
      <c r="K37" s="311"/>
      <c r="L37" s="311"/>
      <c r="M37" s="311"/>
      <c r="N37" s="311"/>
      <c r="O37" s="311"/>
      <c r="P37" s="311"/>
      <c r="Q37" s="311"/>
      <c r="R37" s="311"/>
      <c r="S37" s="311"/>
      <c r="T37" s="311"/>
      <c r="U37" s="311"/>
      <c r="V37" s="311"/>
      <c r="W37" s="311"/>
    </row>
    <row r="38" spans="1:23" ht="15">
      <c r="A38" s="313" t="s">
        <v>32</v>
      </c>
      <c r="B38" s="323"/>
      <c r="C38" s="323"/>
      <c r="D38" s="323"/>
      <c r="E38" s="323"/>
      <c r="F38" s="323"/>
      <c r="G38" s="323"/>
      <c r="H38" s="311"/>
      <c r="I38" s="311"/>
      <c r="J38" s="311"/>
      <c r="K38" s="311"/>
      <c r="L38" s="311"/>
      <c r="M38" s="311"/>
      <c r="N38" s="311"/>
      <c r="O38" s="311"/>
      <c r="P38" s="311"/>
      <c r="Q38" s="311"/>
      <c r="R38" s="311"/>
      <c r="S38" s="311"/>
      <c r="T38" s="311"/>
      <c r="U38" s="311"/>
      <c r="V38" s="311"/>
      <c r="W38" s="311"/>
    </row>
    <row r="39" spans="1:23" ht="15">
      <c r="A39" s="313" t="s">
        <v>33</v>
      </c>
      <c r="B39" s="323">
        <v>20</v>
      </c>
      <c r="C39" s="323">
        <v>30</v>
      </c>
      <c r="D39" s="78"/>
      <c r="E39" s="323"/>
      <c r="F39" s="323"/>
      <c r="G39" s="323"/>
      <c r="H39" s="311"/>
      <c r="I39" s="311"/>
      <c r="J39" s="311"/>
      <c r="K39" s="311"/>
      <c r="L39" s="311"/>
      <c r="M39" s="311"/>
      <c r="N39" s="311"/>
      <c r="O39" s="311"/>
      <c r="P39" s="311"/>
      <c r="Q39" s="311"/>
      <c r="R39" s="311"/>
      <c r="S39" s="311"/>
      <c r="T39" s="311"/>
      <c r="U39" s="311"/>
      <c r="V39" s="311"/>
      <c r="W39" s="311"/>
    </row>
    <row r="40" spans="1:23" ht="15">
      <c r="A40" s="313" t="s">
        <v>34</v>
      </c>
      <c r="B40" s="323"/>
      <c r="C40" s="323"/>
      <c r="D40" s="323">
        <v>20</v>
      </c>
      <c r="E40" s="323">
        <v>10</v>
      </c>
      <c r="F40" s="323"/>
      <c r="G40" s="323"/>
      <c r="H40" s="311"/>
      <c r="I40" s="311"/>
      <c r="J40" s="311"/>
      <c r="K40" s="311"/>
      <c r="L40" s="311"/>
      <c r="M40" s="311"/>
      <c r="N40" s="311"/>
      <c r="O40" s="311"/>
      <c r="P40" s="311"/>
      <c r="Q40" s="311"/>
      <c r="R40" s="311"/>
      <c r="S40" s="311"/>
      <c r="T40" s="311"/>
      <c r="U40" s="311"/>
      <c r="V40" s="311"/>
      <c r="W40" s="311"/>
    </row>
    <row r="41" spans="1:23" ht="15">
      <c r="A41" s="313" t="s">
        <v>35</v>
      </c>
      <c r="B41" s="323">
        <v>20</v>
      </c>
      <c r="C41" s="323">
        <v>30</v>
      </c>
      <c r="D41" s="78"/>
      <c r="E41" s="323"/>
      <c r="F41" s="323"/>
      <c r="G41" s="323"/>
      <c r="H41" s="311"/>
      <c r="I41" s="311"/>
      <c r="J41" s="311"/>
      <c r="K41" s="311"/>
      <c r="L41" s="311"/>
      <c r="M41" s="311"/>
      <c r="N41" s="311"/>
      <c r="O41" s="311"/>
      <c r="P41" s="311"/>
      <c r="Q41" s="311"/>
      <c r="R41" s="311"/>
      <c r="S41" s="311"/>
      <c r="T41" s="311"/>
      <c r="U41" s="311"/>
      <c r="V41" s="311"/>
      <c r="W41" s="311"/>
    </row>
    <row r="42" spans="1:23" ht="15">
      <c r="A42" s="313" t="s">
        <v>36</v>
      </c>
      <c r="B42" s="323"/>
      <c r="C42" s="323"/>
      <c r="D42" s="323">
        <v>20</v>
      </c>
      <c r="E42" s="323">
        <v>10</v>
      </c>
      <c r="F42" s="323"/>
      <c r="G42" s="323"/>
      <c r="H42" s="311"/>
      <c r="I42" s="310"/>
      <c r="J42" s="310"/>
      <c r="K42" s="310"/>
      <c r="L42" s="310"/>
      <c r="M42" s="310"/>
      <c r="N42" s="310"/>
      <c r="O42" s="310"/>
      <c r="P42" s="310"/>
      <c r="Q42" s="310"/>
      <c r="R42" s="310"/>
      <c r="S42" s="310"/>
      <c r="T42" s="311"/>
      <c r="U42" s="311"/>
      <c r="V42" s="311"/>
      <c r="W42" s="311"/>
    </row>
    <row r="43" spans="1:23" ht="15">
      <c r="A43" s="313" t="s">
        <v>37</v>
      </c>
      <c r="B43" s="323"/>
      <c r="C43" s="323"/>
      <c r="D43" s="323"/>
      <c r="E43" s="323"/>
      <c r="F43" s="323"/>
      <c r="G43" s="323"/>
      <c r="H43" s="311"/>
      <c r="I43" s="310"/>
      <c r="J43" s="310"/>
      <c r="K43" s="310"/>
      <c r="L43" s="310"/>
      <c r="M43" s="310"/>
      <c r="N43" s="310"/>
      <c r="O43" s="310"/>
      <c r="P43" s="310"/>
      <c r="Q43" s="310"/>
      <c r="R43" s="310"/>
      <c r="S43" s="310"/>
      <c r="T43" s="311"/>
      <c r="U43" s="311"/>
      <c r="V43" s="311"/>
      <c r="W43" s="311"/>
    </row>
    <row r="44" spans="1:23" ht="15">
      <c r="A44" s="313" t="s">
        <v>38</v>
      </c>
      <c r="B44" s="323"/>
      <c r="C44" s="323">
        <v>30</v>
      </c>
      <c r="D44" s="323">
        <v>20</v>
      </c>
      <c r="E44" s="323">
        <v>10</v>
      </c>
      <c r="F44" s="323"/>
      <c r="G44" s="323"/>
      <c r="H44" s="311"/>
      <c r="I44" s="311"/>
      <c r="J44" s="311"/>
      <c r="K44" s="311"/>
      <c r="L44" s="311"/>
      <c r="M44" s="311"/>
      <c r="N44" s="311"/>
      <c r="O44" s="311"/>
      <c r="P44" s="311"/>
      <c r="Q44" s="311"/>
      <c r="R44" s="311"/>
      <c r="S44" s="311"/>
      <c r="T44" s="311"/>
      <c r="U44" s="311"/>
      <c r="V44" s="311"/>
      <c r="W44" s="311"/>
    </row>
    <row r="45" spans="1:23" ht="15">
      <c r="A45" s="313" t="s">
        <v>39</v>
      </c>
      <c r="B45" s="323">
        <v>30</v>
      </c>
      <c r="C45" s="78"/>
      <c r="D45" s="323"/>
      <c r="E45" s="323"/>
      <c r="F45" s="323"/>
      <c r="G45" s="323"/>
      <c r="H45" s="311"/>
      <c r="I45" s="311"/>
      <c r="J45" s="311"/>
      <c r="K45" s="311"/>
      <c r="L45" s="311"/>
      <c r="M45" s="311"/>
      <c r="N45" s="311"/>
      <c r="O45" s="311"/>
      <c r="P45" s="311"/>
      <c r="Q45" s="311"/>
      <c r="R45" s="311"/>
      <c r="S45" s="311"/>
      <c r="T45" s="311"/>
      <c r="U45" s="311"/>
      <c r="V45" s="311"/>
      <c r="W45" s="311"/>
    </row>
    <row r="46" spans="1:23" ht="15">
      <c r="A46" s="322" t="s">
        <v>247</v>
      </c>
      <c r="B46" s="323">
        <f>SUM(B38:B45)</f>
        <v>70</v>
      </c>
      <c r="C46" s="323">
        <f>SUM(C38:C45)</f>
        <v>90</v>
      </c>
      <c r="D46" s="323">
        <f>SUM(D38:D45)</f>
        <v>60</v>
      </c>
      <c r="E46" s="323">
        <f>SUM(E38:E45)</f>
        <v>30</v>
      </c>
      <c r="F46" s="323"/>
      <c r="G46" s="323"/>
      <c r="H46" s="310"/>
      <c r="I46" s="311"/>
      <c r="J46" s="311"/>
      <c r="K46" s="311"/>
      <c r="L46" s="311"/>
      <c r="M46" s="311"/>
      <c r="N46" s="311"/>
      <c r="O46" s="311"/>
      <c r="P46" s="311"/>
      <c r="Q46" s="311"/>
      <c r="R46" s="311"/>
      <c r="S46" s="311"/>
      <c r="T46" s="310"/>
      <c r="U46" s="310"/>
      <c r="V46" s="310"/>
      <c r="W46" s="310"/>
    </row>
    <row r="47" spans="1:23" ht="15">
      <c r="A47" s="323" t="s">
        <v>248</v>
      </c>
      <c r="B47" s="327"/>
      <c r="C47" s="327"/>
      <c r="D47" s="327"/>
      <c r="E47" s="327"/>
      <c r="F47" s="323">
        <f>SUM(B46:E46)</f>
        <v>250</v>
      </c>
      <c r="G47" s="325">
        <f>(F47*52)/C3</f>
        <v>0.10416666666666667</v>
      </c>
      <c r="H47" s="310"/>
      <c r="I47" s="311"/>
      <c r="J47" s="311"/>
      <c r="K47" s="311"/>
      <c r="L47" s="311"/>
      <c r="M47" s="311"/>
      <c r="N47" s="311"/>
      <c r="O47" s="311"/>
      <c r="P47" s="311"/>
      <c r="Q47" s="311"/>
      <c r="R47" s="311"/>
      <c r="S47" s="311"/>
      <c r="T47" s="310"/>
      <c r="U47" s="310"/>
      <c r="V47" s="310"/>
      <c r="W47" s="310"/>
    </row>
    <row r="48" spans="1:23" ht="15">
      <c r="A48" s="319" t="s">
        <v>242</v>
      </c>
      <c r="B48" s="329" t="s">
        <v>16</v>
      </c>
      <c r="C48" s="320"/>
      <c r="D48" s="320"/>
      <c r="E48" s="320"/>
      <c r="F48" s="320"/>
      <c r="G48" s="320"/>
      <c r="H48" s="311"/>
      <c r="I48" s="311"/>
      <c r="J48" s="311"/>
      <c r="K48" s="311"/>
      <c r="L48" s="311"/>
      <c r="M48" s="311"/>
      <c r="N48" s="311"/>
      <c r="O48" s="311"/>
      <c r="P48" s="311"/>
      <c r="Q48" s="311"/>
      <c r="R48" s="311"/>
      <c r="S48" s="311"/>
      <c r="T48" s="311"/>
      <c r="U48" s="311"/>
      <c r="V48" s="311"/>
      <c r="W48" s="311"/>
    </row>
    <row r="49" spans="1:23" s="153" customFormat="1" ht="45">
      <c r="A49" s="77" t="s">
        <v>23</v>
      </c>
      <c r="B49" s="326" t="s">
        <v>40</v>
      </c>
      <c r="C49" s="326" t="s">
        <v>41</v>
      </c>
      <c r="D49" s="326" t="s">
        <v>42</v>
      </c>
      <c r="E49" s="326" t="s">
        <v>47</v>
      </c>
      <c r="F49" s="326"/>
      <c r="G49" s="326"/>
      <c r="H49" s="330"/>
      <c r="I49" s="330"/>
      <c r="J49" s="330"/>
      <c r="K49" s="330"/>
      <c r="L49" s="330"/>
      <c r="M49" s="330"/>
      <c r="N49" s="330"/>
      <c r="O49" s="330"/>
      <c r="P49" s="330"/>
      <c r="Q49" s="330"/>
      <c r="R49" s="330"/>
      <c r="S49" s="330"/>
      <c r="T49" s="330"/>
      <c r="U49" s="330"/>
      <c r="V49" s="330"/>
      <c r="W49" s="330"/>
    </row>
    <row r="50" spans="1:23" ht="15">
      <c r="A50" s="313" t="s">
        <v>31</v>
      </c>
      <c r="B50" s="323"/>
      <c r="C50" s="323"/>
      <c r="D50" s="323"/>
      <c r="E50" s="323"/>
      <c r="F50" s="323"/>
      <c r="G50" s="323"/>
      <c r="H50" s="311"/>
      <c r="I50" s="311"/>
      <c r="J50" s="311"/>
      <c r="K50" s="311"/>
      <c r="L50" s="311"/>
      <c r="M50" s="311"/>
      <c r="N50" s="311"/>
      <c r="O50" s="311"/>
      <c r="P50" s="311"/>
      <c r="Q50" s="311"/>
      <c r="R50" s="311"/>
      <c r="S50" s="311"/>
      <c r="T50" s="311"/>
      <c r="U50" s="311"/>
      <c r="V50" s="311"/>
      <c r="W50" s="311"/>
    </row>
    <row r="51" spans="1:23" ht="15">
      <c r="A51" s="313" t="s">
        <v>32</v>
      </c>
      <c r="B51" s="323"/>
      <c r="C51" s="323"/>
      <c r="D51" s="323"/>
      <c r="E51" s="323"/>
      <c r="F51" s="323"/>
      <c r="G51" s="323"/>
      <c r="H51" s="311"/>
      <c r="I51" s="311"/>
      <c r="J51" s="311"/>
      <c r="K51" s="311"/>
      <c r="L51" s="311"/>
      <c r="M51" s="311"/>
      <c r="N51" s="311"/>
      <c r="O51" s="311"/>
      <c r="P51" s="311"/>
      <c r="Q51" s="311"/>
      <c r="R51" s="311"/>
      <c r="S51" s="311"/>
      <c r="T51" s="311"/>
      <c r="U51" s="311"/>
      <c r="V51" s="311"/>
      <c r="W51" s="311"/>
    </row>
    <row r="52" spans="1:23" ht="15">
      <c r="A52" s="313" t="s">
        <v>33</v>
      </c>
      <c r="B52" s="323">
        <v>20</v>
      </c>
      <c r="C52" s="323">
        <v>15</v>
      </c>
      <c r="D52" s="78"/>
      <c r="E52" s="323"/>
      <c r="F52" s="323"/>
      <c r="G52" s="323"/>
      <c r="H52" s="311"/>
      <c r="I52" s="311"/>
      <c r="J52" s="311"/>
      <c r="K52" s="311"/>
      <c r="L52" s="311"/>
      <c r="M52" s="311"/>
      <c r="N52" s="311"/>
      <c r="O52" s="311"/>
      <c r="P52" s="311"/>
      <c r="Q52" s="311"/>
      <c r="R52" s="311"/>
      <c r="S52" s="311"/>
      <c r="T52" s="311"/>
      <c r="U52" s="311"/>
      <c r="V52" s="311"/>
      <c r="W52" s="311"/>
    </row>
    <row r="53" spans="1:23" ht="15">
      <c r="A53" s="313" t="s">
        <v>34</v>
      </c>
      <c r="B53" s="323"/>
      <c r="C53" s="323"/>
      <c r="D53" s="323">
        <v>20</v>
      </c>
      <c r="E53" s="323">
        <v>10</v>
      </c>
      <c r="F53" s="323"/>
      <c r="G53" s="323"/>
      <c r="H53" s="311"/>
      <c r="I53" s="311"/>
      <c r="J53" s="311"/>
      <c r="K53" s="311"/>
      <c r="L53" s="311"/>
      <c r="M53" s="311"/>
      <c r="N53" s="311"/>
      <c r="O53" s="311"/>
      <c r="P53" s="311"/>
      <c r="Q53" s="311"/>
      <c r="R53" s="311"/>
      <c r="S53" s="311"/>
      <c r="T53" s="311"/>
      <c r="U53" s="311"/>
      <c r="V53" s="311"/>
      <c r="W53" s="311"/>
    </row>
    <row r="54" spans="1:23" ht="15">
      <c r="A54" s="313" t="s">
        <v>35</v>
      </c>
      <c r="B54" s="323">
        <v>20</v>
      </c>
      <c r="C54" s="323">
        <v>15</v>
      </c>
      <c r="D54" s="78"/>
      <c r="E54" s="323"/>
      <c r="F54" s="323"/>
      <c r="G54" s="323"/>
      <c r="H54" s="311"/>
      <c r="I54" s="311"/>
      <c r="J54" s="311"/>
      <c r="K54" s="311"/>
      <c r="L54" s="311"/>
      <c r="M54" s="311"/>
      <c r="N54" s="311"/>
      <c r="O54" s="311"/>
      <c r="P54" s="311"/>
      <c r="Q54" s="311"/>
      <c r="R54" s="311"/>
      <c r="S54" s="311"/>
      <c r="T54" s="311"/>
      <c r="U54" s="311"/>
      <c r="V54" s="311"/>
      <c r="W54" s="311"/>
    </row>
    <row r="55" spans="1:23" ht="15">
      <c r="A55" s="313" t="s">
        <v>36</v>
      </c>
      <c r="B55" s="323"/>
      <c r="C55" s="78"/>
      <c r="D55" s="323">
        <v>20</v>
      </c>
      <c r="E55" s="323">
        <v>10</v>
      </c>
      <c r="F55" s="323"/>
      <c r="G55" s="323"/>
      <c r="H55" s="311"/>
      <c r="I55" s="310"/>
      <c r="J55" s="310"/>
      <c r="K55" s="310"/>
      <c r="L55" s="310"/>
      <c r="M55" s="310"/>
      <c r="N55" s="310"/>
      <c r="O55" s="310"/>
      <c r="P55" s="310"/>
      <c r="Q55" s="310"/>
      <c r="R55" s="310"/>
      <c r="S55" s="310"/>
      <c r="T55" s="311"/>
      <c r="U55" s="311"/>
      <c r="V55" s="311"/>
      <c r="W55" s="311"/>
    </row>
    <row r="56" spans="1:23" ht="15">
      <c r="A56" s="313" t="s">
        <v>37</v>
      </c>
      <c r="B56" s="323">
        <v>20</v>
      </c>
      <c r="C56" s="323">
        <v>15</v>
      </c>
      <c r="D56" s="78"/>
      <c r="E56" s="323"/>
      <c r="F56" s="323"/>
      <c r="G56" s="323"/>
      <c r="H56" s="311"/>
      <c r="I56" s="310"/>
      <c r="J56" s="310"/>
      <c r="K56" s="310"/>
      <c r="L56" s="310"/>
      <c r="M56" s="310"/>
      <c r="N56" s="310"/>
      <c r="O56" s="310"/>
      <c r="P56" s="310"/>
      <c r="Q56" s="310"/>
      <c r="R56" s="310"/>
      <c r="S56" s="310"/>
      <c r="T56" s="311"/>
      <c r="U56" s="311"/>
      <c r="V56" s="311"/>
      <c r="W56" s="311"/>
    </row>
    <row r="57" spans="1:23" ht="15">
      <c r="A57" s="313" t="s">
        <v>38</v>
      </c>
      <c r="B57" s="323"/>
      <c r="C57" s="78"/>
      <c r="D57" s="323">
        <v>20</v>
      </c>
      <c r="E57" s="323">
        <v>10</v>
      </c>
      <c r="F57" s="323"/>
      <c r="G57" s="323"/>
      <c r="H57" s="311"/>
      <c r="I57" s="311"/>
      <c r="J57" s="311"/>
      <c r="K57" s="311"/>
      <c r="L57" s="311"/>
      <c r="M57" s="311"/>
      <c r="N57" s="311"/>
      <c r="O57" s="311"/>
      <c r="P57" s="311"/>
      <c r="Q57" s="311"/>
      <c r="R57" s="311"/>
      <c r="S57" s="311"/>
      <c r="T57" s="311"/>
      <c r="U57" s="311"/>
      <c r="V57" s="311"/>
      <c r="W57" s="311"/>
    </row>
    <row r="58" spans="1:23" ht="15">
      <c r="A58" s="313" t="s">
        <v>48</v>
      </c>
      <c r="B58" s="323"/>
      <c r="C58" s="78"/>
      <c r="D58" s="323"/>
      <c r="E58" s="323"/>
      <c r="F58" s="323"/>
      <c r="G58" s="323"/>
      <c r="H58" s="311"/>
      <c r="I58" s="311"/>
      <c r="J58" s="311"/>
      <c r="K58" s="311"/>
      <c r="L58" s="311"/>
      <c r="M58" s="311"/>
      <c r="N58" s="311"/>
      <c r="O58" s="311"/>
      <c r="P58" s="311"/>
      <c r="Q58" s="311"/>
      <c r="R58" s="311"/>
      <c r="S58" s="311"/>
      <c r="T58" s="311"/>
      <c r="U58" s="311"/>
      <c r="V58" s="311"/>
      <c r="W58" s="311"/>
    </row>
    <row r="59" spans="1:23" ht="15">
      <c r="A59" s="322" t="s">
        <v>247</v>
      </c>
      <c r="B59" s="323">
        <f>SUM(B51:B58)</f>
        <v>60</v>
      </c>
      <c r="C59" s="323">
        <f>SUM(C51:C58)</f>
        <v>45</v>
      </c>
      <c r="D59" s="323">
        <f>SUM(D51:D58)</f>
        <v>60</v>
      </c>
      <c r="E59" s="323">
        <f>SUM(E51:E58)</f>
        <v>30</v>
      </c>
      <c r="F59" s="323"/>
      <c r="G59" s="323"/>
      <c r="H59" s="311"/>
      <c r="I59" s="311"/>
      <c r="J59" s="311"/>
      <c r="K59" s="311"/>
      <c r="L59" s="311"/>
      <c r="M59" s="311"/>
      <c r="N59" s="311"/>
      <c r="O59" s="311"/>
      <c r="P59" s="311"/>
      <c r="Q59" s="311"/>
      <c r="R59" s="311"/>
      <c r="S59" s="311"/>
      <c r="T59" s="311"/>
      <c r="U59" s="311"/>
      <c r="V59" s="311"/>
      <c r="W59" s="311"/>
    </row>
    <row r="60" spans="1:23" ht="15">
      <c r="A60" s="323" t="s">
        <v>248</v>
      </c>
      <c r="B60" s="327"/>
      <c r="C60" s="327"/>
      <c r="D60" s="327"/>
      <c r="E60" s="327"/>
      <c r="F60" s="323">
        <f>SUM(B59:E59)</f>
        <v>195</v>
      </c>
      <c r="G60" s="325">
        <f>(F60*52)/C3</f>
        <v>8.1250000000000003E-2</v>
      </c>
      <c r="H60" s="311"/>
      <c r="I60" s="311"/>
      <c r="J60" s="311"/>
      <c r="K60" s="311"/>
      <c r="L60" s="311"/>
      <c r="M60" s="311"/>
      <c r="N60" s="311"/>
      <c r="O60" s="311"/>
      <c r="P60" s="311"/>
      <c r="Q60" s="311"/>
      <c r="R60" s="311"/>
      <c r="S60" s="311"/>
      <c r="T60" s="311"/>
      <c r="U60" s="311"/>
      <c r="V60" s="311"/>
      <c r="W60" s="311"/>
    </row>
    <row r="61" spans="1:23" ht="15">
      <c r="A61" s="319" t="s">
        <v>242</v>
      </c>
      <c r="B61" s="320" t="s">
        <v>334</v>
      </c>
      <c r="C61" s="329"/>
      <c r="D61" s="329"/>
      <c r="E61" s="329"/>
      <c r="F61" s="329"/>
      <c r="G61" s="329"/>
      <c r="H61" s="310"/>
      <c r="I61" s="311"/>
      <c r="J61" s="311"/>
      <c r="K61" s="311"/>
      <c r="L61" s="311"/>
      <c r="M61" s="311"/>
      <c r="N61" s="311"/>
      <c r="O61" s="311"/>
      <c r="P61" s="311"/>
      <c r="Q61" s="311"/>
      <c r="R61" s="311"/>
      <c r="S61" s="311"/>
      <c r="T61" s="310"/>
      <c r="U61" s="310"/>
      <c r="V61" s="310"/>
      <c r="W61" s="310"/>
    </row>
    <row r="62" spans="1:23" ht="30">
      <c r="A62" s="78" t="s">
        <v>23</v>
      </c>
      <c r="B62" s="326" t="s">
        <v>49</v>
      </c>
      <c r="C62" s="326" t="s">
        <v>50</v>
      </c>
      <c r="D62" s="326" t="s">
        <v>51</v>
      </c>
      <c r="E62" s="326" t="s">
        <v>30</v>
      </c>
      <c r="F62" s="326"/>
      <c r="G62" s="326"/>
      <c r="H62" s="310"/>
      <c r="I62" s="311"/>
      <c r="J62" s="311"/>
      <c r="K62" s="311"/>
      <c r="L62" s="311"/>
      <c r="M62" s="311"/>
      <c r="N62" s="311"/>
      <c r="O62" s="311"/>
      <c r="P62" s="311"/>
      <c r="Q62" s="311"/>
      <c r="R62" s="311"/>
      <c r="S62" s="311"/>
      <c r="T62" s="310"/>
      <c r="U62" s="310"/>
      <c r="V62" s="310"/>
      <c r="W62" s="310"/>
    </row>
    <row r="63" spans="1:23">
      <c r="A63" s="331" t="s">
        <v>31</v>
      </c>
      <c r="B63" s="332"/>
      <c r="C63" s="332"/>
      <c r="D63" s="332"/>
      <c r="E63" s="332"/>
      <c r="F63" s="332"/>
      <c r="G63" s="332"/>
      <c r="H63" s="311"/>
      <c r="I63" s="311"/>
      <c r="J63" s="311"/>
      <c r="K63" s="311"/>
      <c r="L63" s="311"/>
      <c r="M63" s="311"/>
      <c r="N63" s="311"/>
      <c r="O63" s="311"/>
      <c r="P63" s="311"/>
      <c r="Q63" s="311"/>
      <c r="R63" s="311"/>
      <c r="S63" s="311"/>
      <c r="T63" s="311"/>
      <c r="U63" s="311"/>
      <c r="V63" s="311"/>
      <c r="W63" s="311"/>
    </row>
    <row r="64" spans="1:23">
      <c r="A64" s="331" t="s">
        <v>32</v>
      </c>
      <c r="B64" s="332"/>
      <c r="C64" s="332"/>
      <c r="D64" s="332"/>
      <c r="E64" s="332"/>
      <c r="F64" s="332"/>
      <c r="G64" s="332"/>
      <c r="H64" s="311"/>
      <c r="I64" s="311"/>
      <c r="J64" s="311"/>
      <c r="K64" s="311"/>
      <c r="L64" s="311"/>
      <c r="M64" s="311"/>
      <c r="N64" s="311"/>
      <c r="O64" s="311"/>
      <c r="P64" s="311"/>
      <c r="Q64" s="311"/>
      <c r="R64" s="311"/>
      <c r="S64" s="311"/>
      <c r="T64" s="311"/>
      <c r="U64" s="311"/>
      <c r="V64" s="311"/>
      <c r="W64" s="311"/>
    </row>
    <row r="65" spans="1:23">
      <c r="A65" s="331" t="s">
        <v>33</v>
      </c>
      <c r="B65" s="332">
        <v>20</v>
      </c>
      <c r="C65" s="332">
        <v>20</v>
      </c>
      <c r="D65" s="332">
        <v>30</v>
      </c>
      <c r="E65" s="332">
        <v>20</v>
      </c>
      <c r="F65" s="332"/>
      <c r="G65" s="332"/>
      <c r="H65" s="311"/>
      <c r="I65" s="311"/>
      <c r="J65" s="311"/>
      <c r="K65" s="311"/>
      <c r="L65" s="311"/>
      <c r="M65" s="311"/>
      <c r="N65" s="311"/>
      <c r="O65" s="311"/>
      <c r="P65" s="311"/>
      <c r="Q65" s="311"/>
      <c r="R65" s="311"/>
      <c r="S65" s="311"/>
      <c r="T65" s="311"/>
      <c r="U65" s="311"/>
      <c r="V65" s="311"/>
      <c r="W65" s="311"/>
    </row>
    <row r="66" spans="1:23">
      <c r="A66" s="331" t="s">
        <v>34</v>
      </c>
      <c r="B66" s="332"/>
      <c r="C66" s="332"/>
      <c r="D66" s="332"/>
      <c r="E66" s="332"/>
      <c r="F66" s="332"/>
      <c r="G66" s="332"/>
      <c r="H66" s="311"/>
      <c r="I66" s="311"/>
      <c r="J66" s="311"/>
      <c r="K66" s="311"/>
      <c r="L66" s="311"/>
      <c r="M66" s="311"/>
      <c r="N66" s="311"/>
      <c r="O66" s="311"/>
      <c r="P66" s="311"/>
      <c r="Q66" s="311"/>
      <c r="R66" s="311"/>
      <c r="S66" s="311"/>
      <c r="T66" s="311"/>
      <c r="U66" s="311"/>
      <c r="V66" s="311"/>
      <c r="W66" s="311"/>
    </row>
    <row r="67" spans="1:23">
      <c r="A67" s="331" t="s">
        <v>35</v>
      </c>
      <c r="B67" s="332"/>
      <c r="C67" s="332"/>
      <c r="D67" s="332"/>
      <c r="E67" s="332"/>
      <c r="F67" s="332"/>
      <c r="G67" s="332"/>
      <c r="H67" s="311"/>
      <c r="I67" s="311"/>
      <c r="J67" s="311"/>
      <c r="K67" s="311"/>
      <c r="L67" s="311"/>
      <c r="M67" s="311"/>
      <c r="N67" s="311"/>
      <c r="O67" s="311"/>
      <c r="P67" s="311"/>
      <c r="Q67" s="311"/>
      <c r="R67" s="311"/>
      <c r="S67" s="311"/>
      <c r="T67" s="311"/>
      <c r="U67" s="311"/>
      <c r="V67" s="311"/>
      <c r="W67" s="311"/>
    </row>
    <row r="68" spans="1:23">
      <c r="A68" s="331" t="s">
        <v>36</v>
      </c>
      <c r="B68" s="332">
        <v>20</v>
      </c>
      <c r="C68" s="332">
        <v>20</v>
      </c>
      <c r="D68" s="332">
        <v>30</v>
      </c>
      <c r="E68" s="332">
        <v>20</v>
      </c>
      <c r="F68" s="332"/>
      <c r="G68" s="332"/>
      <c r="H68" s="311"/>
      <c r="I68" s="311"/>
      <c r="J68" s="311"/>
      <c r="K68" s="311"/>
      <c r="L68" s="311"/>
      <c r="M68" s="311"/>
      <c r="N68" s="311"/>
      <c r="O68" s="311"/>
      <c r="P68" s="311"/>
      <c r="Q68" s="311"/>
      <c r="R68" s="311"/>
      <c r="S68" s="311"/>
      <c r="T68" s="311"/>
      <c r="U68" s="311"/>
      <c r="V68" s="311"/>
      <c r="W68" s="311"/>
    </row>
    <row r="69" spans="1:23">
      <c r="A69" s="331" t="s">
        <v>37</v>
      </c>
      <c r="B69" s="332">
        <v>20</v>
      </c>
      <c r="C69" s="332">
        <v>20</v>
      </c>
      <c r="D69" s="332">
        <v>30</v>
      </c>
      <c r="E69" s="332">
        <v>20</v>
      </c>
      <c r="F69" s="332"/>
      <c r="G69" s="332"/>
      <c r="H69" s="311"/>
      <c r="I69" s="311"/>
      <c r="J69" s="311"/>
      <c r="K69" s="311"/>
      <c r="L69" s="311"/>
      <c r="M69" s="311"/>
      <c r="N69" s="311"/>
      <c r="O69" s="311"/>
      <c r="P69" s="311"/>
      <c r="Q69" s="311"/>
      <c r="R69" s="311"/>
      <c r="S69" s="311"/>
      <c r="T69" s="311"/>
      <c r="U69" s="311"/>
      <c r="V69" s="311"/>
      <c r="W69" s="311"/>
    </row>
    <row r="70" spans="1:23">
      <c r="A70" s="331" t="s">
        <v>38</v>
      </c>
      <c r="B70" s="332"/>
      <c r="C70" s="332"/>
      <c r="D70" s="332"/>
      <c r="E70" s="332"/>
      <c r="F70" s="332"/>
      <c r="G70" s="332"/>
      <c r="H70" s="311"/>
      <c r="I70" s="311"/>
      <c r="J70" s="311"/>
      <c r="K70" s="311"/>
      <c r="L70" s="311"/>
      <c r="M70" s="311"/>
      <c r="N70" s="311"/>
      <c r="O70" s="311"/>
      <c r="P70" s="311"/>
      <c r="Q70" s="311"/>
      <c r="R70" s="311"/>
      <c r="S70" s="311"/>
      <c r="T70" s="311"/>
      <c r="U70" s="311"/>
      <c r="V70" s="311"/>
      <c r="W70" s="311"/>
    </row>
    <row r="71" spans="1:23">
      <c r="A71" s="331" t="s">
        <v>39</v>
      </c>
      <c r="B71" s="332"/>
      <c r="C71" s="332"/>
      <c r="D71" s="332"/>
      <c r="E71" s="332"/>
      <c r="F71" s="332"/>
      <c r="G71" s="332"/>
      <c r="H71" s="311"/>
      <c r="I71" s="311"/>
      <c r="J71" s="311"/>
      <c r="K71" s="311"/>
      <c r="L71" s="311"/>
      <c r="M71" s="311"/>
      <c r="N71" s="311"/>
      <c r="O71" s="311"/>
      <c r="P71" s="311"/>
      <c r="Q71" s="311"/>
      <c r="R71" s="311"/>
      <c r="S71" s="311"/>
      <c r="T71" s="311"/>
      <c r="U71" s="311"/>
      <c r="V71" s="311"/>
      <c r="W71" s="311"/>
    </row>
    <row r="72" spans="1:23" ht="20.25" customHeight="1">
      <c r="A72" s="322" t="s">
        <v>247</v>
      </c>
      <c r="B72" s="332">
        <f>SUM(B63:B71)</f>
        <v>60</v>
      </c>
      <c r="C72" s="332">
        <f>SUM(C63:C71)</f>
        <v>60</v>
      </c>
      <c r="D72" s="332">
        <f>SUM(D63:D71)</f>
        <v>90</v>
      </c>
      <c r="E72" s="332">
        <f>SUM(E63:E71)</f>
        <v>60</v>
      </c>
      <c r="F72" s="332"/>
      <c r="G72" s="332"/>
      <c r="H72" s="311"/>
      <c r="I72" s="311"/>
      <c r="J72" s="311"/>
      <c r="K72" s="311"/>
      <c r="L72" s="311"/>
      <c r="M72" s="311"/>
      <c r="N72" s="311"/>
      <c r="O72" s="311"/>
      <c r="P72" s="311"/>
      <c r="Q72" s="311"/>
      <c r="R72" s="311"/>
      <c r="S72" s="311"/>
      <c r="T72" s="311"/>
      <c r="U72" s="311"/>
      <c r="V72" s="311"/>
      <c r="W72" s="311"/>
    </row>
    <row r="73" spans="1:23" ht="15">
      <c r="A73" s="323" t="s">
        <v>248</v>
      </c>
      <c r="B73" s="333"/>
      <c r="C73" s="333"/>
      <c r="D73" s="333"/>
      <c r="E73" s="333"/>
      <c r="F73" s="323">
        <f>SUM(B72:E72)</f>
        <v>270</v>
      </c>
      <c r="G73" s="325">
        <f>(F73*52)/C3</f>
        <v>0.1125</v>
      </c>
      <c r="H73" s="311"/>
      <c r="I73" s="311"/>
      <c r="J73" s="311"/>
      <c r="K73" s="311"/>
      <c r="L73" s="311"/>
      <c r="M73" s="311"/>
      <c r="N73" s="311"/>
      <c r="O73" s="311"/>
      <c r="P73" s="311"/>
      <c r="Q73" s="311"/>
      <c r="R73" s="311"/>
      <c r="S73" s="311"/>
      <c r="T73" s="311"/>
      <c r="U73" s="311"/>
      <c r="V73" s="311"/>
      <c r="W73" s="311"/>
    </row>
    <row r="74" spans="1:23" ht="15">
      <c r="A74" s="319" t="s">
        <v>242</v>
      </c>
      <c r="B74" s="334" t="s">
        <v>52</v>
      </c>
      <c r="C74" s="335"/>
      <c r="D74" s="335"/>
      <c r="E74" s="335"/>
      <c r="F74" s="335"/>
      <c r="G74" s="335"/>
      <c r="H74" s="311"/>
      <c r="I74" s="311"/>
      <c r="J74" s="311"/>
      <c r="K74" s="311"/>
      <c r="L74" s="311"/>
      <c r="M74" s="311"/>
      <c r="N74" s="311"/>
      <c r="O74" s="311"/>
      <c r="P74" s="311"/>
      <c r="Q74" s="311"/>
      <c r="R74" s="311"/>
      <c r="S74" s="311"/>
      <c r="T74" s="311"/>
      <c r="U74" s="311"/>
      <c r="V74" s="311"/>
      <c r="W74" s="311"/>
    </row>
    <row r="75" spans="1:23" ht="30">
      <c r="A75" s="331" t="s">
        <v>23</v>
      </c>
      <c r="B75" s="326" t="s">
        <v>53</v>
      </c>
      <c r="C75" s="326" t="s">
        <v>54</v>
      </c>
      <c r="D75" s="326" t="s">
        <v>55</v>
      </c>
      <c r="E75" s="326" t="s">
        <v>47</v>
      </c>
      <c r="F75" s="326"/>
      <c r="G75" s="326"/>
      <c r="H75" s="311"/>
      <c r="I75" s="311"/>
      <c r="J75" s="311"/>
      <c r="K75" s="311"/>
      <c r="L75" s="311"/>
      <c r="M75" s="311"/>
      <c r="N75" s="311"/>
      <c r="O75" s="311"/>
      <c r="P75" s="311"/>
      <c r="Q75" s="311"/>
      <c r="R75" s="311"/>
      <c r="S75" s="311"/>
      <c r="T75" s="311"/>
      <c r="U75" s="311"/>
      <c r="V75" s="311"/>
      <c r="W75" s="311"/>
    </row>
    <row r="76" spans="1:23">
      <c r="A76" s="78" t="s">
        <v>31</v>
      </c>
      <c r="B76" s="336"/>
      <c r="C76" s="336"/>
      <c r="D76" s="336"/>
      <c r="E76" s="336"/>
      <c r="F76" s="336"/>
      <c r="G76" s="336"/>
      <c r="H76" s="311"/>
      <c r="I76" s="311"/>
      <c r="J76" s="311"/>
      <c r="K76" s="311"/>
      <c r="L76" s="311"/>
      <c r="M76" s="311"/>
      <c r="N76" s="311"/>
      <c r="O76" s="311"/>
      <c r="P76" s="311"/>
      <c r="Q76" s="311"/>
      <c r="R76" s="311"/>
      <c r="S76" s="311"/>
      <c r="T76" s="311"/>
      <c r="U76" s="311"/>
      <c r="V76" s="311"/>
      <c r="W76" s="311"/>
    </row>
    <row r="77" spans="1:23">
      <c r="A77" s="78" t="s">
        <v>32</v>
      </c>
      <c r="B77" s="336"/>
      <c r="C77" s="336"/>
      <c r="D77" s="336"/>
      <c r="E77" s="336"/>
      <c r="F77" s="336"/>
      <c r="G77" s="336"/>
      <c r="H77" s="311"/>
      <c r="I77" s="311"/>
      <c r="J77" s="311"/>
      <c r="K77" s="311"/>
      <c r="L77" s="311"/>
      <c r="M77" s="311"/>
      <c r="N77" s="311"/>
      <c r="O77" s="311"/>
      <c r="P77" s="311"/>
      <c r="Q77" s="311"/>
      <c r="R77" s="311"/>
      <c r="S77" s="311"/>
      <c r="T77" s="311"/>
      <c r="U77" s="311"/>
      <c r="V77" s="311"/>
      <c r="W77" s="311"/>
    </row>
    <row r="78" spans="1:23">
      <c r="A78" s="78" t="s">
        <v>33</v>
      </c>
      <c r="B78" s="336">
        <v>5</v>
      </c>
      <c r="C78" s="336">
        <v>5</v>
      </c>
      <c r="D78" s="336">
        <v>10</v>
      </c>
      <c r="E78" s="336">
        <v>20</v>
      </c>
      <c r="F78" s="336"/>
      <c r="G78" s="336"/>
      <c r="H78" s="311"/>
      <c r="I78" s="311"/>
      <c r="J78" s="311"/>
      <c r="K78" s="311"/>
      <c r="L78" s="311"/>
      <c r="M78" s="311"/>
      <c r="N78" s="311"/>
      <c r="O78" s="311"/>
      <c r="P78" s="311"/>
      <c r="Q78" s="311"/>
      <c r="R78" s="311"/>
      <c r="S78" s="311"/>
      <c r="T78" s="311"/>
      <c r="U78" s="311"/>
      <c r="V78" s="311"/>
      <c r="W78" s="311"/>
    </row>
    <row r="79" spans="1:23">
      <c r="A79" s="78" t="s">
        <v>34</v>
      </c>
      <c r="B79" s="336"/>
      <c r="C79" s="336"/>
      <c r="D79" s="336"/>
      <c r="E79" s="336"/>
      <c r="F79" s="336"/>
      <c r="G79" s="336"/>
      <c r="H79" s="311"/>
      <c r="I79" s="311"/>
      <c r="J79" s="311"/>
      <c r="K79" s="311"/>
      <c r="L79" s="311"/>
      <c r="M79" s="311"/>
      <c r="N79" s="311"/>
      <c r="O79" s="311"/>
      <c r="P79" s="311"/>
      <c r="Q79" s="311"/>
      <c r="R79" s="311"/>
      <c r="S79" s="311"/>
      <c r="T79" s="311"/>
      <c r="U79" s="311"/>
      <c r="V79" s="311"/>
      <c r="W79" s="311"/>
    </row>
    <row r="80" spans="1:23">
      <c r="A80" s="78" t="s">
        <v>35</v>
      </c>
      <c r="B80" s="336">
        <v>5</v>
      </c>
      <c r="C80" s="336">
        <v>5</v>
      </c>
      <c r="D80" s="336">
        <v>10</v>
      </c>
      <c r="E80" s="336">
        <v>20</v>
      </c>
      <c r="F80" s="336"/>
      <c r="G80" s="336"/>
      <c r="H80" s="311"/>
      <c r="I80" s="311"/>
      <c r="J80" s="311"/>
      <c r="K80" s="311"/>
      <c r="L80" s="311"/>
      <c r="M80" s="311"/>
      <c r="N80" s="311"/>
      <c r="O80" s="311"/>
      <c r="P80" s="311"/>
      <c r="Q80" s="311"/>
      <c r="R80" s="311"/>
      <c r="S80" s="311"/>
      <c r="T80" s="311"/>
      <c r="U80" s="311"/>
      <c r="V80" s="311"/>
      <c r="W80" s="311"/>
    </row>
    <row r="81" spans="1:23">
      <c r="A81" s="78" t="s">
        <v>36</v>
      </c>
      <c r="B81" s="336"/>
      <c r="C81" s="336"/>
      <c r="D81" s="336"/>
      <c r="E81" s="336"/>
      <c r="F81" s="336"/>
      <c r="G81" s="336"/>
      <c r="H81" s="311"/>
      <c r="I81" s="311"/>
      <c r="J81" s="311"/>
      <c r="K81" s="311"/>
      <c r="L81" s="311"/>
      <c r="M81" s="311"/>
      <c r="N81" s="311"/>
      <c r="O81" s="311"/>
      <c r="P81" s="311"/>
      <c r="Q81" s="311"/>
      <c r="R81" s="311"/>
      <c r="S81" s="311"/>
      <c r="T81" s="311"/>
      <c r="U81" s="311"/>
      <c r="V81" s="311"/>
      <c r="W81" s="311"/>
    </row>
    <row r="82" spans="1:23">
      <c r="A82" s="78" t="s">
        <v>37</v>
      </c>
      <c r="B82" s="336">
        <v>5</v>
      </c>
      <c r="C82" s="336">
        <v>5</v>
      </c>
      <c r="D82" s="336">
        <v>10</v>
      </c>
      <c r="E82" s="336">
        <v>20</v>
      </c>
      <c r="F82" s="336"/>
      <c r="G82" s="336"/>
      <c r="H82" s="311"/>
      <c r="I82" s="311"/>
      <c r="J82" s="311"/>
      <c r="K82" s="311"/>
      <c r="L82" s="311"/>
      <c r="M82" s="311"/>
      <c r="N82" s="311"/>
      <c r="O82" s="311"/>
      <c r="P82" s="311"/>
      <c r="Q82" s="311"/>
      <c r="R82" s="311"/>
      <c r="S82" s="311"/>
      <c r="T82" s="311"/>
      <c r="U82" s="311"/>
      <c r="V82" s="311"/>
      <c r="W82" s="311"/>
    </row>
    <row r="83" spans="1:23">
      <c r="A83" s="78" t="s">
        <v>38</v>
      </c>
      <c r="B83" s="336"/>
      <c r="C83" s="336"/>
      <c r="D83" s="336"/>
      <c r="E83" s="336"/>
      <c r="F83" s="336"/>
      <c r="G83" s="336"/>
      <c r="H83" s="311"/>
      <c r="I83" s="311"/>
      <c r="J83" s="311"/>
      <c r="K83" s="311"/>
      <c r="L83" s="311"/>
      <c r="M83" s="311"/>
      <c r="N83" s="311"/>
      <c r="O83" s="311"/>
      <c r="P83" s="311"/>
      <c r="Q83" s="311"/>
      <c r="R83" s="311"/>
      <c r="S83" s="311"/>
      <c r="T83" s="311"/>
      <c r="U83" s="311"/>
      <c r="V83" s="311"/>
      <c r="W83" s="311"/>
    </row>
    <row r="84" spans="1:23">
      <c r="A84" s="78" t="s">
        <v>39</v>
      </c>
      <c r="B84" s="336"/>
      <c r="C84" s="336"/>
      <c r="D84" s="336"/>
      <c r="E84" s="336"/>
      <c r="F84" s="336"/>
      <c r="G84" s="336"/>
      <c r="H84" s="311"/>
      <c r="I84" s="311"/>
      <c r="J84" s="311"/>
      <c r="K84" s="311"/>
      <c r="L84" s="311"/>
      <c r="M84" s="311"/>
      <c r="N84" s="311"/>
      <c r="O84" s="311"/>
      <c r="P84" s="311"/>
      <c r="Q84" s="311"/>
      <c r="R84" s="311"/>
      <c r="S84" s="311"/>
      <c r="T84" s="311"/>
      <c r="U84" s="311"/>
      <c r="V84" s="311"/>
      <c r="W84" s="311"/>
    </row>
    <row r="85" spans="1:23" ht="15">
      <c r="A85" s="322" t="s">
        <v>247</v>
      </c>
      <c r="B85" s="336">
        <f>SUM(B77:B84)</f>
        <v>15</v>
      </c>
      <c r="C85" s="336">
        <f>SUM(C77:C84)</f>
        <v>15</v>
      </c>
      <c r="D85" s="336">
        <f>SUM(D77:D84)</f>
        <v>30</v>
      </c>
      <c r="E85" s="336">
        <f>SUM(E77:E84)</f>
        <v>60</v>
      </c>
      <c r="F85" s="336"/>
      <c r="G85" s="336"/>
      <c r="H85" s="311"/>
      <c r="I85" s="311"/>
      <c r="J85" s="311"/>
      <c r="K85" s="311"/>
      <c r="L85" s="311"/>
      <c r="M85" s="311"/>
      <c r="N85" s="311"/>
      <c r="O85" s="311"/>
      <c r="P85" s="311"/>
      <c r="Q85" s="311"/>
      <c r="R85" s="311"/>
      <c r="S85" s="311"/>
      <c r="T85" s="311"/>
      <c r="U85" s="311"/>
      <c r="V85" s="311"/>
      <c r="W85" s="311"/>
    </row>
    <row r="86" spans="1:23" ht="15">
      <c r="A86" s="323" t="s">
        <v>248</v>
      </c>
      <c r="B86" s="327"/>
      <c r="C86" s="327"/>
      <c r="D86" s="327"/>
      <c r="E86" s="327"/>
      <c r="F86" s="323">
        <f>SUM(B85:E85)</f>
        <v>120</v>
      </c>
      <c r="G86" s="325">
        <f>(F86*52)/C3</f>
        <v>0.05</v>
      </c>
      <c r="H86" s="311"/>
      <c r="I86" s="311"/>
      <c r="J86" s="311"/>
      <c r="K86" s="311"/>
      <c r="L86" s="311"/>
      <c r="M86" s="311"/>
      <c r="N86" s="311"/>
      <c r="O86" s="311"/>
      <c r="P86" s="311"/>
      <c r="Q86" s="311"/>
      <c r="R86" s="311"/>
      <c r="S86" s="311"/>
      <c r="T86" s="311"/>
      <c r="U86" s="311"/>
      <c r="V86" s="311"/>
      <c r="W86" s="311"/>
    </row>
    <row r="87" spans="1:23" ht="15">
      <c r="A87" s="319" t="s">
        <v>242</v>
      </c>
      <c r="B87" s="320" t="s">
        <v>56</v>
      </c>
      <c r="C87" s="329"/>
      <c r="D87" s="329"/>
      <c r="E87" s="329"/>
      <c r="F87" s="329"/>
      <c r="G87" s="329"/>
      <c r="H87" s="311"/>
      <c r="I87" s="311"/>
      <c r="J87" s="311"/>
      <c r="K87" s="311"/>
      <c r="L87" s="311"/>
      <c r="M87" s="311"/>
      <c r="N87" s="311"/>
      <c r="O87" s="311"/>
      <c r="P87" s="311"/>
      <c r="Q87" s="311"/>
      <c r="R87" s="311"/>
      <c r="S87" s="311"/>
      <c r="T87" s="311"/>
      <c r="U87" s="311"/>
      <c r="V87" s="311"/>
      <c r="W87" s="311"/>
    </row>
    <row r="88" spans="1:23" ht="15">
      <c r="A88" s="331" t="s">
        <v>23</v>
      </c>
      <c r="B88" s="326" t="s">
        <v>57</v>
      </c>
      <c r="C88" s="326" t="s">
        <v>58</v>
      </c>
      <c r="D88" s="326" t="s">
        <v>59</v>
      </c>
      <c r="E88" s="326" t="s">
        <v>60</v>
      </c>
      <c r="F88" s="326" t="s">
        <v>47</v>
      </c>
      <c r="G88" s="326"/>
      <c r="H88" s="311"/>
      <c r="I88" s="311"/>
      <c r="J88" s="311"/>
      <c r="K88" s="311"/>
      <c r="L88" s="311"/>
      <c r="M88" s="311"/>
      <c r="N88" s="311"/>
      <c r="O88" s="311"/>
      <c r="P88" s="311"/>
      <c r="Q88" s="311"/>
      <c r="R88" s="311"/>
      <c r="S88" s="311"/>
      <c r="T88" s="311"/>
      <c r="U88" s="311"/>
      <c r="V88" s="311"/>
      <c r="W88" s="311"/>
    </row>
    <row r="89" spans="1:23">
      <c r="A89" s="78" t="s">
        <v>31</v>
      </c>
      <c r="B89" s="337"/>
      <c r="C89" s="337"/>
      <c r="D89" s="337"/>
      <c r="E89" s="337"/>
      <c r="F89" s="337"/>
      <c r="G89" s="338"/>
      <c r="H89" s="311"/>
      <c r="I89" s="311"/>
      <c r="J89" s="311"/>
      <c r="K89" s="311"/>
      <c r="L89" s="311"/>
      <c r="M89" s="311"/>
      <c r="N89" s="311"/>
      <c r="O89" s="311"/>
      <c r="P89" s="311"/>
      <c r="Q89" s="311"/>
      <c r="R89" s="311"/>
      <c r="S89" s="311"/>
      <c r="T89" s="311"/>
      <c r="U89" s="311"/>
      <c r="V89" s="311"/>
      <c r="W89" s="311"/>
    </row>
    <row r="90" spans="1:23">
      <c r="A90" s="78" t="s">
        <v>32</v>
      </c>
      <c r="B90" s="313"/>
      <c r="C90" s="313"/>
      <c r="D90" s="313"/>
      <c r="E90" s="313"/>
      <c r="F90" s="313"/>
      <c r="G90" s="338"/>
      <c r="H90" s="311"/>
      <c r="I90" s="311"/>
      <c r="J90" s="311"/>
      <c r="K90" s="311"/>
      <c r="L90" s="311"/>
      <c r="M90" s="311"/>
      <c r="N90" s="311"/>
      <c r="O90" s="311"/>
      <c r="P90" s="311"/>
      <c r="Q90" s="311"/>
      <c r="R90" s="311"/>
      <c r="S90" s="311"/>
      <c r="T90" s="311"/>
      <c r="U90" s="311"/>
      <c r="V90" s="311"/>
      <c r="W90" s="311"/>
    </row>
    <row r="91" spans="1:23">
      <c r="A91" s="78" t="s">
        <v>33</v>
      </c>
      <c r="B91" s="313">
        <v>10</v>
      </c>
      <c r="C91" s="313">
        <v>15</v>
      </c>
      <c r="D91" s="313">
        <v>15</v>
      </c>
      <c r="E91" s="313">
        <v>10</v>
      </c>
      <c r="F91" s="313">
        <v>5</v>
      </c>
      <c r="G91" s="338"/>
      <c r="H91" s="311"/>
      <c r="I91" s="311"/>
      <c r="J91" s="311"/>
      <c r="K91" s="311"/>
      <c r="L91" s="311"/>
      <c r="M91" s="311"/>
      <c r="N91" s="311"/>
      <c r="O91" s="311"/>
      <c r="P91" s="311"/>
      <c r="Q91" s="311"/>
      <c r="R91" s="311"/>
      <c r="S91" s="311"/>
      <c r="T91" s="311"/>
      <c r="U91" s="311"/>
      <c r="V91" s="311"/>
      <c r="W91" s="311"/>
    </row>
    <row r="92" spans="1:23">
      <c r="A92" s="78" t="s">
        <v>34</v>
      </c>
      <c r="B92" s="313"/>
      <c r="C92" s="313"/>
      <c r="D92" s="313"/>
      <c r="E92" s="313"/>
      <c r="F92" s="313"/>
      <c r="G92" s="338"/>
      <c r="H92" s="311"/>
      <c r="I92" s="311"/>
      <c r="J92" s="311"/>
      <c r="K92" s="311"/>
      <c r="L92" s="311"/>
      <c r="M92" s="311"/>
      <c r="N92" s="311"/>
      <c r="O92" s="311"/>
      <c r="P92" s="311"/>
      <c r="Q92" s="311"/>
      <c r="R92" s="311"/>
      <c r="S92" s="311"/>
      <c r="T92" s="311"/>
      <c r="U92" s="311"/>
      <c r="V92" s="311"/>
      <c r="W92" s="311"/>
    </row>
    <row r="93" spans="1:23">
      <c r="A93" s="78" t="s">
        <v>35</v>
      </c>
      <c r="B93" s="313">
        <v>10</v>
      </c>
      <c r="C93" s="313">
        <v>15</v>
      </c>
      <c r="D93" s="313">
        <v>15</v>
      </c>
      <c r="E93" s="313">
        <v>10</v>
      </c>
      <c r="F93" s="313">
        <v>5</v>
      </c>
      <c r="G93" s="338"/>
      <c r="H93" s="311"/>
      <c r="I93" s="311"/>
      <c r="J93" s="311"/>
      <c r="K93" s="311"/>
      <c r="L93" s="311"/>
      <c r="M93" s="311"/>
      <c r="N93" s="311"/>
      <c r="O93" s="311"/>
      <c r="P93" s="311"/>
      <c r="Q93" s="311"/>
      <c r="R93" s="311"/>
      <c r="S93" s="311"/>
      <c r="T93" s="311"/>
      <c r="U93" s="311"/>
      <c r="V93" s="311"/>
      <c r="W93" s="311"/>
    </row>
    <row r="94" spans="1:23">
      <c r="A94" s="78" t="s">
        <v>36</v>
      </c>
      <c r="B94" s="313"/>
      <c r="C94" s="313"/>
      <c r="D94" s="313"/>
      <c r="E94" s="313"/>
      <c r="F94" s="313"/>
      <c r="G94" s="338"/>
      <c r="H94" s="311"/>
      <c r="I94" s="311"/>
      <c r="J94" s="311"/>
      <c r="K94" s="311"/>
      <c r="L94" s="311"/>
      <c r="M94" s="311"/>
      <c r="N94" s="311"/>
      <c r="O94" s="311"/>
      <c r="P94" s="311"/>
      <c r="Q94" s="311"/>
      <c r="R94" s="311"/>
      <c r="S94" s="311"/>
      <c r="T94" s="311"/>
      <c r="U94" s="311"/>
      <c r="V94" s="311"/>
      <c r="W94" s="311"/>
    </row>
    <row r="95" spans="1:23">
      <c r="A95" s="78" t="s">
        <v>37</v>
      </c>
      <c r="B95" s="313">
        <v>10</v>
      </c>
      <c r="C95" s="313">
        <v>15</v>
      </c>
      <c r="D95" s="313">
        <v>15</v>
      </c>
      <c r="E95" s="313">
        <v>10</v>
      </c>
      <c r="F95" s="313">
        <v>5</v>
      </c>
      <c r="G95" s="338"/>
      <c r="H95" s="311"/>
      <c r="I95" s="311"/>
      <c r="J95" s="311"/>
      <c r="K95" s="311"/>
      <c r="L95" s="311"/>
      <c r="M95" s="311"/>
      <c r="N95" s="311"/>
      <c r="O95" s="311"/>
      <c r="P95" s="311"/>
      <c r="Q95" s="311"/>
      <c r="R95" s="311"/>
      <c r="S95" s="311"/>
      <c r="T95" s="311"/>
      <c r="U95" s="311"/>
      <c r="V95" s="311"/>
      <c r="W95" s="311"/>
    </row>
    <row r="96" spans="1:23">
      <c r="A96" s="78" t="s">
        <v>38</v>
      </c>
      <c r="B96" s="313"/>
      <c r="C96" s="313"/>
      <c r="D96" s="313"/>
      <c r="E96" s="313"/>
      <c r="F96" s="313"/>
      <c r="G96" s="338"/>
      <c r="H96" s="311"/>
      <c r="I96" s="311"/>
      <c r="J96" s="311"/>
      <c r="K96" s="311"/>
      <c r="L96" s="311"/>
      <c r="M96" s="311"/>
      <c r="N96" s="311"/>
      <c r="O96" s="311"/>
      <c r="P96" s="311"/>
      <c r="Q96" s="311"/>
      <c r="R96" s="311"/>
      <c r="S96" s="311"/>
      <c r="T96" s="311"/>
      <c r="U96" s="311"/>
      <c r="V96" s="311"/>
      <c r="W96" s="311"/>
    </row>
    <row r="97" spans="1:23">
      <c r="A97" s="78" t="s">
        <v>39</v>
      </c>
      <c r="B97" s="313"/>
      <c r="C97" s="313"/>
      <c r="D97" s="313"/>
      <c r="E97" s="313"/>
      <c r="F97" s="313"/>
      <c r="G97" s="338"/>
      <c r="H97" s="311"/>
      <c r="I97" s="311"/>
      <c r="J97" s="311"/>
      <c r="K97" s="311"/>
      <c r="L97" s="311"/>
      <c r="M97" s="311"/>
      <c r="N97" s="311"/>
      <c r="O97" s="311"/>
      <c r="P97" s="311"/>
      <c r="Q97" s="311"/>
      <c r="R97" s="311"/>
      <c r="S97" s="311"/>
      <c r="T97" s="311"/>
      <c r="U97" s="311"/>
      <c r="V97" s="311"/>
      <c r="W97" s="311"/>
    </row>
    <row r="98" spans="1:23" ht="15">
      <c r="A98" s="322" t="s">
        <v>247</v>
      </c>
      <c r="B98" s="315">
        <f>SUM(B89:B97)</f>
        <v>30</v>
      </c>
      <c r="C98" s="315">
        <f>SUM(C89:C97)</f>
        <v>45</v>
      </c>
      <c r="D98" s="315">
        <f>SUM(D89:D97)</f>
        <v>45</v>
      </c>
      <c r="E98" s="315">
        <f>SUM(E89:E97)</f>
        <v>30</v>
      </c>
      <c r="F98" s="315">
        <f>SUM(F89:F97)</f>
        <v>15</v>
      </c>
      <c r="G98" s="338"/>
      <c r="H98" s="311"/>
      <c r="I98" s="311"/>
      <c r="J98" s="311"/>
      <c r="K98" s="311"/>
      <c r="L98" s="311"/>
      <c r="M98" s="311"/>
      <c r="N98" s="311"/>
      <c r="O98" s="311"/>
      <c r="P98" s="311"/>
      <c r="Q98" s="311"/>
      <c r="R98" s="311"/>
      <c r="S98" s="311"/>
      <c r="T98" s="311"/>
      <c r="U98" s="311"/>
      <c r="V98" s="311"/>
      <c r="W98" s="311"/>
    </row>
    <row r="99" spans="1:23" ht="15">
      <c r="A99" s="323" t="s">
        <v>248</v>
      </c>
      <c r="B99" s="339"/>
      <c r="C99" s="339"/>
      <c r="D99" s="339"/>
      <c r="E99" s="339"/>
      <c r="F99" s="323">
        <f>SUM(B98:F98)</f>
        <v>165</v>
      </c>
      <c r="G99" s="325">
        <f>(F99*52)/C3</f>
        <v>6.8750000000000006E-2</v>
      </c>
      <c r="H99" s="311"/>
      <c r="I99" s="311"/>
      <c r="J99" s="311"/>
      <c r="K99" s="311"/>
      <c r="L99" s="311"/>
      <c r="M99" s="311"/>
      <c r="N99" s="311"/>
      <c r="O99" s="311"/>
      <c r="P99" s="311"/>
      <c r="Q99" s="311"/>
      <c r="R99" s="311"/>
      <c r="S99" s="311"/>
      <c r="T99" s="311"/>
      <c r="U99" s="311"/>
      <c r="V99" s="311"/>
      <c r="W99" s="311"/>
    </row>
    <row r="100" spans="1:23" ht="15">
      <c r="A100" s="319" t="s">
        <v>242</v>
      </c>
      <c r="B100" s="320" t="s">
        <v>78</v>
      </c>
      <c r="C100" s="329"/>
      <c r="D100" s="329"/>
      <c r="E100" s="329"/>
      <c r="F100" s="329"/>
      <c r="G100" s="329"/>
      <c r="H100" s="311"/>
      <c r="I100" s="311"/>
      <c r="J100" s="311"/>
      <c r="K100" s="311"/>
      <c r="L100" s="311"/>
      <c r="M100" s="311"/>
      <c r="N100" s="311"/>
      <c r="O100" s="311"/>
      <c r="P100" s="311"/>
      <c r="Q100" s="311"/>
      <c r="R100" s="311"/>
      <c r="S100" s="311"/>
      <c r="T100" s="311"/>
      <c r="U100" s="311"/>
      <c r="V100" s="311"/>
      <c r="W100" s="311"/>
    </row>
    <row r="101" spans="1:23" ht="35" customHeight="1">
      <c r="A101" s="331" t="s">
        <v>23</v>
      </c>
      <c r="B101" s="525" t="s">
        <v>471</v>
      </c>
      <c r="C101" s="525"/>
      <c r="D101" s="525"/>
      <c r="E101" s="525"/>
      <c r="F101" s="525"/>
      <c r="G101" s="340"/>
      <c r="H101" s="311"/>
      <c r="I101" s="311"/>
      <c r="J101" s="311"/>
      <c r="K101" s="311"/>
      <c r="L101" s="311"/>
      <c r="M101" s="311"/>
      <c r="N101" s="311"/>
      <c r="O101" s="311"/>
      <c r="P101" s="311"/>
      <c r="Q101" s="311"/>
      <c r="R101" s="311"/>
      <c r="S101" s="311"/>
      <c r="T101" s="311"/>
      <c r="U101" s="311"/>
      <c r="V101" s="311"/>
      <c r="W101" s="311"/>
    </row>
    <row r="102" spans="1:23">
      <c r="A102" s="341"/>
      <c r="B102" s="324"/>
      <c r="C102" s="324"/>
      <c r="D102" s="324"/>
      <c r="E102" s="324"/>
      <c r="G102" s="325">
        <f>2/100</f>
        <v>0.02</v>
      </c>
      <c r="H102" s="311"/>
      <c r="I102" s="311"/>
      <c r="J102" s="311"/>
      <c r="K102" s="311"/>
      <c r="L102" s="311"/>
      <c r="M102" s="311"/>
      <c r="N102" s="311"/>
      <c r="O102" s="311"/>
      <c r="P102" s="311"/>
      <c r="Q102" s="311"/>
      <c r="R102" s="311"/>
      <c r="S102" s="311"/>
      <c r="T102" s="311"/>
      <c r="U102" s="311"/>
      <c r="V102" s="311"/>
      <c r="W102" s="311"/>
    </row>
    <row r="103" spans="1:23" ht="15">
      <c r="A103" s="319" t="s">
        <v>242</v>
      </c>
      <c r="B103" s="320" t="s">
        <v>79</v>
      </c>
      <c r="C103" s="329"/>
      <c r="D103" s="329"/>
      <c r="E103" s="329"/>
      <c r="F103" s="329"/>
      <c r="G103" s="319"/>
      <c r="H103" s="311"/>
      <c r="I103" s="311"/>
      <c r="J103" s="311"/>
      <c r="K103" s="311"/>
      <c r="L103" s="311"/>
      <c r="M103" s="311"/>
      <c r="N103" s="311"/>
      <c r="O103" s="311"/>
      <c r="P103" s="311"/>
      <c r="Q103" s="311"/>
      <c r="R103" s="311"/>
      <c r="S103" s="311"/>
      <c r="T103" s="311"/>
      <c r="U103" s="311"/>
      <c r="V103" s="311"/>
      <c r="W103" s="311"/>
    </row>
    <row r="104" spans="1:23" ht="32" customHeight="1">
      <c r="A104" s="331" t="s">
        <v>23</v>
      </c>
      <c r="B104" s="525" t="s">
        <v>231</v>
      </c>
      <c r="C104" s="525"/>
      <c r="D104" s="525"/>
      <c r="E104" s="525"/>
      <c r="F104" s="525"/>
      <c r="G104" s="340"/>
      <c r="H104" s="311"/>
      <c r="I104" s="311"/>
      <c r="J104" s="311"/>
      <c r="K104" s="311"/>
      <c r="L104" s="311"/>
      <c r="M104" s="311"/>
      <c r="N104" s="311"/>
      <c r="O104" s="311"/>
      <c r="P104" s="311"/>
      <c r="Q104" s="311"/>
      <c r="R104" s="311"/>
      <c r="S104" s="311"/>
      <c r="T104" s="311"/>
      <c r="U104" s="311"/>
      <c r="V104" s="311"/>
      <c r="W104" s="311"/>
    </row>
    <row r="105" spans="1:23" ht="15" customHeight="1">
      <c r="A105" s="342"/>
      <c r="B105" s="342"/>
      <c r="C105" s="331"/>
      <c r="D105" s="331"/>
      <c r="E105" s="331"/>
      <c r="G105" s="325">
        <f>(3.5/100)</f>
        <v>3.5000000000000003E-2</v>
      </c>
      <c r="H105" s="311"/>
      <c r="I105" s="311"/>
      <c r="J105" s="311"/>
      <c r="K105" s="311"/>
      <c r="L105" s="311"/>
      <c r="M105" s="311"/>
      <c r="N105" s="311"/>
      <c r="O105" s="311"/>
      <c r="P105" s="311"/>
      <c r="Q105" s="311"/>
      <c r="R105" s="311"/>
      <c r="S105" s="311"/>
      <c r="T105" s="311"/>
      <c r="U105" s="311"/>
      <c r="V105" s="311"/>
      <c r="W105" s="311"/>
    </row>
    <row r="106" spans="1:23" ht="24" customHeight="1">
      <c r="A106" s="522" t="s">
        <v>241</v>
      </c>
      <c r="B106" s="522"/>
      <c r="C106" s="522"/>
      <c r="D106" s="522"/>
      <c r="E106" s="522"/>
      <c r="F106" s="522"/>
      <c r="G106" s="522"/>
      <c r="H106" s="310"/>
      <c r="I106" s="310"/>
      <c r="J106" s="523"/>
      <c r="K106" s="523"/>
      <c r="L106" s="523"/>
      <c r="M106" s="523"/>
      <c r="N106" s="523"/>
      <c r="O106" s="523"/>
      <c r="P106" s="523"/>
      <c r="Q106" s="523"/>
      <c r="R106" s="523"/>
      <c r="S106" s="523"/>
      <c r="T106" s="311"/>
      <c r="U106" s="311"/>
      <c r="V106" s="311"/>
      <c r="W106" s="311"/>
    </row>
    <row r="107" spans="1:23" ht="15">
      <c r="A107" s="343"/>
      <c r="B107" s="343"/>
      <c r="C107" s="343" t="s">
        <v>61</v>
      </c>
      <c r="D107" s="343"/>
      <c r="E107" s="343"/>
      <c r="F107" s="343"/>
      <c r="G107" s="344"/>
      <c r="H107" s="311"/>
      <c r="I107" s="311"/>
      <c r="J107" s="311"/>
      <c r="K107" s="311"/>
      <c r="L107" s="311"/>
      <c r="M107" s="311"/>
      <c r="N107" s="311"/>
      <c r="O107" s="311"/>
      <c r="P107" s="311"/>
      <c r="Q107" s="311"/>
      <c r="R107" s="311"/>
      <c r="S107" s="311"/>
      <c r="T107" s="311"/>
      <c r="U107" s="311"/>
      <c r="V107" s="311"/>
      <c r="W107" s="311"/>
    </row>
    <row r="108" spans="1:23" ht="15">
      <c r="A108" s="343" t="s">
        <v>470</v>
      </c>
      <c r="B108" s="346" t="s">
        <v>474</v>
      </c>
      <c r="C108" s="302">
        <f>5*8*60*52</f>
        <v>124800</v>
      </c>
      <c r="D108" s="345"/>
      <c r="E108" s="345"/>
      <c r="F108" s="345"/>
      <c r="G108" s="344"/>
      <c r="H108" s="311"/>
      <c r="I108" s="311"/>
      <c r="J108" s="311"/>
      <c r="K108" s="311"/>
      <c r="L108" s="311"/>
      <c r="M108" s="311"/>
      <c r="N108" s="311"/>
      <c r="O108" s="311"/>
      <c r="P108" s="311"/>
      <c r="Q108" s="311"/>
      <c r="R108" s="311"/>
      <c r="S108" s="311"/>
      <c r="T108" s="311"/>
      <c r="U108" s="311"/>
      <c r="V108" s="311"/>
      <c r="W108" s="311"/>
    </row>
    <row r="109" spans="1:23" ht="15" customHeight="1">
      <c r="A109" s="78" t="s">
        <v>242</v>
      </c>
      <c r="B109" s="320" t="s">
        <v>237</v>
      </c>
      <c r="C109" s="329"/>
      <c r="D109" s="329"/>
      <c r="E109" s="329"/>
      <c r="F109" s="329"/>
      <c r="G109" s="325" t="s">
        <v>25</v>
      </c>
      <c r="H109" s="311"/>
      <c r="I109" s="311"/>
      <c r="J109" s="311"/>
      <c r="K109" s="311"/>
      <c r="L109" s="311"/>
      <c r="M109" s="311"/>
      <c r="N109" s="311"/>
      <c r="O109" s="311"/>
      <c r="P109" s="311"/>
      <c r="Q109" s="311"/>
      <c r="R109" s="311"/>
      <c r="S109" s="311"/>
      <c r="T109" s="311"/>
      <c r="U109" s="311"/>
      <c r="V109" s="311"/>
      <c r="W109" s="311"/>
    </row>
    <row r="110" spans="1:23" ht="16" customHeight="1">
      <c r="A110" s="78" t="s">
        <v>23</v>
      </c>
      <c r="B110" s="519" t="s">
        <v>24</v>
      </c>
      <c r="C110" s="520"/>
      <c r="D110" s="520"/>
      <c r="E110" s="520"/>
      <c r="F110" s="520"/>
      <c r="G110" s="521"/>
      <c r="H110" s="311"/>
      <c r="I110" s="311"/>
      <c r="J110" s="311"/>
      <c r="K110" s="311"/>
      <c r="L110" s="311"/>
      <c r="M110" s="311"/>
      <c r="N110" s="311"/>
      <c r="O110" s="311"/>
      <c r="P110" s="311"/>
      <c r="Q110" s="311"/>
      <c r="R110" s="311"/>
      <c r="S110" s="311"/>
      <c r="T110" s="311"/>
      <c r="U110" s="311"/>
      <c r="V110" s="311"/>
      <c r="W110" s="311"/>
    </row>
    <row r="111" spans="1:23" ht="15">
      <c r="A111" s="346" t="s">
        <v>25</v>
      </c>
      <c r="B111" s="347"/>
      <c r="C111" s="347"/>
      <c r="D111" s="347"/>
      <c r="E111" s="347"/>
      <c r="F111" s="347"/>
      <c r="G111" s="348">
        <v>0.15690000000000001</v>
      </c>
      <c r="H111" s="311"/>
      <c r="I111" s="311"/>
      <c r="J111" s="311"/>
      <c r="K111" s="311"/>
      <c r="L111" s="311"/>
      <c r="M111" s="311"/>
      <c r="N111" s="311"/>
      <c r="O111" s="311"/>
      <c r="P111" s="311"/>
      <c r="Q111" s="311"/>
      <c r="R111" s="311"/>
      <c r="S111" s="311"/>
      <c r="T111" s="311"/>
      <c r="U111" s="311"/>
      <c r="V111" s="311"/>
      <c r="W111" s="311"/>
    </row>
    <row r="112" spans="1:23" ht="15">
      <c r="A112" s="78" t="s">
        <v>242</v>
      </c>
      <c r="B112" s="320" t="s">
        <v>13</v>
      </c>
      <c r="C112" s="329"/>
      <c r="D112" s="329"/>
      <c r="E112" s="329"/>
      <c r="F112" s="329"/>
      <c r="G112" s="329"/>
      <c r="H112" s="311"/>
      <c r="I112" s="311"/>
      <c r="J112" s="311"/>
      <c r="K112" s="311"/>
      <c r="L112" s="311"/>
      <c r="M112" s="311"/>
      <c r="N112" s="311"/>
      <c r="O112" s="311"/>
      <c r="P112" s="311"/>
      <c r="Q112" s="311"/>
      <c r="R112" s="311"/>
      <c r="S112" s="311"/>
      <c r="T112" s="311"/>
      <c r="U112" s="311"/>
      <c r="V112" s="311"/>
      <c r="W112" s="311"/>
    </row>
    <row r="113" spans="1:23" ht="15" customHeight="1">
      <c r="A113" s="78" t="s">
        <v>23</v>
      </c>
      <c r="B113" s="350" t="s">
        <v>243</v>
      </c>
      <c r="C113" s="350" t="s">
        <v>244</v>
      </c>
      <c r="D113" s="350" t="s">
        <v>245</v>
      </c>
      <c r="E113" s="350" t="s">
        <v>246</v>
      </c>
      <c r="F113" s="350" t="s">
        <v>47</v>
      </c>
      <c r="G113" s="350"/>
      <c r="H113" s="311"/>
      <c r="I113" s="311"/>
      <c r="J113" s="311"/>
      <c r="K113" s="311"/>
      <c r="L113" s="311"/>
      <c r="M113" s="311"/>
      <c r="N113" s="311"/>
      <c r="O113" s="311"/>
      <c r="P113" s="311"/>
      <c r="Q113" s="311"/>
      <c r="R113" s="311"/>
      <c r="S113" s="311"/>
      <c r="T113" s="311"/>
      <c r="U113" s="311"/>
      <c r="V113" s="311"/>
      <c r="W113" s="311"/>
    </row>
    <row r="114" spans="1:23">
      <c r="A114" s="78" t="s">
        <v>31</v>
      </c>
      <c r="B114" s="346">
        <v>30</v>
      </c>
      <c r="C114" s="346">
        <v>15</v>
      </c>
      <c r="D114" s="346">
        <v>10</v>
      </c>
      <c r="E114" s="346">
        <v>10</v>
      </c>
      <c r="F114" s="346"/>
      <c r="G114" s="349"/>
      <c r="H114" s="311"/>
      <c r="I114" s="311"/>
      <c r="J114" s="311"/>
      <c r="K114" s="311"/>
      <c r="L114" s="311"/>
      <c r="M114" s="311"/>
      <c r="N114" s="311"/>
      <c r="O114" s="311"/>
      <c r="P114" s="311"/>
      <c r="Q114" s="311"/>
      <c r="R114" s="311"/>
      <c r="S114" s="311"/>
      <c r="T114" s="311"/>
      <c r="U114" s="311"/>
      <c r="V114" s="311"/>
      <c r="W114" s="311"/>
    </row>
    <row r="115" spans="1:23">
      <c r="A115" s="78" t="s">
        <v>32</v>
      </c>
      <c r="B115" s="346"/>
      <c r="C115" s="346"/>
      <c r="D115" s="346"/>
      <c r="E115" s="346"/>
      <c r="F115" s="346"/>
      <c r="G115" s="349"/>
      <c r="H115" s="311"/>
      <c r="I115" s="311"/>
      <c r="J115" s="311"/>
      <c r="K115" s="311"/>
      <c r="L115" s="311"/>
      <c r="M115" s="311"/>
      <c r="N115" s="311"/>
      <c r="O115" s="311"/>
      <c r="P115" s="311"/>
      <c r="Q115" s="311"/>
      <c r="R115" s="311"/>
      <c r="S115" s="311"/>
      <c r="T115" s="311"/>
      <c r="U115" s="311"/>
      <c r="V115" s="311"/>
      <c r="W115" s="311"/>
    </row>
    <row r="116" spans="1:23">
      <c r="A116" s="78" t="s">
        <v>33</v>
      </c>
      <c r="B116" s="346">
        <v>30</v>
      </c>
      <c r="C116" s="346">
        <v>15</v>
      </c>
      <c r="D116" s="346">
        <v>10</v>
      </c>
      <c r="E116" s="346">
        <v>10</v>
      </c>
      <c r="F116" s="346"/>
      <c r="G116" s="349"/>
      <c r="H116" s="311"/>
      <c r="I116" s="311"/>
      <c r="J116" s="311"/>
      <c r="K116" s="311"/>
      <c r="L116" s="311"/>
      <c r="M116" s="311"/>
      <c r="N116" s="311"/>
      <c r="O116" s="311"/>
      <c r="P116" s="311"/>
      <c r="Q116" s="311"/>
      <c r="R116" s="311"/>
      <c r="S116" s="311"/>
      <c r="T116" s="311"/>
      <c r="U116" s="311"/>
      <c r="V116" s="311"/>
      <c r="W116" s="311"/>
    </row>
    <row r="117" spans="1:23">
      <c r="A117" s="78" t="s">
        <v>34</v>
      </c>
      <c r="B117" s="163"/>
      <c r="C117" s="346"/>
      <c r="D117" s="346"/>
      <c r="E117" s="346"/>
      <c r="F117" s="346"/>
      <c r="G117" s="349"/>
      <c r="H117" s="311"/>
      <c r="I117" s="311"/>
      <c r="J117" s="311"/>
      <c r="K117" s="311"/>
      <c r="L117" s="311"/>
      <c r="M117" s="311"/>
      <c r="N117" s="311"/>
      <c r="O117" s="311"/>
      <c r="P117" s="311"/>
      <c r="Q117" s="311"/>
      <c r="R117" s="311"/>
      <c r="S117" s="311"/>
      <c r="T117" s="311"/>
      <c r="U117" s="311"/>
      <c r="V117" s="311"/>
      <c r="W117" s="311"/>
    </row>
    <row r="118" spans="1:23">
      <c r="A118" s="78" t="s">
        <v>35</v>
      </c>
      <c r="B118" s="346"/>
      <c r="C118" s="346"/>
      <c r="D118" s="346"/>
      <c r="E118" s="346"/>
      <c r="F118" s="346"/>
      <c r="G118" s="349"/>
      <c r="H118" s="311"/>
      <c r="I118" s="311"/>
      <c r="J118" s="311"/>
      <c r="K118" s="311"/>
      <c r="L118" s="311"/>
      <c r="M118" s="311"/>
      <c r="N118" s="311"/>
      <c r="O118" s="311"/>
      <c r="P118" s="311"/>
      <c r="Q118" s="311"/>
      <c r="R118" s="311"/>
      <c r="S118" s="311"/>
      <c r="T118" s="311"/>
      <c r="U118" s="311"/>
      <c r="V118" s="311"/>
      <c r="W118" s="311"/>
    </row>
    <row r="119" spans="1:23">
      <c r="A119" s="78" t="s">
        <v>36</v>
      </c>
      <c r="B119" s="346">
        <v>30</v>
      </c>
      <c r="C119" s="346">
        <v>15</v>
      </c>
      <c r="D119" s="346">
        <v>10</v>
      </c>
      <c r="E119" s="346">
        <v>10</v>
      </c>
      <c r="F119" s="346"/>
      <c r="G119" s="349"/>
      <c r="H119" s="311"/>
      <c r="I119" s="311"/>
      <c r="J119" s="311"/>
      <c r="K119" s="311"/>
      <c r="L119" s="311"/>
      <c r="M119" s="311"/>
      <c r="N119" s="311"/>
      <c r="O119" s="311"/>
      <c r="P119" s="311"/>
      <c r="Q119" s="311"/>
      <c r="R119" s="311"/>
      <c r="S119" s="311"/>
      <c r="T119" s="311"/>
      <c r="U119" s="311"/>
      <c r="V119" s="311"/>
      <c r="W119" s="311"/>
    </row>
    <row r="120" spans="1:23">
      <c r="A120" s="78" t="s">
        <v>37</v>
      </c>
      <c r="B120" s="346"/>
      <c r="C120" s="346"/>
      <c r="D120" s="346"/>
      <c r="E120" s="346"/>
      <c r="F120" s="346"/>
      <c r="G120" s="349"/>
      <c r="H120" s="311"/>
      <c r="I120" s="311"/>
      <c r="J120" s="311"/>
      <c r="K120" s="311"/>
      <c r="L120" s="311"/>
      <c r="M120" s="311"/>
      <c r="N120" s="311"/>
      <c r="O120" s="311"/>
      <c r="P120" s="311"/>
      <c r="Q120" s="311"/>
      <c r="R120" s="311"/>
      <c r="S120" s="311"/>
      <c r="T120" s="311"/>
      <c r="U120" s="311"/>
      <c r="V120" s="311"/>
      <c r="W120" s="311"/>
    </row>
    <row r="121" spans="1:23">
      <c r="A121" s="78" t="s">
        <v>38</v>
      </c>
      <c r="B121" s="346">
        <v>30</v>
      </c>
      <c r="C121" s="346">
        <v>15</v>
      </c>
      <c r="D121" s="346">
        <v>10</v>
      </c>
      <c r="E121" s="346">
        <v>10</v>
      </c>
      <c r="F121" s="346"/>
      <c r="G121" s="349"/>
      <c r="H121" s="311"/>
      <c r="I121" s="311"/>
      <c r="J121" s="311"/>
      <c r="K121" s="311"/>
      <c r="L121" s="311"/>
      <c r="M121" s="311"/>
      <c r="N121" s="311"/>
      <c r="O121" s="311"/>
      <c r="P121" s="311"/>
      <c r="Q121" s="311"/>
      <c r="R121" s="311"/>
      <c r="S121" s="311"/>
      <c r="T121" s="311"/>
      <c r="U121" s="311"/>
      <c r="V121" s="311"/>
      <c r="W121" s="311"/>
    </row>
    <row r="122" spans="1:23">
      <c r="A122" s="78" t="s">
        <v>39</v>
      </c>
      <c r="B122" s="346"/>
      <c r="C122" s="346"/>
      <c r="D122" s="346"/>
      <c r="E122" s="346"/>
      <c r="F122" s="346"/>
      <c r="G122" s="349"/>
      <c r="H122" s="311"/>
      <c r="I122" s="311"/>
      <c r="J122" s="311"/>
      <c r="K122" s="311"/>
      <c r="L122" s="311"/>
      <c r="M122" s="311"/>
      <c r="N122" s="311"/>
      <c r="O122" s="311"/>
      <c r="P122" s="311"/>
      <c r="Q122" s="311"/>
      <c r="R122" s="311"/>
      <c r="S122" s="311"/>
      <c r="T122" s="311"/>
      <c r="U122" s="311"/>
      <c r="V122" s="311"/>
      <c r="W122" s="311"/>
    </row>
    <row r="123" spans="1:23" ht="15">
      <c r="A123" s="351" t="s">
        <v>247</v>
      </c>
      <c r="B123" s="352">
        <f>SUM(B114:B122)</f>
        <v>120</v>
      </c>
      <c r="C123" s="352">
        <f>SUM(C114:C122)</f>
        <v>60</v>
      </c>
      <c r="D123" s="352">
        <f>SUM(D114:D122)</f>
        <v>40</v>
      </c>
      <c r="E123" s="352">
        <f>SUM(E116:E121)</f>
        <v>30</v>
      </c>
      <c r="F123" s="352"/>
      <c r="G123" s="303"/>
      <c r="H123" s="311"/>
      <c r="I123" s="311"/>
      <c r="J123" s="311"/>
      <c r="K123" s="311"/>
      <c r="L123" s="311"/>
      <c r="M123" s="311"/>
      <c r="N123" s="311"/>
      <c r="O123" s="311"/>
      <c r="P123" s="311"/>
      <c r="Q123" s="311"/>
      <c r="R123" s="311"/>
      <c r="S123" s="311"/>
      <c r="T123" s="311"/>
      <c r="U123" s="311"/>
      <c r="V123" s="311"/>
      <c r="W123" s="311"/>
    </row>
    <row r="124" spans="1:23" ht="15">
      <c r="A124" s="346" t="s">
        <v>248</v>
      </c>
      <c r="B124" s="203"/>
      <c r="C124" s="239"/>
      <c r="D124" s="239"/>
      <c r="E124" s="239"/>
      <c r="F124" s="353">
        <f>SUM(B123:F123)</f>
        <v>250</v>
      </c>
      <c r="G124" s="354">
        <f>(F124*52)/C108</f>
        <v>0.10416666666666667</v>
      </c>
      <c r="H124" s="311"/>
      <c r="I124" s="311"/>
      <c r="J124" s="311"/>
      <c r="K124" s="311"/>
      <c r="L124" s="311"/>
      <c r="M124" s="311"/>
      <c r="N124" s="311"/>
      <c r="O124" s="311"/>
      <c r="P124" s="311"/>
      <c r="Q124" s="311"/>
      <c r="R124" s="311"/>
      <c r="S124" s="311"/>
      <c r="T124" s="311"/>
      <c r="U124" s="311"/>
      <c r="V124" s="311"/>
      <c r="W124" s="311"/>
    </row>
    <row r="125" spans="1:23" ht="15">
      <c r="A125" s="343" t="s">
        <v>242</v>
      </c>
      <c r="B125" s="320" t="s">
        <v>14</v>
      </c>
      <c r="C125" s="329"/>
      <c r="D125" s="329"/>
      <c r="E125" s="329"/>
      <c r="F125" s="329"/>
      <c r="G125" s="329"/>
      <c r="H125" s="311"/>
      <c r="I125" s="311"/>
      <c r="J125" s="311"/>
      <c r="K125" s="311"/>
      <c r="L125" s="311"/>
      <c r="M125" s="311"/>
      <c r="N125" s="311"/>
      <c r="O125" s="311"/>
      <c r="P125" s="311"/>
      <c r="Q125" s="311"/>
      <c r="R125" s="311"/>
      <c r="S125" s="311"/>
      <c r="T125" s="311"/>
      <c r="U125" s="311"/>
      <c r="V125" s="311"/>
      <c r="W125" s="311"/>
    </row>
    <row r="126" spans="1:23" ht="15" customHeight="1">
      <c r="A126" s="343" t="s">
        <v>23</v>
      </c>
      <c r="B126" s="350" t="s">
        <v>249</v>
      </c>
      <c r="C126" s="350" t="s">
        <v>250</v>
      </c>
      <c r="D126" s="355" t="s">
        <v>251</v>
      </c>
      <c r="E126" s="350" t="s">
        <v>252</v>
      </c>
      <c r="F126" s="350" t="s">
        <v>47</v>
      </c>
      <c r="G126" s="350"/>
      <c r="H126" s="311"/>
      <c r="I126" s="311"/>
      <c r="J126" s="311"/>
      <c r="K126" s="311"/>
      <c r="L126" s="311"/>
      <c r="M126" s="311"/>
      <c r="N126" s="311"/>
      <c r="O126" s="311"/>
      <c r="P126" s="311"/>
      <c r="Q126" s="311"/>
      <c r="R126" s="311"/>
      <c r="S126" s="311"/>
      <c r="T126" s="311"/>
      <c r="U126" s="311"/>
      <c r="V126" s="311"/>
      <c r="W126" s="311"/>
    </row>
    <row r="127" spans="1:23" ht="15">
      <c r="A127" s="343" t="s">
        <v>31</v>
      </c>
      <c r="B127" s="346"/>
      <c r="C127" s="346"/>
      <c r="D127" s="346"/>
      <c r="E127" s="238"/>
      <c r="F127" s="346"/>
      <c r="G127" s="349"/>
      <c r="H127" s="311"/>
      <c r="I127" s="311"/>
      <c r="J127" s="311"/>
      <c r="K127" s="311"/>
      <c r="L127" s="311"/>
      <c r="M127" s="311"/>
      <c r="N127" s="311"/>
      <c r="O127" s="311"/>
      <c r="P127" s="311"/>
      <c r="Q127" s="311"/>
      <c r="R127" s="311"/>
      <c r="S127" s="311"/>
      <c r="T127" s="311"/>
      <c r="U127" s="311"/>
      <c r="V127" s="311"/>
      <c r="W127" s="311"/>
    </row>
    <row r="128" spans="1:23" ht="15">
      <c r="A128" s="343" t="s">
        <v>32</v>
      </c>
      <c r="B128" s="346"/>
      <c r="C128" s="346"/>
      <c r="D128" s="346"/>
      <c r="E128" s="238"/>
      <c r="F128" s="346"/>
      <c r="G128" s="349"/>
      <c r="H128" s="311"/>
      <c r="I128" s="311"/>
      <c r="J128" s="311"/>
      <c r="K128" s="311"/>
      <c r="L128" s="311"/>
      <c r="M128" s="311"/>
      <c r="N128" s="311"/>
      <c r="O128" s="311"/>
      <c r="P128" s="311"/>
      <c r="Q128" s="311"/>
      <c r="R128" s="311"/>
      <c r="S128" s="311"/>
      <c r="T128" s="311"/>
      <c r="U128" s="311"/>
      <c r="V128" s="311"/>
      <c r="W128" s="311"/>
    </row>
    <row r="129" spans="1:23" ht="15">
      <c r="A129" s="343" t="s">
        <v>33</v>
      </c>
      <c r="B129" s="346">
        <v>45</v>
      </c>
      <c r="C129" s="346">
        <v>10</v>
      </c>
      <c r="D129" s="346">
        <v>10</v>
      </c>
      <c r="E129" s="238"/>
      <c r="F129" s="346"/>
      <c r="G129" s="349"/>
      <c r="H129" s="311"/>
      <c r="I129" s="311"/>
      <c r="J129" s="311"/>
      <c r="K129" s="311"/>
      <c r="L129" s="311"/>
      <c r="M129" s="311"/>
      <c r="N129" s="311"/>
      <c r="O129" s="311"/>
      <c r="P129" s="311"/>
      <c r="Q129" s="311"/>
      <c r="R129" s="311"/>
      <c r="S129" s="311"/>
      <c r="T129" s="311"/>
      <c r="U129" s="311"/>
      <c r="V129" s="311"/>
      <c r="W129" s="311"/>
    </row>
    <row r="130" spans="1:23" ht="15">
      <c r="A130" s="343" t="s">
        <v>34</v>
      </c>
      <c r="B130" s="346"/>
      <c r="C130" s="346"/>
      <c r="D130" s="346"/>
      <c r="E130" s="352">
        <v>90</v>
      </c>
      <c r="F130" s="346"/>
      <c r="G130" s="349"/>
    </row>
    <row r="131" spans="1:23" ht="15">
      <c r="A131" s="343" t="s">
        <v>35</v>
      </c>
      <c r="B131" s="346"/>
      <c r="C131" s="346"/>
      <c r="D131" s="346"/>
      <c r="E131" s="238"/>
      <c r="F131" s="346"/>
      <c r="G131" s="349"/>
    </row>
    <row r="132" spans="1:23" ht="15">
      <c r="A132" s="343" t="s">
        <v>36</v>
      </c>
      <c r="B132" s="346"/>
      <c r="C132" s="346"/>
      <c r="D132" s="346"/>
      <c r="E132" s="352">
        <v>90</v>
      </c>
      <c r="F132" s="346"/>
      <c r="G132" s="349"/>
    </row>
    <row r="133" spans="1:23" ht="15">
      <c r="A133" s="343" t="s">
        <v>37</v>
      </c>
      <c r="B133" s="346">
        <v>45</v>
      </c>
      <c r="C133" s="346">
        <v>10</v>
      </c>
      <c r="D133" s="346">
        <v>10</v>
      </c>
      <c r="E133" s="238"/>
      <c r="F133" s="346"/>
      <c r="G133" s="349"/>
    </row>
    <row r="134" spans="1:23" ht="15">
      <c r="A134" s="343" t="s">
        <v>38</v>
      </c>
      <c r="B134" s="346"/>
      <c r="C134" s="346"/>
      <c r="D134" s="346"/>
      <c r="E134" s="352">
        <v>90</v>
      </c>
      <c r="F134" s="346"/>
      <c r="G134" s="349"/>
    </row>
    <row r="135" spans="1:23" ht="15">
      <c r="A135" s="343" t="s">
        <v>39</v>
      </c>
      <c r="B135" s="346"/>
      <c r="C135" s="346"/>
      <c r="D135" s="346"/>
      <c r="E135" s="238"/>
      <c r="F135" s="346"/>
      <c r="G135" s="349"/>
    </row>
    <row r="136" spans="1:23" ht="15">
      <c r="A136" s="343" t="s">
        <v>44</v>
      </c>
      <c r="B136" s="345"/>
      <c r="C136" s="345"/>
      <c r="D136" s="345"/>
      <c r="E136" s="238"/>
      <c r="F136" s="345"/>
      <c r="G136" s="349"/>
    </row>
    <row r="137" spans="1:23" ht="15">
      <c r="A137" s="351" t="s">
        <v>247</v>
      </c>
      <c r="B137" s="352">
        <f>SUM(B127:B136)</f>
        <v>90</v>
      </c>
      <c r="C137" s="352">
        <f>SUM(C127:C136)</f>
        <v>20</v>
      </c>
      <c r="D137" s="352">
        <f>SUM(D127:D136)</f>
        <v>20</v>
      </c>
      <c r="E137" s="352">
        <f>SUM(E127:E136)</f>
        <v>270</v>
      </c>
      <c r="F137" s="352"/>
      <c r="G137" s="303"/>
    </row>
    <row r="138" spans="1:23" ht="15">
      <c r="A138" s="346" t="s">
        <v>248</v>
      </c>
      <c r="B138" s="203"/>
      <c r="C138" s="239"/>
      <c r="D138" s="239"/>
      <c r="E138" s="239"/>
      <c r="F138" s="353">
        <f>SUM(B137:F137)</f>
        <v>400</v>
      </c>
      <c r="G138" s="354">
        <f>(F138*52)/C108</f>
        <v>0.16666666666666666</v>
      </c>
    </row>
    <row r="139" spans="1:23" ht="15">
      <c r="A139" s="343" t="s">
        <v>242</v>
      </c>
      <c r="B139" s="329" t="s">
        <v>325</v>
      </c>
      <c r="C139" s="329"/>
      <c r="D139" s="329"/>
      <c r="E139" s="329"/>
      <c r="F139" s="329"/>
      <c r="G139" s="329"/>
    </row>
    <row r="140" spans="1:23" ht="15" customHeight="1">
      <c r="A140" s="343" t="s">
        <v>23</v>
      </c>
      <c r="B140" s="350" t="s">
        <v>253</v>
      </c>
      <c r="C140" s="350" t="s">
        <v>244</v>
      </c>
      <c r="D140" s="350" t="s">
        <v>245</v>
      </c>
      <c r="E140" s="350" t="s">
        <v>246</v>
      </c>
      <c r="F140" s="350" t="s">
        <v>254</v>
      </c>
      <c r="G140" s="349"/>
    </row>
    <row r="141" spans="1:23" ht="15">
      <c r="A141" s="343" t="s">
        <v>31</v>
      </c>
      <c r="B141" s="346"/>
      <c r="C141" s="346"/>
      <c r="D141" s="346"/>
      <c r="E141" s="346"/>
      <c r="F141" s="346"/>
      <c r="G141" s="349"/>
    </row>
    <row r="142" spans="1:23" ht="15">
      <c r="A142" s="343" t="s">
        <v>32</v>
      </c>
      <c r="B142" s="163"/>
      <c r="C142" s="346">
        <v>15</v>
      </c>
      <c r="D142" s="346">
        <v>30</v>
      </c>
      <c r="E142" s="346">
        <v>15</v>
      </c>
      <c r="F142" s="346">
        <v>30</v>
      </c>
      <c r="G142" s="349"/>
    </row>
    <row r="143" spans="1:23" ht="15">
      <c r="A143" s="343" t="s">
        <v>33</v>
      </c>
      <c r="B143" s="163"/>
      <c r="C143" s="346">
        <v>15</v>
      </c>
      <c r="D143" s="346">
        <v>30</v>
      </c>
      <c r="E143" s="346">
        <v>15</v>
      </c>
      <c r="F143" s="346">
        <v>30</v>
      </c>
      <c r="G143" s="349"/>
    </row>
    <row r="144" spans="1:23" ht="15">
      <c r="A144" s="343" t="s">
        <v>34</v>
      </c>
      <c r="B144" s="163"/>
      <c r="C144" s="346"/>
      <c r="D144" s="346"/>
      <c r="E144" s="346"/>
      <c r="F144" s="346"/>
      <c r="G144" s="349"/>
    </row>
    <row r="145" spans="1:7" ht="15">
      <c r="A145" s="343" t="s">
        <v>35</v>
      </c>
      <c r="B145" s="163"/>
      <c r="C145" s="346">
        <v>15</v>
      </c>
      <c r="D145" s="346">
        <v>30</v>
      </c>
      <c r="E145" s="346">
        <v>15</v>
      </c>
      <c r="F145" s="346">
        <v>30</v>
      </c>
      <c r="G145" s="349"/>
    </row>
    <row r="146" spans="1:7" ht="15">
      <c r="A146" s="343" t="s">
        <v>36</v>
      </c>
      <c r="B146" s="163"/>
      <c r="C146" s="346"/>
      <c r="D146" s="346"/>
      <c r="E146" s="346"/>
      <c r="F146" s="346"/>
      <c r="G146" s="349"/>
    </row>
    <row r="147" spans="1:7" ht="15">
      <c r="A147" s="343" t="s">
        <v>37</v>
      </c>
      <c r="B147" s="163"/>
      <c r="C147" s="346">
        <v>15</v>
      </c>
      <c r="D147" s="346">
        <v>30</v>
      </c>
      <c r="E147" s="346">
        <v>15</v>
      </c>
      <c r="F147" s="346">
        <v>30</v>
      </c>
      <c r="G147" s="349"/>
    </row>
    <row r="148" spans="1:7" ht="15">
      <c r="A148" s="343" t="s">
        <v>38</v>
      </c>
      <c r="B148" s="346"/>
      <c r="C148" s="346"/>
      <c r="D148" s="346"/>
      <c r="E148" s="346"/>
      <c r="F148" s="346"/>
      <c r="G148" s="349"/>
    </row>
    <row r="149" spans="1:7" ht="15">
      <c r="A149" s="343" t="s">
        <v>39</v>
      </c>
      <c r="B149" s="346"/>
      <c r="C149" s="346"/>
      <c r="D149" s="346"/>
      <c r="E149" s="346"/>
      <c r="F149" s="346"/>
      <c r="G149" s="349"/>
    </row>
    <row r="150" spans="1:7" ht="15">
      <c r="A150" s="351" t="s">
        <v>247</v>
      </c>
      <c r="B150" s="352">
        <f>SUM(B141:B149)</f>
        <v>0</v>
      </c>
      <c r="C150" s="352">
        <f>SUM(C141:C149)</f>
        <v>60</v>
      </c>
      <c r="D150" s="352">
        <f>SUM(D141:D149)</f>
        <v>120</v>
      </c>
      <c r="E150" s="352">
        <f>SUM(E141:E149)</f>
        <v>60</v>
      </c>
      <c r="F150" s="352">
        <f>SUM(F141:F149)</f>
        <v>120</v>
      </c>
      <c r="G150" s="303"/>
    </row>
    <row r="151" spans="1:7" ht="15">
      <c r="A151" s="346" t="s">
        <v>248</v>
      </c>
      <c r="B151" s="203"/>
      <c r="C151" s="239"/>
      <c r="D151" s="239"/>
      <c r="E151" s="239"/>
      <c r="F151" s="353">
        <f>SUM(B150:F150)</f>
        <v>360</v>
      </c>
      <c r="G151" s="354">
        <f>(F151*52)/C108</f>
        <v>0.15</v>
      </c>
    </row>
    <row r="152" spans="1:7" ht="15">
      <c r="A152" s="343" t="s">
        <v>242</v>
      </c>
      <c r="B152" s="329" t="s">
        <v>238</v>
      </c>
      <c r="C152" s="329"/>
      <c r="D152" s="329"/>
      <c r="E152" s="329"/>
      <c r="F152" s="329"/>
      <c r="G152" s="329"/>
    </row>
    <row r="153" spans="1:7" ht="15" customHeight="1">
      <c r="A153" s="343" t="s">
        <v>23</v>
      </c>
      <c r="B153" s="350" t="s">
        <v>255</v>
      </c>
      <c r="C153" s="350" t="s">
        <v>250</v>
      </c>
      <c r="D153" s="350" t="s">
        <v>256</v>
      </c>
      <c r="E153" s="350" t="s">
        <v>257</v>
      </c>
      <c r="F153" s="305" t="s">
        <v>47</v>
      </c>
      <c r="G153" s="350"/>
    </row>
    <row r="154" spans="1:7" ht="15">
      <c r="A154" s="343" t="s">
        <v>31</v>
      </c>
      <c r="B154" s="346"/>
      <c r="C154" s="346"/>
      <c r="D154" s="346"/>
      <c r="E154" s="346"/>
      <c r="F154" s="346"/>
      <c r="G154" s="349"/>
    </row>
    <row r="155" spans="1:7" ht="15">
      <c r="A155" s="343" t="s">
        <v>32</v>
      </c>
      <c r="B155" s="346"/>
      <c r="C155" s="346"/>
      <c r="D155" s="346"/>
      <c r="E155" s="346"/>
      <c r="F155" s="346"/>
      <c r="G155" s="349"/>
    </row>
    <row r="156" spans="1:7" ht="15">
      <c r="A156" s="343" t="s">
        <v>33</v>
      </c>
      <c r="B156" s="346"/>
      <c r="C156" s="346">
        <v>15</v>
      </c>
      <c r="D156" s="346">
        <v>10</v>
      </c>
      <c r="E156" s="346">
        <v>30</v>
      </c>
      <c r="F156" s="346">
        <v>30</v>
      </c>
      <c r="G156" s="349"/>
    </row>
    <row r="157" spans="1:7" ht="15">
      <c r="A157" s="343" t="s">
        <v>34</v>
      </c>
      <c r="B157" s="346"/>
      <c r="C157" s="346"/>
      <c r="D157" s="346"/>
      <c r="E157" s="346"/>
      <c r="F157" s="346"/>
      <c r="G157" s="349"/>
    </row>
    <row r="158" spans="1:7" ht="15">
      <c r="A158" s="343" t="s">
        <v>35</v>
      </c>
      <c r="B158" s="346"/>
      <c r="C158" s="346"/>
      <c r="D158" s="346"/>
      <c r="E158" s="346"/>
      <c r="F158" s="346"/>
      <c r="G158" s="349"/>
    </row>
    <row r="159" spans="1:7" ht="17.25" customHeight="1">
      <c r="A159" s="343" t="s">
        <v>36</v>
      </c>
      <c r="B159" s="346"/>
      <c r="C159" s="346"/>
      <c r="D159" s="346"/>
      <c r="E159" s="346"/>
      <c r="F159" s="346"/>
      <c r="G159" s="349"/>
    </row>
    <row r="160" spans="1:7" ht="15">
      <c r="A160" s="343" t="s">
        <v>37</v>
      </c>
      <c r="B160" s="346"/>
      <c r="C160" s="346">
        <v>15</v>
      </c>
      <c r="D160" s="346">
        <v>10</v>
      </c>
      <c r="E160" s="346">
        <v>30</v>
      </c>
      <c r="F160" s="346">
        <v>30</v>
      </c>
      <c r="G160" s="349"/>
    </row>
    <row r="161" spans="1:7" ht="15">
      <c r="A161" s="343" t="s">
        <v>38</v>
      </c>
      <c r="B161" s="346"/>
      <c r="C161" s="346"/>
      <c r="D161" s="346"/>
      <c r="E161" s="346"/>
      <c r="F161" s="346"/>
      <c r="G161" s="349"/>
    </row>
    <row r="162" spans="1:7" ht="15">
      <c r="A162" s="343" t="s">
        <v>48</v>
      </c>
      <c r="B162" s="346"/>
      <c r="C162" s="346"/>
      <c r="D162" s="346"/>
      <c r="E162" s="346"/>
      <c r="F162" s="346"/>
      <c r="G162" s="349"/>
    </row>
    <row r="163" spans="1:7" ht="15">
      <c r="A163" s="351" t="s">
        <v>247</v>
      </c>
      <c r="B163" s="352"/>
      <c r="C163" s="352">
        <f>SUM(C154:C162)</f>
        <v>30</v>
      </c>
      <c r="D163" s="352">
        <f>SUM(D154:D162)</f>
        <v>20</v>
      </c>
      <c r="E163" s="352">
        <f>SUM(E154:E162)</f>
        <v>60</v>
      </c>
      <c r="F163" s="352">
        <f>SUM(F154:F162)</f>
        <v>60</v>
      </c>
      <c r="G163" s="303"/>
    </row>
    <row r="164" spans="1:7" ht="15">
      <c r="A164" s="346" t="s">
        <v>248</v>
      </c>
      <c r="B164" s="203"/>
      <c r="C164" s="239"/>
      <c r="D164" s="239"/>
      <c r="E164" s="239"/>
      <c r="F164" s="353">
        <f>SUM(B163:F163)</f>
        <v>170</v>
      </c>
      <c r="G164" s="354">
        <f>(F164*52)/C108</f>
        <v>7.0833333333333331E-2</v>
      </c>
    </row>
    <row r="165" spans="1:7">
      <c r="A165" s="304" t="s">
        <v>242</v>
      </c>
      <c r="B165" s="329" t="s">
        <v>239</v>
      </c>
      <c r="C165" s="329"/>
      <c r="D165" s="329"/>
      <c r="E165" s="329"/>
      <c r="F165" s="329"/>
      <c r="G165" s="329"/>
    </row>
    <row r="166" spans="1:7" ht="15" customHeight="1">
      <c r="A166" s="304" t="s">
        <v>23</v>
      </c>
      <c r="B166" s="350" t="s">
        <v>255</v>
      </c>
      <c r="C166" s="350" t="s">
        <v>250</v>
      </c>
      <c r="D166" s="350" t="s">
        <v>256</v>
      </c>
      <c r="E166" s="305" t="s">
        <v>47</v>
      </c>
      <c r="F166" s="305" t="s">
        <v>47</v>
      </c>
      <c r="G166" s="350"/>
    </row>
    <row r="167" spans="1:7">
      <c r="A167" s="304" t="s">
        <v>31</v>
      </c>
      <c r="B167" s="346">
        <v>10</v>
      </c>
      <c r="C167" s="346"/>
      <c r="D167" s="346"/>
      <c r="E167" s="346"/>
      <c r="F167" s="346"/>
      <c r="G167" s="349"/>
    </row>
    <row r="168" spans="1:7">
      <c r="A168" s="304" t="s">
        <v>32</v>
      </c>
      <c r="B168" s="346">
        <v>10</v>
      </c>
      <c r="C168" s="346"/>
      <c r="D168" s="346"/>
      <c r="E168" s="346"/>
      <c r="F168" s="346"/>
      <c r="G168" s="349"/>
    </row>
    <row r="169" spans="1:7">
      <c r="A169" s="304" t="s">
        <v>33</v>
      </c>
      <c r="B169" s="163"/>
      <c r="C169" s="346">
        <v>15</v>
      </c>
      <c r="D169" s="346">
        <v>10</v>
      </c>
      <c r="E169" s="346">
        <v>30</v>
      </c>
      <c r="F169" s="346">
        <v>30</v>
      </c>
      <c r="G169" s="349"/>
    </row>
    <row r="170" spans="1:7">
      <c r="A170" s="304" t="s">
        <v>34</v>
      </c>
      <c r="B170" s="346">
        <v>10</v>
      </c>
      <c r="C170" s="346"/>
      <c r="D170" s="346"/>
      <c r="E170" s="346"/>
      <c r="F170" s="346"/>
      <c r="G170" s="349"/>
    </row>
    <row r="171" spans="1:7">
      <c r="A171" s="304" t="s">
        <v>35</v>
      </c>
      <c r="B171" s="346"/>
      <c r="C171" s="346">
        <v>15</v>
      </c>
      <c r="D171" s="346">
        <v>10</v>
      </c>
      <c r="E171" s="346">
        <v>30</v>
      </c>
      <c r="F171" s="346"/>
      <c r="G171" s="349"/>
    </row>
    <row r="172" spans="1:7">
      <c r="A172" s="304" t="s">
        <v>36</v>
      </c>
      <c r="B172" s="346">
        <v>10</v>
      </c>
      <c r="C172" s="346"/>
      <c r="D172" s="346"/>
      <c r="E172" s="346"/>
      <c r="F172" s="346"/>
      <c r="G172" s="349"/>
    </row>
    <row r="173" spans="1:7">
      <c r="A173" s="304" t="s">
        <v>37</v>
      </c>
      <c r="B173" s="346"/>
      <c r="C173" s="346"/>
      <c r="D173" s="346"/>
      <c r="E173" s="346"/>
      <c r="F173" s="346">
        <v>30</v>
      </c>
      <c r="G173" s="349"/>
    </row>
    <row r="174" spans="1:7">
      <c r="A174" s="304" t="s">
        <v>38</v>
      </c>
      <c r="B174" s="346"/>
      <c r="C174" s="346">
        <v>15</v>
      </c>
      <c r="D174" s="346">
        <v>10</v>
      </c>
      <c r="E174" s="346">
        <v>30</v>
      </c>
      <c r="F174" s="346"/>
      <c r="G174" s="349"/>
    </row>
    <row r="175" spans="1:7">
      <c r="A175" s="304" t="s">
        <v>39</v>
      </c>
      <c r="B175" s="346"/>
      <c r="C175" s="346"/>
      <c r="D175" s="346"/>
      <c r="E175" s="346"/>
      <c r="F175" s="346"/>
      <c r="G175" s="349"/>
    </row>
    <row r="176" spans="1:7" ht="15">
      <c r="A176" s="351" t="s">
        <v>247</v>
      </c>
      <c r="B176" s="352">
        <f>SUM(B167:B172)</f>
        <v>40</v>
      </c>
      <c r="C176" s="352">
        <f>SUM(C167:C175)</f>
        <v>45</v>
      </c>
      <c r="D176" s="352">
        <f>SUM(D167:D175)</f>
        <v>30</v>
      </c>
      <c r="E176" s="352">
        <f>SUM(E167:E175)</f>
        <v>90</v>
      </c>
      <c r="F176" s="352"/>
      <c r="G176" s="303"/>
    </row>
    <row r="177" spans="1:7" ht="15">
      <c r="A177" s="346" t="s">
        <v>248</v>
      </c>
      <c r="B177" s="203"/>
      <c r="C177" s="239"/>
      <c r="D177" s="239"/>
      <c r="E177" s="239"/>
      <c r="F177" s="353">
        <f>SUM(B176:F176)</f>
        <v>205</v>
      </c>
      <c r="G177" s="354">
        <f>(F177*52)/C108</f>
        <v>8.5416666666666669E-2</v>
      </c>
    </row>
    <row r="178" spans="1:7">
      <c r="A178" s="304" t="s">
        <v>242</v>
      </c>
      <c r="B178" s="329" t="s">
        <v>240</v>
      </c>
      <c r="C178" s="329"/>
      <c r="D178" s="329"/>
      <c r="E178" s="329"/>
      <c r="F178" s="329"/>
      <c r="G178" s="329"/>
    </row>
    <row r="179" spans="1:7" ht="15">
      <c r="A179" s="304" t="s">
        <v>23</v>
      </c>
      <c r="B179" s="350" t="s">
        <v>258</v>
      </c>
      <c r="C179" s="306" t="s">
        <v>47</v>
      </c>
      <c r="D179" s="350"/>
      <c r="E179" s="350"/>
      <c r="F179" s="350"/>
      <c r="G179" s="356"/>
    </row>
    <row r="180" spans="1:7">
      <c r="A180" s="304" t="s">
        <v>31</v>
      </c>
      <c r="B180" s="357">
        <v>60</v>
      </c>
      <c r="C180" s="357">
        <v>45</v>
      </c>
      <c r="D180" s="357"/>
      <c r="E180" s="357"/>
      <c r="F180" s="357"/>
      <c r="G180" s="349"/>
    </row>
    <row r="181" spans="1:7">
      <c r="A181" s="304" t="s">
        <v>32</v>
      </c>
      <c r="B181" s="357"/>
      <c r="C181" s="357"/>
      <c r="D181" s="357"/>
      <c r="E181" s="357"/>
      <c r="F181" s="357"/>
      <c r="G181" s="349"/>
    </row>
    <row r="182" spans="1:7">
      <c r="A182" s="304" t="s">
        <v>33</v>
      </c>
      <c r="B182" s="357"/>
      <c r="C182" s="357"/>
      <c r="D182" s="357"/>
      <c r="E182" s="357"/>
      <c r="F182" s="357"/>
      <c r="G182" s="349"/>
    </row>
    <row r="183" spans="1:7">
      <c r="A183" s="304" t="s">
        <v>34</v>
      </c>
      <c r="B183" s="357"/>
      <c r="C183" s="357"/>
      <c r="D183" s="357"/>
      <c r="E183" s="357"/>
      <c r="F183" s="357"/>
      <c r="G183" s="349"/>
    </row>
    <row r="184" spans="1:7">
      <c r="A184" s="304" t="s">
        <v>35</v>
      </c>
      <c r="B184" s="357"/>
      <c r="C184" s="357"/>
      <c r="D184" s="357"/>
      <c r="E184" s="357"/>
      <c r="F184" s="357"/>
      <c r="G184" s="349"/>
    </row>
    <row r="185" spans="1:7">
      <c r="A185" s="304" t="s">
        <v>36</v>
      </c>
      <c r="B185" s="357"/>
      <c r="C185" s="357"/>
      <c r="D185" s="357"/>
      <c r="E185" s="357"/>
      <c r="F185" s="357"/>
      <c r="G185" s="349"/>
    </row>
    <row r="186" spans="1:7">
      <c r="A186" s="304" t="s">
        <v>37</v>
      </c>
      <c r="B186" s="357"/>
      <c r="C186" s="357"/>
      <c r="D186" s="357"/>
      <c r="E186" s="357"/>
      <c r="F186" s="357"/>
      <c r="G186" s="349"/>
    </row>
    <row r="187" spans="1:7">
      <c r="A187" s="304" t="s">
        <v>38</v>
      </c>
      <c r="B187" s="357"/>
      <c r="C187" s="357"/>
      <c r="D187" s="357"/>
      <c r="E187" s="357"/>
      <c r="F187" s="357"/>
      <c r="G187" s="349"/>
    </row>
    <row r="188" spans="1:7">
      <c r="A188" s="304" t="s">
        <v>39</v>
      </c>
      <c r="B188" s="357"/>
      <c r="C188" s="357"/>
      <c r="D188" s="357"/>
      <c r="E188" s="357"/>
      <c r="F188" s="357"/>
      <c r="G188" s="349"/>
    </row>
    <row r="189" spans="1:7" ht="15">
      <c r="A189" s="351" t="s">
        <v>247</v>
      </c>
      <c r="B189" s="352">
        <f>SUM(B180:B188)</f>
        <v>60</v>
      </c>
      <c r="C189" s="352">
        <f>SUM(C180:C188)</f>
        <v>45</v>
      </c>
      <c r="D189" s="352"/>
      <c r="E189" s="352"/>
      <c r="F189" s="352"/>
      <c r="G189" s="303"/>
    </row>
    <row r="190" spans="1:7" ht="15">
      <c r="A190" s="346" t="s">
        <v>248</v>
      </c>
      <c r="B190" s="203"/>
      <c r="C190" s="239"/>
      <c r="D190" s="239"/>
      <c r="E190" s="239"/>
      <c r="F190" s="353">
        <f>SUM(B189:F189)</f>
        <v>105</v>
      </c>
      <c r="G190" s="354">
        <f>(F190*52)/C108</f>
        <v>4.3749999999999997E-2</v>
      </c>
    </row>
    <row r="191" spans="1:7">
      <c r="A191" s="304" t="s">
        <v>242</v>
      </c>
      <c r="B191" s="329" t="s">
        <v>56</v>
      </c>
      <c r="C191" s="329"/>
      <c r="D191" s="329"/>
      <c r="E191" s="329"/>
      <c r="F191" s="329"/>
      <c r="G191" s="329"/>
    </row>
    <row r="192" spans="1:7" ht="32" customHeight="1">
      <c r="A192" s="304" t="s">
        <v>23</v>
      </c>
      <c r="B192" s="350" t="s">
        <v>57</v>
      </c>
      <c r="C192" s="350" t="s">
        <v>58</v>
      </c>
      <c r="D192" s="350" t="s">
        <v>59</v>
      </c>
      <c r="E192" s="350" t="s">
        <v>60</v>
      </c>
      <c r="F192" s="305" t="s">
        <v>47</v>
      </c>
      <c r="G192" s="356"/>
    </row>
    <row r="193" spans="1:7">
      <c r="A193" s="304" t="s">
        <v>31</v>
      </c>
      <c r="B193" s="357"/>
      <c r="C193" s="357"/>
      <c r="D193" s="357"/>
      <c r="E193" s="357"/>
      <c r="F193" s="346"/>
      <c r="G193" s="349"/>
    </row>
    <row r="194" spans="1:7">
      <c r="A194" s="304" t="s">
        <v>32</v>
      </c>
      <c r="B194" s="357">
        <v>10</v>
      </c>
      <c r="C194" s="357">
        <v>15</v>
      </c>
      <c r="D194" s="357">
        <v>15</v>
      </c>
      <c r="E194" s="357">
        <v>10</v>
      </c>
      <c r="F194" s="346">
        <v>20</v>
      </c>
      <c r="G194" s="349"/>
    </row>
    <row r="195" spans="1:7">
      <c r="A195" s="304" t="s">
        <v>33</v>
      </c>
      <c r="B195" s="357"/>
      <c r="C195" s="357"/>
      <c r="D195" s="357"/>
      <c r="E195" s="357"/>
      <c r="F195" s="346"/>
      <c r="G195" s="349"/>
    </row>
    <row r="196" spans="1:7">
      <c r="A196" s="304" t="s">
        <v>34</v>
      </c>
      <c r="B196" s="357"/>
      <c r="C196" s="357"/>
      <c r="D196" s="357"/>
      <c r="E196" s="357"/>
      <c r="F196" s="346"/>
      <c r="G196" s="349"/>
    </row>
    <row r="197" spans="1:7">
      <c r="A197" s="304" t="s">
        <v>35</v>
      </c>
      <c r="B197" s="357"/>
      <c r="C197" s="357"/>
      <c r="D197" s="357"/>
      <c r="E197" s="357"/>
      <c r="F197" s="346"/>
      <c r="G197" s="349"/>
    </row>
    <row r="198" spans="1:7">
      <c r="A198" s="304" t="s">
        <v>36</v>
      </c>
      <c r="B198" s="357"/>
      <c r="C198" s="357"/>
      <c r="D198" s="357"/>
      <c r="E198" s="357"/>
      <c r="F198" s="346"/>
      <c r="G198" s="349"/>
    </row>
    <row r="199" spans="1:7">
      <c r="A199" s="304" t="s">
        <v>37</v>
      </c>
      <c r="B199" s="357"/>
      <c r="C199" s="357"/>
      <c r="D199" s="357"/>
      <c r="E199" s="357"/>
      <c r="F199" s="346"/>
      <c r="G199" s="349"/>
    </row>
    <row r="200" spans="1:7">
      <c r="A200" s="304" t="s">
        <v>38</v>
      </c>
      <c r="B200" s="357"/>
      <c r="C200" s="357"/>
      <c r="D200" s="357"/>
      <c r="E200" s="357"/>
      <c r="F200" s="346"/>
      <c r="G200" s="349"/>
    </row>
    <row r="201" spans="1:7">
      <c r="A201" s="304" t="s">
        <v>39</v>
      </c>
      <c r="B201" s="357">
        <v>10</v>
      </c>
      <c r="C201" s="357">
        <v>15</v>
      </c>
      <c r="D201" s="357">
        <v>15</v>
      </c>
      <c r="E201" s="357">
        <v>10</v>
      </c>
      <c r="F201" s="346">
        <v>20</v>
      </c>
      <c r="G201" s="349"/>
    </row>
    <row r="202" spans="1:7" ht="15">
      <c r="A202" s="351" t="s">
        <v>247</v>
      </c>
      <c r="B202" s="352">
        <f>SUM(B193:B201)</f>
        <v>20</v>
      </c>
      <c r="C202" s="352">
        <f>SUM(C193:C201)</f>
        <v>30</v>
      </c>
      <c r="D202" s="352">
        <f>SUM(D193:D201)</f>
        <v>30</v>
      </c>
      <c r="E202" s="352">
        <f>SUM(E193:E201)</f>
        <v>20</v>
      </c>
      <c r="F202" s="352">
        <f>SUM(F193:F201)</f>
        <v>40</v>
      </c>
      <c r="G202" s="303"/>
    </row>
    <row r="203" spans="1:7" ht="15">
      <c r="A203" s="346" t="s">
        <v>248</v>
      </c>
      <c r="B203" s="203"/>
      <c r="C203" s="239"/>
      <c r="D203" s="239"/>
      <c r="E203" s="239"/>
      <c r="F203" s="353">
        <f>SUM(B202:F202)</f>
        <v>140</v>
      </c>
      <c r="G203" s="354">
        <f>(F203*52)/C108</f>
        <v>5.8333333333333334E-2</v>
      </c>
    </row>
    <row r="204" spans="1:7">
      <c r="A204" s="304" t="s">
        <v>242</v>
      </c>
      <c r="B204" s="329" t="s">
        <v>66</v>
      </c>
      <c r="C204" s="329"/>
      <c r="D204" s="329"/>
      <c r="E204" s="329"/>
      <c r="F204" s="329"/>
      <c r="G204" s="329"/>
    </row>
    <row r="205" spans="1:7" ht="33" customHeight="1">
      <c r="A205" s="304" t="s">
        <v>23</v>
      </c>
      <c r="B205" s="350" t="s">
        <v>259</v>
      </c>
      <c r="C205" s="350" t="s">
        <v>262</v>
      </c>
      <c r="D205" s="350" t="s">
        <v>261</v>
      </c>
      <c r="E205" s="350" t="s">
        <v>246</v>
      </c>
      <c r="F205" s="358" t="s">
        <v>260</v>
      </c>
      <c r="G205" s="356"/>
    </row>
    <row r="206" spans="1:7">
      <c r="A206" s="304" t="s">
        <v>31</v>
      </c>
      <c r="B206" s="357"/>
      <c r="C206" s="357"/>
      <c r="D206" s="357"/>
      <c r="E206" s="357"/>
      <c r="F206" s="357"/>
      <c r="G206" s="349"/>
    </row>
    <row r="207" spans="1:7">
      <c r="A207" s="304" t="s">
        <v>32</v>
      </c>
      <c r="B207" s="357"/>
      <c r="C207" s="357"/>
      <c r="D207" s="357"/>
      <c r="E207" s="357"/>
      <c r="F207" s="357"/>
      <c r="G207" s="349"/>
    </row>
    <row r="208" spans="1:7">
      <c r="A208" s="304" t="s">
        <v>33</v>
      </c>
      <c r="B208" s="357">
        <v>10</v>
      </c>
      <c r="C208" s="357"/>
      <c r="D208" s="357">
        <v>20</v>
      </c>
      <c r="E208" s="357">
        <v>15</v>
      </c>
      <c r="F208" s="357">
        <v>15</v>
      </c>
      <c r="G208" s="349"/>
    </row>
    <row r="209" spans="1:23">
      <c r="A209" s="304" t="s">
        <v>34</v>
      </c>
      <c r="B209" s="357"/>
      <c r="C209" s="357">
        <v>5</v>
      </c>
      <c r="D209" s="357"/>
      <c r="E209" s="357"/>
      <c r="F209" s="357"/>
      <c r="G209" s="349"/>
    </row>
    <row r="210" spans="1:23">
      <c r="A210" s="304" t="s">
        <v>35</v>
      </c>
      <c r="B210" s="357"/>
      <c r="C210" s="357"/>
      <c r="D210" s="357"/>
      <c r="E210" s="357"/>
      <c r="F210" s="357"/>
      <c r="G210" s="349"/>
    </row>
    <row r="211" spans="1:23">
      <c r="A211" s="304" t="s">
        <v>36</v>
      </c>
      <c r="B211" s="357"/>
      <c r="C211" s="357"/>
      <c r="D211" s="357"/>
      <c r="E211" s="357"/>
      <c r="F211" s="357"/>
      <c r="G211" s="349"/>
    </row>
    <row r="212" spans="1:23">
      <c r="A212" s="304" t="s">
        <v>37</v>
      </c>
      <c r="B212" s="357">
        <v>10</v>
      </c>
      <c r="C212" s="357"/>
      <c r="D212" s="357">
        <v>20</v>
      </c>
      <c r="E212" s="357">
        <v>15</v>
      </c>
      <c r="F212" s="357">
        <v>15</v>
      </c>
      <c r="G212" s="349"/>
    </row>
    <row r="213" spans="1:23">
      <c r="A213" s="304" t="s">
        <v>38</v>
      </c>
      <c r="B213" s="357"/>
      <c r="C213" s="357">
        <v>5</v>
      </c>
      <c r="D213" s="357"/>
      <c r="E213" s="357"/>
      <c r="F213" s="357"/>
      <c r="G213" s="349"/>
    </row>
    <row r="214" spans="1:23">
      <c r="A214" s="304" t="s">
        <v>39</v>
      </c>
      <c r="B214" s="357"/>
      <c r="C214" s="357"/>
      <c r="D214" s="357"/>
      <c r="E214" s="357"/>
      <c r="F214" s="357"/>
      <c r="G214" s="349"/>
    </row>
    <row r="215" spans="1:23" ht="15">
      <c r="A215" s="351" t="s">
        <v>247</v>
      </c>
      <c r="B215" s="352">
        <f>SUM(B206:B214)</f>
        <v>20</v>
      </c>
      <c r="C215" s="352">
        <f>SUM(C206:C214)</f>
        <v>10</v>
      </c>
      <c r="D215" s="352">
        <f>SUM(D206:D214)</f>
        <v>40</v>
      </c>
      <c r="E215" s="352">
        <f>SUM(E206:E214)</f>
        <v>30</v>
      </c>
      <c r="F215" s="352">
        <f>SUM(F206:F214)</f>
        <v>30</v>
      </c>
      <c r="G215" s="203"/>
    </row>
    <row r="216" spans="1:23" ht="15">
      <c r="A216" s="346" t="s">
        <v>248</v>
      </c>
      <c r="B216" s="203"/>
      <c r="C216" s="239"/>
      <c r="D216" s="239"/>
      <c r="E216" s="239"/>
      <c r="F216" s="353">
        <f>SUM(B215:F215)</f>
        <v>130</v>
      </c>
      <c r="G216" s="354">
        <f>(F216*52)/C108</f>
        <v>5.4166666666666669E-2</v>
      </c>
    </row>
    <row r="217" spans="1:23" ht="24" customHeight="1">
      <c r="A217" s="522" t="s">
        <v>472</v>
      </c>
      <c r="B217" s="522"/>
      <c r="C217" s="522"/>
      <c r="D217" s="522"/>
      <c r="E217" s="522"/>
      <c r="F217" s="522"/>
      <c r="G217" s="522"/>
      <c r="H217" s="310"/>
      <c r="I217" s="310"/>
      <c r="J217" s="523"/>
      <c r="K217" s="523"/>
      <c r="L217" s="523"/>
      <c r="M217" s="523"/>
      <c r="N217" s="523"/>
      <c r="O217" s="523"/>
      <c r="P217" s="523"/>
      <c r="Q217" s="523"/>
      <c r="R217" s="523"/>
      <c r="S217" s="523"/>
      <c r="T217" s="311"/>
      <c r="U217" s="311"/>
      <c r="V217" s="311"/>
      <c r="W217" s="311"/>
    </row>
    <row r="218" spans="1:23" ht="15">
      <c r="A218" s="343" t="s">
        <v>20</v>
      </c>
      <c r="B218" s="346" t="s">
        <v>475</v>
      </c>
      <c r="C218" s="302">
        <f>60*8*5*52</f>
        <v>124800</v>
      </c>
      <c r="D218" s="345"/>
      <c r="E218" s="345"/>
      <c r="F218" s="345"/>
      <c r="G218" s="344"/>
    </row>
    <row r="219" spans="1:23" ht="15">
      <c r="A219" s="343" t="s">
        <v>242</v>
      </c>
      <c r="B219" s="329" t="s">
        <v>237</v>
      </c>
      <c r="C219" s="329"/>
      <c r="D219" s="329"/>
      <c r="E219" s="329"/>
      <c r="F219" s="329"/>
      <c r="G219" s="325" t="s">
        <v>25</v>
      </c>
    </row>
    <row r="220" spans="1:23" ht="15" customHeight="1">
      <c r="A220" s="343" t="s">
        <v>23</v>
      </c>
      <c r="B220" s="513" t="s">
        <v>335</v>
      </c>
      <c r="C220" s="514"/>
      <c r="D220" s="514"/>
      <c r="E220" s="514"/>
      <c r="F220" s="514"/>
      <c r="G220" s="515"/>
    </row>
    <row r="221" spans="1:23">
      <c r="A221" s="238" t="s">
        <v>25</v>
      </c>
      <c r="B221" s="203"/>
      <c r="C221" s="203"/>
      <c r="D221" s="203"/>
      <c r="E221" s="203"/>
      <c r="F221" s="203"/>
      <c r="G221" s="354">
        <f>'Utilisation rate workouts '!C31</f>
        <v>0.16597294484911551</v>
      </c>
    </row>
    <row r="222" spans="1:23" ht="15">
      <c r="A222" s="343" t="s">
        <v>242</v>
      </c>
      <c r="B222" s="329" t="s">
        <v>316</v>
      </c>
      <c r="C222" s="329"/>
      <c r="D222" s="329"/>
      <c r="E222" s="329"/>
      <c r="F222" s="329"/>
      <c r="G222" s="329"/>
    </row>
    <row r="223" spans="1:23" ht="27" customHeight="1">
      <c r="A223" s="343" t="s">
        <v>23</v>
      </c>
      <c r="B223" s="350" t="s">
        <v>317</v>
      </c>
      <c r="C223" s="350" t="s">
        <v>318</v>
      </c>
      <c r="D223" s="350" t="s">
        <v>319</v>
      </c>
      <c r="E223" s="350" t="s">
        <v>320</v>
      </c>
      <c r="F223" s="350" t="s">
        <v>321</v>
      </c>
      <c r="G223" s="344"/>
    </row>
    <row r="224" spans="1:23" ht="15">
      <c r="A224" s="343" t="s">
        <v>31</v>
      </c>
      <c r="B224" s="346"/>
      <c r="C224" s="346"/>
      <c r="D224" s="346"/>
      <c r="E224" s="346"/>
      <c r="F224" s="346"/>
      <c r="G224" s="344"/>
    </row>
    <row r="225" spans="1:7" ht="15">
      <c r="A225" s="343" t="s">
        <v>32</v>
      </c>
      <c r="B225" s="346"/>
      <c r="C225" s="346"/>
      <c r="D225" s="346"/>
      <c r="E225" s="346"/>
      <c r="F225" s="345"/>
      <c r="G225" s="344"/>
    </row>
    <row r="226" spans="1:7" ht="15">
      <c r="A226" s="343" t="s">
        <v>33</v>
      </c>
      <c r="B226" s="346">
        <v>10</v>
      </c>
      <c r="C226" s="346">
        <v>5</v>
      </c>
      <c r="D226" s="346">
        <v>120</v>
      </c>
      <c r="E226" s="346">
        <v>10</v>
      </c>
      <c r="F226" s="346">
        <v>5</v>
      </c>
      <c r="G226" s="344"/>
    </row>
    <row r="227" spans="1:7" ht="15">
      <c r="A227" s="343" t="s">
        <v>34</v>
      </c>
      <c r="B227" s="346"/>
      <c r="C227" s="346"/>
      <c r="D227" s="346"/>
      <c r="E227" s="346"/>
      <c r="F227" s="345"/>
      <c r="G227" s="344"/>
    </row>
    <row r="228" spans="1:7" ht="15">
      <c r="A228" s="343" t="s">
        <v>35</v>
      </c>
      <c r="B228" s="346"/>
      <c r="C228" s="346"/>
      <c r="D228" s="346"/>
      <c r="E228" s="346"/>
      <c r="F228" s="346"/>
      <c r="G228" s="344"/>
    </row>
    <row r="229" spans="1:7" ht="15">
      <c r="A229" s="343" t="s">
        <v>36</v>
      </c>
      <c r="B229" s="346"/>
      <c r="C229" s="346"/>
      <c r="D229" s="346"/>
      <c r="E229" s="346"/>
      <c r="F229" s="345"/>
      <c r="G229" s="344"/>
    </row>
    <row r="230" spans="1:7" ht="15">
      <c r="A230" s="343" t="s">
        <v>37</v>
      </c>
      <c r="B230" s="346"/>
      <c r="C230" s="346"/>
      <c r="D230" s="346"/>
      <c r="E230" s="346"/>
      <c r="F230" s="346"/>
      <c r="G230" s="344"/>
    </row>
    <row r="231" spans="1:7" ht="15">
      <c r="A231" s="343" t="s">
        <v>38</v>
      </c>
      <c r="B231" s="346">
        <v>10</v>
      </c>
      <c r="C231" s="346">
        <v>5</v>
      </c>
      <c r="D231" s="345">
        <v>120</v>
      </c>
      <c r="E231" s="346">
        <v>10</v>
      </c>
      <c r="F231" s="345">
        <v>5</v>
      </c>
      <c r="G231" s="344"/>
    </row>
    <row r="232" spans="1:7" ht="15">
      <c r="A232" s="343" t="s">
        <v>39</v>
      </c>
      <c r="B232" s="346"/>
      <c r="C232" s="346"/>
      <c r="D232" s="346"/>
      <c r="E232" s="346"/>
      <c r="F232" s="346"/>
      <c r="G232" s="344"/>
    </row>
    <row r="233" spans="1:7" ht="15">
      <c r="A233" s="351" t="s">
        <v>247</v>
      </c>
      <c r="B233" s="352">
        <f>SUM(B224:B232)</f>
        <v>20</v>
      </c>
      <c r="C233" s="352">
        <f>SUM(C224:C232)</f>
        <v>10</v>
      </c>
      <c r="D233" s="352">
        <f>SUM(D224:D232)</f>
        <v>240</v>
      </c>
      <c r="E233" s="352">
        <f>SUM(E224:E232)</f>
        <v>20</v>
      </c>
      <c r="F233" s="352">
        <f>SUM(F224:F232)</f>
        <v>10</v>
      </c>
      <c r="G233" s="303"/>
    </row>
    <row r="234" spans="1:7" ht="15">
      <c r="A234" s="346" t="s">
        <v>248</v>
      </c>
      <c r="B234" s="203"/>
      <c r="C234" s="239"/>
      <c r="D234" s="239"/>
      <c r="E234" s="239"/>
      <c r="F234" s="353">
        <f>SUM(B233:F233)</f>
        <v>300</v>
      </c>
      <c r="G234" s="354">
        <f>(F234*52)/C218</f>
        <v>0.125</v>
      </c>
    </row>
    <row r="235" spans="1:7" ht="15">
      <c r="A235" s="343" t="s">
        <v>242</v>
      </c>
      <c r="B235" s="329" t="s">
        <v>14</v>
      </c>
      <c r="C235" s="329"/>
      <c r="D235" s="329"/>
      <c r="E235" s="329"/>
      <c r="F235" s="329"/>
      <c r="G235" s="329"/>
    </row>
    <row r="236" spans="1:7" ht="15">
      <c r="A236" s="343" t="s">
        <v>23</v>
      </c>
      <c r="B236" s="350" t="s">
        <v>322</v>
      </c>
      <c r="C236" s="350" t="s">
        <v>323</v>
      </c>
      <c r="D236" s="350" t="s">
        <v>324</v>
      </c>
      <c r="E236" s="350"/>
      <c r="F236" s="350"/>
      <c r="G236" s="350"/>
    </row>
    <row r="237" spans="1:7" ht="15">
      <c r="A237" s="343" t="s">
        <v>31</v>
      </c>
      <c r="B237" s="346"/>
      <c r="C237" s="346"/>
      <c r="D237" s="346"/>
      <c r="E237" s="346"/>
      <c r="F237" s="346"/>
      <c r="G237" s="349"/>
    </row>
    <row r="238" spans="1:7" ht="15">
      <c r="A238" s="343" t="s">
        <v>32</v>
      </c>
      <c r="B238" s="346"/>
      <c r="C238" s="346">
        <v>10</v>
      </c>
      <c r="D238" s="346">
        <v>5</v>
      </c>
      <c r="E238" s="346"/>
      <c r="F238" s="346"/>
      <c r="G238" s="349"/>
    </row>
    <row r="239" spans="1:7" ht="15">
      <c r="A239" s="343" t="s">
        <v>33</v>
      </c>
      <c r="B239" s="346">
        <v>120</v>
      </c>
      <c r="C239" s="346"/>
      <c r="D239" s="346"/>
      <c r="E239" s="346"/>
      <c r="F239" s="346"/>
      <c r="G239" s="349"/>
    </row>
    <row r="240" spans="1:7" ht="15">
      <c r="A240" s="343" t="s">
        <v>34</v>
      </c>
      <c r="B240" s="346"/>
      <c r="C240" s="346"/>
      <c r="D240" s="346"/>
      <c r="E240" s="346"/>
      <c r="F240" s="346"/>
      <c r="G240" s="349"/>
    </row>
    <row r="241" spans="1:7" ht="15">
      <c r="A241" s="343" t="s">
        <v>35</v>
      </c>
      <c r="B241" s="346"/>
      <c r="C241" s="346"/>
      <c r="D241" s="346"/>
      <c r="E241" s="346"/>
      <c r="F241" s="346"/>
      <c r="G241" s="349"/>
    </row>
    <row r="242" spans="1:7" ht="15">
      <c r="A242" s="343" t="s">
        <v>36</v>
      </c>
      <c r="B242" s="346"/>
      <c r="C242" s="346"/>
      <c r="D242" s="346"/>
      <c r="E242" s="346"/>
      <c r="F242" s="346"/>
      <c r="G242" s="349"/>
    </row>
    <row r="243" spans="1:7" ht="15">
      <c r="A243" s="343" t="s">
        <v>37</v>
      </c>
      <c r="B243" s="346">
        <v>120</v>
      </c>
      <c r="C243" s="346">
        <v>10</v>
      </c>
      <c r="D243" s="346">
        <v>5</v>
      </c>
      <c r="E243" s="346"/>
      <c r="F243" s="346"/>
      <c r="G243" s="349"/>
    </row>
    <row r="244" spans="1:7" ht="15">
      <c r="A244" s="343" t="s">
        <v>38</v>
      </c>
      <c r="B244" s="346"/>
      <c r="C244" s="346"/>
      <c r="D244" s="346"/>
      <c r="E244" s="346"/>
      <c r="F244" s="346"/>
      <c r="G244" s="349"/>
    </row>
    <row r="245" spans="1:7" ht="15">
      <c r="A245" s="343" t="s">
        <v>39</v>
      </c>
      <c r="B245" s="346"/>
      <c r="C245" s="346"/>
      <c r="D245" s="346"/>
      <c r="E245" s="346"/>
      <c r="F245" s="346"/>
      <c r="G245" s="349"/>
    </row>
    <row r="246" spans="1:7" ht="15">
      <c r="A246" s="351" t="s">
        <v>247</v>
      </c>
      <c r="B246" s="352">
        <f>SUM(B237:B245)</f>
        <v>240</v>
      </c>
      <c r="C246" s="352">
        <f>SUM(C237:C245)</f>
        <v>20</v>
      </c>
      <c r="D246" s="352">
        <f>SUM(D237:D245)</f>
        <v>10</v>
      </c>
      <c r="E246" s="352"/>
      <c r="F246" s="352"/>
      <c r="G246" s="303"/>
    </row>
    <row r="247" spans="1:7" ht="15">
      <c r="A247" s="346" t="s">
        <v>248</v>
      </c>
      <c r="B247" s="203"/>
      <c r="C247" s="239"/>
      <c r="D247" s="239"/>
      <c r="E247" s="239"/>
      <c r="F247" s="353">
        <f>SUM(B246:F246)</f>
        <v>270</v>
      </c>
      <c r="G247" s="354">
        <f>(F247*52)/C218</f>
        <v>0.1125</v>
      </c>
    </row>
    <row r="248" spans="1:7" ht="15">
      <c r="A248" s="343" t="s">
        <v>242</v>
      </c>
      <c r="B248" s="329" t="s">
        <v>325</v>
      </c>
      <c r="C248" s="329"/>
      <c r="D248" s="329"/>
      <c r="E248" s="329"/>
      <c r="F248" s="329"/>
      <c r="G248" s="329"/>
    </row>
    <row r="249" spans="1:7" ht="15">
      <c r="A249" s="343" t="s">
        <v>23</v>
      </c>
      <c r="B249" s="350" t="s">
        <v>326</v>
      </c>
      <c r="C249" s="350" t="s">
        <v>327</v>
      </c>
      <c r="D249" s="350" t="s">
        <v>47</v>
      </c>
      <c r="E249" s="350"/>
      <c r="F249" s="350"/>
      <c r="G249" s="349"/>
    </row>
    <row r="250" spans="1:7" ht="15">
      <c r="A250" s="343" t="s">
        <v>31</v>
      </c>
      <c r="B250" s="346"/>
      <c r="C250" s="346"/>
      <c r="D250" s="346"/>
      <c r="E250" s="346"/>
      <c r="F250" s="346"/>
      <c r="G250" s="349"/>
    </row>
    <row r="251" spans="1:7" ht="15">
      <c r="A251" s="343" t="s">
        <v>32</v>
      </c>
      <c r="B251" s="346"/>
      <c r="C251" s="346"/>
      <c r="D251" s="346"/>
      <c r="E251" s="346"/>
      <c r="F251" s="346"/>
      <c r="G251" s="349"/>
    </row>
    <row r="252" spans="1:7" ht="15">
      <c r="A252" s="343" t="s">
        <v>33</v>
      </c>
      <c r="B252" s="346">
        <v>40</v>
      </c>
      <c r="C252" s="346">
        <v>30</v>
      </c>
      <c r="D252" s="346">
        <v>120</v>
      </c>
      <c r="E252" s="346"/>
      <c r="F252" s="346"/>
      <c r="G252" s="349"/>
    </row>
    <row r="253" spans="1:7" ht="15">
      <c r="A253" s="343" t="s">
        <v>34</v>
      </c>
      <c r="B253" s="346"/>
      <c r="C253" s="346"/>
      <c r="D253" s="346"/>
      <c r="E253" s="346"/>
      <c r="F253" s="346"/>
      <c r="G253" s="349"/>
    </row>
    <row r="254" spans="1:7" ht="15">
      <c r="A254" s="343" t="s">
        <v>35</v>
      </c>
      <c r="B254" s="346"/>
      <c r="C254" s="346"/>
      <c r="D254" s="346"/>
      <c r="E254" s="346"/>
      <c r="F254" s="346"/>
      <c r="G254" s="349"/>
    </row>
    <row r="255" spans="1:7" ht="15">
      <c r="A255" s="343" t="s">
        <v>36</v>
      </c>
      <c r="B255" s="346"/>
      <c r="C255" s="346"/>
      <c r="D255" s="346"/>
      <c r="E255" s="346"/>
      <c r="F255" s="346"/>
      <c r="G255" s="349"/>
    </row>
    <row r="256" spans="1:7" ht="15">
      <c r="A256" s="343" t="s">
        <v>37</v>
      </c>
      <c r="B256" s="346">
        <v>40</v>
      </c>
      <c r="C256" s="346">
        <v>30</v>
      </c>
      <c r="D256" s="346">
        <v>120</v>
      </c>
      <c r="E256" s="346"/>
      <c r="F256" s="346"/>
      <c r="G256" s="349"/>
    </row>
    <row r="257" spans="1:7" ht="15">
      <c r="A257" s="343" t="s">
        <v>38</v>
      </c>
      <c r="B257" s="346"/>
      <c r="C257" s="346"/>
      <c r="D257" s="346"/>
      <c r="E257" s="346"/>
      <c r="F257" s="346"/>
      <c r="G257" s="349"/>
    </row>
    <row r="258" spans="1:7" ht="15">
      <c r="A258" s="343" t="s">
        <v>39</v>
      </c>
      <c r="B258" s="163"/>
      <c r="C258" s="163"/>
      <c r="D258" s="163"/>
      <c r="E258" s="346"/>
      <c r="F258" s="346"/>
      <c r="G258" s="349"/>
    </row>
    <row r="259" spans="1:7" ht="15">
      <c r="A259" s="343" t="s">
        <v>44</v>
      </c>
      <c r="B259" s="345"/>
      <c r="C259" s="345"/>
      <c r="D259" s="345"/>
      <c r="E259" s="345"/>
      <c r="F259" s="345"/>
      <c r="G259" s="349"/>
    </row>
    <row r="260" spans="1:7" ht="15">
      <c r="A260" s="351" t="s">
        <v>247</v>
      </c>
      <c r="B260" s="352">
        <f>SUM(B250:B259)</f>
        <v>80</v>
      </c>
      <c r="C260" s="352">
        <f>SUM(C250:C259)</f>
        <v>60</v>
      </c>
      <c r="D260" s="352">
        <f>SUM(D250:D259)</f>
        <v>240</v>
      </c>
      <c r="E260" s="352"/>
      <c r="F260" s="352"/>
      <c r="G260" s="303"/>
    </row>
    <row r="261" spans="1:7" ht="15">
      <c r="A261" s="346" t="s">
        <v>248</v>
      </c>
      <c r="B261" s="203"/>
      <c r="C261" s="239"/>
      <c r="D261" s="239"/>
      <c r="E261" s="239"/>
      <c r="F261" s="353">
        <f>SUM(B260:F260)</f>
        <v>380</v>
      </c>
      <c r="G261" s="354">
        <f>(F261*52)/C218</f>
        <v>0.15833333333333333</v>
      </c>
    </row>
    <row r="262" spans="1:7" ht="15">
      <c r="A262" s="343" t="s">
        <v>242</v>
      </c>
      <c r="B262" s="329" t="s">
        <v>238</v>
      </c>
      <c r="C262" s="329"/>
      <c r="D262" s="329"/>
      <c r="E262" s="329"/>
      <c r="F262" s="329"/>
      <c r="G262" s="329"/>
    </row>
    <row r="263" spans="1:7" ht="15">
      <c r="A263" s="343" t="s">
        <v>23</v>
      </c>
      <c r="B263" s="350" t="s">
        <v>322</v>
      </c>
      <c r="C263" s="350" t="s">
        <v>323</v>
      </c>
      <c r="D263" s="350" t="s">
        <v>324</v>
      </c>
      <c r="E263" s="350"/>
      <c r="F263" s="350"/>
      <c r="G263" s="350"/>
    </row>
    <row r="264" spans="1:7" ht="15">
      <c r="A264" s="343" t="s">
        <v>31</v>
      </c>
      <c r="B264" s="346"/>
      <c r="C264" s="346"/>
      <c r="D264" s="346"/>
      <c r="E264" s="346"/>
      <c r="F264" s="346"/>
      <c r="G264" s="349"/>
    </row>
    <row r="265" spans="1:7" ht="15">
      <c r="A265" s="343" t="s">
        <v>32</v>
      </c>
      <c r="B265" s="346"/>
      <c r="C265" s="163"/>
      <c r="D265" s="163"/>
      <c r="E265" s="346"/>
      <c r="F265" s="346"/>
      <c r="G265" s="349"/>
    </row>
    <row r="266" spans="1:7" ht="15">
      <c r="A266" s="343" t="s">
        <v>33</v>
      </c>
      <c r="B266" s="346">
        <v>120</v>
      </c>
      <c r="C266" s="346">
        <v>5</v>
      </c>
      <c r="D266" s="346">
        <v>10</v>
      </c>
      <c r="E266" s="346"/>
      <c r="F266" s="346"/>
      <c r="G266" s="349"/>
    </row>
    <row r="267" spans="1:7" ht="15">
      <c r="A267" s="343" t="s">
        <v>34</v>
      </c>
      <c r="B267" s="346"/>
      <c r="C267" s="346"/>
      <c r="D267" s="346"/>
      <c r="E267" s="346"/>
      <c r="F267" s="346"/>
      <c r="G267" s="349"/>
    </row>
    <row r="268" spans="1:7" ht="15">
      <c r="A268" s="343" t="s">
        <v>35</v>
      </c>
      <c r="B268" s="346"/>
      <c r="C268" s="346"/>
      <c r="D268" s="346"/>
      <c r="E268" s="346"/>
      <c r="F268" s="346"/>
      <c r="G268" s="349"/>
    </row>
    <row r="269" spans="1:7" ht="15">
      <c r="A269" s="343" t="s">
        <v>36</v>
      </c>
      <c r="B269" s="346"/>
      <c r="C269" s="346"/>
      <c r="D269" s="346"/>
      <c r="E269" s="346"/>
      <c r="F269" s="346"/>
      <c r="G269" s="349"/>
    </row>
    <row r="270" spans="1:7" ht="15">
      <c r="A270" s="343" t="s">
        <v>37</v>
      </c>
      <c r="B270" s="346">
        <v>120</v>
      </c>
      <c r="C270" s="346">
        <v>5</v>
      </c>
      <c r="D270" s="346">
        <v>10</v>
      </c>
      <c r="E270" s="346"/>
      <c r="F270" s="346"/>
      <c r="G270" s="349"/>
    </row>
    <row r="271" spans="1:7" ht="15">
      <c r="A271" s="343" t="s">
        <v>38</v>
      </c>
      <c r="B271" s="346"/>
      <c r="C271" s="346"/>
      <c r="D271" s="346"/>
      <c r="E271" s="346"/>
      <c r="F271" s="346"/>
      <c r="G271" s="349"/>
    </row>
    <row r="272" spans="1:7" ht="15">
      <c r="A272" s="343" t="s">
        <v>39</v>
      </c>
      <c r="B272" s="346"/>
      <c r="C272" s="346"/>
      <c r="D272" s="346"/>
      <c r="E272" s="346"/>
      <c r="F272" s="346"/>
      <c r="G272" s="349"/>
    </row>
    <row r="273" spans="1:7" ht="15">
      <c r="A273" s="351" t="s">
        <v>247</v>
      </c>
      <c r="B273" s="352">
        <f>SUM(B264:B272)</f>
        <v>240</v>
      </c>
      <c r="C273" s="352">
        <f>SUM(C264:C272)</f>
        <v>10</v>
      </c>
      <c r="D273" s="352">
        <f>SUM(D264:D272)</f>
        <v>20</v>
      </c>
      <c r="E273" s="352"/>
      <c r="F273" s="352"/>
      <c r="G273" s="303"/>
    </row>
    <row r="274" spans="1:7" ht="15">
      <c r="A274" s="346" t="s">
        <v>248</v>
      </c>
      <c r="B274" s="203"/>
      <c r="C274" s="239"/>
      <c r="D274" s="239"/>
      <c r="E274" s="239"/>
      <c r="F274" s="353">
        <f>SUM(B273:F273)</f>
        <v>270</v>
      </c>
      <c r="G274" s="354">
        <f>(F274*52)/C218</f>
        <v>0.1125</v>
      </c>
    </row>
    <row r="275" spans="1:7">
      <c r="A275" s="304" t="s">
        <v>242</v>
      </c>
      <c r="B275" s="329" t="s">
        <v>309</v>
      </c>
      <c r="C275" s="329"/>
      <c r="D275" s="329"/>
      <c r="E275" s="329"/>
      <c r="F275" s="329"/>
      <c r="G275" s="329"/>
    </row>
    <row r="276" spans="1:7" ht="30">
      <c r="A276" s="304" t="s">
        <v>23</v>
      </c>
      <c r="B276" s="350" t="s">
        <v>322</v>
      </c>
      <c r="C276" s="350" t="s">
        <v>328</v>
      </c>
      <c r="D276" s="350" t="s">
        <v>329</v>
      </c>
      <c r="E276" s="350" t="s">
        <v>330</v>
      </c>
      <c r="F276" s="350" t="s">
        <v>47</v>
      </c>
      <c r="G276" s="350"/>
    </row>
    <row r="277" spans="1:7">
      <c r="A277" s="304" t="s">
        <v>31</v>
      </c>
      <c r="B277" s="346"/>
      <c r="C277" s="346"/>
      <c r="D277" s="346"/>
      <c r="E277" s="346"/>
      <c r="F277" s="346"/>
      <c r="G277" s="349"/>
    </row>
    <row r="278" spans="1:7">
      <c r="A278" s="304" t="s">
        <v>32</v>
      </c>
      <c r="B278" s="346"/>
      <c r="C278" s="346"/>
      <c r="D278" s="346"/>
      <c r="E278" s="346"/>
      <c r="F278" s="346"/>
      <c r="G278" s="349"/>
    </row>
    <row r="279" spans="1:7">
      <c r="A279" s="304" t="s">
        <v>33</v>
      </c>
      <c r="B279" s="163"/>
      <c r="C279" s="346"/>
      <c r="D279" s="346"/>
      <c r="E279" s="346">
        <v>15</v>
      </c>
      <c r="F279" s="346">
        <v>30</v>
      </c>
      <c r="G279" s="349"/>
    </row>
    <row r="280" spans="1:7">
      <c r="A280" s="304" t="s">
        <v>34</v>
      </c>
      <c r="B280" s="346">
        <v>120</v>
      </c>
      <c r="C280" s="346">
        <v>60</v>
      </c>
      <c r="D280" s="346"/>
      <c r="E280" s="346"/>
      <c r="F280" s="346"/>
      <c r="G280" s="349"/>
    </row>
    <row r="281" spans="1:7">
      <c r="A281" s="304" t="s">
        <v>35</v>
      </c>
      <c r="B281" s="346"/>
      <c r="C281" s="346"/>
      <c r="D281" s="346">
        <v>10</v>
      </c>
      <c r="E281" s="346"/>
      <c r="F281" s="346"/>
      <c r="G281" s="349"/>
    </row>
    <row r="282" spans="1:7">
      <c r="A282" s="304" t="s">
        <v>36</v>
      </c>
      <c r="B282" s="346"/>
      <c r="C282" s="346"/>
      <c r="D282" s="346"/>
      <c r="E282" s="346"/>
      <c r="F282" s="346"/>
      <c r="G282" s="349"/>
    </row>
    <row r="283" spans="1:7">
      <c r="A283" s="304" t="s">
        <v>37</v>
      </c>
      <c r="B283" s="346">
        <v>120</v>
      </c>
      <c r="C283" s="346">
        <v>60</v>
      </c>
      <c r="D283" s="346">
        <v>10</v>
      </c>
      <c r="E283" s="346">
        <v>15</v>
      </c>
      <c r="F283" s="346"/>
      <c r="G283" s="349"/>
    </row>
    <row r="284" spans="1:7">
      <c r="A284" s="304" t="s">
        <v>38</v>
      </c>
      <c r="B284" s="346"/>
      <c r="C284" s="346"/>
      <c r="D284" s="346"/>
      <c r="E284" s="346"/>
      <c r="F284" s="346">
        <v>30</v>
      </c>
      <c r="G284" s="349"/>
    </row>
    <row r="285" spans="1:7">
      <c r="A285" s="304" t="s">
        <v>39</v>
      </c>
      <c r="B285" s="346"/>
      <c r="C285" s="346"/>
      <c r="D285" s="346"/>
      <c r="E285" s="346"/>
      <c r="F285" s="346"/>
      <c r="G285" s="349"/>
    </row>
    <row r="286" spans="1:7" ht="15">
      <c r="A286" s="351" t="s">
        <v>247</v>
      </c>
      <c r="B286" s="352">
        <f>SUM(B277:B285)</f>
        <v>240</v>
      </c>
      <c r="C286" s="352">
        <f>SUM(C277:C285)</f>
        <v>120</v>
      </c>
      <c r="D286" s="352">
        <f>SUM(D277:D285)</f>
        <v>20</v>
      </c>
      <c r="E286" s="352">
        <f>SUM(E277:E285)</f>
        <v>30</v>
      </c>
      <c r="F286" s="352"/>
      <c r="G286" s="303"/>
    </row>
    <row r="287" spans="1:7" ht="15">
      <c r="A287" s="346" t="s">
        <v>248</v>
      </c>
      <c r="B287" s="203"/>
      <c r="C287" s="239"/>
      <c r="D287" s="239"/>
      <c r="E287" s="239"/>
      <c r="F287" s="353">
        <f>SUM(B286:F286)</f>
        <v>410</v>
      </c>
      <c r="G287" s="354">
        <f>(F287*52)/C218</f>
        <v>0.17083333333333334</v>
      </c>
    </row>
    <row r="288" spans="1:7">
      <c r="A288" s="304" t="s">
        <v>242</v>
      </c>
      <c r="B288" s="329" t="s">
        <v>310</v>
      </c>
      <c r="C288" s="329"/>
      <c r="D288" s="329"/>
      <c r="E288" s="329"/>
      <c r="F288" s="329"/>
      <c r="G288" s="329"/>
    </row>
    <row r="289" spans="1:7" ht="30">
      <c r="A289" s="304" t="s">
        <v>23</v>
      </c>
      <c r="B289" s="350" t="s">
        <v>331</v>
      </c>
      <c r="C289" s="350" t="s">
        <v>332</v>
      </c>
      <c r="D289" s="350" t="s">
        <v>333</v>
      </c>
      <c r="E289" s="350"/>
      <c r="F289" s="350"/>
      <c r="G289" s="356"/>
    </row>
    <row r="290" spans="1:7">
      <c r="A290" s="304" t="s">
        <v>31</v>
      </c>
      <c r="B290" s="346"/>
      <c r="C290" s="357"/>
      <c r="D290" s="357"/>
      <c r="E290" s="357"/>
      <c r="F290" s="357"/>
      <c r="G290" s="349"/>
    </row>
    <row r="291" spans="1:7">
      <c r="A291" s="304" t="s">
        <v>32</v>
      </c>
      <c r="B291" s="346"/>
      <c r="C291" s="346"/>
      <c r="D291" s="357"/>
      <c r="E291" s="357"/>
      <c r="F291" s="357"/>
      <c r="G291" s="349"/>
    </row>
    <row r="292" spans="1:7">
      <c r="A292" s="304" t="s">
        <v>33</v>
      </c>
      <c r="B292" s="346"/>
      <c r="C292" s="346">
        <v>60</v>
      </c>
      <c r="D292" s="357">
        <v>10</v>
      </c>
      <c r="E292" s="357"/>
      <c r="F292" s="357"/>
      <c r="G292" s="349"/>
    </row>
    <row r="293" spans="1:7">
      <c r="A293" s="304" t="s">
        <v>34</v>
      </c>
      <c r="B293" s="346">
        <v>120</v>
      </c>
      <c r="C293" s="346"/>
      <c r="D293" s="357"/>
      <c r="E293" s="357"/>
      <c r="F293" s="357"/>
      <c r="G293" s="349"/>
    </row>
    <row r="294" spans="1:7">
      <c r="A294" s="304" t="s">
        <v>35</v>
      </c>
      <c r="B294" s="346"/>
      <c r="C294" s="346"/>
      <c r="D294" s="357">
        <v>10</v>
      </c>
      <c r="E294" s="357"/>
      <c r="F294" s="357"/>
      <c r="G294" s="349"/>
    </row>
    <row r="295" spans="1:7">
      <c r="A295" s="304" t="s">
        <v>36</v>
      </c>
      <c r="B295" s="346"/>
      <c r="C295" s="346"/>
      <c r="D295" s="357"/>
      <c r="E295" s="357"/>
      <c r="F295" s="357"/>
      <c r="G295" s="349"/>
    </row>
    <row r="296" spans="1:7">
      <c r="A296" s="304" t="s">
        <v>37</v>
      </c>
      <c r="B296" s="346"/>
      <c r="C296" s="346">
        <v>60</v>
      </c>
      <c r="D296" s="357">
        <v>10</v>
      </c>
      <c r="E296" s="357"/>
      <c r="F296" s="357"/>
      <c r="G296" s="349"/>
    </row>
    <row r="297" spans="1:7">
      <c r="A297" s="304" t="s">
        <v>38</v>
      </c>
      <c r="B297" s="346">
        <v>120</v>
      </c>
      <c r="C297" s="346"/>
      <c r="D297" s="357"/>
      <c r="E297" s="357"/>
      <c r="F297" s="357"/>
      <c r="G297" s="349"/>
    </row>
    <row r="298" spans="1:7">
      <c r="A298" s="304" t="s">
        <v>39</v>
      </c>
      <c r="B298" s="346"/>
      <c r="C298" s="346"/>
      <c r="D298" s="357"/>
      <c r="E298" s="357"/>
      <c r="F298" s="357"/>
      <c r="G298" s="349"/>
    </row>
    <row r="299" spans="1:7" ht="15">
      <c r="A299" s="351" t="s">
        <v>247</v>
      </c>
      <c r="B299" s="352">
        <f>SUM(B290:B298)</f>
        <v>240</v>
      </c>
      <c r="C299" s="352">
        <f>SUM(C290:C298)</f>
        <v>120</v>
      </c>
      <c r="D299" s="352">
        <f>SUM(D290:D298)</f>
        <v>30</v>
      </c>
      <c r="E299" s="352"/>
      <c r="F299" s="352"/>
      <c r="G299" s="303"/>
    </row>
    <row r="300" spans="1:7" ht="15">
      <c r="A300" s="346" t="s">
        <v>248</v>
      </c>
      <c r="B300" s="203"/>
      <c r="C300" s="239"/>
      <c r="D300" s="239"/>
      <c r="E300" s="239"/>
      <c r="F300" s="353">
        <f>SUM(B299:F299)</f>
        <v>390</v>
      </c>
      <c r="G300" s="354">
        <f>(F300*52)/C218</f>
        <v>0.16250000000000001</v>
      </c>
    </row>
    <row r="301" spans="1:7" ht="25.5" customHeight="1">
      <c r="A301" s="522" t="s">
        <v>473</v>
      </c>
      <c r="B301" s="522"/>
      <c r="C301" s="522"/>
      <c r="D301" s="522"/>
      <c r="E301" s="522"/>
      <c r="F301" s="522"/>
      <c r="G301" s="522"/>
    </row>
    <row r="302" spans="1:7" ht="15">
      <c r="A302" s="343" t="s">
        <v>20</v>
      </c>
      <c r="B302" s="346" t="s">
        <v>506</v>
      </c>
      <c r="C302" s="359">
        <f>5*8*52*60</f>
        <v>124800</v>
      </c>
      <c r="D302" s="345"/>
      <c r="E302" s="345"/>
      <c r="F302" s="345"/>
      <c r="G302" s="345"/>
    </row>
    <row r="303" spans="1:7" ht="15">
      <c r="A303" s="343" t="s">
        <v>242</v>
      </c>
      <c r="B303" s="329" t="s">
        <v>376</v>
      </c>
      <c r="C303" s="329"/>
      <c r="D303" s="329"/>
      <c r="E303" s="329"/>
      <c r="F303" s="329"/>
      <c r="G303" s="325" t="s">
        <v>25</v>
      </c>
    </row>
    <row r="304" spans="1:7" ht="15">
      <c r="A304" s="343" t="s">
        <v>23</v>
      </c>
      <c r="B304" s="350" t="s">
        <v>85</v>
      </c>
      <c r="C304" s="350" t="s">
        <v>391</v>
      </c>
      <c r="D304" s="350"/>
      <c r="E304" s="350"/>
      <c r="F304" s="350"/>
      <c r="G304" s="350"/>
    </row>
    <row r="305" spans="1:7" ht="15">
      <c r="A305" s="343" t="s">
        <v>31</v>
      </c>
      <c r="B305" s="345"/>
      <c r="C305" s="345"/>
      <c r="D305" s="345"/>
      <c r="E305" s="345"/>
      <c r="F305" s="345"/>
      <c r="G305" s="345"/>
    </row>
    <row r="306" spans="1:7" ht="15">
      <c r="A306" s="343" t="s">
        <v>32</v>
      </c>
      <c r="B306" s="345"/>
      <c r="C306" s="345"/>
      <c r="D306" s="345"/>
      <c r="E306" s="345"/>
      <c r="F306" s="345"/>
      <c r="G306" s="345"/>
    </row>
    <row r="307" spans="1:7" ht="15">
      <c r="A307" s="343" t="s">
        <v>33</v>
      </c>
      <c r="B307" s="346">
        <v>255</v>
      </c>
      <c r="C307" s="345"/>
      <c r="D307" s="345"/>
      <c r="E307" s="345"/>
      <c r="F307" s="345"/>
      <c r="G307" s="345"/>
    </row>
    <row r="308" spans="1:7" ht="15">
      <c r="A308" s="343" t="s">
        <v>34</v>
      </c>
      <c r="B308" s="345"/>
      <c r="C308" s="345">
        <v>10</v>
      </c>
      <c r="D308" s="345"/>
      <c r="E308" s="345"/>
      <c r="F308" s="345"/>
      <c r="G308" s="345"/>
    </row>
    <row r="309" spans="1:7" ht="15">
      <c r="A309" s="343" t="s">
        <v>35</v>
      </c>
      <c r="B309" s="346"/>
      <c r="C309" s="345"/>
      <c r="D309" s="345"/>
      <c r="E309" s="345"/>
      <c r="F309" s="345"/>
      <c r="G309" s="345"/>
    </row>
    <row r="310" spans="1:7" ht="15">
      <c r="A310" s="343" t="s">
        <v>36</v>
      </c>
      <c r="B310" s="345"/>
      <c r="C310" s="345"/>
      <c r="D310" s="345"/>
      <c r="E310" s="345"/>
      <c r="F310" s="345"/>
      <c r="G310" s="345"/>
    </row>
    <row r="311" spans="1:7" ht="15">
      <c r="A311" s="343" t="s">
        <v>37</v>
      </c>
      <c r="B311" s="346">
        <v>255</v>
      </c>
      <c r="C311" s="345"/>
      <c r="D311" s="345"/>
      <c r="E311" s="345"/>
      <c r="F311" s="345"/>
      <c r="G311" s="345"/>
    </row>
    <row r="312" spans="1:7" ht="15">
      <c r="A312" s="343" t="s">
        <v>38</v>
      </c>
      <c r="B312" s="345"/>
      <c r="C312" s="345"/>
      <c r="D312" s="345"/>
      <c r="E312" s="345"/>
      <c r="F312" s="345"/>
      <c r="G312" s="345"/>
    </row>
    <row r="313" spans="1:7" ht="15">
      <c r="A313" s="343" t="s">
        <v>39</v>
      </c>
      <c r="B313" s="345"/>
      <c r="C313" s="345">
        <v>30</v>
      </c>
      <c r="D313" s="345"/>
      <c r="E313" s="345"/>
      <c r="F313" s="345"/>
      <c r="G313" s="345"/>
    </row>
    <row r="314" spans="1:7" ht="15">
      <c r="A314" s="351" t="s">
        <v>247</v>
      </c>
      <c r="B314" s="346">
        <f>SUM(B305:B313)</f>
        <v>510</v>
      </c>
      <c r="C314" s="346">
        <f>SUM(C305:C313)</f>
        <v>40</v>
      </c>
      <c r="D314" s="346"/>
      <c r="E314" s="346"/>
      <c r="F314" s="346"/>
      <c r="G314" s="347"/>
    </row>
    <row r="315" spans="1:7" ht="15">
      <c r="A315" s="346" t="s">
        <v>248</v>
      </c>
      <c r="B315" s="347"/>
      <c r="C315" s="239"/>
      <c r="D315" s="239"/>
      <c r="E315" s="239"/>
      <c r="F315" s="346">
        <f>SUM(B314:F314)</f>
        <v>550</v>
      </c>
      <c r="G315" s="325">
        <f>(F315*52)/C302</f>
        <v>0.22916666666666666</v>
      </c>
    </row>
    <row r="316" spans="1:7" ht="15">
      <c r="A316" s="343" t="s">
        <v>242</v>
      </c>
      <c r="B316" s="329" t="s">
        <v>377</v>
      </c>
      <c r="C316" s="329"/>
      <c r="D316" s="329"/>
      <c r="E316" s="329"/>
      <c r="F316" s="329"/>
      <c r="G316" s="329"/>
    </row>
    <row r="317" spans="1:7" ht="15">
      <c r="A317" s="343" t="s">
        <v>23</v>
      </c>
      <c r="B317" s="350" t="s">
        <v>85</v>
      </c>
      <c r="C317" s="350" t="s">
        <v>392</v>
      </c>
      <c r="D317" s="350"/>
      <c r="E317" s="350"/>
      <c r="F317" s="350"/>
      <c r="G317" s="350"/>
    </row>
    <row r="318" spans="1:7" ht="15">
      <c r="A318" s="343" t="s">
        <v>31</v>
      </c>
      <c r="B318" s="346"/>
      <c r="C318" s="346"/>
      <c r="D318" s="346"/>
      <c r="E318" s="346"/>
      <c r="F318" s="346"/>
      <c r="G318" s="347"/>
    </row>
    <row r="319" spans="1:7" ht="15">
      <c r="A319" s="343" t="s">
        <v>32</v>
      </c>
      <c r="B319" s="346">
        <v>285</v>
      </c>
      <c r="C319" s="346"/>
      <c r="D319" s="346"/>
      <c r="E319" s="346"/>
      <c r="F319" s="346"/>
      <c r="G319" s="347"/>
    </row>
    <row r="320" spans="1:7" ht="15">
      <c r="A320" s="343" t="s">
        <v>33</v>
      </c>
      <c r="B320" s="346"/>
      <c r="C320" s="346">
        <v>15</v>
      </c>
      <c r="D320" s="346"/>
      <c r="E320" s="346"/>
      <c r="F320" s="346"/>
      <c r="G320" s="347"/>
    </row>
    <row r="321" spans="1:7" ht="15">
      <c r="A321" s="343" t="s">
        <v>34</v>
      </c>
      <c r="B321" s="346"/>
      <c r="C321" s="346"/>
      <c r="D321" s="346"/>
      <c r="E321" s="346"/>
      <c r="F321" s="346"/>
      <c r="G321" s="347"/>
    </row>
    <row r="322" spans="1:7" ht="15">
      <c r="A322" s="343" t="s">
        <v>35</v>
      </c>
      <c r="B322" s="346"/>
      <c r="C322" s="346"/>
      <c r="D322" s="346"/>
      <c r="E322" s="346"/>
      <c r="F322" s="346"/>
      <c r="G322" s="347"/>
    </row>
    <row r="323" spans="1:7" ht="15">
      <c r="A323" s="343" t="s">
        <v>36</v>
      </c>
      <c r="B323" s="346"/>
      <c r="C323" s="346"/>
      <c r="D323" s="346"/>
      <c r="E323" s="346"/>
      <c r="F323" s="346"/>
      <c r="G323" s="347"/>
    </row>
    <row r="324" spans="1:7" ht="15">
      <c r="A324" s="343" t="s">
        <v>37</v>
      </c>
      <c r="B324" s="346">
        <v>285</v>
      </c>
      <c r="C324" s="346"/>
      <c r="D324" s="346"/>
      <c r="E324" s="346"/>
      <c r="F324" s="346"/>
      <c r="G324" s="347"/>
    </row>
    <row r="325" spans="1:7" ht="15">
      <c r="A325" s="343" t="s">
        <v>38</v>
      </c>
      <c r="B325" s="346"/>
      <c r="C325" s="346">
        <v>15</v>
      </c>
      <c r="D325" s="346"/>
      <c r="E325" s="346"/>
      <c r="F325" s="346"/>
      <c r="G325" s="347"/>
    </row>
    <row r="326" spans="1:7" ht="15">
      <c r="A326" s="343" t="s">
        <v>39</v>
      </c>
      <c r="B326" s="346"/>
      <c r="C326" s="346"/>
      <c r="D326" s="346"/>
      <c r="E326" s="346"/>
      <c r="F326" s="346"/>
      <c r="G326" s="347"/>
    </row>
    <row r="327" spans="1:7" ht="15">
      <c r="A327" s="351" t="s">
        <v>247</v>
      </c>
      <c r="B327" s="346">
        <f>SUM(B318:B326)</f>
        <v>570</v>
      </c>
      <c r="C327" s="346">
        <f>SUM(C318:C326)</f>
        <v>30</v>
      </c>
      <c r="D327" s="346"/>
      <c r="E327" s="346"/>
      <c r="F327" s="346"/>
      <c r="G327" s="347"/>
    </row>
    <row r="328" spans="1:7" ht="15">
      <c r="A328" s="346" t="s">
        <v>248</v>
      </c>
      <c r="B328" s="347"/>
      <c r="C328" s="239"/>
      <c r="D328" s="239"/>
      <c r="E328" s="239"/>
      <c r="F328" s="360">
        <f>SUM(B327:F327)</f>
        <v>600</v>
      </c>
      <c r="G328" s="325">
        <f>(F328*52)/C302</f>
        <v>0.25</v>
      </c>
    </row>
    <row r="329" spans="1:7" ht="15">
      <c r="A329" s="343" t="s">
        <v>242</v>
      </c>
      <c r="B329" s="329" t="s">
        <v>378</v>
      </c>
      <c r="C329" s="329"/>
      <c r="D329" s="329"/>
      <c r="E329" s="329"/>
      <c r="F329" s="329"/>
      <c r="G329" s="329"/>
    </row>
    <row r="330" spans="1:7" ht="15">
      <c r="A330" s="343" t="s">
        <v>23</v>
      </c>
      <c r="B330" s="350" t="s">
        <v>85</v>
      </c>
      <c r="C330" s="350" t="s">
        <v>392</v>
      </c>
      <c r="D330" s="350"/>
      <c r="E330" s="350"/>
      <c r="F330" s="350"/>
      <c r="G330" s="350"/>
    </row>
    <row r="331" spans="1:7" ht="15">
      <c r="A331" s="343" t="s">
        <v>31</v>
      </c>
      <c r="B331" s="346"/>
      <c r="C331" s="346"/>
      <c r="D331" s="346"/>
      <c r="E331" s="346"/>
      <c r="F331" s="346"/>
      <c r="G331" s="347"/>
    </row>
    <row r="332" spans="1:7" ht="15">
      <c r="A332" s="343" t="s">
        <v>32</v>
      </c>
      <c r="B332" s="346"/>
      <c r="C332" s="346">
        <v>45</v>
      </c>
      <c r="D332" s="346"/>
      <c r="E332" s="346"/>
      <c r="F332" s="346"/>
      <c r="G332" s="347"/>
    </row>
    <row r="333" spans="1:7" ht="15">
      <c r="A333" s="343" t="s">
        <v>33</v>
      </c>
      <c r="B333" s="346">
        <v>300</v>
      </c>
      <c r="C333" s="346"/>
      <c r="D333" s="346"/>
      <c r="E333" s="346"/>
      <c r="F333" s="346"/>
      <c r="G333" s="347"/>
    </row>
    <row r="334" spans="1:7" ht="15">
      <c r="A334" s="343" t="s">
        <v>34</v>
      </c>
      <c r="B334" s="346"/>
      <c r="C334" s="346"/>
      <c r="D334" s="346"/>
      <c r="E334" s="346"/>
      <c r="F334" s="346"/>
      <c r="G334" s="347"/>
    </row>
    <row r="335" spans="1:7" ht="15">
      <c r="A335" s="343" t="s">
        <v>35</v>
      </c>
      <c r="B335" s="346"/>
      <c r="C335" s="346"/>
      <c r="D335" s="346"/>
      <c r="E335" s="346"/>
      <c r="F335" s="346"/>
      <c r="G335" s="347"/>
    </row>
    <row r="336" spans="1:7" ht="15">
      <c r="A336" s="343" t="s">
        <v>36</v>
      </c>
      <c r="B336" s="346"/>
      <c r="C336" s="346">
        <v>45</v>
      </c>
      <c r="D336" s="346"/>
      <c r="E336" s="346"/>
      <c r="F336" s="346"/>
      <c r="G336" s="347"/>
    </row>
    <row r="337" spans="1:7" ht="15">
      <c r="A337" s="343" t="s">
        <v>37</v>
      </c>
      <c r="B337" s="346"/>
      <c r="C337" s="346"/>
      <c r="D337" s="346"/>
      <c r="E337" s="346"/>
      <c r="F337" s="346"/>
      <c r="G337" s="347"/>
    </row>
    <row r="338" spans="1:7" ht="15">
      <c r="A338" s="343" t="s">
        <v>38</v>
      </c>
      <c r="B338" s="346">
        <v>300</v>
      </c>
      <c r="C338" s="346"/>
      <c r="D338" s="346"/>
      <c r="E338" s="346"/>
      <c r="F338" s="346"/>
      <c r="G338" s="347"/>
    </row>
    <row r="339" spans="1:7" ht="15">
      <c r="A339" s="343" t="s">
        <v>39</v>
      </c>
      <c r="B339" s="346"/>
      <c r="C339" s="346"/>
      <c r="D339" s="346"/>
      <c r="E339" s="346"/>
      <c r="F339" s="346"/>
      <c r="G339" s="347"/>
    </row>
    <row r="340" spans="1:7" ht="15">
      <c r="A340" s="343" t="s">
        <v>44</v>
      </c>
      <c r="B340" s="345"/>
      <c r="C340" s="345"/>
      <c r="D340" s="345"/>
      <c r="E340" s="345"/>
      <c r="F340" s="345"/>
      <c r="G340" s="347"/>
    </row>
    <row r="341" spans="1:7" ht="15">
      <c r="A341" s="351" t="s">
        <v>247</v>
      </c>
      <c r="B341" s="346">
        <f>SUM(B331:B340)</f>
        <v>600</v>
      </c>
      <c r="C341" s="346">
        <f>SUM(C331:C340)</f>
        <v>90</v>
      </c>
      <c r="D341" s="346"/>
      <c r="E341" s="346"/>
      <c r="F341" s="346"/>
      <c r="G341" s="347"/>
    </row>
    <row r="342" spans="1:7" ht="15">
      <c r="A342" s="346" t="s">
        <v>248</v>
      </c>
      <c r="B342" s="347"/>
      <c r="C342" s="239"/>
      <c r="D342" s="239"/>
      <c r="E342" s="239"/>
      <c r="F342" s="360">
        <f>SUM(B341:F341)</f>
        <v>690</v>
      </c>
      <c r="G342" s="325">
        <f>(F342*52)/C302</f>
        <v>0.28749999999999998</v>
      </c>
    </row>
    <row r="343" spans="1:7" ht="15">
      <c r="A343" s="343" t="s">
        <v>242</v>
      </c>
      <c r="B343" s="329" t="s">
        <v>379</v>
      </c>
      <c r="C343" s="329"/>
      <c r="D343" s="329"/>
      <c r="E343" s="329"/>
      <c r="F343" s="329"/>
      <c r="G343" s="329"/>
    </row>
    <row r="344" spans="1:7" ht="15">
      <c r="A344" s="343" t="s">
        <v>23</v>
      </c>
      <c r="B344" s="350" t="s">
        <v>85</v>
      </c>
      <c r="C344" s="350" t="s">
        <v>393</v>
      </c>
      <c r="D344" s="350"/>
      <c r="E344" s="350"/>
      <c r="F344" s="350"/>
      <c r="G344" s="350"/>
    </row>
    <row r="345" spans="1:7" ht="15">
      <c r="A345" s="343" t="s">
        <v>31</v>
      </c>
      <c r="B345" s="346"/>
      <c r="C345" s="346"/>
      <c r="D345" s="346"/>
      <c r="E345" s="346"/>
      <c r="F345" s="346"/>
      <c r="G345" s="347"/>
    </row>
    <row r="346" spans="1:7" ht="15">
      <c r="A346" s="343" t="s">
        <v>32</v>
      </c>
      <c r="B346" s="346"/>
      <c r="C346" s="346">
        <v>20</v>
      </c>
      <c r="D346" s="346"/>
      <c r="E346" s="346"/>
      <c r="F346" s="346"/>
      <c r="G346" s="347"/>
    </row>
    <row r="347" spans="1:7" ht="15">
      <c r="A347" s="343" t="s">
        <v>33</v>
      </c>
      <c r="B347" s="346">
        <v>360</v>
      </c>
      <c r="C347" s="346"/>
      <c r="D347" s="346"/>
      <c r="E347" s="346"/>
      <c r="F347" s="346"/>
      <c r="G347" s="347"/>
    </row>
    <row r="348" spans="1:7" ht="15">
      <c r="A348" s="343" t="s">
        <v>34</v>
      </c>
      <c r="B348" s="346"/>
      <c r="C348" s="346"/>
      <c r="D348" s="346"/>
      <c r="E348" s="346"/>
      <c r="F348" s="346"/>
      <c r="G348" s="347"/>
    </row>
    <row r="349" spans="1:7" ht="15">
      <c r="A349" s="343" t="s">
        <v>35</v>
      </c>
      <c r="B349" s="163"/>
      <c r="C349" s="346">
        <v>20</v>
      </c>
      <c r="D349" s="346"/>
      <c r="E349" s="346"/>
      <c r="F349" s="346"/>
      <c r="G349" s="347"/>
    </row>
    <row r="350" spans="1:7" ht="15">
      <c r="A350" s="343" t="s">
        <v>36</v>
      </c>
      <c r="B350" s="346"/>
      <c r="C350" s="346"/>
      <c r="D350" s="346"/>
      <c r="E350" s="346"/>
      <c r="F350" s="346"/>
      <c r="G350" s="347"/>
    </row>
    <row r="351" spans="1:7" ht="15">
      <c r="A351" s="343" t="s">
        <v>37</v>
      </c>
      <c r="B351" s="346">
        <v>360</v>
      </c>
      <c r="C351" s="346"/>
      <c r="D351" s="346"/>
      <c r="E351" s="346"/>
      <c r="F351" s="346"/>
      <c r="G351" s="347"/>
    </row>
    <row r="352" spans="1:7" ht="15">
      <c r="A352" s="343" t="s">
        <v>38</v>
      </c>
      <c r="B352" s="346"/>
      <c r="C352" s="346"/>
      <c r="D352" s="346"/>
      <c r="E352" s="346"/>
      <c r="F352" s="346"/>
      <c r="G352" s="347"/>
    </row>
    <row r="353" spans="1:7" ht="15">
      <c r="A353" s="343" t="s">
        <v>39</v>
      </c>
      <c r="B353" s="346"/>
      <c r="C353" s="346"/>
      <c r="D353" s="346"/>
      <c r="E353" s="346"/>
      <c r="F353" s="346"/>
      <c r="G353" s="347"/>
    </row>
    <row r="354" spans="1:7" ht="15">
      <c r="A354" s="351" t="s">
        <v>247</v>
      </c>
      <c r="B354" s="346">
        <f>SUM(B345:B353)</f>
        <v>720</v>
      </c>
      <c r="C354" s="346">
        <f>SUM(C345:C353)</f>
        <v>40</v>
      </c>
      <c r="D354" s="346"/>
      <c r="E354" s="346"/>
      <c r="F354" s="346"/>
      <c r="G354" s="347"/>
    </row>
    <row r="355" spans="1:7" ht="15">
      <c r="A355" s="346" t="s">
        <v>248</v>
      </c>
      <c r="B355" s="347"/>
      <c r="C355" s="239"/>
      <c r="D355" s="239"/>
      <c r="E355" s="239"/>
      <c r="F355" s="360">
        <f>SUM(B354:F354)</f>
        <v>760</v>
      </c>
      <c r="G355" s="325">
        <f>(F355*52)/C302</f>
        <v>0.31666666666666665</v>
      </c>
    </row>
    <row r="356" spans="1:7" ht="15">
      <c r="A356" s="343" t="s">
        <v>242</v>
      </c>
      <c r="B356" s="329" t="s">
        <v>380</v>
      </c>
      <c r="C356" s="329"/>
      <c r="D356" s="329"/>
      <c r="E356" s="329"/>
      <c r="F356" s="329"/>
      <c r="G356" s="329"/>
    </row>
    <row r="357" spans="1:7" ht="15">
      <c r="A357" s="343" t="s">
        <v>23</v>
      </c>
      <c r="B357" s="350" t="s">
        <v>85</v>
      </c>
      <c r="C357" s="350" t="s">
        <v>392</v>
      </c>
      <c r="D357" s="350"/>
      <c r="E357" s="350"/>
      <c r="F357" s="350"/>
      <c r="G357" s="350"/>
    </row>
    <row r="358" spans="1:7" ht="15">
      <c r="A358" s="343" t="s">
        <v>31</v>
      </c>
      <c r="B358" s="346"/>
      <c r="C358" s="346">
        <v>30</v>
      </c>
      <c r="D358" s="346"/>
      <c r="E358" s="346"/>
      <c r="F358" s="346"/>
      <c r="G358" s="347"/>
    </row>
    <row r="359" spans="1:7" ht="15">
      <c r="A359" s="343" t="s">
        <v>32</v>
      </c>
      <c r="B359" s="346">
        <v>330</v>
      </c>
      <c r="C359" s="346"/>
      <c r="D359" s="346"/>
      <c r="E359" s="346"/>
      <c r="F359" s="346"/>
      <c r="G359" s="347"/>
    </row>
    <row r="360" spans="1:7" ht="15">
      <c r="A360" s="343" t="s">
        <v>33</v>
      </c>
      <c r="B360" s="346"/>
      <c r="C360" s="346"/>
      <c r="D360" s="346"/>
      <c r="E360" s="346"/>
      <c r="F360" s="346"/>
      <c r="G360" s="347"/>
    </row>
    <row r="361" spans="1:7" ht="15">
      <c r="A361" s="343" t="s">
        <v>34</v>
      </c>
      <c r="B361" s="346"/>
      <c r="C361" s="346"/>
      <c r="D361" s="346"/>
      <c r="E361" s="346"/>
      <c r="F361" s="346"/>
      <c r="G361" s="347"/>
    </row>
    <row r="362" spans="1:7" ht="15">
      <c r="A362" s="343" t="s">
        <v>35</v>
      </c>
      <c r="B362" s="346">
        <v>330</v>
      </c>
      <c r="C362" s="346">
        <v>30</v>
      </c>
      <c r="D362" s="346"/>
      <c r="E362" s="346"/>
      <c r="F362" s="346"/>
      <c r="G362" s="347"/>
    </row>
    <row r="363" spans="1:7" ht="15">
      <c r="A363" s="343" t="s">
        <v>36</v>
      </c>
      <c r="B363" s="346"/>
      <c r="C363" s="346"/>
      <c r="D363" s="346"/>
      <c r="E363" s="346"/>
      <c r="F363" s="346"/>
      <c r="G363" s="347"/>
    </row>
    <row r="364" spans="1:7" ht="15">
      <c r="A364" s="343" t="s">
        <v>37</v>
      </c>
      <c r="B364" s="346"/>
      <c r="C364" s="346"/>
      <c r="D364" s="346"/>
      <c r="E364" s="346"/>
      <c r="F364" s="346"/>
      <c r="G364" s="347"/>
    </row>
    <row r="365" spans="1:7" ht="15">
      <c r="A365" s="343" t="s">
        <v>38</v>
      </c>
      <c r="B365" s="346"/>
      <c r="C365" s="346">
        <v>30</v>
      </c>
      <c r="D365" s="346"/>
      <c r="E365" s="346"/>
      <c r="F365" s="346"/>
      <c r="G365" s="347"/>
    </row>
    <row r="366" spans="1:7" ht="15">
      <c r="A366" s="343" t="s">
        <v>48</v>
      </c>
      <c r="B366" s="346"/>
      <c r="C366" s="346"/>
      <c r="D366" s="346"/>
      <c r="E366" s="346"/>
      <c r="F366" s="346"/>
      <c r="G366" s="347"/>
    </row>
    <row r="367" spans="1:7" ht="15">
      <c r="A367" s="351" t="s">
        <v>247</v>
      </c>
      <c r="B367" s="346">
        <f>SUM(B357:B366)</f>
        <v>660</v>
      </c>
      <c r="C367" s="346">
        <f>SUM(C357:C366)</f>
        <v>90</v>
      </c>
      <c r="D367" s="346"/>
      <c r="E367" s="346"/>
      <c r="F367" s="346"/>
      <c r="G367" s="347"/>
    </row>
    <row r="368" spans="1:7" ht="15">
      <c r="A368" s="346" t="s">
        <v>248</v>
      </c>
      <c r="B368" s="347"/>
      <c r="C368" s="239"/>
      <c r="D368" s="239"/>
      <c r="E368" s="239"/>
      <c r="F368" s="360">
        <f>SUM(B367:F367)</f>
        <v>750</v>
      </c>
      <c r="G368" s="325">
        <f>(F368*52)/C302</f>
        <v>0.3125</v>
      </c>
    </row>
    <row r="369" spans="1:7">
      <c r="A369" s="304" t="s">
        <v>242</v>
      </c>
      <c r="B369" s="329" t="s">
        <v>381</v>
      </c>
      <c r="C369" s="329"/>
      <c r="D369" s="329"/>
      <c r="E369" s="329"/>
      <c r="F369" s="329"/>
      <c r="G369" s="329"/>
    </row>
    <row r="370" spans="1:7" ht="15">
      <c r="A370" s="304" t="s">
        <v>23</v>
      </c>
      <c r="B370" s="350" t="s">
        <v>85</v>
      </c>
      <c r="C370" s="350" t="s">
        <v>392</v>
      </c>
      <c r="D370" s="350"/>
      <c r="E370" s="350"/>
      <c r="F370" s="350"/>
      <c r="G370" s="350"/>
    </row>
    <row r="371" spans="1:7">
      <c r="A371" s="304" t="s">
        <v>31</v>
      </c>
      <c r="B371" s="357"/>
      <c r="C371" s="357"/>
      <c r="D371" s="357"/>
      <c r="E371" s="357"/>
      <c r="F371" s="357"/>
      <c r="G371" s="351"/>
    </row>
    <row r="372" spans="1:7">
      <c r="A372" s="304" t="s">
        <v>32</v>
      </c>
      <c r="B372" s="357">
        <v>210</v>
      </c>
      <c r="C372" s="357"/>
      <c r="D372" s="357"/>
      <c r="E372" s="357"/>
      <c r="F372" s="357"/>
      <c r="G372" s="351"/>
    </row>
    <row r="373" spans="1:7">
      <c r="A373" s="304" t="s">
        <v>33</v>
      </c>
      <c r="B373" s="357"/>
      <c r="C373" s="357">
        <v>10</v>
      </c>
      <c r="D373" s="357"/>
      <c r="E373" s="357"/>
      <c r="F373" s="357"/>
      <c r="G373" s="351"/>
    </row>
    <row r="374" spans="1:7">
      <c r="A374" s="304" t="s">
        <v>34</v>
      </c>
      <c r="B374" s="357">
        <v>210</v>
      </c>
      <c r="C374" s="357"/>
      <c r="D374" s="357"/>
      <c r="E374" s="357"/>
      <c r="F374" s="357"/>
      <c r="G374" s="351"/>
    </row>
    <row r="375" spans="1:7">
      <c r="A375" s="304" t="s">
        <v>35</v>
      </c>
      <c r="B375" s="357"/>
      <c r="C375" s="357">
        <v>10</v>
      </c>
      <c r="D375" s="357"/>
      <c r="E375" s="357"/>
      <c r="F375" s="357"/>
      <c r="G375" s="351"/>
    </row>
    <row r="376" spans="1:7">
      <c r="A376" s="304" t="s">
        <v>36</v>
      </c>
      <c r="B376" s="357"/>
      <c r="C376" s="357"/>
      <c r="D376" s="357"/>
      <c r="E376" s="357"/>
      <c r="F376" s="357"/>
      <c r="G376" s="351"/>
    </row>
    <row r="377" spans="1:7">
      <c r="A377" s="304" t="s">
        <v>37</v>
      </c>
      <c r="B377" s="357">
        <v>210</v>
      </c>
      <c r="C377" s="357"/>
      <c r="D377" s="357"/>
      <c r="E377" s="357"/>
      <c r="F377" s="357"/>
      <c r="G377" s="351"/>
    </row>
    <row r="378" spans="1:7">
      <c r="A378" s="304" t="s">
        <v>38</v>
      </c>
      <c r="B378" s="357"/>
      <c r="C378" s="357">
        <v>10</v>
      </c>
      <c r="D378" s="357"/>
      <c r="E378" s="357"/>
      <c r="F378" s="357"/>
      <c r="G378" s="351"/>
    </row>
    <row r="379" spans="1:7">
      <c r="A379" s="304" t="s">
        <v>39</v>
      </c>
      <c r="B379" s="357"/>
      <c r="C379" s="357"/>
      <c r="D379" s="357"/>
      <c r="E379" s="357"/>
      <c r="F379" s="357"/>
      <c r="G379" s="351"/>
    </row>
    <row r="380" spans="1:7" ht="15">
      <c r="A380" s="351" t="s">
        <v>247</v>
      </c>
      <c r="B380" s="346">
        <f>SUM(B371:B379)</f>
        <v>630</v>
      </c>
      <c r="C380" s="346">
        <f>SUM(C371:C379)</f>
        <v>30</v>
      </c>
      <c r="D380" s="346"/>
      <c r="E380" s="346"/>
      <c r="F380" s="346"/>
      <c r="G380" s="347"/>
    </row>
    <row r="381" spans="1:7" ht="15">
      <c r="A381" s="346" t="s">
        <v>248</v>
      </c>
      <c r="B381" s="347"/>
      <c r="C381" s="239"/>
      <c r="D381" s="239"/>
      <c r="E381" s="239"/>
      <c r="F381" s="360">
        <f>SUM(B380:F380)</f>
        <v>660</v>
      </c>
      <c r="G381" s="325">
        <f>(F381*52)/C302</f>
        <v>0.27500000000000002</v>
      </c>
    </row>
    <row r="382" spans="1:7">
      <c r="A382" s="304" t="s">
        <v>242</v>
      </c>
      <c r="B382" s="329" t="s">
        <v>394</v>
      </c>
      <c r="C382" s="329"/>
      <c r="D382" s="329"/>
      <c r="E382" s="329"/>
      <c r="F382" s="329"/>
      <c r="G382" s="329"/>
    </row>
    <row r="383" spans="1:7" ht="15">
      <c r="A383" s="304" t="s">
        <v>23</v>
      </c>
      <c r="B383" s="350" t="s">
        <v>85</v>
      </c>
      <c r="C383" s="350" t="s">
        <v>392</v>
      </c>
      <c r="D383" s="350"/>
      <c r="E383" s="350"/>
      <c r="F383" s="350"/>
      <c r="G383" s="350"/>
    </row>
    <row r="384" spans="1:7">
      <c r="A384" s="304" t="s">
        <v>31</v>
      </c>
      <c r="B384" s="357"/>
      <c r="C384" s="357"/>
      <c r="D384" s="357"/>
      <c r="E384" s="357"/>
      <c r="F384" s="357"/>
      <c r="G384" s="351"/>
    </row>
    <row r="385" spans="1:7">
      <c r="A385" s="304" t="s">
        <v>32</v>
      </c>
      <c r="B385" s="357">
        <v>180</v>
      </c>
      <c r="C385" s="357">
        <v>10</v>
      </c>
      <c r="D385" s="357"/>
      <c r="E385" s="357"/>
      <c r="F385" s="357"/>
      <c r="G385" s="351"/>
    </row>
    <row r="386" spans="1:7">
      <c r="A386" s="304" t="s">
        <v>33</v>
      </c>
      <c r="B386" s="357"/>
      <c r="C386" s="357"/>
      <c r="D386" s="357"/>
      <c r="E386" s="357"/>
      <c r="F386" s="357"/>
      <c r="G386" s="351"/>
    </row>
    <row r="387" spans="1:7">
      <c r="A387" s="304" t="s">
        <v>34</v>
      </c>
      <c r="B387" s="357"/>
      <c r="C387" s="357"/>
      <c r="D387" s="357"/>
      <c r="E387" s="357"/>
      <c r="F387" s="357"/>
      <c r="G387" s="351"/>
    </row>
    <row r="388" spans="1:7">
      <c r="A388" s="304" t="s">
        <v>35</v>
      </c>
      <c r="B388" s="357"/>
      <c r="C388" s="357">
        <v>10</v>
      </c>
      <c r="D388" s="357"/>
      <c r="E388" s="357"/>
      <c r="F388" s="357"/>
      <c r="G388" s="351"/>
    </row>
    <row r="389" spans="1:7">
      <c r="A389" s="304" t="s">
        <v>36</v>
      </c>
      <c r="B389" s="357">
        <v>180</v>
      </c>
      <c r="C389" s="357"/>
      <c r="D389" s="357"/>
      <c r="E389" s="357"/>
      <c r="F389" s="357"/>
      <c r="G389" s="351"/>
    </row>
    <row r="390" spans="1:7">
      <c r="A390" s="304" t="s">
        <v>37</v>
      </c>
      <c r="B390" s="357"/>
      <c r="C390" s="357"/>
      <c r="D390" s="357"/>
      <c r="E390" s="357"/>
      <c r="F390" s="357"/>
      <c r="G390" s="351"/>
    </row>
    <row r="391" spans="1:7">
      <c r="A391" s="304" t="s">
        <v>38</v>
      </c>
      <c r="B391" s="357"/>
      <c r="C391" s="357">
        <v>10</v>
      </c>
      <c r="D391" s="357"/>
      <c r="E391" s="357"/>
      <c r="F391" s="357"/>
      <c r="G391" s="351"/>
    </row>
    <row r="392" spans="1:7">
      <c r="A392" s="304" t="s">
        <v>39</v>
      </c>
      <c r="B392" s="357">
        <v>180</v>
      </c>
      <c r="C392" s="357"/>
      <c r="D392" s="357"/>
      <c r="E392" s="357"/>
      <c r="F392" s="357"/>
      <c r="G392" s="351"/>
    </row>
    <row r="393" spans="1:7" ht="15">
      <c r="A393" s="351" t="s">
        <v>247</v>
      </c>
      <c r="B393" s="346">
        <f>SUM(B384:B392)</f>
        <v>540</v>
      </c>
      <c r="C393" s="346">
        <f>SUM(C384:C392)</f>
        <v>30</v>
      </c>
      <c r="D393" s="346"/>
      <c r="E393" s="346"/>
      <c r="F393" s="346"/>
      <c r="G393" s="347"/>
    </row>
    <row r="394" spans="1:7" ht="15">
      <c r="A394" s="346" t="s">
        <v>248</v>
      </c>
      <c r="B394" s="347"/>
      <c r="C394" s="239"/>
      <c r="D394" s="239"/>
      <c r="E394" s="239"/>
      <c r="F394" s="361">
        <f>SUM(B393:F393)</f>
        <v>570</v>
      </c>
      <c r="G394" s="325">
        <f>(F394*52)/C302</f>
        <v>0.23749999999999999</v>
      </c>
    </row>
    <row r="395" spans="1:7">
      <c r="A395" s="304" t="s">
        <v>242</v>
      </c>
      <c r="B395" s="329" t="s">
        <v>382</v>
      </c>
      <c r="C395" s="329"/>
      <c r="D395" s="329"/>
      <c r="E395" s="329"/>
      <c r="F395" s="329"/>
      <c r="G395" s="329"/>
    </row>
    <row r="396" spans="1:7" ht="15">
      <c r="A396" s="304" t="s">
        <v>23</v>
      </c>
      <c r="B396" s="350" t="s">
        <v>85</v>
      </c>
      <c r="C396" s="350" t="s">
        <v>392</v>
      </c>
      <c r="D396" s="350"/>
      <c r="E396" s="350"/>
      <c r="F396" s="350"/>
      <c r="G396" s="350"/>
    </row>
    <row r="397" spans="1:7">
      <c r="A397" s="304" t="s">
        <v>31</v>
      </c>
      <c r="B397" s="357"/>
      <c r="C397" s="357"/>
      <c r="D397" s="357"/>
      <c r="E397" s="357"/>
      <c r="F397" s="357"/>
      <c r="G397" s="351"/>
    </row>
    <row r="398" spans="1:7">
      <c r="A398" s="304" t="s">
        <v>32</v>
      </c>
      <c r="B398" s="357">
        <v>210</v>
      </c>
      <c r="C398" s="357">
        <v>60</v>
      </c>
      <c r="D398" s="357"/>
      <c r="E398" s="357"/>
      <c r="F398" s="357"/>
      <c r="G398" s="351"/>
    </row>
    <row r="399" spans="1:7">
      <c r="A399" s="304" t="s">
        <v>33</v>
      </c>
      <c r="B399" s="357"/>
      <c r="C399" s="357"/>
      <c r="D399" s="357"/>
      <c r="E399" s="357"/>
      <c r="F399" s="357"/>
      <c r="G399" s="351"/>
    </row>
    <row r="400" spans="1:7">
      <c r="A400" s="304" t="s">
        <v>34</v>
      </c>
      <c r="B400" s="357"/>
      <c r="C400" s="357"/>
      <c r="D400" s="357"/>
      <c r="E400" s="357"/>
      <c r="F400" s="357"/>
      <c r="G400" s="351"/>
    </row>
    <row r="401" spans="1:7">
      <c r="A401" s="304" t="s">
        <v>35</v>
      </c>
      <c r="B401" s="357">
        <v>210</v>
      </c>
      <c r="C401" s="357">
        <v>60</v>
      </c>
      <c r="D401" s="357"/>
      <c r="E401" s="357"/>
      <c r="F401" s="357"/>
      <c r="G401" s="351"/>
    </row>
    <row r="402" spans="1:7">
      <c r="A402" s="304" t="s">
        <v>36</v>
      </c>
      <c r="B402" s="357"/>
      <c r="C402" s="357"/>
      <c r="D402" s="357"/>
      <c r="E402" s="357"/>
      <c r="F402" s="357"/>
      <c r="G402" s="351"/>
    </row>
    <row r="403" spans="1:7">
      <c r="A403" s="304" t="s">
        <v>37</v>
      </c>
      <c r="B403" s="357"/>
      <c r="C403" s="357"/>
      <c r="D403" s="357"/>
      <c r="E403" s="357"/>
      <c r="F403" s="357"/>
      <c r="G403" s="351"/>
    </row>
    <row r="404" spans="1:7">
      <c r="A404" s="304" t="s">
        <v>38</v>
      </c>
      <c r="B404" s="357"/>
      <c r="C404" s="357"/>
      <c r="D404" s="357"/>
      <c r="E404" s="357"/>
      <c r="F404" s="357"/>
      <c r="G404" s="351"/>
    </row>
    <row r="405" spans="1:7">
      <c r="A405" s="304" t="s">
        <v>39</v>
      </c>
      <c r="B405" s="357">
        <v>210</v>
      </c>
      <c r="C405" s="357">
        <v>60</v>
      </c>
      <c r="D405" s="357"/>
      <c r="E405" s="357"/>
      <c r="F405" s="357"/>
      <c r="G405" s="351"/>
    </row>
    <row r="406" spans="1:7" ht="15">
      <c r="A406" s="351" t="s">
        <v>247</v>
      </c>
      <c r="B406" s="346">
        <f>SUM(B397:B405)</f>
        <v>630</v>
      </c>
      <c r="C406" s="346">
        <f>SUM(C397:C405)</f>
        <v>180</v>
      </c>
      <c r="D406" s="346"/>
      <c r="E406" s="346"/>
      <c r="F406" s="346"/>
      <c r="G406" s="347"/>
    </row>
    <row r="407" spans="1:7" ht="15">
      <c r="A407" s="346" t="s">
        <v>248</v>
      </c>
      <c r="B407" s="347"/>
      <c r="C407" s="239"/>
      <c r="D407" s="239"/>
      <c r="E407" s="239"/>
      <c r="F407" s="360">
        <f>SUM(B406:F406)</f>
        <v>810</v>
      </c>
      <c r="G407" s="325">
        <f>(F407*52)/C302</f>
        <v>0.33750000000000002</v>
      </c>
    </row>
    <row r="408" spans="1:7">
      <c r="A408" s="304" t="s">
        <v>242</v>
      </c>
      <c r="B408" s="329" t="s">
        <v>383</v>
      </c>
      <c r="C408" s="329"/>
      <c r="D408" s="329"/>
      <c r="E408" s="329"/>
      <c r="F408" s="329"/>
      <c r="G408" s="329"/>
    </row>
    <row r="409" spans="1:7" ht="15">
      <c r="A409" s="304" t="s">
        <v>23</v>
      </c>
      <c r="B409" s="350" t="s">
        <v>85</v>
      </c>
      <c r="C409" s="350" t="s">
        <v>392</v>
      </c>
      <c r="D409" s="350"/>
      <c r="E409" s="350"/>
      <c r="F409" s="350"/>
      <c r="G409" s="350"/>
    </row>
    <row r="410" spans="1:7">
      <c r="A410" s="304" t="s">
        <v>31</v>
      </c>
      <c r="B410" s="357"/>
      <c r="C410" s="357"/>
      <c r="D410" s="357"/>
      <c r="E410" s="357"/>
      <c r="F410" s="357"/>
      <c r="G410" s="351"/>
    </row>
    <row r="411" spans="1:7">
      <c r="A411" s="304" t="s">
        <v>32</v>
      </c>
      <c r="B411" s="357">
        <v>330</v>
      </c>
      <c r="C411" s="357"/>
      <c r="D411" s="357"/>
      <c r="E411" s="357"/>
      <c r="F411" s="357"/>
      <c r="G411" s="351"/>
    </row>
    <row r="412" spans="1:7">
      <c r="A412" s="304" t="s">
        <v>33</v>
      </c>
      <c r="B412" s="357"/>
      <c r="C412" s="357">
        <v>20</v>
      </c>
      <c r="D412" s="357"/>
      <c r="E412" s="357"/>
      <c r="F412" s="357"/>
      <c r="G412" s="351"/>
    </row>
    <row r="413" spans="1:7">
      <c r="A413" s="304" t="s">
        <v>34</v>
      </c>
      <c r="B413" s="357">
        <v>330</v>
      </c>
      <c r="C413" s="357"/>
      <c r="D413" s="357"/>
      <c r="E413" s="357"/>
      <c r="F413" s="357"/>
      <c r="G413" s="351"/>
    </row>
    <row r="414" spans="1:7">
      <c r="A414" s="304" t="s">
        <v>35</v>
      </c>
      <c r="B414" s="357"/>
      <c r="C414" s="357">
        <v>20</v>
      </c>
      <c r="D414" s="357"/>
      <c r="E414" s="357"/>
      <c r="F414" s="357"/>
      <c r="G414" s="351"/>
    </row>
    <row r="415" spans="1:7">
      <c r="A415" s="304" t="s">
        <v>36</v>
      </c>
      <c r="B415" s="357"/>
      <c r="C415" s="357"/>
      <c r="D415" s="357"/>
      <c r="E415" s="357"/>
      <c r="F415" s="357"/>
      <c r="G415" s="351"/>
    </row>
    <row r="416" spans="1:7">
      <c r="A416" s="304" t="s">
        <v>37</v>
      </c>
      <c r="B416" s="357"/>
      <c r="C416" s="357">
        <v>20</v>
      </c>
      <c r="D416" s="357"/>
      <c r="E416" s="357"/>
      <c r="F416" s="357"/>
      <c r="G416" s="351"/>
    </row>
    <row r="417" spans="1:7">
      <c r="A417" s="304" t="s">
        <v>38</v>
      </c>
      <c r="B417" s="357"/>
      <c r="C417" s="357"/>
      <c r="D417" s="357"/>
      <c r="E417" s="357"/>
      <c r="F417" s="357"/>
      <c r="G417" s="351"/>
    </row>
    <row r="418" spans="1:7">
      <c r="A418" s="304" t="s">
        <v>39</v>
      </c>
      <c r="B418" s="357"/>
      <c r="C418" s="357"/>
      <c r="D418" s="357"/>
      <c r="E418" s="357"/>
      <c r="F418" s="357"/>
      <c r="G418" s="351"/>
    </row>
    <row r="419" spans="1:7" ht="15">
      <c r="A419" s="351" t="s">
        <v>247</v>
      </c>
      <c r="B419" s="346">
        <f>SUM(B410:B418)</f>
        <v>660</v>
      </c>
      <c r="C419" s="346">
        <f>SUM(C410:C418)</f>
        <v>60</v>
      </c>
      <c r="D419" s="346"/>
      <c r="E419" s="346"/>
      <c r="F419" s="346"/>
      <c r="G419" s="347"/>
    </row>
    <row r="420" spans="1:7" ht="15">
      <c r="A420" s="346" t="s">
        <v>248</v>
      </c>
      <c r="B420" s="347"/>
      <c r="C420" s="239"/>
      <c r="D420" s="239"/>
      <c r="E420" s="239"/>
      <c r="F420" s="360">
        <f>SUM(B419:F419)</f>
        <v>720</v>
      </c>
      <c r="G420" s="325">
        <f>(F420*52)/C302</f>
        <v>0.3</v>
      </c>
    </row>
    <row r="421" spans="1:7">
      <c r="A421" s="304" t="s">
        <v>242</v>
      </c>
      <c r="B421" s="329" t="s">
        <v>384</v>
      </c>
      <c r="C421" s="329"/>
      <c r="D421" s="329"/>
      <c r="E421" s="329"/>
      <c r="F421" s="329"/>
      <c r="G421" s="329"/>
    </row>
    <row r="422" spans="1:7">
      <c r="A422" s="304" t="s">
        <v>23</v>
      </c>
      <c r="B422" s="350"/>
      <c r="C422" s="350"/>
      <c r="D422" s="350"/>
      <c r="E422" s="350"/>
      <c r="F422" s="350"/>
      <c r="G422" s="350"/>
    </row>
    <row r="423" spans="1:7">
      <c r="A423" s="304" t="s">
        <v>31</v>
      </c>
      <c r="B423" s="357"/>
      <c r="C423" s="357"/>
      <c r="D423" s="357"/>
      <c r="E423" s="357"/>
      <c r="F423" s="357"/>
      <c r="G423" s="351"/>
    </row>
    <row r="424" spans="1:7">
      <c r="A424" s="304" t="s">
        <v>32</v>
      </c>
      <c r="B424" s="357"/>
      <c r="C424" s="357"/>
      <c r="D424" s="357"/>
      <c r="E424" s="357"/>
      <c r="F424" s="357"/>
      <c r="G424" s="351"/>
    </row>
    <row r="425" spans="1:7">
      <c r="A425" s="304" t="s">
        <v>33</v>
      </c>
      <c r="B425" s="357"/>
      <c r="C425" s="357"/>
      <c r="D425" s="357"/>
      <c r="E425" s="357"/>
      <c r="F425" s="357"/>
      <c r="G425" s="351"/>
    </row>
    <row r="426" spans="1:7">
      <c r="A426" s="304" t="s">
        <v>34</v>
      </c>
      <c r="B426" s="357">
        <v>270</v>
      </c>
      <c r="C426" s="357"/>
      <c r="D426" s="357"/>
      <c r="E426" s="357"/>
      <c r="F426" s="357"/>
      <c r="G426" s="351"/>
    </row>
    <row r="427" spans="1:7">
      <c r="A427" s="304" t="s">
        <v>35</v>
      </c>
      <c r="B427" s="357"/>
      <c r="C427" s="357"/>
      <c r="D427" s="357"/>
      <c r="E427" s="357"/>
      <c r="F427" s="357"/>
      <c r="G427" s="351"/>
    </row>
    <row r="428" spans="1:7">
      <c r="A428" s="304" t="s">
        <v>36</v>
      </c>
      <c r="B428" s="357"/>
      <c r="C428" s="357"/>
      <c r="D428" s="357"/>
      <c r="E428" s="357"/>
      <c r="F428" s="357"/>
      <c r="G428" s="351"/>
    </row>
    <row r="429" spans="1:7">
      <c r="A429" s="304" t="s">
        <v>37</v>
      </c>
      <c r="B429" s="357">
        <v>270</v>
      </c>
      <c r="C429" s="357"/>
      <c r="D429" s="357"/>
      <c r="E429" s="357"/>
      <c r="F429" s="357"/>
      <c r="G429" s="351"/>
    </row>
    <row r="430" spans="1:7">
      <c r="A430" s="304" t="s">
        <v>38</v>
      </c>
      <c r="B430" s="357"/>
      <c r="C430" s="357"/>
      <c r="D430" s="357"/>
      <c r="E430" s="357"/>
      <c r="F430" s="357"/>
      <c r="G430" s="351"/>
    </row>
    <row r="431" spans="1:7">
      <c r="A431" s="304" t="s">
        <v>39</v>
      </c>
      <c r="B431" s="357"/>
      <c r="C431" s="357"/>
      <c r="D431" s="357"/>
      <c r="E431" s="357"/>
      <c r="F431" s="357"/>
      <c r="G431" s="351"/>
    </row>
    <row r="432" spans="1:7" ht="15">
      <c r="A432" s="351" t="s">
        <v>247</v>
      </c>
      <c r="B432" s="346">
        <f>SUM(B423:B431)</f>
        <v>540</v>
      </c>
      <c r="C432" s="346">
        <f>SUM(C423:C431)</f>
        <v>0</v>
      </c>
      <c r="D432" s="346"/>
      <c r="E432" s="346"/>
      <c r="F432" s="346"/>
      <c r="G432" s="347"/>
    </row>
    <row r="433" spans="1:7" ht="15">
      <c r="A433" s="346" t="s">
        <v>248</v>
      </c>
      <c r="B433" s="347"/>
      <c r="C433" s="239"/>
      <c r="D433" s="239"/>
      <c r="E433" s="239"/>
      <c r="F433" s="360">
        <f>SUM(B432:F432)</f>
        <v>540</v>
      </c>
      <c r="G433" s="325">
        <f>(F433*52)/C302</f>
        <v>0.22500000000000001</v>
      </c>
    </row>
    <row r="434" spans="1:7">
      <c r="A434" s="304" t="s">
        <v>242</v>
      </c>
      <c r="B434" s="329" t="s">
        <v>52</v>
      </c>
      <c r="C434" s="329"/>
      <c r="D434" s="329"/>
      <c r="E434" s="329"/>
      <c r="F434" s="329"/>
      <c r="G434" s="329"/>
    </row>
    <row r="435" spans="1:7" ht="15">
      <c r="A435" s="304" t="s">
        <v>23</v>
      </c>
      <c r="B435" s="350" t="s">
        <v>395</v>
      </c>
      <c r="C435" s="350" t="s">
        <v>396</v>
      </c>
      <c r="D435" s="350"/>
      <c r="E435" s="350"/>
      <c r="F435" s="350"/>
      <c r="G435" s="350"/>
    </row>
    <row r="436" spans="1:7">
      <c r="A436" s="304" t="s">
        <v>31</v>
      </c>
      <c r="B436" s="357"/>
      <c r="C436" s="357"/>
      <c r="D436" s="357"/>
      <c r="E436" s="357"/>
      <c r="F436" s="357"/>
      <c r="G436" s="351"/>
    </row>
    <row r="437" spans="1:7">
      <c r="A437" s="304" t="s">
        <v>32</v>
      </c>
      <c r="B437" s="357">
        <v>45</v>
      </c>
      <c r="C437" s="357"/>
      <c r="D437" s="357"/>
      <c r="E437" s="357"/>
      <c r="F437" s="357"/>
      <c r="G437" s="351"/>
    </row>
    <row r="438" spans="1:7">
      <c r="A438" s="304" t="s">
        <v>33</v>
      </c>
      <c r="B438" s="357"/>
      <c r="C438" s="357"/>
      <c r="D438" s="357"/>
      <c r="E438" s="357"/>
      <c r="F438" s="357"/>
      <c r="G438" s="351"/>
    </row>
    <row r="439" spans="1:7">
      <c r="A439" s="304" t="s">
        <v>34</v>
      </c>
      <c r="B439" s="357"/>
      <c r="C439" s="357"/>
      <c r="D439" s="357"/>
      <c r="E439" s="357"/>
      <c r="F439" s="357"/>
      <c r="G439" s="351"/>
    </row>
    <row r="440" spans="1:7">
      <c r="A440" s="304" t="s">
        <v>35</v>
      </c>
      <c r="B440" s="357">
        <v>45</v>
      </c>
      <c r="C440" s="357"/>
      <c r="D440" s="357"/>
      <c r="E440" s="357"/>
      <c r="F440" s="357"/>
      <c r="G440" s="351"/>
    </row>
    <row r="441" spans="1:7">
      <c r="A441" s="304" t="s">
        <v>36</v>
      </c>
      <c r="B441" s="357"/>
      <c r="C441" s="357"/>
      <c r="D441" s="357"/>
      <c r="E441" s="357"/>
      <c r="F441" s="357"/>
      <c r="G441" s="351"/>
    </row>
    <row r="442" spans="1:7">
      <c r="A442" s="304" t="s">
        <v>37</v>
      </c>
      <c r="B442" s="357">
        <v>45</v>
      </c>
      <c r="C442" s="357"/>
      <c r="D442" s="357"/>
      <c r="E442" s="357"/>
      <c r="F442" s="357"/>
      <c r="G442" s="351"/>
    </row>
    <row r="443" spans="1:7">
      <c r="A443" s="304" t="s">
        <v>38</v>
      </c>
      <c r="B443" s="357"/>
      <c r="C443" s="357"/>
      <c r="D443" s="357"/>
      <c r="E443" s="357"/>
      <c r="F443" s="357"/>
      <c r="G443" s="351"/>
    </row>
    <row r="444" spans="1:7">
      <c r="A444" s="304" t="s">
        <v>39</v>
      </c>
      <c r="B444" s="357"/>
      <c r="C444" s="357"/>
      <c r="D444" s="357"/>
      <c r="E444" s="357"/>
      <c r="F444" s="357"/>
      <c r="G444" s="351"/>
    </row>
    <row r="445" spans="1:7" ht="15">
      <c r="A445" s="351" t="s">
        <v>247</v>
      </c>
      <c r="B445" s="346">
        <f>SUM(B436:B444)</f>
        <v>135</v>
      </c>
      <c r="C445" s="346">
        <f>SUM(C436:C444)</f>
        <v>0</v>
      </c>
      <c r="D445" s="346"/>
      <c r="E445" s="346"/>
      <c r="F445" s="346"/>
      <c r="G445" s="347"/>
    </row>
    <row r="446" spans="1:7" ht="15">
      <c r="A446" s="346" t="s">
        <v>248</v>
      </c>
      <c r="B446" s="347"/>
      <c r="C446" s="239"/>
      <c r="D446" s="239"/>
      <c r="E446" s="239"/>
      <c r="F446" s="360">
        <f>SUM(B445:F445)</f>
        <v>135</v>
      </c>
      <c r="G446" s="325">
        <f>(F446*52)/C302</f>
        <v>5.6250000000000001E-2</v>
      </c>
    </row>
  </sheetData>
  <mergeCells count="14">
    <mergeCell ref="B220:G220"/>
    <mergeCell ref="B6:G6"/>
    <mergeCell ref="B110:G110"/>
    <mergeCell ref="A301:G301"/>
    <mergeCell ref="J1:S1"/>
    <mergeCell ref="B101:F101"/>
    <mergeCell ref="B104:F104"/>
    <mergeCell ref="D3:G3"/>
    <mergeCell ref="B5:G5"/>
    <mergeCell ref="J217:S217"/>
    <mergeCell ref="J106:S106"/>
    <mergeCell ref="H6:H7"/>
    <mergeCell ref="A106:G106"/>
    <mergeCell ref="A217:G21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1"/>
  <sheetViews>
    <sheetView zoomScale="86" workbookViewId="0">
      <selection activeCell="E19" sqref="E19"/>
    </sheetView>
  </sheetViews>
  <sheetFormatPr baseColWidth="10" defaultColWidth="11.5" defaultRowHeight="14"/>
  <cols>
    <col min="1" max="1" width="30.5" style="4" customWidth="1"/>
    <col min="2" max="2" width="32.1640625" style="4" customWidth="1"/>
    <col min="3" max="3" width="27.1640625" style="4" customWidth="1"/>
    <col min="4" max="4" width="35.6640625" style="4" customWidth="1"/>
    <col min="5" max="5" width="32.1640625" style="4" customWidth="1"/>
    <col min="6" max="9" width="11.5" style="4"/>
    <col min="10" max="10" width="14.1640625" style="4" customWidth="1"/>
    <col min="11" max="16384" width="11.5" style="4"/>
  </cols>
  <sheetData>
    <row r="1" spans="1:11" ht="34.5" customHeight="1">
      <c r="A1" s="293" t="s">
        <v>464</v>
      </c>
      <c r="B1" s="293"/>
      <c r="C1" s="293"/>
      <c r="D1" s="293"/>
      <c r="E1" s="293"/>
      <c r="F1" s="362"/>
      <c r="G1" s="362"/>
      <c r="H1" s="294"/>
      <c r="I1" s="294"/>
      <c r="J1" s="294"/>
      <c r="K1" s="294"/>
    </row>
    <row r="2" spans="1:11" ht="54.75" customHeight="1">
      <c r="A2" s="448" t="s">
        <v>80</v>
      </c>
      <c r="B2" s="300" t="s">
        <v>559</v>
      </c>
      <c r="C2" s="300" t="s">
        <v>561</v>
      </c>
      <c r="D2" s="300" t="s">
        <v>560</v>
      </c>
      <c r="E2" s="300" t="s">
        <v>469</v>
      </c>
    </row>
    <row r="3" spans="1:11" ht="28" customHeight="1">
      <c r="A3" s="449" t="s">
        <v>81</v>
      </c>
      <c r="B3" s="400">
        <f>Costs!H34+Costs!E67+Costs!H42+Costs!H38+Costs!K81+Costs!L190+Costs!I75+Costs!G71</f>
        <v>403584.03173139348</v>
      </c>
      <c r="C3" s="400">
        <f>Costs!I34+Costs!I38+Costs!I42+Costs!I66+Costs!I71+Costs!H75+Costs!L81+Costs!M190</f>
        <v>319.75933885208542</v>
      </c>
      <c r="D3" s="400">
        <f>C3*'Utilisation rate workouts '!$G$4</f>
        <v>927.30208267104774</v>
      </c>
      <c r="E3" s="365">
        <f>D3/D7</f>
        <v>0.24057399579222538</v>
      </c>
    </row>
    <row r="4" spans="1:11" ht="34.5" customHeight="1">
      <c r="A4" s="450" t="s">
        <v>465</v>
      </c>
      <c r="B4" s="400">
        <f>Costs!H205+Costs!H209+Costs!H213+Costs!E238+Costs!G242+Costs!G246+Costs!G250+Costs!K256+Costs!L273+Costs!L288+Costs!L296+Costs!L300</f>
        <v>239356.2407882945</v>
      </c>
      <c r="C4" s="400">
        <f>Costs!I205+Costs!I209+Costs!I213+Costs!I237+Costs!I242+Costs!I246+Costs!I250+Costs!L256+Costs!M301</f>
        <v>262.03764160988464</v>
      </c>
      <c r="D4" s="400">
        <f>C4*'Utilisation rate workouts '!H4</f>
        <v>81.231668899064246</v>
      </c>
      <c r="E4" s="365">
        <f>D4/D7</f>
        <v>2.1074283706587295E-2</v>
      </c>
    </row>
    <row r="5" spans="1:11" ht="37" customHeight="1">
      <c r="A5" s="450" t="s">
        <v>466</v>
      </c>
      <c r="B5" s="400">
        <f>Costs!H314+Costs!H322+Costs!H318+Costs!K331+Costs!L387+Costs!G326</f>
        <v>491449.10531736241</v>
      </c>
      <c r="C5" s="400">
        <f>Costs!I314+Costs!I318+Costs!I322+Costs!I326+Costs!L331+Costs!M387</f>
        <v>1901.3241418779769</v>
      </c>
      <c r="D5" s="400">
        <f>C5*'Utilisation rate workouts '!I4</f>
        <v>361.25158695681563</v>
      </c>
      <c r="E5" s="365">
        <f>D5/D7</f>
        <v>9.3721063917111311E-2</v>
      </c>
    </row>
    <row r="6" spans="1:11" ht="28" customHeight="1">
      <c r="A6" s="449" t="s">
        <v>467</v>
      </c>
      <c r="B6" s="400">
        <f>Costs!H403+Costs!H414+Costs!H407+Costs!H409+Costs!H408+Costs!H410+Costs!K423+Costs!L469+Costs!G418</f>
        <v>800789.97822077735</v>
      </c>
      <c r="C6" s="400">
        <f>Costs!I403+Costs!I407+Costs!I408+Costs!I409+Costs!I410+Costs!I414+Costs!I418+Costs!L423+Costs!M469</f>
        <v>11294.339236751686</v>
      </c>
      <c r="D6" s="400">
        <f>C6*'Utilisation rate workouts '!J4</f>
        <v>2484.7546320853712</v>
      </c>
      <c r="E6" s="365">
        <f>D6/D7</f>
        <v>0.64463065658407603</v>
      </c>
    </row>
    <row r="7" spans="1:11" ht="38.25" customHeight="1">
      <c r="A7" s="293" t="s">
        <v>154</v>
      </c>
      <c r="B7" s="427">
        <f>SUM(B3:B6)</f>
        <v>1935179.3560578278</v>
      </c>
      <c r="C7" s="251"/>
      <c r="D7" s="427">
        <f>SUM(D3:D6)</f>
        <v>3854.5399706122989</v>
      </c>
      <c r="E7" s="301">
        <f>SUM(E3:E6)</f>
        <v>1</v>
      </c>
    </row>
    <row r="13" spans="1:11">
      <c r="B13" s="451"/>
      <c r="C13" s="377"/>
    </row>
    <row r="14" spans="1:11">
      <c r="B14" s="451"/>
    </row>
    <row r="15" spans="1:11">
      <c r="B15" s="451"/>
      <c r="D15" s="4" t="s">
        <v>236</v>
      </c>
    </row>
    <row r="16" spans="1:11">
      <c r="B16" s="451"/>
      <c r="D16" s="366"/>
    </row>
    <row r="17" spans="4:10">
      <c r="D17" s="366"/>
    </row>
    <row r="18" spans="4:10">
      <c r="E18" s="136"/>
    </row>
    <row r="19" spans="4:10" ht="18">
      <c r="D19" s="367"/>
      <c r="E19" s="370"/>
      <c r="H19" s="369"/>
      <c r="J19" s="292"/>
    </row>
    <row r="20" spans="4:10" ht="18">
      <c r="D20" s="368"/>
      <c r="E20" s="370"/>
      <c r="J20" s="292"/>
    </row>
    <row r="21" spans="4:10">
      <c r="E21" s="369"/>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Interview</vt:lpstr>
      <vt:lpstr>Costs</vt:lpstr>
      <vt:lpstr>Utilisation rate workouts </vt:lpstr>
      <vt:lpstr>% of time allocation workouts</vt:lpstr>
      <vt:lpstr>Aggregate RHD total cost to GSH</vt:lpstr>
    </vt:vector>
  </TitlesOfParts>
  <Company>University of Cape Town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Microsoft Office User</cp:lastModifiedBy>
  <dcterms:created xsi:type="dcterms:W3CDTF">2018-05-10T13:10:45Z</dcterms:created>
  <dcterms:modified xsi:type="dcterms:W3CDTF">2020-08-05T22:05:43Z</dcterms:modified>
</cp:coreProperties>
</file>