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8.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pivotTables/pivotTable40.xml" ContentType="application/vnd.openxmlformats-officedocument.spreadsheetml.pivotTable+xml"/>
  <Override PartName="/xl/pivotTables/pivotTable41.xml" ContentType="application/vnd.openxmlformats-officedocument.spreadsheetml.pivotTable+xml"/>
  <Override PartName="/xl/pivotTables/pivotTable42.xml" ContentType="application/vnd.openxmlformats-officedocument.spreadsheetml.pivotTable+xml"/>
  <Override PartName="/xl/pivotTables/pivotTable43.xml" ContentType="application/vnd.openxmlformats-officedocument.spreadsheetml.pivotTable+xml"/>
  <Override PartName="/xl/pivotTables/pivotTable44.xml" ContentType="application/vnd.openxmlformats-officedocument.spreadsheetml.pivotTable+xml"/>
  <Override PartName="/xl/pivotTables/pivotTable45.xml" ContentType="application/vnd.openxmlformats-officedocument.spreadsheetml.pivotTable+xml"/>
  <Override PartName="/xl/pivotTables/pivotTable46.xml" ContentType="application/vnd.openxmlformats-officedocument.spreadsheetml.pivotTable+xml"/>
  <Override PartName="/xl/pivotTables/pivotTable47.xml" ContentType="application/vnd.openxmlformats-officedocument.spreadsheetml.pivotTable+xml"/>
  <Override PartName="/xl/pivotTables/pivotTable48.xml" ContentType="application/vnd.openxmlformats-officedocument.spreadsheetml.pivotTable+xml"/>
  <Override PartName="/xl/pivotTables/pivotTable49.xml" ContentType="application/vnd.openxmlformats-officedocument.spreadsheetml.pivotTable+xml"/>
  <Override PartName="/xl/pivotTables/pivotTable50.xml" ContentType="application/vnd.openxmlformats-officedocument.spreadsheetml.pivotTable+xml"/>
  <Override PartName="/xl/pivotTables/pivotTable51.xml" ContentType="application/vnd.openxmlformats-officedocument.spreadsheetml.pivotTable+xml"/>
  <Override PartName="/xl/pivotTables/pivotTable52.xml" ContentType="application/vnd.openxmlformats-officedocument.spreadsheetml.pivotTable+xml"/>
  <Override PartName="/xl/pivotTables/pivotTable53.xml" ContentType="application/vnd.openxmlformats-officedocument.spreadsheetml.pivotTable+xml"/>
  <Override PartName="/xl/pivotTables/pivotTable54.xml" ContentType="application/vnd.openxmlformats-officedocument.spreadsheetml.pivotTable+xml"/>
  <Override PartName="/xl/pivotTables/pivotTable55.xml" ContentType="application/vnd.openxmlformats-officedocument.spreadsheetml.pivotTable+xml"/>
  <Override PartName="/xl/pivotTables/pivotTable56.xml" ContentType="application/vnd.openxmlformats-officedocument.spreadsheetml.pivotTable+xml"/>
  <Override PartName="/xl/pivotTables/pivotTable57.xml" ContentType="application/vnd.openxmlformats-officedocument.spreadsheetml.pivotTable+xml"/>
  <Override PartName="/xl/pivotTables/pivotTable58.xml" ContentType="application/vnd.openxmlformats-officedocument.spreadsheetml.pivotTable+xml"/>
  <Override PartName="/xl/pivotTables/pivotTable59.xml" ContentType="application/vnd.openxmlformats-officedocument.spreadsheetml.pivotTable+xml"/>
  <Override PartName="/xl/pivotTables/pivotTable60.xml" ContentType="application/vnd.openxmlformats-officedocument.spreadsheetml.pivotTable+xml"/>
  <Override PartName="/xl/pivotTables/pivotTable61.xml" ContentType="application/vnd.openxmlformats-officedocument.spreadsheetml.pivotTable+xml"/>
  <Override PartName="/xl/pivotTables/pivotTable62.xml" ContentType="application/vnd.openxmlformats-officedocument.spreadsheetml.pivotTable+xml"/>
  <Override PartName="/xl/pivotTables/pivotTable63.xml" ContentType="application/vnd.openxmlformats-officedocument.spreadsheetml.pivotTable+xml"/>
  <Override PartName="/xl/pivotTables/pivotTable64.xml" ContentType="application/vnd.openxmlformats-officedocument.spreadsheetml.pivotTable+xml"/>
  <Override PartName="/xl/pivotTables/pivotTable65.xml" ContentType="application/vnd.openxmlformats-officedocument.spreadsheetml.pivotTable+xml"/>
  <Override PartName="/xl/pivotTables/pivotTable66.xml" ContentType="application/vnd.openxmlformats-officedocument.spreadsheetml.pivotTable+xml"/>
  <Override PartName="/xl/pivotTables/pivotTable67.xml" ContentType="application/vnd.openxmlformats-officedocument.spreadsheetml.pivotTable+xml"/>
  <Override PartName="/xl/pivotTables/pivotTable68.xml" ContentType="application/vnd.openxmlformats-officedocument.spreadsheetml.pivotTable+xml"/>
  <Override PartName="/xl/pivotTables/pivotTable69.xml" ContentType="application/vnd.openxmlformats-officedocument.spreadsheetml.pivotTable+xml"/>
  <Override PartName="/xl/pivotTables/pivotTable70.xml" ContentType="application/vnd.openxmlformats-officedocument.spreadsheetml.pivotTable+xml"/>
  <Override PartName="/xl/pivotTables/pivotTable71.xml" ContentType="application/vnd.openxmlformats-officedocument.spreadsheetml.pivotTable+xml"/>
  <Override PartName="/xl/pivotTables/pivotTable72.xml" ContentType="application/vnd.openxmlformats-officedocument.spreadsheetml.pivotTable+xml"/>
  <Override PartName="/xl/pivotTables/pivotTable73.xml" ContentType="application/vnd.openxmlformats-officedocument.spreadsheetml.pivotTable+xml"/>
  <Override PartName="/xl/pivotTables/pivotTable74.xml" ContentType="application/vnd.openxmlformats-officedocument.spreadsheetml.pivotTable+xml"/>
  <Override PartName="/xl/pivotTables/pivotTable75.xml" ContentType="application/vnd.openxmlformats-officedocument.spreadsheetml.pivotTable+xml"/>
  <Override PartName="/xl/pivotTables/pivotTable76.xml" ContentType="application/vnd.openxmlformats-officedocument.spreadsheetml.pivotTable+xml"/>
  <Override PartName="/xl/pivotTables/pivotTable77.xml" ContentType="application/vnd.openxmlformats-officedocument.spreadsheetml.pivotTable+xml"/>
  <Override PartName="/xl/pivotTables/pivotTable78.xml" ContentType="application/vnd.openxmlformats-officedocument.spreadsheetml.pivotTable+xml"/>
  <Override PartName="/xl/pivotTables/pivotTable79.xml" ContentType="application/vnd.openxmlformats-officedocument.spreadsheetml.pivotTable+xml"/>
  <Override PartName="/xl/pivotTables/pivotTable80.xml" ContentType="application/vnd.openxmlformats-officedocument.spreadsheetml.pivotTable+xml"/>
  <Override PartName="/xl/pivotTables/pivotTable81.xml" ContentType="application/vnd.openxmlformats-officedocument.spreadsheetml.pivotTable+xml"/>
  <Override PartName="/xl/pivotTables/pivotTable82.xml" ContentType="application/vnd.openxmlformats-officedocument.spreadsheetml.pivotTable+xml"/>
  <Override PartName="/xl/pivotTables/pivotTable83.xml" ContentType="application/vnd.openxmlformats-officedocument.spreadsheetml.pivotTable+xml"/>
  <Override PartName="/xl/pivotTables/pivotTable84.xml" ContentType="application/vnd.openxmlformats-officedocument.spreadsheetml.pivotTable+xml"/>
  <Override PartName="/xl/pivotTables/pivotTable85.xml" ContentType="application/vnd.openxmlformats-officedocument.spreadsheetml.pivotTable+xml"/>
  <Override PartName="/xl/pivotTables/pivotTable86.xml" ContentType="application/vnd.openxmlformats-officedocument.spreadsheetml.pivotTable+xml"/>
  <Override PartName="/xl/pivotTables/pivotTable87.xml" ContentType="application/vnd.openxmlformats-officedocument.spreadsheetml.pivotTable+xml"/>
  <Override PartName="/xl/pivotTables/pivotTable88.xml" ContentType="application/vnd.openxmlformats-officedocument.spreadsheetml.pivotTable+xml"/>
  <Override PartName="/xl/pivotTables/pivotTable89.xml" ContentType="application/vnd.openxmlformats-officedocument.spreadsheetml.pivotTable+xml"/>
  <Override PartName="/xl/pivotTables/pivotTable90.xml" ContentType="application/vnd.openxmlformats-officedocument.spreadsheetml.pivotTable+xml"/>
  <Override PartName="/xl/pivotTables/pivotTable91.xml" ContentType="application/vnd.openxmlformats-officedocument.spreadsheetml.pivotTable+xml"/>
  <Override PartName="/xl/pivotTables/pivotTable92.xml" ContentType="application/vnd.openxmlformats-officedocument.spreadsheetml.pivotTable+xml"/>
  <Override PartName="/xl/pivotTables/pivotTable93.xml" ContentType="application/vnd.openxmlformats-officedocument.spreadsheetml.pivotTable+xml"/>
  <Override PartName="/xl/pivotTables/pivotTable94.xml" ContentType="application/vnd.openxmlformats-officedocument.spreadsheetml.pivotTable+xml"/>
  <Override PartName="/xl/pivotTables/pivotTable95.xml" ContentType="application/vnd.openxmlformats-officedocument.spreadsheetml.pivotTable+xml"/>
  <Override PartName="/xl/pivotTables/pivotTable96.xml" ContentType="application/vnd.openxmlformats-officedocument.spreadsheetml.pivotTable+xml"/>
  <Override PartName="/xl/pivotTables/pivotTable97.xml" ContentType="application/vnd.openxmlformats-officedocument.spreadsheetml.pivotTable+xml"/>
  <Override PartName="/xl/pivotTables/pivotTable98.xml" ContentType="application/vnd.openxmlformats-officedocument.spreadsheetml.pivotTable+xml"/>
  <Override PartName="/xl/pivotTables/pivotTable99.xml" ContentType="application/vnd.openxmlformats-officedocument.spreadsheetml.pivotTable+xml"/>
  <Override PartName="/xl/pivotTables/pivotTable100.xml" ContentType="application/vnd.openxmlformats-officedocument.spreadsheetml.pivotTable+xml"/>
  <Override PartName="/xl/pivotTables/pivotTable101.xml" ContentType="application/vnd.openxmlformats-officedocument.spreadsheetml.pivotTable+xml"/>
  <Override PartName="/xl/pivotTables/pivotTable102.xml" ContentType="application/vnd.openxmlformats-officedocument.spreadsheetml.pivotTable+xml"/>
  <Override PartName="/xl/pivotTables/pivotTable103.xml" ContentType="application/vnd.openxmlformats-officedocument.spreadsheetml.pivotTable+xml"/>
  <Override PartName="/xl/pivotTables/pivotTable104.xml" ContentType="application/vnd.openxmlformats-officedocument.spreadsheetml.pivotTable+xml"/>
  <Override PartName="/xl/pivotTables/pivotTable105.xml" ContentType="application/vnd.openxmlformats-officedocument.spreadsheetml.pivotTable+xml"/>
  <Override PartName="/xl/pivotTables/pivotTable106.xml" ContentType="application/vnd.openxmlformats-officedocument.spreadsheetml.pivotTable+xml"/>
  <Override PartName="/xl/pivotTables/pivotTable107.xml" ContentType="application/vnd.openxmlformats-officedocument.spreadsheetml.pivotTable+xml"/>
  <Override PartName="/xl/pivotTables/pivotTable108.xml" ContentType="application/vnd.openxmlformats-officedocument.spreadsheetml.pivotTable+xml"/>
  <Override PartName="/xl/pivotTables/pivotTable109.xml" ContentType="application/vnd.openxmlformats-officedocument.spreadsheetml.pivotTable+xml"/>
  <Override PartName="/xl/pivotTables/pivotTable110.xml" ContentType="application/vnd.openxmlformats-officedocument.spreadsheetml.pivotTable+xml"/>
  <Override PartName="/xl/pivotTables/pivotTable111.xml" ContentType="application/vnd.openxmlformats-officedocument.spreadsheetml.pivotTable+xml"/>
  <Override PartName="/xl/pivotTables/pivotTable112.xml" ContentType="application/vnd.openxmlformats-officedocument.spreadsheetml.pivotTable+xml"/>
  <Override PartName="/xl/pivotTables/pivotTable113.xml" ContentType="application/vnd.openxmlformats-officedocument.spreadsheetml.pivotTable+xml"/>
  <Override PartName="/xl/pivotTables/pivotTable114.xml" ContentType="application/vnd.openxmlformats-officedocument.spreadsheetml.pivotTable+xml"/>
  <Override PartName="/xl/pivotTables/pivotTable115.xml" ContentType="application/vnd.openxmlformats-officedocument.spreadsheetml.pivotTable+xml"/>
  <Override PartName="/xl/pivotTables/pivotTable116.xml" ContentType="application/vnd.openxmlformats-officedocument.spreadsheetml.pivotTable+xml"/>
  <Override PartName="/xl/pivotTables/pivotTable117.xml" ContentType="application/vnd.openxmlformats-officedocument.spreadsheetml.pivotTable+xml"/>
  <Override PartName="/xl/pivotTables/pivotTable118.xml" ContentType="application/vnd.openxmlformats-officedocument.spreadsheetml.pivotTable+xml"/>
  <Override PartName="/xl/pivotTables/pivotTable119.xml" ContentType="application/vnd.openxmlformats-officedocument.spreadsheetml.pivotTable+xml"/>
  <Override PartName="/xl/pivotTables/pivotTable120.xml" ContentType="application/vnd.openxmlformats-officedocument.spreadsheetml.pivotTable+xml"/>
  <Override PartName="/xl/pivotTables/pivotTable121.xml" ContentType="application/vnd.openxmlformats-officedocument.spreadsheetml.pivotTable+xml"/>
  <Override PartName="/xl/pivotTables/pivotTable122.xml" ContentType="application/vnd.openxmlformats-officedocument.spreadsheetml.pivotTable+xml"/>
  <Override PartName="/xl/pivotTables/pivotTable123.xml" ContentType="application/vnd.openxmlformats-officedocument.spreadsheetml.pivotTable+xml"/>
  <Override PartName="/xl/pivotTables/pivotTable124.xml" ContentType="application/vnd.openxmlformats-officedocument.spreadsheetml.pivotTable+xml"/>
  <Override PartName="/xl/pivotTables/pivotTable125.xml" ContentType="application/vnd.openxmlformats-officedocument.spreadsheetml.pivotTable+xml"/>
  <Override PartName="/xl/pivotTables/pivotTable126.xml" ContentType="application/vnd.openxmlformats-officedocument.spreadsheetml.pivotTable+xml"/>
  <Override PartName="/xl/pivotTables/pivotTable127.xml" ContentType="application/vnd.openxmlformats-officedocument.spreadsheetml.pivotTable+xml"/>
  <Override PartName="/xl/pivotTables/pivotTable128.xml" ContentType="application/vnd.openxmlformats-officedocument.spreadsheetml.pivotTable+xml"/>
  <Override PartName="/xl/pivotTables/pivotTable129.xml" ContentType="application/vnd.openxmlformats-officedocument.spreadsheetml.pivotTable+xml"/>
  <Override PartName="/xl/pivotTables/pivotTable130.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1"/>
  <workbookPr/>
  <xr:revisionPtr revIDLastSave="0" documentId="8_{7BBE319A-05F4-4EC7-B880-3FA6FD0A60FE}" xr6:coauthVersionLast="47" xr6:coauthVersionMax="47" xr10:uidLastSave="{00000000-0000-0000-0000-000000000000}"/>
  <bookViews>
    <workbookView xWindow="240" yWindow="105" windowWidth="14805" windowHeight="8010" firstSheet="3" activeTab="10" xr2:uid="{00000000-000D-0000-FFFF-FFFF00000000}"/>
  </bookViews>
  <sheets>
    <sheet name="RAW" sheetId="1" r:id="rId1"/>
    <sheet name="RAW Gen Analysis" sheetId="2" r:id="rId2"/>
    <sheet name="Modified" sheetId="4" r:id="rId3"/>
    <sheet name="Modified Gen Analysis" sheetId="3" r:id="rId4"/>
    <sheet name="Analysis" sheetId="5" r:id="rId5"/>
    <sheet name="Data wo TEE used" sheetId="9" r:id="rId6"/>
    <sheet name="TEE specific data" sheetId="8" r:id="rId7"/>
    <sheet name="Predeterm Abx specific data" sheetId="12" r:id="rId8"/>
    <sheet name="PAB and clinc improve" sheetId="13" r:id="rId9"/>
    <sheet name="TTE specific data" sheetId="11" r:id="rId10"/>
    <sheet name="chisq analysis" sheetId="7" r:id="rId11"/>
  </sheets>
  <calcPr calcId="191028"/>
  <pivotCaches>
    <pivotCache cacheId="8414" r:id="rId12"/>
    <pivotCache cacheId="8415" r:id="rId13"/>
    <pivotCache cacheId="8416" r:id="rId14"/>
    <pivotCache cacheId="8417" r:id="rId15"/>
    <pivotCache cacheId="8418" r:id="rId1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42" i="13" l="1"/>
  <c r="CM91" i="7"/>
  <c r="CM53" i="7"/>
  <c r="CA90" i="7"/>
  <c r="BX91" i="7"/>
  <c r="CA52" i="7"/>
  <c r="CA14" i="7"/>
  <c r="BX53" i="7"/>
  <c r="DO14" i="7"/>
  <c r="DJ14" i="7"/>
  <c r="DE14" i="7"/>
  <c r="AM14" i="7"/>
  <c r="AH14" i="7"/>
  <c r="N14" i="7"/>
  <c r="AM90" i="7"/>
  <c r="AH90" i="7"/>
  <c r="N90" i="7"/>
  <c r="AH52" i="7"/>
  <c r="AM52" i="7"/>
  <c r="CP14" i="7"/>
  <c r="EI14" i="7"/>
  <c r="W33" i="8"/>
  <c r="W31" i="8"/>
  <c r="W29" i="8"/>
  <c r="T33" i="8"/>
  <c r="T31" i="8"/>
  <c r="T29" i="8"/>
  <c r="I164" i="8"/>
  <c r="EH21" i="7"/>
  <c r="EH20" i="7"/>
  <c r="EH19" i="7"/>
  <c r="EH18" i="7"/>
  <c r="EH12" i="7"/>
  <c r="EG21" i="7" s="1"/>
  <c r="EG12" i="7"/>
  <c r="EG20" i="7" s="1"/>
  <c r="EH11" i="7"/>
  <c r="EG19" i="7" s="1"/>
  <c r="EG11" i="7"/>
  <c r="O74" i="13"/>
  <c r="O73" i="13"/>
  <c r="O72" i="13"/>
  <c r="O71" i="13"/>
  <c r="O65" i="13"/>
  <c r="N74" i="13" s="1"/>
  <c r="N65" i="13"/>
  <c r="N73" i="13" s="1"/>
  <c r="O64" i="13"/>
  <c r="N72" i="13" s="1"/>
  <c r="N64" i="13"/>
  <c r="BF40" i="13"/>
  <c r="BD40" i="13"/>
  <c r="BC40" i="13"/>
  <c r="AV40" i="13"/>
  <c r="AP40" i="13"/>
  <c r="AO40" i="13"/>
  <c r="AN40" i="13"/>
  <c r="Y40" i="13"/>
  <c r="D40" i="13"/>
  <c r="BF39" i="13"/>
  <c r="BD39" i="13"/>
  <c r="BC39" i="13"/>
  <c r="AV39" i="13"/>
  <c r="AP39" i="13"/>
  <c r="AO39" i="13"/>
  <c r="AN39" i="13"/>
  <c r="Y39" i="13"/>
  <c r="D39" i="13"/>
  <c r="BF38" i="13"/>
  <c r="BD38" i="13"/>
  <c r="BC38" i="13"/>
  <c r="AV38" i="13"/>
  <c r="AP38" i="13"/>
  <c r="AO38" i="13"/>
  <c r="AN38" i="13"/>
  <c r="Y38" i="13"/>
  <c r="D38" i="13"/>
  <c r="BF37" i="13"/>
  <c r="BD37" i="13"/>
  <c r="AV37" i="13"/>
  <c r="AP37" i="13"/>
  <c r="AO37" i="13"/>
  <c r="AN37" i="13"/>
  <c r="Y37" i="13"/>
  <c r="D37" i="13"/>
  <c r="BF36" i="13"/>
  <c r="BD36" i="13"/>
  <c r="BC36" i="13"/>
  <c r="AV36" i="13"/>
  <c r="AP36" i="13"/>
  <c r="AO36" i="13"/>
  <c r="AN36" i="13"/>
  <c r="Y36" i="13"/>
  <c r="D36" i="13"/>
  <c r="BF35" i="13"/>
  <c r="BD35" i="13"/>
  <c r="AV35" i="13"/>
  <c r="AP35" i="13"/>
  <c r="AO35" i="13"/>
  <c r="AN35" i="13"/>
  <c r="Y35" i="13"/>
  <c r="D35" i="13"/>
  <c r="BF34" i="13"/>
  <c r="BD34" i="13"/>
  <c r="BC34" i="13"/>
  <c r="AV34" i="13"/>
  <c r="AP34" i="13"/>
  <c r="AO34" i="13"/>
  <c r="AN34" i="13"/>
  <c r="Y34" i="13"/>
  <c r="D34" i="13"/>
  <c r="BF33" i="13"/>
  <c r="BD33" i="13"/>
  <c r="BC33" i="13"/>
  <c r="AV33" i="13"/>
  <c r="AP33" i="13"/>
  <c r="AO33" i="13"/>
  <c r="AN33" i="13"/>
  <c r="Y33" i="13"/>
  <c r="D33" i="13"/>
  <c r="BF32" i="13"/>
  <c r="BD32" i="13"/>
  <c r="BC32" i="13"/>
  <c r="AV32" i="13"/>
  <c r="AP32" i="13"/>
  <c r="AO32" i="13"/>
  <c r="AN32" i="13"/>
  <c r="Y32" i="13"/>
  <c r="D32" i="13"/>
  <c r="BF31" i="13"/>
  <c r="BD31" i="13"/>
  <c r="BC31" i="13"/>
  <c r="AV31" i="13"/>
  <c r="AP31" i="13"/>
  <c r="AO31" i="13"/>
  <c r="AN31" i="13"/>
  <c r="Y31" i="13"/>
  <c r="BF30" i="13"/>
  <c r="BD30" i="13"/>
  <c r="BC30" i="13"/>
  <c r="AP30" i="13"/>
  <c r="AO30" i="13"/>
  <c r="AN30" i="13"/>
  <c r="Y30" i="13"/>
  <c r="D30" i="13"/>
  <c r="BF29" i="13"/>
  <c r="BD29" i="13"/>
  <c r="AV29" i="13"/>
  <c r="AP29" i="13"/>
  <c r="AO29" i="13"/>
  <c r="AN29" i="13"/>
  <c r="Y29" i="13"/>
  <c r="D29" i="13"/>
  <c r="BF28" i="13"/>
  <c r="BD28" i="13"/>
  <c r="AV28" i="13"/>
  <c r="AP28" i="13"/>
  <c r="AO28" i="13"/>
  <c r="AN28" i="13"/>
  <c r="Y28" i="13"/>
  <c r="D28" i="13"/>
  <c r="BF27" i="13"/>
  <c r="BD27" i="13"/>
  <c r="AV27" i="13"/>
  <c r="AP27" i="13"/>
  <c r="AO27" i="13"/>
  <c r="AN27" i="13"/>
  <c r="Y27" i="13"/>
  <c r="D27" i="13"/>
  <c r="BF26" i="13"/>
  <c r="BD26" i="13"/>
  <c r="BC26" i="13"/>
  <c r="AV26" i="13"/>
  <c r="AP26" i="13"/>
  <c r="AO26" i="13"/>
  <c r="AN26" i="13"/>
  <c r="Y26" i="13"/>
  <c r="D26" i="13"/>
  <c r="BF25" i="13"/>
  <c r="BD25" i="13"/>
  <c r="AV25" i="13"/>
  <c r="AP25" i="13"/>
  <c r="AO25" i="13"/>
  <c r="AN25" i="13"/>
  <c r="Y25" i="13"/>
  <c r="D25" i="13"/>
  <c r="BF24" i="13"/>
  <c r="BD24" i="13"/>
  <c r="AV24" i="13"/>
  <c r="AP24" i="13"/>
  <c r="AO24" i="13"/>
  <c r="AN24" i="13"/>
  <c r="Y24" i="13"/>
  <c r="D24" i="13"/>
  <c r="BF23" i="13"/>
  <c r="BD23" i="13"/>
  <c r="AV23" i="13"/>
  <c r="AP23" i="13"/>
  <c r="AO23" i="13"/>
  <c r="AN23" i="13"/>
  <c r="Y23" i="13"/>
  <c r="D23" i="13"/>
  <c r="BF22" i="13"/>
  <c r="BD22" i="13"/>
  <c r="BC22" i="13"/>
  <c r="AV22" i="13"/>
  <c r="AP22" i="13"/>
  <c r="AO22" i="13"/>
  <c r="AN22" i="13"/>
  <c r="Y22" i="13"/>
  <c r="D22" i="13"/>
  <c r="BF21" i="13"/>
  <c r="BD21" i="13"/>
  <c r="AV21" i="13"/>
  <c r="AP21" i="13"/>
  <c r="AO21" i="13"/>
  <c r="AN21" i="13"/>
  <c r="Y21" i="13"/>
  <c r="D21" i="13"/>
  <c r="BF20" i="13"/>
  <c r="BD20" i="13"/>
  <c r="AV20" i="13"/>
  <c r="AP20" i="13"/>
  <c r="AO20" i="13"/>
  <c r="AN20" i="13"/>
  <c r="Y20" i="13"/>
  <c r="D20" i="13"/>
  <c r="BF19" i="13"/>
  <c r="BD19" i="13"/>
  <c r="AV19" i="13"/>
  <c r="AP19" i="13"/>
  <c r="AO19" i="13"/>
  <c r="AN19" i="13"/>
  <c r="Y19" i="13"/>
  <c r="D19" i="13"/>
  <c r="BF18" i="13"/>
  <c r="BD18" i="13"/>
  <c r="AV18" i="13"/>
  <c r="AP18" i="13"/>
  <c r="AO18" i="13"/>
  <c r="AN18" i="13"/>
  <c r="Y18" i="13"/>
  <c r="D18" i="13"/>
  <c r="BF17" i="13"/>
  <c r="BD17" i="13"/>
  <c r="AV17" i="13"/>
  <c r="AP17" i="13"/>
  <c r="AO17" i="13"/>
  <c r="AN17" i="13"/>
  <c r="Y17" i="13"/>
  <c r="D17" i="13"/>
  <c r="BF16" i="13"/>
  <c r="BD16" i="13"/>
  <c r="BC16" i="13"/>
  <c r="AV16" i="13"/>
  <c r="AP16" i="13"/>
  <c r="AO16" i="13"/>
  <c r="AN16" i="13"/>
  <c r="Y16" i="13"/>
  <c r="D16" i="13"/>
  <c r="BF15" i="13"/>
  <c r="BD15" i="13"/>
  <c r="AV15" i="13"/>
  <c r="AP15" i="13"/>
  <c r="AO15" i="13"/>
  <c r="AN15" i="13"/>
  <c r="Y15" i="13"/>
  <c r="D15" i="13"/>
  <c r="BF14" i="13"/>
  <c r="BD14" i="13"/>
  <c r="AV14" i="13"/>
  <c r="AP14" i="13"/>
  <c r="AO14" i="13"/>
  <c r="AN14" i="13"/>
  <c r="Y14" i="13"/>
  <c r="D14" i="13"/>
  <c r="BF13" i="13"/>
  <c r="BD13" i="13"/>
  <c r="AV13" i="13"/>
  <c r="AP13" i="13"/>
  <c r="AO13" i="13"/>
  <c r="AN13" i="13"/>
  <c r="Y13" i="13"/>
  <c r="D13" i="13"/>
  <c r="BF12" i="13"/>
  <c r="BD12" i="13"/>
  <c r="AV12" i="13"/>
  <c r="AP12" i="13"/>
  <c r="AO12" i="13"/>
  <c r="AN12" i="13"/>
  <c r="Y12" i="13"/>
  <c r="D12" i="13"/>
  <c r="BF11" i="13"/>
  <c r="BD11" i="13"/>
  <c r="AV11" i="13"/>
  <c r="AP11" i="13"/>
  <c r="AO11" i="13"/>
  <c r="AN11" i="13"/>
  <c r="Y11" i="13"/>
  <c r="D11" i="13"/>
  <c r="BF10" i="13"/>
  <c r="BD10" i="13"/>
  <c r="AV10" i="13"/>
  <c r="AP10" i="13"/>
  <c r="AO10" i="13"/>
  <c r="AN10" i="13"/>
  <c r="Y10" i="13"/>
  <c r="D10" i="13"/>
  <c r="BF9" i="13"/>
  <c r="BD9" i="13"/>
  <c r="AV9" i="13"/>
  <c r="AP9" i="13"/>
  <c r="AO9" i="13"/>
  <c r="AN9" i="13"/>
  <c r="Y9" i="13"/>
  <c r="D9" i="13"/>
  <c r="BF8" i="13"/>
  <c r="BD8" i="13"/>
  <c r="AV8" i="13"/>
  <c r="AP8" i="13"/>
  <c r="AO8" i="13"/>
  <c r="AN8" i="13"/>
  <c r="Y8" i="13"/>
  <c r="D8" i="13"/>
  <c r="BF7" i="13"/>
  <c r="BD7" i="13"/>
  <c r="BC7" i="13"/>
  <c r="AV7" i="13"/>
  <c r="AP7" i="13"/>
  <c r="AO7" i="13"/>
  <c r="AN7" i="13"/>
  <c r="Y7" i="13"/>
  <c r="D7" i="13"/>
  <c r="BF6" i="13"/>
  <c r="BD6" i="13"/>
  <c r="AV6" i="13"/>
  <c r="AP6" i="13"/>
  <c r="AO6" i="13"/>
  <c r="AN6" i="13"/>
  <c r="Y6" i="13"/>
  <c r="D6" i="13"/>
  <c r="BF5" i="13"/>
  <c r="BD5" i="13"/>
  <c r="AV5" i="13"/>
  <c r="AP5" i="13"/>
  <c r="AO5" i="13"/>
  <c r="AN5" i="13"/>
  <c r="Y5" i="13"/>
  <c r="D5" i="13"/>
  <c r="BF4" i="13"/>
  <c r="BD4" i="13"/>
  <c r="BC4" i="13"/>
  <c r="AV4" i="13"/>
  <c r="AP4" i="13"/>
  <c r="AO4" i="13"/>
  <c r="AN4" i="13"/>
  <c r="Y4" i="13"/>
  <c r="D4" i="13"/>
  <c r="BF3" i="13"/>
  <c r="BD3" i="13"/>
  <c r="AV3" i="13"/>
  <c r="AP3" i="13"/>
  <c r="AO3" i="13"/>
  <c r="AN3" i="13"/>
  <c r="Y3" i="13"/>
  <c r="BF2" i="13"/>
  <c r="AV2" i="13"/>
  <c r="AP2" i="13"/>
  <c r="AO2" i="13"/>
  <c r="AN2" i="13"/>
  <c r="Y2" i="13"/>
  <c r="D2" i="13"/>
  <c r="BT37" i="8"/>
  <c r="BS37" i="8"/>
  <c r="BT36" i="8"/>
  <c r="BS36" i="8"/>
  <c r="L78" i="12"/>
  <c r="L77" i="12"/>
  <c r="L76" i="12"/>
  <c r="L75" i="12"/>
  <c r="L69" i="12"/>
  <c r="K78" i="12" s="1"/>
  <c r="K69" i="12"/>
  <c r="K77" i="12" s="1"/>
  <c r="L68" i="12"/>
  <c r="K76" i="12" s="1"/>
  <c r="K68" i="12"/>
  <c r="BF56" i="12"/>
  <c r="BD56" i="12"/>
  <c r="BC56" i="12"/>
  <c r="AV56" i="12"/>
  <c r="AP56" i="12"/>
  <c r="AO56" i="12"/>
  <c r="AN56" i="12"/>
  <c r="Y56" i="12"/>
  <c r="D56" i="12"/>
  <c r="BF55" i="12"/>
  <c r="BD55" i="12"/>
  <c r="BC55" i="12"/>
  <c r="AV55" i="12"/>
  <c r="AP55" i="12"/>
  <c r="AO55" i="12"/>
  <c r="AN55" i="12"/>
  <c r="Y55" i="12"/>
  <c r="D55" i="12"/>
  <c r="BF54" i="12"/>
  <c r="BD54" i="12"/>
  <c r="BC54" i="12"/>
  <c r="AV54" i="12"/>
  <c r="AP54" i="12"/>
  <c r="AO54" i="12"/>
  <c r="AN54" i="12"/>
  <c r="Y54" i="12"/>
  <c r="D54" i="12"/>
  <c r="BF53" i="12"/>
  <c r="BD53" i="12"/>
  <c r="BC53" i="12"/>
  <c r="AV53" i="12"/>
  <c r="AP53" i="12"/>
  <c r="AO53" i="12"/>
  <c r="AN53" i="12"/>
  <c r="Y53" i="12"/>
  <c r="D53" i="12"/>
  <c r="BF52" i="12"/>
  <c r="BD52" i="12"/>
  <c r="AV52" i="12"/>
  <c r="AP52" i="12"/>
  <c r="AO52" i="12"/>
  <c r="AN52" i="12"/>
  <c r="Y52" i="12"/>
  <c r="D52" i="12"/>
  <c r="BF51" i="12"/>
  <c r="BD51" i="12"/>
  <c r="BC51" i="12"/>
  <c r="AV51" i="12"/>
  <c r="AP51" i="12"/>
  <c r="AO51" i="12"/>
  <c r="AN51" i="12"/>
  <c r="Y51" i="12"/>
  <c r="D51" i="12"/>
  <c r="BF50" i="12"/>
  <c r="BD50" i="12"/>
  <c r="AV50" i="12"/>
  <c r="AP50" i="12"/>
  <c r="AO50" i="12"/>
  <c r="AN50" i="12"/>
  <c r="Y50" i="12"/>
  <c r="D50" i="12"/>
  <c r="BF49" i="12"/>
  <c r="BD49" i="12"/>
  <c r="BC49" i="12"/>
  <c r="AV49" i="12"/>
  <c r="AP49" i="12"/>
  <c r="AO49" i="12"/>
  <c r="AN49" i="12"/>
  <c r="Y49" i="12"/>
  <c r="D49" i="12"/>
  <c r="BF48" i="12"/>
  <c r="BD48" i="12"/>
  <c r="BC48" i="12"/>
  <c r="AV48" i="12"/>
  <c r="AP48" i="12"/>
  <c r="AO48" i="12"/>
  <c r="AN48" i="12"/>
  <c r="Y48" i="12"/>
  <c r="D48" i="12"/>
  <c r="BF47" i="12"/>
  <c r="BD47" i="12"/>
  <c r="BC47" i="12"/>
  <c r="AV47" i="12"/>
  <c r="AP47" i="12"/>
  <c r="AO47" i="12"/>
  <c r="AN47" i="12"/>
  <c r="Y47" i="12"/>
  <c r="D47" i="12"/>
  <c r="BF46" i="12"/>
  <c r="BD46" i="12"/>
  <c r="BC46" i="12"/>
  <c r="AV46" i="12"/>
  <c r="AP46" i="12"/>
  <c r="AO46" i="12"/>
  <c r="AN46" i="12"/>
  <c r="Y46" i="12"/>
  <c r="D46" i="12"/>
  <c r="BF45" i="12"/>
  <c r="BD45" i="12"/>
  <c r="BC45" i="12"/>
  <c r="AV45" i="12"/>
  <c r="AP45" i="12"/>
  <c r="AO45" i="12"/>
  <c r="AN45" i="12"/>
  <c r="Y45" i="12"/>
  <c r="BF44" i="12"/>
  <c r="BD44" i="12"/>
  <c r="BC44" i="12"/>
  <c r="AP44" i="12"/>
  <c r="AO44" i="12"/>
  <c r="AN44" i="12"/>
  <c r="Y44" i="12"/>
  <c r="D44" i="12"/>
  <c r="BF43" i="12"/>
  <c r="BD43" i="12"/>
  <c r="AV43" i="12"/>
  <c r="AP43" i="12"/>
  <c r="AO43" i="12"/>
  <c r="AN43" i="12"/>
  <c r="Y43" i="12"/>
  <c r="D43" i="12"/>
  <c r="BF42" i="12"/>
  <c r="BD42" i="12"/>
  <c r="AV42" i="12"/>
  <c r="AP42" i="12"/>
  <c r="AO42" i="12"/>
  <c r="AN42" i="12"/>
  <c r="Y42" i="12"/>
  <c r="D42" i="12"/>
  <c r="BF41" i="12"/>
  <c r="BD41" i="12"/>
  <c r="AV41" i="12"/>
  <c r="AP41" i="12"/>
  <c r="AO41" i="12"/>
  <c r="AN41" i="12"/>
  <c r="Y41" i="12"/>
  <c r="D41" i="12"/>
  <c r="BF40" i="12"/>
  <c r="BD40" i="12"/>
  <c r="AV40" i="12"/>
  <c r="AP40" i="12"/>
  <c r="AO40" i="12"/>
  <c r="AN40" i="12"/>
  <c r="Y40" i="12"/>
  <c r="D40" i="12"/>
  <c r="BF39" i="12"/>
  <c r="BD39" i="12"/>
  <c r="AV39" i="12"/>
  <c r="AP39" i="12"/>
  <c r="AO39" i="12"/>
  <c r="AN39" i="12"/>
  <c r="Y39" i="12"/>
  <c r="D39" i="12"/>
  <c r="BF38" i="12"/>
  <c r="BD38" i="12"/>
  <c r="AV38" i="12"/>
  <c r="AP38" i="12"/>
  <c r="AO38" i="12"/>
  <c r="AN38" i="12"/>
  <c r="Y38" i="12"/>
  <c r="D38" i="12"/>
  <c r="BF37" i="12"/>
  <c r="BD37" i="12"/>
  <c r="BC37" i="12"/>
  <c r="AV37" i="12"/>
  <c r="AP37" i="12"/>
  <c r="AO37" i="12"/>
  <c r="AN37" i="12"/>
  <c r="Y37" i="12"/>
  <c r="D37" i="12"/>
  <c r="BF36" i="12"/>
  <c r="BD36" i="12"/>
  <c r="AV36" i="12"/>
  <c r="AP36" i="12"/>
  <c r="AO36" i="12"/>
  <c r="AN36" i="12"/>
  <c r="Y36" i="12"/>
  <c r="D36" i="12"/>
  <c r="BF35" i="12"/>
  <c r="BD35" i="12"/>
  <c r="AV35" i="12"/>
  <c r="AP35" i="12"/>
  <c r="AO35" i="12"/>
  <c r="AN35" i="12"/>
  <c r="Y35" i="12"/>
  <c r="D35" i="12"/>
  <c r="BF34" i="12"/>
  <c r="BD34" i="12"/>
  <c r="BC34" i="12"/>
  <c r="AV34" i="12"/>
  <c r="AP34" i="12"/>
  <c r="AO34" i="12"/>
  <c r="AN34" i="12"/>
  <c r="Y34" i="12"/>
  <c r="D34" i="12"/>
  <c r="BF33" i="12"/>
  <c r="BD33" i="12"/>
  <c r="AV33" i="12"/>
  <c r="AP33" i="12"/>
  <c r="AO33" i="12"/>
  <c r="AN33" i="12"/>
  <c r="Y33" i="12"/>
  <c r="D33" i="12"/>
  <c r="BF32" i="12"/>
  <c r="BD32" i="12"/>
  <c r="BC32" i="12"/>
  <c r="AV32" i="12"/>
  <c r="AP32" i="12"/>
  <c r="AO32" i="12"/>
  <c r="AN32" i="12"/>
  <c r="Y32" i="12"/>
  <c r="D32" i="12"/>
  <c r="BF31" i="12"/>
  <c r="BD31" i="12"/>
  <c r="AV31" i="12"/>
  <c r="AP31" i="12"/>
  <c r="AO31" i="12"/>
  <c r="AN31" i="12"/>
  <c r="Y31" i="12"/>
  <c r="D31" i="12"/>
  <c r="BF30" i="12"/>
  <c r="BD30" i="12"/>
  <c r="BC30" i="12"/>
  <c r="AV30" i="12"/>
  <c r="AP30" i="12"/>
  <c r="AO30" i="12"/>
  <c r="AN30" i="12"/>
  <c r="Y30" i="12"/>
  <c r="D30" i="12"/>
  <c r="BF29" i="12"/>
  <c r="BD29" i="12"/>
  <c r="AV29" i="12"/>
  <c r="AP29" i="12"/>
  <c r="AO29" i="12"/>
  <c r="AN29" i="12"/>
  <c r="Y29" i="12"/>
  <c r="D29" i="12"/>
  <c r="BF28" i="12"/>
  <c r="AV28" i="12"/>
  <c r="AP28" i="12"/>
  <c r="AO28" i="12"/>
  <c r="AN28" i="12"/>
  <c r="Y28" i="12"/>
  <c r="D28" i="12"/>
  <c r="BF27" i="12"/>
  <c r="BD27" i="12"/>
  <c r="BC27" i="12"/>
  <c r="AV27" i="12"/>
  <c r="AP27" i="12"/>
  <c r="AO27" i="12"/>
  <c r="AN27" i="12"/>
  <c r="Y27" i="12"/>
  <c r="D27" i="12"/>
  <c r="BF26" i="12"/>
  <c r="BD26" i="12"/>
  <c r="AV26" i="12"/>
  <c r="AP26" i="12"/>
  <c r="AO26" i="12"/>
  <c r="AN26" i="12"/>
  <c r="Y26" i="12"/>
  <c r="D26" i="12"/>
  <c r="BF25" i="12"/>
  <c r="BD25" i="12"/>
  <c r="AV25" i="12"/>
  <c r="AP25" i="12"/>
  <c r="AO25" i="12"/>
  <c r="AN25" i="12"/>
  <c r="Y25" i="12"/>
  <c r="D25" i="12"/>
  <c r="BF24" i="12"/>
  <c r="BD24" i="12"/>
  <c r="AV24" i="12"/>
  <c r="AP24" i="12"/>
  <c r="AO24" i="12"/>
  <c r="AN24" i="12"/>
  <c r="Y24" i="12"/>
  <c r="D24" i="12"/>
  <c r="BF23" i="12"/>
  <c r="BD23" i="12"/>
  <c r="AV23" i="12"/>
  <c r="AP23" i="12"/>
  <c r="AO23" i="12"/>
  <c r="AN23" i="12"/>
  <c r="Y23" i="12"/>
  <c r="D23" i="12"/>
  <c r="BF22" i="12"/>
  <c r="BD22" i="12"/>
  <c r="BC22" i="12"/>
  <c r="AV22" i="12"/>
  <c r="AP22" i="12"/>
  <c r="AO22" i="12"/>
  <c r="AN22" i="12"/>
  <c r="Y22" i="12"/>
  <c r="D22" i="12"/>
  <c r="BF21" i="12"/>
  <c r="BD21" i="12"/>
  <c r="AV21" i="12"/>
  <c r="AP21" i="12"/>
  <c r="AO21" i="12"/>
  <c r="AN21" i="12"/>
  <c r="Y21" i="12"/>
  <c r="D21" i="12"/>
  <c r="BF20" i="12"/>
  <c r="BD20" i="12"/>
  <c r="BC20" i="12"/>
  <c r="AV20" i="12"/>
  <c r="AP20" i="12"/>
  <c r="AO20" i="12"/>
  <c r="AN20" i="12"/>
  <c r="Y20" i="12"/>
  <c r="D20" i="12"/>
  <c r="BF19" i="12"/>
  <c r="BD19" i="12"/>
  <c r="BC19" i="12"/>
  <c r="AV19" i="12"/>
  <c r="AP19" i="12"/>
  <c r="AO19" i="12"/>
  <c r="AN19" i="12"/>
  <c r="Y19" i="12"/>
  <c r="D19" i="12"/>
  <c r="BF18" i="12"/>
  <c r="BD18" i="12"/>
  <c r="AV18" i="12"/>
  <c r="AP18" i="12"/>
  <c r="AO18" i="12"/>
  <c r="AN18" i="12"/>
  <c r="Y18" i="12"/>
  <c r="D18" i="12"/>
  <c r="BF17" i="12"/>
  <c r="BD17" i="12"/>
  <c r="AV17" i="12"/>
  <c r="AP17" i="12"/>
  <c r="AO17" i="12"/>
  <c r="AN17" i="12"/>
  <c r="Y17" i="12"/>
  <c r="D17" i="12"/>
  <c r="BF16" i="12"/>
  <c r="BD16" i="12"/>
  <c r="AV16" i="12"/>
  <c r="AP16" i="12"/>
  <c r="AO16" i="12"/>
  <c r="AN16" i="12"/>
  <c r="Y16" i="12"/>
  <c r="D16" i="12"/>
  <c r="BF15" i="12"/>
  <c r="BD15" i="12"/>
  <c r="AV15" i="12"/>
  <c r="AP15" i="12"/>
  <c r="AO15" i="12"/>
  <c r="AN15" i="12"/>
  <c r="Y15" i="12"/>
  <c r="D15" i="12"/>
  <c r="BF14" i="12"/>
  <c r="BD14" i="12"/>
  <c r="AV14" i="12"/>
  <c r="AP14" i="12"/>
  <c r="AO14" i="12"/>
  <c r="AN14" i="12"/>
  <c r="Y14" i="12"/>
  <c r="D14" i="12"/>
  <c r="BF13" i="12"/>
  <c r="BD13" i="12"/>
  <c r="AV13" i="12"/>
  <c r="AP13" i="12"/>
  <c r="AO13" i="12"/>
  <c r="AN13" i="12"/>
  <c r="Y13" i="12"/>
  <c r="D13" i="12"/>
  <c r="BF12" i="12"/>
  <c r="BD12" i="12"/>
  <c r="AV12" i="12"/>
  <c r="AP12" i="12"/>
  <c r="AO12" i="12"/>
  <c r="AN12" i="12"/>
  <c r="Y12" i="12"/>
  <c r="D12" i="12"/>
  <c r="BF11" i="12"/>
  <c r="BD11" i="12"/>
  <c r="AV11" i="12"/>
  <c r="AP11" i="12"/>
  <c r="AO11" i="12"/>
  <c r="AN11" i="12"/>
  <c r="Y11" i="12"/>
  <c r="D11" i="12"/>
  <c r="BF10" i="12"/>
  <c r="BD10" i="12"/>
  <c r="AV10" i="12"/>
  <c r="AP10" i="12"/>
  <c r="AO10" i="12"/>
  <c r="AN10" i="12"/>
  <c r="Y10" i="12"/>
  <c r="D10" i="12"/>
  <c r="BF9" i="12"/>
  <c r="BD9" i="12"/>
  <c r="AV9" i="12"/>
  <c r="AP9" i="12"/>
  <c r="AO9" i="12"/>
  <c r="AN9" i="12"/>
  <c r="Y9" i="12"/>
  <c r="D9" i="12"/>
  <c r="BF8" i="12"/>
  <c r="BD8" i="12"/>
  <c r="BC8" i="12"/>
  <c r="AV8" i="12"/>
  <c r="AP8" i="12"/>
  <c r="AO8" i="12"/>
  <c r="AN8" i="12"/>
  <c r="Y8" i="12"/>
  <c r="D8" i="12"/>
  <c r="BF7" i="12"/>
  <c r="BD7" i="12"/>
  <c r="AV7" i="12"/>
  <c r="AP7" i="12"/>
  <c r="AO7" i="12"/>
  <c r="AN7" i="12"/>
  <c r="Y7" i="12"/>
  <c r="D7" i="12"/>
  <c r="BF6" i="12"/>
  <c r="BD6" i="12"/>
  <c r="AV6" i="12"/>
  <c r="AP6" i="12"/>
  <c r="AO6" i="12"/>
  <c r="AN6" i="12"/>
  <c r="Y6" i="12"/>
  <c r="D6" i="12"/>
  <c r="BF5" i="12"/>
  <c r="BD5" i="12"/>
  <c r="BC5" i="12"/>
  <c r="AV5" i="12"/>
  <c r="AP5" i="12"/>
  <c r="AO5" i="12"/>
  <c r="AN5" i="12"/>
  <c r="Y5" i="12"/>
  <c r="D5" i="12"/>
  <c r="BF4" i="12"/>
  <c r="BD4" i="12"/>
  <c r="AV4" i="12"/>
  <c r="AP4" i="12"/>
  <c r="AO4" i="12"/>
  <c r="AN4" i="12"/>
  <c r="Y4" i="12"/>
  <c r="D4" i="12"/>
  <c r="BF3" i="12"/>
  <c r="BD3" i="12"/>
  <c r="AV3" i="12"/>
  <c r="AP3" i="12"/>
  <c r="AO3" i="12"/>
  <c r="AN3" i="12"/>
  <c r="Y3" i="12"/>
  <c r="BF2" i="12"/>
  <c r="AV2" i="12"/>
  <c r="AP2" i="12"/>
  <c r="AO2" i="12"/>
  <c r="AN2" i="12"/>
  <c r="Y2" i="12"/>
  <c r="D2" i="12"/>
  <c r="BT52" i="8"/>
  <c r="BS52" i="8"/>
  <c r="BT51" i="8"/>
  <c r="BS51" i="8"/>
  <c r="BR55" i="8" s="1"/>
  <c r="BU54" i="8" s="1"/>
  <c r="P24" i="8"/>
  <c r="Q24" i="8"/>
  <c r="R24" i="8"/>
  <c r="S24" i="8"/>
  <c r="T24" i="8"/>
  <c r="U24" i="8"/>
  <c r="V24" i="8"/>
  <c r="J24" i="8"/>
  <c r="K24" i="8"/>
  <c r="L24" i="8"/>
  <c r="M24" i="8"/>
  <c r="N24" i="8"/>
  <c r="O24" i="8"/>
  <c r="I24" i="8"/>
  <c r="DX97" i="7"/>
  <c r="DX96" i="7"/>
  <c r="DX95" i="7"/>
  <c r="DX94" i="7"/>
  <c r="EC59" i="7"/>
  <c r="EC58" i="7"/>
  <c r="EC57" i="7"/>
  <c r="EC56" i="7"/>
  <c r="DX59" i="7"/>
  <c r="DX58" i="7"/>
  <c r="DX57" i="7"/>
  <c r="DX56" i="7"/>
  <c r="EC88" i="7"/>
  <c r="EB88" i="7"/>
  <c r="EC87" i="7"/>
  <c r="EB87" i="7"/>
  <c r="DX88" i="7"/>
  <c r="DW97" i="7" s="1"/>
  <c r="DW88" i="7"/>
  <c r="DW96" i="7" s="1"/>
  <c r="DX87" i="7"/>
  <c r="DW95" i="7" s="1"/>
  <c r="DW87" i="7"/>
  <c r="DW94" i="7" s="1"/>
  <c r="EC50" i="7"/>
  <c r="EB59" i="7" s="1"/>
  <c r="EB50" i="7"/>
  <c r="EB58" i="7" s="1"/>
  <c r="EC49" i="7"/>
  <c r="EB57" i="7" s="1"/>
  <c r="EB49" i="7"/>
  <c r="EB56" i="7" s="1"/>
  <c r="DX50" i="7"/>
  <c r="DW59" i="7" s="1"/>
  <c r="DW50" i="7"/>
  <c r="DW58" i="7" s="1"/>
  <c r="DX49" i="7"/>
  <c r="DW57" i="7" s="1"/>
  <c r="DW49" i="7"/>
  <c r="DW56" i="7" s="1"/>
  <c r="EC12" i="7"/>
  <c r="EB12" i="7"/>
  <c r="EC11" i="7"/>
  <c r="EB11" i="7"/>
  <c r="DX12" i="7"/>
  <c r="DW12" i="7"/>
  <c r="DX11" i="7"/>
  <c r="DW11" i="7"/>
  <c r="DI97" i="7"/>
  <c r="DI96" i="7"/>
  <c r="DI95" i="7"/>
  <c r="DI94" i="7"/>
  <c r="DN59" i="7"/>
  <c r="DN58" i="7"/>
  <c r="DN57" i="7"/>
  <c r="DN56" i="7"/>
  <c r="DI59" i="7"/>
  <c r="DI58" i="7"/>
  <c r="DI57" i="7"/>
  <c r="DI56" i="7"/>
  <c r="DS88" i="7"/>
  <c r="DR88" i="7"/>
  <c r="DN88" i="7"/>
  <c r="DM88" i="7"/>
  <c r="DI88" i="7"/>
  <c r="DH97" i="7" s="1"/>
  <c r="DH88" i="7"/>
  <c r="DH96" i="7" s="1"/>
  <c r="DD88" i="7"/>
  <c r="DC88" i="7"/>
  <c r="DS87" i="7"/>
  <c r="DR87" i="7"/>
  <c r="DN87" i="7"/>
  <c r="DM87" i="7"/>
  <c r="DI87" i="7"/>
  <c r="DH95" i="7" s="1"/>
  <c r="DH87" i="7"/>
  <c r="DH94" i="7" s="1"/>
  <c r="DD87" i="7"/>
  <c r="DC87" i="7"/>
  <c r="DS50" i="7"/>
  <c r="DR50" i="7"/>
  <c r="DN50" i="7"/>
  <c r="DM59" i="7" s="1"/>
  <c r="DM50" i="7"/>
  <c r="DM58" i="7" s="1"/>
  <c r="DI50" i="7"/>
  <c r="DH59" i="7" s="1"/>
  <c r="DH50" i="7"/>
  <c r="DH58" i="7" s="1"/>
  <c r="DD50" i="7"/>
  <c r="DC50" i="7"/>
  <c r="DS49" i="7"/>
  <c r="DR49" i="7"/>
  <c r="DN49" i="7"/>
  <c r="DM57" i="7" s="1"/>
  <c r="DM49" i="7"/>
  <c r="DM56" i="7" s="1"/>
  <c r="DI49" i="7"/>
  <c r="DH57" i="7" s="1"/>
  <c r="DH49" i="7"/>
  <c r="DH56" i="7" s="1"/>
  <c r="DD49" i="7"/>
  <c r="DC49" i="7"/>
  <c r="DN21" i="7"/>
  <c r="DN20" i="7"/>
  <c r="DN19" i="7"/>
  <c r="DN18" i="7"/>
  <c r="DI21" i="7"/>
  <c r="DI20" i="7"/>
  <c r="DI19" i="7"/>
  <c r="DI18" i="7"/>
  <c r="DD21" i="7"/>
  <c r="DD20" i="7"/>
  <c r="DD19" i="7"/>
  <c r="DD18" i="7"/>
  <c r="DS12" i="7"/>
  <c r="DR12" i="7"/>
  <c r="DS11" i="7"/>
  <c r="DR11" i="7"/>
  <c r="DN12" i="7"/>
  <c r="DM21" i="7" s="1"/>
  <c r="DM12" i="7"/>
  <c r="DM20" i="7" s="1"/>
  <c r="DN11" i="7"/>
  <c r="DM19" i="7" s="1"/>
  <c r="DM11" i="7"/>
  <c r="DI12" i="7"/>
  <c r="DH21" i="7" s="1"/>
  <c r="DH12" i="7"/>
  <c r="DH20" i="7" s="1"/>
  <c r="DI11" i="7"/>
  <c r="DH19" i="7" s="1"/>
  <c r="DH11" i="7"/>
  <c r="DD12" i="7"/>
  <c r="DC21" i="7" s="1"/>
  <c r="DC12" i="7"/>
  <c r="DC20" i="7" s="1"/>
  <c r="DD11" i="7"/>
  <c r="DC19" i="7" s="1"/>
  <c r="DC11" i="7"/>
  <c r="BD3" i="3"/>
  <c r="CC130" i="7"/>
  <c r="CB130" i="7"/>
  <c r="CC129" i="7"/>
  <c r="CB129" i="7"/>
  <c r="CC128" i="7"/>
  <c r="CB128" i="7"/>
  <c r="CC127" i="7"/>
  <c r="CB127" i="7"/>
  <c r="BX126" i="7"/>
  <c r="BW126" i="7"/>
  <c r="BX125" i="7"/>
  <c r="BW125" i="7"/>
  <c r="CY92" i="7"/>
  <c r="CX92" i="7"/>
  <c r="CY91" i="7"/>
  <c r="CX91" i="7"/>
  <c r="CY90" i="7"/>
  <c r="CX90" i="7"/>
  <c r="CY89" i="7"/>
  <c r="CX89" i="7"/>
  <c r="CY54" i="7"/>
  <c r="CX54" i="7"/>
  <c r="CY53" i="7"/>
  <c r="CX53" i="7"/>
  <c r="CY52" i="7"/>
  <c r="CX52" i="7"/>
  <c r="CY51" i="7"/>
  <c r="CX51" i="7"/>
  <c r="CY15" i="7"/>
  <c r="CX15" i="7"/>
  <c r="CY14" i="7"/>
  <c r="CX14" i="7"/>
  <c r="CY13" i="7"/>
  <c r="CX13" i="7"/>
  <c r="CX16" i="7"/>
  <c r="CY16" i="7"/>
  <c r="CS11" i="7"/>
  <c r="CT88" i="7"/>
  <c r="CS88" i="7"/>
  <c r="CT87" i="7"/>
  <c r="CS87" i="7"/>
  <c r="CT50" i="7"/>
  <c r="CS50" i="7"/>
  <c r="CT49" i="7"/>
  <c r="CS49" i="7"/>
  <c r="CT12" i="7"/>
  <c r="CS12" i="7"/>
  <c r="CT11" i="7"/>
  <c r="BD135" i="7"/>
  <c r="BD134" i="7"/>
  <c r="BD133" i="7"/>
  <c r="BD132" i="7"/>
  <c r="BS135" i="7"/>
  <c r="BS134" i="7"/>
  <c r="BS133" i="7"/>
  <c r="BS132" i="7"/>
  <c r="AE135" i="7"/>
  <c r="AE134" i="7"/>
  <c r="AE133" i="7"/>
  <c r="AE132" i="7"/>
  <c r="P135" i="7"/>
  <c r="P134" i="7"/>
  <c r="P133" i="7"/>
  <c r="P132" i="7"/>
  <c r="BS126" i="7"/>
  <c r="BR135" i="7" s="1"/>
  <c r="BR126" i="7"/>
  <c r="BR134" i="7" s="1"/>
  <c r="BN126" i="7"/>
  <c r="BM126" i="7"/>
  <c r="BI126" i="7"/>
  <c r="BH126" i="7"/>
  <c r="BD126" i="7"/>
  <c r="BC135" i="7" s="1"/>
  <c r="BC126" i="7"/>
  <c r="BC134" i="7" s="1"/>
  <c r="BS125" i="7"/>
  <c r="BR133" i="7" s="1"/>
  <c r="BR125" i="7"/>
  <c r="BR132" i="7" s="1"/>
  <c r="BN125" i="7"/>
  <c r="BM125" i="7"/>
  <c r="BI125" i="7"/>
  <c r="BH125" i="7"/>
  <c r="BD125" i="7"/>
  <c r="BC133" i="7" s="1"/>
  <c r="BC125" i="7"/>
  <c r="BC132" i="7" s="1"/>
  <c r="AY126" i="7"/>
  <c r="AX126" i="7"/>
  <c r="AT126" i="7"/>
  <c r="AS126" i="7"/>
  <c r="AO126" i="7"/>
  <c r="AN126" i="7"/>
  <c r="AJ126" i="7"/>
  <c r="AI126" i="7"/>
  <c r="AY125" i="7"/>
  <c r="AX125" i="7"/>
  <c r="AT125" i="7"/>
  <c r="AS125" i="7"/>
  <c r="AO125" i="7"/>
  <c r="AN125" i="7"/>
  <c r="AJ125" i="7"/>
  <c r="AI125" i="7"/>
  <c r="AE126" i="7"/>
  <c r="AD135" i="7" s="1"/>
  <c r="AD126" i="7"/>
  <c r="AD134" i="7" s="1"/>
  <c r="Z126" i="7"/>
  <c r="Y126" i="7"/>
  <c r="U126" i="7"/>
  <c r="T126" i="7"/>
  <c r="P126" i="7"/>
  <c r="O135" i="7" s="1"/>
  <c r="O126" i="7"/>
  <c r="O134" i="7" s="1"/>
  <c r="AE125" i="7"/>
  <c r="AD133" i="7" s="1"/>
  <c r="AD125" i="7"/>
  <c r="AD132" i="7" s="1"/>
  <c r="Z125" i="7"/>
  <c r="Y125" i="7"/>
  <c r="U125" i="7"/>
  <c r="T125" i="7"/>
  <c r="P125" i="7"/>
  <c r="O133" i="7" s="1"/>
  <c r="O125" i="7"/>
  <c r="O132" i="7" s="1"/>
  <c r="CO97" i="7"/>
  <c r="CO96" i="7"/>
  <c r="CO95" i="7"/>
  <c r="CO94" i="7"/>
  <c r="CJ97" i="7"/>
  <c r="CJ96" i="7"/>
  <c r="CJ95" i="7"/>
  <c r="CJ94" i="7"/>
  <c r="BZ97" i="7"/>
  <c r="BZ96" i="7"/>
  <c r="BZ95" i="7"/>
  <c r="BZ94" i="7"/>
  <c r="CO88" i="7"/>
  <c r="CN97" i="7" s="1"/>
  <c r="CN88" i="7"/>
  <c r="CN96" i="7" s="1"/>
  <c r="CJ88" i="7"/>
  <c r="CI97" i="7" s="1"/>
  <c r="CI88" i="7"/>
  <c r="CI96" i="7" s="1"/>
  <c r="CE88" i="7"/>
  <c r="CD88" i="7"/>
  <c r="BZ88" i="7"/>
  <c r="BY97" i="7" s="1"/>
  <c r="BY88" i="7"/>
  <c r="BY96" i="7" s="1"/>
  <c r="CO87" i="7"/>
  <c r="CN95" i="7" s="1"/>
  <c r="CN87" i="7"/>
  <c r="CN94" i="7" s="1"/>
  <c r="CJ87" i="7"/>
  <c r="CI95" i="7" s="1"/>
  <c r="CI87" i="7"/>
  <c r="CI94" i="7" s="1"/>
  <c r="CE87" i="7"/>
  <c r="CD87" i="7"/>
  <c r="BZ87" i="7"/>
  <c r="BY95" i="7" s="1"/>
  <c r="BY87" i="7"/>
  <c r="BY94" i="7" s="1"/>
  <c r="CO59" i="7"/>
  <c r="CO58" i="7"/>
  <c r="CO57" i="7"/>
  <c r="CO56" i="7"/>
  <c r="BZ59" i="7"/>
  <c r="BZ58" i="7"/>
  <c r="BZ57" i="7"/>
  <c r="BZ56" i="7"/>
  <c r="CO50" i="7"/>
  <c r="CN59" i="7" s="1"/>
  <c r="CN50" i="7"/>
  <c r="CN58" i="7" s="1"/>
  <c r="CJ50" i="7"/>
  <c r="CI50" i="7"/>
  <c r="CE50" i="7"/>
  <c r="CD50" i="7"/>
  <c r="BZ50" i="7"/>
  <c r="BY59" i="7" s="1"/>
  <c r="BY50" i="7"/>
  <c r="BY58" i="7" s="1"/>
  <c r="CO49" i="7"/>
  <c r="CN57" i="7" s="1"/>
  <c r="CN49" i="7"/>
  <c r="CN56" i="7" s="1"/>
  <c r="CJ49" i="7"/>
  <c r="CI49" i="7"/>
  <c r="CE49" i="7"/>
  <c r="CD49" i="7"/>
  <c r="BZ49" i="7"/>
  <c r="BY57" i="7" s="1"/>
  <c r="BY49" i="7"/>
  <c r="BY56" i="7" s="1"/>
  <c r="CO21" i="7"/>
  <c r="CO20" i="7"/>
  <c r="CO19" i="7"/>
  <c r="CO18" i="7"/>
  <c r="BZ21" i="7"/>
  <c r="BZ20" i="7"/>
  <c r="BZ19" i="7"/>
  <c r="BZ18" i="7"/>
  <c r="CO12" i="7"/>
  <c r="CN21" i="7" s="1"/>
  <c r="CN12" i="7"/>
  <c r="CN20" i="7" s="1"/>
  <c r="CO11" i="7"/>
  <c r="CN19" i="7" s="1"/>
  <c r="CN11" i="7"/>
  <c r="CJ12" i="7"/>
  <c r="CI12" i="7"/>
  <c r="CJ11" i="7"/>
  <c r="CI11" i="7"/>
  <c r="CE12" i="7"/>
  <c r="CD12" i="7"/>
  <c r="CE11" i="7"/>
  <c r="CD11" i="7"/>
  <c r="BZ12" i="7"/>
  <c r="BY21" i="7" s="1"/>
  <c r="BY12" i="7"/>
  <c r="BY20" i="7" s="1"/>
  <c r="BZ11" i="7"/>
  <c r="BY19" i="7" s="1"/>
  <c r="BY11" i="7"/>
  <c r="BO52" i="8"/>
  <c r="BN52" i="8"/>
  <c r="BO51" i="8"/>
  <c r="BN51" i="8"/>
  <c r="BO37" i="8"/>
  <c r="BN37" i="8"/>
  <c r="BO36" i="8"/>
  <c r="BN36" i="8"/>
  <c r="K29" i="8"/>
  <c r="K28" i="8"/>
  <c r="K30" i="8" s="1"/>
  <c r="T28" i="8"/>
  <c r="W28" i="8"/>
  <c r="H28" i="8"/>
  <c r="E28" i="8"/>
  <c r="H29" i="8"/>
  <c r="E29" i="8"/>
  <c r="BJ67" i="8"/>
  <c r="BI67" i="8"/>
  <c r="BJ66" i="8"/>
  <c r="BI66" i="8"/>
  <c r="BE67" i="8"/>
  <c r="BD67" i="8"/>
  <c r="BE66" i="8"/>
  <c r="BD66" i="8"/>
  <c r="AZ67" i="8"/>
  <c r="AY67" i="8"/>
  <c r="AZ66" i="8"/>
  <c r="AY66" i="8"/>
  <c r="AU67" i="8"/>
  <c r="AT67" i="8"/>
  <c r="AU66" i="8"/>
  <c r="AT66" i="8"/>
  <c r="AP67" i="8"/>
  <c r="AO67" i="8"/>
  <c r="AP66" i="8"/>
  <c r="AO66" i="8"/>
  <c r="AK67" i="8"/>
  <c r="AJ67" i="8"/>
  <c r="AK66" i="8"/>
  <c r="AJ66" i="8"/>
  <c r="AF67" i="8"/>
  <c r="AE67" i="8"/>
  <c r="AF66" i="8"/>
  <c r="AE66" i="8"/>
  <c r="N115" i="11"/>
  <c r="M115" i="11"/>
  <c r="N114" i="11"/>
  <c r="M114" i="11"/>
  <c r="I115" i="11"/>
  <c r="H115" i="11"/>
  <c r="I114" i="11"/>
  <c r="H114" i="11"/>
  <c r="D115" i="11"/>
  <c r="C115" i="11"/>
  <c r="D114" i="11"/>
  <c r="C114" i="11"/>
  <c r="BT67" i="8"/>
  <c r="BS67" i="8"/>
  <c r="BT66" i="8"/>
  <c r="BS66" i="8"/>
  <c r="BO67" i="8"/>
  <c r="BN67" i="8"/>
  <c r="BO66" i="8"/>
  <c r="BN66" i="8"/>
  <c r="BU97" i="7"/>
  <c r="BU96" i="7"/>
  <c r="BU95" i="7"/>
  <c r="BU94" i="7"/>
  <c r="BP97" i="7"/>
  <c r="BP96" i="7"/>
  <c r="BP95" i="7"/>
  <c r="BP94" i="7"/>
  <c r="BU88" i="7"/>
  <c r="BT97" i="7" s="1"/>
  <c r="BT88" i="7"/>
  <c r="BT96" i="7" s="1"/>
  <c r="BU87" i="7"/>
  <c r="BT95" i="7" s="1"/>
  <c r="BT87" i="7"/>
  <c r="BT94" i="7" s="1"/>
  <c r="BP88" i="7"/>
  <c r="BO97" i="7" s="1"/>
  <c r="BO88" i="7"/>
  <c r="BO96" i="7" s="1"/>
  <c r="BP87" i="7"/>
  <c r="BO95" i="7" s="1"/>
  <c r="BO87" i="7"/>
  <c r="BO94" i="7" s="1"/>
  <c r="BP59" i="7"/>
  <c r="BP58" i="7"/>
  <c r="BP57" i="7"/>
  <c r="BP56" i="7"/>
  <c r="BU50" i="7"/>
  <c r="BT50" i="7"/>
  <c r="BU49" i="7"/>
  <c r="BT49" i="7"/>
  <c r="BP50" i="7"/>
  <c r="BO59" i="7" s="1"/>
  <c r="BO50" i="7"/>
  <c r="BO58" i="7" s="1"/>
  <c r="BP49" i="7"/>
  <c r="BO57" i="7" s="1"/>
  <c r="BO49" i="7"/>
  <c r="BO56" i="7" s="1"/>
  <c r="BU21" i="7"/>
  <c r="BU20" i="7"/>
  <c r="BU19" i="7"/>
  <c r="BU18" i="7"/>
  <c r="BU12" i="7"/>
  <c r="BT21" i="7" s="1"/>
  <c r="BT12" i="7"/>
  <c r="BT20" i="7" s="1"/>
  <c r="BU11" i="7"/>
  <c r="BT19" i="7" s="1"/>
  <c r="BT11" i="7"/>
  <c r="BT18" i="7" s="1"/>
  <c r="BP12" i="7"/>
  <c r="BO12" i="7"/>
  <c r="BP11" i="7"/>
  <c r="BO11" i="7"/>
  <c r="AP3" i="3"/>
  <c r="AP4" i="3"/>
  <c r="AP5" i="3"/>
  <c r="AP6" i="3"/>
  <c r="AP7" i="3"/>
  <c r="AP8" i="3"/>
  <c r="AP9" i="3"/>
  <c r="AP10" i="3"/>
  <c r="AP11" i="3"/>
  <c r="AP12" i="3"/>
  <c r="AP13" i="3"/>
  <c r="AP14" i="3"/>
  <c r="AP15" i="3"/>
  <c r="AP16" i="3"/>
  <c r="AP17" i="3"/>
  <c r="AP18" i="3"/>
  <c r="AP19" i="3"/>
  <c r="AP20" i="3"/>
  <c r="AP21" i="3"/>
  <c r="AP22" i="3"/>
  <c r="AP23" i="3"/>
  <c r="AP24" i="3"/>
  <c r="AP25" i="3"/>
  <c r="AP26" i="3"/>
  <c r="AP27" i="3"/>
  <c r="AP28" i="3"/>
  <c r="AP29" i="3"/>
  <c r="AP30" i="3"/>
  <c r="AP31" i="3"/>
  <c r="AP32" i="3"/>
  <c r="AP33" i="3"/>
  <c r="AP34" i="3"/>
  <c r="AP35" i="3"/>
  <c r="AP36" i="3"/>
  <c r="AP37" i="3"/>
  <c r="AP38" i="3"/>
  <c r="AP39" i="3"/>
  <c r="AP40" i="3"/>
  <c r="AP41" i="3"/>
  <c r="AP42" i="3"/>
  <c r="AP43" i="3"/>
  <c r="AP44" i="3"/>
  <c r="AP45" i="3"/>
  <c r="AP46" i="3"/>
  <c r="AP47" i="3"/>
  <c r="AP48" i="3"/>
  <c r="AP49" i="3"/>
  <c r="AP50" i="3"/>
  <c r="AP51" i="3"/>
  <c r="AP52" i="3"/>
  <c r="AP53" i="3"/>
  <c r="AP54" i="3"/>
  <c r="AP55" i="3"/>
  <c r="AP56" i="3"/>
  <c r="AP57" i="3"/>
  <c r="AP58" i="3"/>
  <c r="AP59" i="3"/>
  <c r="AP60" i="3"/>
  <c r="AP61" i="3"/>
  <c r="AP62" i="3"/>
  <c r="AP63" i="3"/>
  <c r="AP64" i="3"/>
  <c r="AP65" i="3"/>
  <c r="AP66" i="3"/>
  <c r="AP67" i="3"/>
  <c r="AP68" i="3"/>
  <c r="AP69" i="3"/>
  <c r="AP70" i="3"/>
  <c r="AP71" i="3"/>
  <c r="AP72" i="3"/>
  <c r="AP73" i="3"/>
  <c r="AP74" i="3"/>
  <c r="AP75" i="3"/>
  <c r="AP76" i="3"/>
  <c r="AP77" i="3"/>
  <c r="AP78" i="3"/>
  <c r="AP79" i="3"/>
  <c r="AP80" i="3"/>
  <c r="AP81" i="3"/>
  <c r="AP82" i="3"/>
  <c r="AP83" i="3"/>
  <c r="AP84" i="3"/>
  <c r="AP85" i="3"/>
  <c r="AP86" i="3"/>
  <c r="AP87" i="3"/>
  <c r="AP88" i="3"/>
  <c r="AP89" i="3"/>
  <c r="AP90" i="3"/>
  <c r="AP91" i="3"/>
  <c r="AP92" i="3"/>
  <c r="AP93" i="3"/>
  <c r="AP94" i="3"/>
  <c r="AP95" i="3"/>
  <c r="AP96" i="3"/>
  <c r="AP97" i="3"/>
  <c r="AP98" i="3"/>
  <c r="AP99" i="3"/>
  <c r="AP100" i="3"/>
  <c r="AP101" i="3"/>
  <c r="AP102" i="3"/>
  <c r="AP103" i="3"/>
  <c r="AP104" i="3"/>
  <c r="AP105" i="3"/>
  <c r="AP106" i="3"/>
  <c r="AP107" i="3"/>
  <c r="AP108" i="3"/>
  <c r="AP109" i="3"/>
  <c r="AP110" i="3"/>
  <c r="AP111" i="3"/>
  <c r="AP112" i="3"/>
  <c r="AP113" i="3"/>
  <c r="AP114" i="3"/>
  <c r="AP115" i="3"/>
  <c r="AP116" i="3"/>
  <c r="AP117" i="3"/>
  <c r="AP118" i="3"/>
  <c r="AP119" i="3"/>
  <c r="AP120" i="3"/>
  <c r="AP121" i="3"/>
  <c r="AP122" i="3"/>
  <c r="AP123" i="3"/>
  <c r="AP124" i="3"/>
  <c r="AP125" i="3"/>
  <c r="AP126" i="3"/>
  <c r="AP127" i="3"/>
  <c r="AP128" i="3"/>
  <c r="AP129" i="3"/>
  <c r="AP130" i="3"/>
  <c r="AP131" i="3"/>
  <c r="AP132" i="3"/>
  <c r="AP133" i="3"/>
  <c r="AP134" i="3"/>
  <c r="AP135" i="3"/>
  <c r="AP2" i="3"/>
  <c r="AQ137" i="3" s="1"/>
  <c r="AQ138" i="3" s="1"/>
  <c r="AO5" i="3"/>
  <c r="AO6" i="3"/>
  <c r="AO7" i="3"/>
  <c r="AO8" i="3"/>
  <c r="AO9" i="3"/>
  <c r="AO10" i="3"/>
  <c r="AO11" i="3"/>
  <c r="AO12" i="3"/>
  <c r="AO13" i="3"/>
  <c r="AO14" i="3"/>
  <c r="AO15" i="3"/>
  <c r="AO16" i="3"/>
  <c r="AO17" i="3"/>
  <c r="AO18" i="3"/>
  <c r="AO19" i="3"/>
  <c r="AO20" i="3"/>
  <c r="AO21" i="3"/>
  <c r="AO22" i="3"/>
  <c r="AO23" i="3"/>
  <c r="AO24" i="3"/>
  <c r="AO25" i="3"/>
  <c r="AO26" i="3"/>
  <c r="AO27" i="3"/>
  <c r="AO28" i="3"/>
  <c r="AO29" i="3"/>
  <c r="AO30" i="3"/>
  <c r="AO31" i="3"/>
  <c r="AO32" i="3"/>
  <c r="AO33"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10" i="3"/>
  <c r="AO111" i="3"/>
  <c r="AO112" i="3"/>
  <c r="AO113" i="3"/>
  <c r="AO114" i="3"/>
  <c r="AO115" i="3"/>
  <c r="AO116" i="3"/>
  <c r="AO117" i="3"/>
  <c r="AO118" i="3"/>
  <c r="AO119" i="3"/>
  <c r="AO120" i="3"/>
  <c r="AO121" i="3"/>
  <c r="AO122" i="3"/>
  <c r="AO123" i="3"/>
  <c r="AO124" i="3"/>
  <c r="AO125" i="3"/>
  <c r="AO126" i="3"/>
  <c r="AO127" i="3"/>
  <c r="AO128" i="3"/>
  <c r="AO129" i="3"/>
  <c r="AO130" i="3"/>
  <c r="AO131" i="3"/>
  <c r="AO132" i="3"/>
  <c r="AO133" i="3"/>
  <c r="AO134" i="3"/>
  <c r="AO135" i="3"/>
  <c r="AO3" i="3"/>
  <c r="AO4" i="3"/>
  <c r="AO2" i="3"/>
  <c r="AP137" i="3" s="1"/>
  <c r="AP138" i="3" s="1"/>
  <c r="AN3" i="3"/>
  <c r="AN4" i="3"/>
  <c r="AN5" i="3"/>
  <c r="AN6" i="3"/>
  <c r="AN7" i="3"/>
  <c r="AN8" i="3"/>
  <c r="AN9" i="3"/>
  <c r="AN10" i="3"/>
  <c r="AN11" i="3"/>
  <c r="AN12" i="3"/>
  <c r="AN13" i="3"/>
  <c r="AN14" i="3"/>
  <c r="AN15" i="3"/>
  <c r="AN16" i="3"/>
  <c r="AN17" i="3"/>
  <c r="AN18" i="3"/>
  <c r="AN19" i="3"/>
  <c r="AN20" i="3"/>
  <c r="AN21" i="3"/>
  <c r="AN22" i="3"/>
  <c r="AN23" i="3"/>
  <c r="AN24" i="3"/>
  <c r="AN25" i="3"/>
  <c r="AN26" i="3"/>
  <c r="AN27" i="3"/>
  <c r="AN28" i="3"/>
  <c r="AN29" i="3"/>
  <c r="AN30" i="3"/>
  <c r="AN31" i="3"/>
  <c r="AN32" i="3"/>
  <c r="AN33" i="3"/>
  <c r="AN34" i="3"/>
  <c r="AN35" i="3"/>
  <c r="AN36" i="3"/>
  <c r="AN37" i="3"/>
  <c r="AN38" i="3"/>
  <c r="AN39" i="3"/>
  <c r="AN40" i="3"/>
  <c r="AN41" i="3"/>
  <c r="AN42" i="3"/>
  <c r="AN43" i="3"/>
  <c r="AN44" i="3"/>
  <c r="AN45" i="3"/>
  <c r="AN46" i="3"/>
  <c r="AN47" i="3"/>
  <c r="AN48" i="3"/>
  <c r="AN49" i="3"/>
  <c r="AN50" i="3"/>
  <c r="AN51" i="3"/>
  <c r="AN52" i="3"/>
  <c r="AN53" i="3"/>
  <c r="AN54" i="3"/>
  <c r="AN55" i="3"/>
  <c r="AN56" i="3"/>
  <c r="AN57" i="3"/>
  <c r="AN58" i="3"/>
  <c r="AN59" i="3"/>
  <c r="AN60" i="3"/>
  <c r="AN61" i="3"/>
  <c r="AN62" i="3"/>
  <c r="AN63" i="3"/>
  <c r="AN64" i="3"/>
  <c r="AN65" i="3"/>
  <c r="AN66" i="3"/>
  <c r="AN67" i="3"/>
  <c r="AN68" i="3"/>
  <c r="AN69" i="3"/>
  <c r="AN70" i="3"/>
  <c r="AN71" i="3"/>
  <c r="AN72" i="3"/>
  <c r="AN73" i="3"/>
  <c r="AN74" i="3"/>
  <c r="AN75" i="3"/>
  <c r="AN76" i="3"/>
  <c r="AN77" i="3"/>
  <c r="AN78" i="3"/>
  <c r="AN79" i="3"/>
  <c r="AN80" i="3"/>
  <c r="AN81" i="3"/>
  <c r="AN82" i="3"/>
  <c r="AN83" i="3"/>
  <c r="AN84" i="3"/>
  <c r="AN85" i="3"/>
  <c r="AN86" i="3"/>
  <c r="AN87" i="3"/>
  <c r="AN88" i="3"/>
  <c r="AN89" i="3"/>
  <c r="AN90" i="3"/>
  <c r="AN91" i="3"/>
  <c r="AN92" i="3"/>
  <c r="AN93" i="3"/>
  <c r="AN94" i="3"/>
  <c r="AN95" i="3"/>
  <c r="AN96" i="3"/>
  <c r="AN97" i="3"/>
  <c r="AN98" i="3"/>
  <c r="AN99" i="3"/>
  <c r="AN100" i="3"/>
  <c r="AN101" i="3"/>
  <c r="AN102" i="3"/>
  <c r="AN103" i="3"/>
  <c r="AN104" i="3"/>
  <c r="AN105" i="3"/>
  <c r="AN106" i="3"/>
  <c r="AN107" i="3"/>
  <c r="AN108" i="3"/>
  <c r="AN109" i="3"/>
  <c r="AN110" i="3"/>
  <c r="AN111" i="3"/>
  <c r="AN112" i="3"/>
  <c r="AN113" i="3"/>
  <c r="AN114" i="3"/>
  <c r="AN115" i="3"/>
  <c r="AN116" i="3"/>
  <c r="AN117" i="3"/>
  <c r="AN118" i="3"/>
  <c r="AN119" i="3"/>
  <c r="AN120" i="3"/>
  <c r="AN121" i="3"/>
  <c r="AN122" i="3"/>
  <c r="AN123" i="3"/>
  <c r="AN124" i="3"/>
  <c r="AN125" i="3"/>
  <c r="AN126" i="3"/>
  <c r="AN127" i="3"/>
  <c r="AN128" i="3"/>
  <c r="AN129" i="3"/>
  <c r="AN130" i="3"/>
  <c r="AN131" i="3"/>
  <c r="AN132" i="3"/>
  <c r="AN133" i="3"/>
  <c r="AN134" i="3"/>
  <c r="AN135" i="3"/>
  <c r="AN2" i="3"/>
  <c r="AO137" i="3" s="1"/>
  <c r="AO138" i="3" s="1"/>
  <c r="F143" i="3"/>
  <c r="F144" i="3"/>
  <c r="F145" i="3"/>
  <c r="AV3" i="3"/>
  <c r="AV4" i="3"/>
  <c r="AV5" i="3"/>
  <c r="AV6" i="3"/>
  <c r="AV7" i="3"/>
  <c r="AV8" i="3"/>
  <c r="AV9" i="3"/>
  <c r="AV10" i="3"/>
  <c r="AV11" i="3"/>
  <c r="AV12" i="3"/>
  <c r="AV13" i="3"/>
  <c r="AV14" i="3"/>
  <c r="AV15" i="3"/>
  <c r="AV16" i="3"/>
  <c r="AV17" i="3"/>
  <c r="AV18" i="3"/>
  <c r="AV19" i="3"/>
  <c r="AV20" i="3"/>
  <c r="AV21" i="3"/>
  <c r="AV22" i="3"/>
  <c r="AV23" i="3"/>
  <c r="AV24" i="3"/>
  <c r="AV25" i="3"/>
  <c r="AV26" i="3"/>
  <c r="AV27" i="3"/>
  <c r="AV28" i="3"/>
  <c r="AV29" i="3"/>
  <c r="AV30" i="3"/>
  <c r="AV31" i="3"/>
  <c r="AV32" i="3"/>
  <c r="AV33" i="3"/>
  <c r="AV34" i="3"/>
  <c r="AV35" i="3"/>
  <c r="AV36" i="3"/>
  <c r="AV37" i="3"/>
  <c r="AV38" i="3"/>
  <c r="AV39" i="3"/>
  <c r="AV40" i="3"/>
  <c r="AV42" i="3"/>
  <c r="AV43" i="3"/>
  <c r="AV44" i="3"/>
  <c r="AV45" i="3"/>
  <c r="AV46" i="3"/>
  <c r="AV47" i="3"/>
  <c r="AV48" i="3"/>
  <c r="AV50" i="3"/>
  <c r="AV51" i="3"/>
  <c r="AV52" i="3"/>
  <c r="AV53" i="3"/>
  <c r="AV54" i="3"/>
  <c r="AV55" i="3"/>
  <c r="AV57" i="3"/>
  <c r="AV58" i="3"/>
  <c r="AV59" i="3"/>
  <c r="AV60" i="3"/>
  <c r="AV61" i="3"/>
  <c r="AV62" i="3"/>
  <c r="AV63" i="3"/>
  <c r="AV64" i="3"/>
  <c r="AV65" i="3"/>
  <c r="AV66" i="3"/>
  <c r="AV67" i="3"/>
  <c r="AV68" i="3"/>
  <c r="AV71" i="3"/>
  <c r="AV74" i="3"/>
  <c r="AV75" i="3"/>
  <c r="AV76" i="3"/>
  <c r="AV77" i="3"/>
  <c r="AV80" i="3"/>
  <c r="AV81" i="3"/>
  <c r="AV83" i="3"/>
  <c r="AV86" i="3"/>
  <c r="AV87" i="3"/>
  <c r="AV89" i="3"/>
  <c r="AV90" i="3"/>
  <c r="AV92" i="3"/>
  <c r="AV93" i="3"/>
  <c r="AV95" i="3"/>
  <c r="AV96" i="3"/>
  <c r="AV99" i="3"/>
  <c r="AV104" i="3"/>
  <c r="AV106" i="3"/>
  <c r="AV107" i="3"/>
  <c r="AV108" i="3"/>
  <c r="AV109" i="3"/>
  <c r="AV114" i="3"/>
  <c r="AV115" i="3"/>
  <c r="AV116" i="3"/>
  <c r="AV120" i="3"/>
  <c r="AV121" i="3"/>
  <c r="AV122" i="3"/>
  <c r="AV124" i="3"/>
  <c r="AV126" i="3"/>
  <c r="AV127" i="3"/>
  <c r="AV128" i="3"/>
  <c r="AV129" i="3"/>
  <c r="AV132" i="3"/>
  <c r="AV133" i="3"/>
  <c r="AV2" i="3"/>
  <c r="BF3" i="3"/>
  <c r="BF4" i="3"/>
  <c r="BF5" i="3"/>
  <c r="BF6" i="3"/>
  <c r="BF7" i="3"/>
  <c r="BF8" i="3"/>
  <c r="BF9" i="3"/>
  <c r="BF10" i="3"/>
  <c r="BF11" i="3"/>
  <c r="BF12" i="3"/>
  <c r="BF13" i="3"/>
  <c r="BF14" i="3"/>
  <c r="BF15" i="3"/>
  <c r="BF16" i="3"/>
  <c r="BF17" i="3"/>
  <c r="BF18" i="3"/>
  <c r="BF19" i="3"/>
  <c r="BF20" i="3"/>
  <c r="BF21" i="3"/>
  <c r="BF22" i="3"/>
  <c r="BF23" i="3"/>
  <c r="BF24" i="3"/>
  <c r="BF25" i="3"/>
  <c r="BF26" i="3"/>
  <c r="BF27" i="3"/>
  <c r="BF28" i="3"/>
  <c r="BF29" i="3"/>
  <c r="BF30" i="3"/>
  <c r="BF31" i="3"/>
  <c r="BF32" i="3"/>
  <c r="BF33" i="3"/>
  <c r="BF34" i="3"/>
  <c r="BF35" i="3"/>
  <c r="BF36" i="3"/>
  <c r="BF37" i="3"/>
  <c r="BF38" i="3"/>
  <c r="BF39" i="3"/>
  <c r="BF40" i="3"/>
  <c r="BF41" i="3"/>
  <c r="BF42" i="3"/>
  <c r="BF43" i="3"/>
  <c r="BF44" i="3"/>
  <c r="BF45" i="3"/>
  <c r="BF46" i="3"/>
  <c r="BF47" i="3"/>
  <c r="BF48" i="3"/>
  <c r="BF49" i="3"/>
  <c r="BF50" i="3"/>
  <c r="BF51" i="3"/>
  <c r="BF52" i="3"/>
  <c r="BF53" i="3"/>
  <c r="BF54" i="3"/>
  <c r="BG146" i="3" s="1"/>
  <c r="BF55" i="3"/>
  <c r="BF56" i="3"/>
  <c r="BF57" i="3"/>
  <c r="BF58" i="3"/>
  <c r="BF59" i="3"/>
  <c r="BF60" i="3"/>
  <c r="BF61" i="3"/>
  <c r="BF62" i="3"/>
  <c r="BF63" i="3"/>
  <c r="BF64" i="3"/>
  <c r="BF65" i="3"/>
  <c r="BF66" i="3"/>
  <c r="BF67" i="3"/>
  <c r="BF68" i="3"/>
  <c r="BF69" i="3"/>
  <c r="BF70" i="3"/>
  <c r="BF71" i="3"/>
  <c r="BG159" i="3" s="1"/>
  <c r="BF72" i="3"/>
  <c r="BF73" i="3"/>
  <c r="BF74" i="3"/>
  <c r="BF75" i="3"/>
  <c r="BF76" i="3"/>
  <c r="BF77" i="3"/>
  <c r="BF78" i="3"/>
  <c r="BF79" i="3"/>
  <c r="BF80" i="3"/>
  <c r="BF81" i="3"/>
  <c r="BF82" i="3"/>
  <c r="BF83" i="3"/>
  <c r="BF84" i="3"/>
  <c r="BF85" i="3"/>
  <c r="BF86" i="3"/>
  <c r="BF87" i="3"/>
  <c r="BF88" i="3"/>
  <c r="BF89" i="3"/>
  <c r="BF90" i="3"/>
  <c r="BF91" i="3"/>
  <c r="BF92" i="3"/>
  <c r="BF93" i="3"/>
  <c r="BF94" i="3"/>
  <c r="BF95" i="3"/>
  <c r="BF96" i="3"/>
  <c r="BF97" i="3"/>
  <c r="BF98" i="3"/>
  <c r="BF99" i="3"/>
  <c r="BF100" i="3"/>
  <c r="BF101" i="3"/>
  <c r="BF102" i="3"/>
  <c r="BF103" i="3"/>
  <c r="BF104" i="3"/>
  <c r="BF105" i="3"/>
  <c r="BF106" i="3"/>
  <c r="BF107" i="3"/>
  <c r="BF108" i="3"/>
  <c r="BF109" i="3"/>
  <c r="BF110" i="3"/>
  <c r="BF111" i="3"/>
  <c r="BF112" i="3"/>
  <c r="BF113" i="3"/>
  <c r="BF114" i="3"/>
  <c r="BF115" i="3"/>
  <c r="BF116" i="3"/>
  <c r="BF117" i="3"/>
  <c r="BF118" i="3"/>
  <c r="BF119" i="3"/>
  <c r="BF120" i="3"/>
  <c r="BF121" i="3"/>
  <c r="BF122" i="3"/>
  <c r="BF123" i="3"/>
  <c r="BF124" i="3"/>
  <c r="BF125" i="3"/>
  <c r="BF126" i="3"/>
  <c r="BF127" i="3"/>
  <c r="BF128" i="3"/>
  <c r="BF129" i="3"/>
  <c r="BF130" i="3"/>
  <c r="BF131" i="3"/>
  <c r="BF132" i="3"/>
  <c r="BF133" i="3"/>
  <c r="BF134" i="3"/>
  <c r="BF135" i="3"/>
  <c r="BF2" i="3"/>
  <c r="I126" i="7"/>
  <c r="H126" i="7"/>
  <c r="I125" i="7"/>
  <c r="H125" i="7"/>
  <c r="C126" i="7"/>
  <c r="B126" i="7"/>
  <c r="C125" i="7"/>
  <c r="B125" i="7"/>
  <c r="BK97" i="7"/>
  <c r="BK96" i="7"/>
  <c r="BK95" i="7"/>
  <c r="BK94" i="7"/>
  <c r="BF97" i="7"/>
  <c r="BF96" i="7"/>
  <c r="BF95" i="7"/>
  <c r="BF94" i="7"/>
  <c r="BK88" i="7"/>
  <c r="BJ97" i="7" s="1"/>
  <c r="BJ88" i="7"/>
  <c r="BJ96" i="7" s="1"/>
  <c r="BF88" i="7"/>
  <c r="BE97" i="7" s="1"/>
  <c r="BE88" i="7"/>
  <c r="BE96" i="7" s="1"/>
  <c r="BK87" i="7"/>
  <c r="BJ95" i="7" s="1"/>
  <c r="BJ87" i="7"/>
  <c r="BF87" i="7"/>
  <c r="BE95" i="7" s="1"/>
  <c r="BE87" i="7"/>
  <c r="BK50" i="7"/>
  <c r="BJ50" i="7"/>
  <c r="BK49" i="7"/>
  <c r="BJ49" i="7"/>
  <c r="BF50" i="7"/>
  <c r="BE50" i="7"/>
  <c r="BF49" i="7"/>
  <c r="BE49" i="7"/>
  <c r="BA97" i="7"/>
  <c r="BA96" i="7"/>
  <c r="BA95" i="7"/>
  <c r="BA94" i="7"/>
  <c r="BA88" i="7"/>
  <c r="AZ97" i="7" s="1"/>
  <c r="AZ88" i="7"/>
  <c r="AZ96" i="7" s="1"/>
  <c r="BA87" i="7"/>
  <c r="AZ95" i="7" s="1"/>
  <c r="AZ87" i="7"/>
  <c r="AV97" i="7"/>
  <c r="AV96" i="7"/>
  <c r="AV95" i="7"/>
  <c r="AV94" i="7"/>
  <c r="AV88" i="7"/>
  <c r="AU97" i="7" s="1"/>
  <c r="AU88" i="7"/>
  <c r="AU96" i="7" s="1"/>
  <c r="AV87" i="7"/>
  <c r="AU95" i="7" s="1"/>
  <c r="AU87" i="7"/>
  <c r="AQ97" i="7"/>
  <c r="AQ96" i="7"/>
  <c r="AQ95" i="7"/>
  <c r="AQ94" i="7"/>
  <c r="AQ88" i="7"/>
  <c r="AP97" i="7" s="1"/>
  <c r="AP88" i="7"/>
  <c r="AP96" i="7" s="1"/>
  <c r="AQ87" i="7"/>
  <c r="AP95" i="7" s="1"/>
  <c r="AP87" i="7"/>
  <c r="AL97" i="7"/>
  <c r="AL96" i="7"/>
  <c r="AL95" i="7"/>
  <c r="AL94" i="7"/>
  <c r="AL88" i="7"/>
  <c r="AK97" i="7" s="1"/>
  <c r="AK88" i="7"/>
  <c r="AK96" i="7" s="1"/>
  <c r="AL87" i="7"/>
  <c r="AK95" i="7" s="1"/>
  <c r="AK87" i="7"/>
  <c r="AG97" i="7"/>
  <c r="AG96" i="7"/>
  <c r="AG95" i="7"/>
  <c r="AG94" i="7"/>
  <c r="AG88" i="7"/>
  <c r="AF97" i="7" s="1"/>
  <c r="AF88" i="7"/>
  <c r="AF96" i="7" s="1"/>
  <c r="AG87" i="7"/>
  <c r="AF95" i="7" s="1"/>
  <c r="AF87" i="7"/>
  <c r="AB97" i="7"/>
  <c r="AB96" i="7"/>
  <c r="AB95" i="7"/>
  <c r="AB94" i="7"/>
  <c r="AB88" i="7"/>
  <c r="AA97" i="7" s="1"/>
  <c r="AA88" i="7"/>
  <c r="AA96" i="7" s="1"/>
  <c r="AB87" i="7"/>
  <c r="AA95" i="7" s="1"/>
  <c r="AA87" i="7"/>
  <c r="W88" i="7"/>
  <c r="V88" i="7"/>
  <c r="W87" i="7"/>
  <c r="V87" i="7"/>
  <c r="R88" i="7"/>
  <c r="Q88" i="7"/>
  <c r="R87" i="7"/>
  <c r="Q87" i="7"/>
  <c r="M97" i="7"/>
  <c r="M96" i="7"/>
  <c r="M95" i="7"/>
  <c r="M94" i="7"/>
  <c r="M88" i="7"/>
  <c r="L97" i="7" s="1"/>
  <c r="L88" i="7"/>
  <c r="L96" i="7" s="1"/>
  <c r="M87" i="7"/>
  <c r="L95" i="7" s="1"/>
  <c r="L87" i="7"/>
  <c r="H97" i="7"/>
  <c r="H96" i="7"/>
  <c r="H95" i="7"/>
  <c r="H94" i="7"/>
  <c r="H88" i="7"/>
  <c r="G97" i="7" s="1"/>
  <c r="G88" i="7"/>
  <c r="G96" i="7" s="1"/>
  <c r="H87" i="7"/>
  <c r="G95" i="7" s="1"/>
  <c r="G87" i="7"/>
  <c r="C97" i="7"/>
  <c r="C96" i="7"/>
  <c r="C95" i="7"/>
  <c r="C94" i="7"/>
  <c r="C88" i="7"/>
  <c r="B97" i="7" s="1"/>
  <c r="B88" i="7"/>
  <c r="B96" i="7" s="1"/>
  <c r="C87" i="7"/>
  <c r="B95" i="7" s="1"/>
  <c r="B87" i="7"/>
  <c r="BA59" i="7"/>
  <c r="BA58" i="7"/>
  <c r="BA57" i="7"/>
  <c r="BA56" i="7"/>
  <c r="BA50" i="7"/>
  <c r="AZ59" i="7" s="1"/>
  <c r="AZ50" i="7"/>
  <c r="AZ58" i="7" s="1"/>
  <c r="BA49" i="7"/>
  <c r="AZ57" i="7" s="1"/>
  <c r="AZ49" i="7"/>
  <c r="AV59" i="7"/>
  <c r="AV58" i="7"/>
  <c r="AV57" i="7"/>
  <c r="AV56" i="7"/>
  <c r="AV50" i="7"/>
  <c r="AU59" i="7" s="1"/>
  <c r="AU50" i="7"/>
  <c r="AU58" i="7" s="1"/>
  <c r="AV49" i="7"/>
  <c r="AU57" i="7" s="1"/>
  <c r="AU49" i="7"/>
  <c r="AQ50" i="7"/>
  <c r="AP50" i="7"/>
  <c r="AQ49" i="7"/>
  <c r="AP49" i="7"/>
  <c r="AL59" i="7"/>
  <c r="AL58" i="7"/>
  <c r="AL57" i="7"/>
  <c r="AL56" i="7"/>
  <c r="AL50" i="7"/>
  <c r="AK59" i="7" s="1"/>
  <c r="AK50" i="7"/>
  <c r="AK58" i="7" s="1"/>
  <c r="AL49" i="7"/>
  <c r="AK57" i="7" s="1"/>
  <c r="AK49" i="7"/>
  <c r="AG59" i="7"/>
  <c r="AG58" i="7"/>
  <c r="AG57" i="7"/>
  <c r="AG56" i="7"/>
  <c r="AG50" i="7"/>
  <c r="AF59" i="7" s="1"/>
  <c r="AF50" i="7"/>
  <c r="AF58" i="7" s="1"/>
  <c r="AG49" i="7"/>
  <c r="AF57" i="7" s="1"/>
  <c r="AF49" i="7"/>
  <c r="AB50" i="7"/>
  <c r="AA50" i="7"/>
  <c r="AB49" i="7"/>
  <c r="AA49" i="7"/>
  <c r="W50" i="7"/>
  <c r="V50" i="7"/>
  <c r="W49" i="7"/>
  <c r="V49" i="7"/>
  <c r="R50" i="7"/>
  <c r="Q50" i="7"/>
  <c r="R49" i="7"/>
  <c r="Q49" i="7"/>
  <c r="M50" i="7"/>
  <c r="L50" i="7"/>
  <c r="M49" i="7"/>
  <c r="L49" i="7"/>
  <c r="H50" i="7"/>
  <c r="G50" i="7"/>
  <c r="H49" i="7"/>
  <c r="G49" i="7"/>
  <c r="C59" i="7"/>
  <c r="C58" i="7"/>
  <c r="C57" i="7"/>
  <c r="C56" i="7"/>
  <c r="C50" i="7"/>
  <c r="B59" i="7" s="1"/>
  <c r="B50" i="7"/>
  <c r="B58" i="7" s="1"/>
  <c r="C49" i="7"/>
  <c r="B57" i="7" s="1"/>
  <c r="B49" i="7"/>
  <c r="BK21" i="7"/>
  <c r="BK20" i="7"/>
  <c r="BK19" i="7"/>
  <c r="BK18" i="7"/>
  <c r="BK12" i="7"/>
  <c r="BJ21" i="7" s="1"/>
  <c r="BJ12" i="7"/>
  <c r="BJ20" i="7" s="1"/>
  <c r="BK11" i="7"/>
  <c r="BJ19" i="7" s="1"/>
  <c r="BJ11" i="7"/>
  <c r="BF12" i="7"/>
  <c r="BE12" i="7"/>
  <c r="BF11" i="7"/>
  <c r="BE11" i="7"/>
  <c r="BA21" i="7"/>
  <c r="BA20" i="7"/>
  <c r="BA19" i="7"/>
  <c r="BA18" i="7"/>
  <c r="BA12" i="7"/>
  <c r="AZ21" i="7" s="1"/>
  <c r="AZ12" i="7"/>
  <c r="AZ20" i="7" s="1"/>
  <c r="BA11" i="7"/>
  <c r="AZ19" i="7" s="1"/>
  <c r="AZ11" i="7"/>
  <c r="BC154" i="3"/>
  <c r="BC155" i="3"/>
  <c r="BC156" i="3"/>
  <c r="BC157" i="3"/>
  <c r="BC158" i="3"/>
  <c r="BC159" i="3"/>
  <c r="BC151" i="3"/>
  <c r="BC152" i="3"/>
  <c r="BC142" i="3"/>
  <c r="BC143" i="3"/>
  <c r="BC144" i="3"/>
  <c r="BC145" i="3"/>
  <c r="BC146" i="3"/>
  <c r="BD146" i="3"/>
  <c r="BC140" i="3"/>
  <c r="BC139" i="3"/>
  <c r="BC161" i="3" s="1"/>
  <c r="BC137" i="3"/>
  <c r="BC138" i="3" s="1"/>
  <c r="BD4" i="3"/>
  <c r="BD5" i="3"/>
  <c r="BD6" i="3"/>
  <c r="BD7" i="3"/>
  <c r="BD8" i="3"/>
  <c r="BD9" i="3"/>
  <c r="BD10" i="3"/>
  <c r="BD11" i="3"/>
  <c r="BD12" i="3"/>
  <c r="BD13" i="3"/>
  <c r="BD14" i="3"/>
  <c r="BD15" i="3"/>
  <c r="BD16" i="3"/>
  <c r="BD17" i="3"/>
  <c r="BD18" i="3"/>
  <c r="BD19" i="3"/>
  <c r="BD20" i="3"/>
  <c r="BD21" i="3"/>
  <c r="BD22" i="3"/>
  <c r="BD23" i="3"/>
  <c r="BD24" i="3"/>
  <c r="BD25" i="3"/>
  <c r="BD26" i="3"/>
  <c r="BD27" i="3"/>
  <c r="BD28" i="3"/>
  <c r="BD29" i="3"/>
  <c r="BD30" i="3"/>
  <c r="BD31" i="3"/>
  <c r="BD33" i="3"/>
  <c r="BD34" i="3"/>
  <c r="BD35" i="3"/>
  <c r="BD36" i="3"/>
  <c r="BD37" i="3"/>
  <c r="BD38" i="3"/>
  <c r="BD39" i="3"/>
  <c r="BD40" i="3"/>
  <c r="BD41" i="3"/>
  <c r="BD42" i="3"/>
  <c r="BD43" i="3"/>
  <c r="BD44" i="3"/>
  <c r="BD45" i="3"/>
  <c r="BD46" i="3"/>
  <c r="BD47" i="3"/>
  <c r="BD48" i="3"/>
  <c r="BD49" i="3"/>
  <c r="BD50" i="3"/>
  <c r="BD51" i="3"/>
  <c r="BD52" i="3"/>
  <c r="BD53" i="3"/>
  <c r="BD54" i="3"/>
  <c r="BE146" i="3" s="1"/>
  <c r="BD55" i="3"/>
  <c r="BD56" i="3"/>
  <c r="BD57" i="3"/>
  <c r="BD58" i="3"/>
  <c r="BD59" i="3"/>
  <c r="BD60" i="3"/>
  <c r="BD61" i="3"/>
  <c r="BD62" i="3"/>
  <c r="BD63" i="3"/>
  <c r="BD64" i="3"/>
  <c r="BD65" i="3"/>
  <c r="BD66" i="3"/>
  <c r="BD67" i="3"/>
  <c r="BD68" i="3"/>
  <c r="BD69" i="3"/>
  <c r="BD70" i="3"/>
  <c r="BD71" i="3"/>
  <c r="BE159" i="3" s="1"/>
  <c r="BD72" i="3"/>
  <c r="BD73" i="3"/>
  <c r="BD74" i="3"/>
  <c r="BD75" i="3"/>
  <c r="BD76" i="3"/>
  <c r="BD77" i="3"/>
  <c r="BD78" i="3"/>
  <c r="BD79" i="3"/>
  <c r="BD80" i="3"/>
  <c r="BD81" i="3"/>
  <c r="BD82" i="3"/>
  <c r="BD83" i="3"/>
  <c r="BD84" i="3"/>
  <c r="BD85" i="3"/>
  <c r="BD86" i="3"/>
  <c r="BD87" i="3"/>
  <c r="BD88" i="3"/>
  <c r="BD89" i="3"/>
  <c r="BD90" i="3"/>
  <c r="BD91" i="3"/>
  <c r="BD92" i="3"/>
  <c r="BD93" i="3"/>
  <c r="BD94" i="3"/>
  <c r="BD95" i="3"/>
  <c r="BD96" i="3"/>
  <c r="BD97" i="3"/>
  <c r="BD98" i="3"/>
  <c r="BD99" i="3"/>
  <c r="BD100" i="3"/>
  <c r="BD101" i="3"/>
  <c r="BD102" i="3"/>
  <c r="BD103" i="3"/>
  <c r="BD104" i="3"/>
  <c r="BD105" i="3"/>
  <c r="BD106" i="3"/>
  <c r="BD107" i="3"/>
  <c r="BD108" i="3"/>
  <c r="BD109" i="3"/>
  <c r="BD110" i="3"/>
  <c r="BD111" i="3"/>
  <c r="BD112" i="3"/>
  <c r="BD113" i="3"/>
  <c r="BD114" i="3"/>
  <c r="BD115" i="3"/>
  <c r="BD116" i="3"/>
  <c r="BD117" i="3"/>
  <c r="BD118" i="3"/>
  <c r="BD119" i="3"/>
  <c r="BD120" i="3"/>
  <c r="BD121" i="3"/>
  <c r="BD122" i="3"/>
  <c r="BD123" i="3"/>
  <c r="BD124" i="3"/>
  <c r="BD125" i="3"/>
  <c r="BD126" i="3"/>
  <c r="BD127" i="3"/>
  <c r="BD128" i="3"/>
  <c r="BD129" i="3"/>
  <c r="BD130" i="3"/>
  <c r="BD131" i="3"/>
  <c r="BD132" i="3"/>
  <c r="BD133" i="3"/>
  <c r="BD134" i="3"/>
  <c r="BD135" i="3"/>
  <c r="BC78" i="3"/>
  <c r="BC109" i="3"/>
  <c r="BC8" i="3"/>
  <c r="BC11" i="3"/>
  <c r="BC23" i="3"/>
  <c r="BC24" i="3"/>
  <c r="BC26" i="3"/>
  <c r="BC31" i="3"/>
  <c r="BC34" i="3"/>
  <c r="BC36" i="3"/>
  <c r="BC38" i="3"/>
  <c r="BC42" i="3"/>
  <c r="BD144" i="3" s="1"/>
  <c r="BC44" i="3"/>
  <c r="BC48" i="3"/>
  <c r="BC49" i="3"/>
  <c r="BD145" i="3" s="1"/>
  <c r="BC52" i="3"/>
  <c r="BC55" i="3"/>
  <c r="BD142" i="3" s="1"/>
  <c r="BC56" i="3"/>
  <c r="BC58" i="3"/>
  <c r="BC59" i="3"/>
  <c r="BC60" i="3"/>
  <c r="BC61" i="3"/>
  <c r="BC62" i="3"/>
  <c r="BC63" i="3"/>
  <c r="BC67" i="3"/>
  <c r="BC69" i="3"/>
  <c r="BC70" i="3"/>
  <c r="BC71" i="3"/>
  <c r="BD159" i="3" s="1"/>
  <c r="BC72" i="3"/>
  <c r="BC73" i="3"/>
  <c r="BC74" i="3"/>
  <c r="BC75" i="3"/>
  <c r="BC76" i="3"/>
  <c r="BC77" i="3"/>
  <c r="BC79" i="3"/>
  <c r="BC80" i="3"/>
  <c r="BC81" i="3"/>
  <c r="BC82" i="3"/>
  <c r="BC83" i="3"/>
  <c r="BC84" i="3"/>
  <c r="BC85" i="3"/>
  <c r="BC86" i="3"/>
  <c r="BC87" i="3"/>
  <c r="BC88" i="3"/>
  <c r="BC90" i="3"/>
  <c r="BC91" i="3"/>
  <c r="BC92" i="3"/>
  <c r="BC93" i="3"/>
  <c r="BC94" i="3"/>
  <c r="BC95" i="3"/>
  <c r="BC96" i="3"/>
  <c r="BC97" i="3"/>
  <c r="BC98" i="3"/>
  <c r="BC99" i="3"/>
  <c r="BC100" i="3"/>
  <c r="BC101" i="3"/>
  <c r="BC103" i="3"/>
  <c r="BC104" i="3"/>
  <c r="BC105" i="3"/>
  <c r="BC106" i="3"/>
  <c r="BC107" i="3"/>
  <c r="BC110" i="3"/>
  <c r="BC111" i="3"/>
  <c r="BC112" i="3"/>
  <c r="BC113" i="3"/>
  <c r="BC114" i="3"/>
  <c r="BC116" i="3"/>
  <c r="BC117" i="3"/>
  <c r="BC118" i="3"/>
  <c r="BC119" i="3"/>
  <c r="BC120" i="3"/>
  <c r="BC121" i="3"/>
  <c r="BC122" i="3"/>
  <c r="BC123" i="3"/>
  <c r="BC124" i="3"/>
  <c r="BC125" i="3"/>
  <c r="BC126" i="3"/>
  <c r="BC127" i="3"/>
  <c r="BC128" i="3"/>
  <c r="BC129" i="3"/>
  <c r="BC130" i="3"/>
  <c r="BC131" i="3"/>
  <c r="BC132" i="3"/>
  <c r="BC133" i="3"/>
  <c r="BC134" i="3"/>
  <c r="BC135" i="3"/>
  <c r="CE31" i="8"/>
  <c r="CE30" i="8"/>
  <c r="CE29" i="8"/>
  <c r="CE28" i="8"/>
  <c r="AV21" i="7"/>
  <c r="AV20" i="7"/>
  <c r="AV19" i="7"/>
  <c r="AV18" i="7"/>
  <c r="AL21" i="7"/>
  <c r="AL20" i="7"/>
  <c r="AL19" i="7"/>
  <c r="AL18" i="7"/>
  <c r="AG21" i="7"/>
  <c r="AG20" i="7"/>
  <c r="AG19" i="7"/>
  <c r="AG18" i="7"/>
  <c r="M21" i="7"/>
  <c r="M20" i="7"/>
  <c r="M19" i="7"/>
  <c r="M18" i="7"/>
  <c r="AV12" i="7"/>
  <c r="AU21" i="7" s="1"/>
  <c r="AU12" i="7"/>
  <c r="AU20" i="7" s="1"/>
  <c r="AV11" i="7"/>
  <c r="AU19" i="7" s="1"/>
  <c r="AU11" i="7"/>
  <c r="AP52" i="8"/>
  <c r="AO52" i="8"/>
  <c r="AP51" i="8"/>
  <c r="AO51" i="8"/>
  <c r="AP37" i="8"/>
  <c r="AO37" i="8"/>
  <c r="AP36" i="8"/>
  <c r="AO36" i="8"/>
  <c r="BJ52" i="8"/>
  <c r="BI52" i="8"/>
  <c r="BE52" i="8"/>
  <c r="BD52" i="8"/>
  <c r="AZ52" i="8"/>
  <c r="AY52" i="8"/>
  <c r="AU52" i="8"/>
  <c r="AT52" i="8"/>
  <c r="AK52" i="8"/>
  <c r="AJ52" i="8"/>
  <c r="AF52" i="8"/>
  <c r="AE52" i="8"/>
  <c r="BJ51" i="8"/>
  <c r="BI51" i="8"/>
  <c r="BE51" i="8"/>
  <c r="BD51" i="8"/>
  <c r="AZ51" i="8"/>
  <c r="AY51" i="8"/>
  <c r="AU51" i="8"/>
  <c r="AT51" i="8"/>
  <c r="AK51" i="8"/>
  <c r="AJ51" i="8"/>
  <c r="AF51" i="8"/>
  <c r="AE51" i="8"/>
  <c r="BJ37" i="8"/>
  <c r="BI37" i="8"/>
  <c r="BJ36" i="8"/>
  <c r="BI36" i="8"/>
  <c r="BE37" i="8"/>
  <c r="CD31" i="8" s="1"/>
  <c r="BD37" i="8"/>
  <c r="CD30" i="8" s="1"/>
  <c r="BE36" i="8"/>
  <c r="CD29" i="8" s="1"/>
  <c r="BD36" i="8"/>
  <c r="CD28" i="8" s="1"/>
  <c r="AZ37" i="8"/>
  <c r="AY37" i="8"/>
  <c r="AZ36" i="8"/>
  <c r="AY36" i="8"/>
  <c r="AU37" i="8"/>
  <c r="AT37" i="8"/>
  <c r="AU36" i="8"/>
  <c r="AT36" i="8"/>
  <c r="AK37" i="8"/>
  <c r="AJ37" i="8"/>
  <c r="AK36" i="8"/>
  <c r="AJ36" i="8"/>
  <c r="AF37" i="8"/>
  <c r="AE37" i="8"/>
  <c r="AF36" i="8"/>
  <c r="AE36" i="8"/>
  <c r="S117" i="9"/>
  <c r="S116" i="9"/>
  <c r="F116" i="9"/>
  <c r="F117" i="9"/>
  <c r="F137" i="5"/>
  <c r="F138" i="5"/>
  <c r="W138" i="5"/>
  <c r="W137" i="5"/>
  <c r="AX3" i="9"/>
  <c r="AX4" i="9"/>
  <c r="AX5" i="9"/>
  <c r="AX6" i="9"/>
  <c r="AX7" i="9"/>
  <c r="AX8" i="9"/>
  <c r="AX9" i="9"/>
  <c r="AX10" i="9"/>
  <c r="AX11" i="9"/>
  <c r="AX12" i="9"/>
  <c r="AX13" i="9"/>
  <c r="AX14" i="9"/>
  <c r="AX15" i="9"/>
  <c r="AX16" i="9"/>
  <c r="AX17" i="9"/>
  <c r="AX18" i="9"/>
  <c r="AX19" i="9"/>
  <c r="AX20" i="9"/>
  <c r="AX21" i="9"/>
  <c r="AX22" i="9"/>
  <c r="AX23" i="9"/>
  <c r="AX24" i="9"/>
  <c r="AX25" i="9"/>
  <c r="AX26" i="9"/>
  <c r="AX27" i="9"/>
  <c r="AX28" i="9"/>
  <c r="AX29" i="9"/>
  <c r="AX30" i="9"/>
  <c r="AX31" i="9"/>
  <c r="AX32" i="9"/>
  <c r="AX33" i="9"/>
  <c r="AX34" i="9"/>
  <c r="AX35" i="9"/>
  <c r="AX36" i="9"/>
  <c r="AX37" i="9"/>
  <c r="AX38" i="9"/>
  <c r="AX39" i="9"/>
  <c r="AX40" i="9"/>
  <c r="AX41" i="9"/>
  <c r="AX42" i="9"/>
  <c r="AX43" i="9"/>
  <c r="AX44" i="9"/>
  <c r="AX45" i="9"/>
  <c r="AX46" i="9"/>
  <c r="AX47" i="9"/>
  <c r="AX48" i="9"/>
  <c r="AX49" i="9"/>
  <c r="AX50" i="9"/>
  <c r="AX51" i="9"/>
  <c r="AX52" i="9"/>
  <c r="AX53" i="9"/>
  <c r="AX54" i="9"/>
  <c r="AX55" i="9"/>
  <c r="AX56" i="9"/>
  <c r="AX57" i="9"/>
  <c r="AX58" i="9"/>
  <c r="AX59" i="9"/>
  <c r="AX60" i="9"/>
  <c r="AX61" i="9"/>
  <c r="AX62" i="9"/>
  <c r="AX63" i="9"/>
  <c r="AX64" i="9"/>
  <c r="AX65" i="9"/>
  <c r="AX66" i="9"/>
  <c r="AX67" i="9"/>
  <c r="AX68" i="9"/>
  <c r="AX69" i="9"/>
  <c r="AX70" i="9"/>
  <c r="AX71" i="9"/>
  <c r="AX72" i="9"/>
  <c r="AX73" i="9"/>
  <c r="AX74" i="9"/>
  <c r="AX75" i="9"/>
  <c r="AX76" i="9"/>
  <c r="AX77" i="9"/>
  <c r="AX78" i="9"/>
  <c r="AX79" i="9"/>
  <c r="AX80" i="9"/>
  <c r="AX81" i="9"/>
  <c r="AX82" i="9"/>
  <c r="AX83" i="9"/>
  <c r="AX84" i="9"/>
  <c r="AX85" i="9"/>
  <c r="AX86" i="9"/>
  <c r="AX87" i="9"/>
  <c r="AX88" i="9"/>
  <c r="AX89" i="9"/>
  <c r="AX90" i="9"/>
  <c r="AX91" i="9"/>
  <c r="AX92" i="9"/>
  <c r="AX93" i="9"/>
  <c r="AX94" i="9"/>
  <c r="AX95" i="9"/>
  <c r="AX96" i="9"/>
  <c r="AX97" i="9"/>
  <c r="AX98" i="9"/>
  <c r="AX99" i="9"/>
  <c r="AX100" i="9"/>
  <c r="AX101" i="9"/>
  <c r="AX102" i="9"/>
  <c r="AX103" i="9"/>
  <c r="AX104" i="9"/>
  <c r="AX105" i="9"/>
  <c r="AX106" i="9"/>
  <c r="AX107" i="9"/>
  <c r="AX108" i="9"/>
  <c r="AX109" i="9"/>
  <c r="AX110" i="9"/>
  <c r="AX111" i="9"/>
  <c r="AX112" i="9"/>
  <c r="AX113" i="9"/>
  <c r="AX114" i="9"/>
  <c r="AX2" i="9"/>
  <c r="AW3" i="9"/>
  <c r="AW4" i="9"/>
  <c r="AW5" i="9"/>
  <c r="AW6" i="9"/>
  <c r="AW7" i="9"/>
  <c r="AW8" i="9"/>
  <c r="AW9" i="9"/>
  <c r="AW10" i="9"/>
  <c r="AW11" i="9"/>
  <c r="AW12" i="9"/>
  <c r="AW13" i="9"/>
  <c r="AW14" i="9"/>
  <c r="AW15" i="9"/>
  <c r="AW16" i="9"/>
  <c r="AW17" i="9"/>
  <c r="AW18" i="9"/>
  <c r="AW19" i="9"/>
  <c r="AW20" i="9"/>
  <c r="AW21" i="9"/>
  <c r="AW22" i="9"/>
  <c r="AW23" i="9"/>
  <c r="AW24" i="9"/>
  <c r="AW25" i="9"/>
  <c r="AW26" i="9"/>
  <c r="AW27" i="9"/>
  <c r="AW28" i="9"/>
  <c r="AW29" i="9"/>
  <c r="AW30" i="9"/>
  <c r="AW31" i="9"/>
  <c r="AW32" i="9"/>
  <c r="AW33" i="9"/>
  <c r="AW34" i="9"/>
  <c r="AW35" i="9"/>
  <c r="AW36" i="9"/>
  <c r="AW37" i="9"/>
  <c r="AW38" i="9"/>
  <c r="AW39" i="9"/>
  <c r="AW40" i="9"/>
  <c r="AW41" i="9"/>
  <c r="AW42" i="9"/>
  <c r="AW43" i="9"/>
  <c r="AW44" i="9"/>
  <c r="AW45" i="9"/>
  <c r="AW46" i="9"/>
  <c r="AW47" i="9"/>
  <c r="AW48" i="9"/>
  <c r="AW49" i="9"/>
  <c r="AW50" i="9"/>
  <c r="AW51" i="9"/>
  <c r="AW52" i="9"/>
  <c r="AW53" i="9"/>
  <c r="AW54" i="9"/>
  <c r="AW55" i="9"/>
  <c r="AW56" i="9"/>
  <c r="AW57" i="9"/>
  <c r="AW58" i="9"/>
  <c r="AW59" i="9"/>
  <c r="AW60" i="9"/>
  <c r="AW61" i="9"/>
  <c r="AW62" i="9"/>
  <c r="AW63" i="9"/>
  <c r="AW64" i="9"/>
  <c r="AW65" i="9"/>
  <c r="AW66" i="9"/>
  <c r="AW67" i="9"/>
  <c r="AW68" i="9"/>
  <c r="AW69" i="9"/>
  <c r="AW70" i="9"/>
  <c r="AW71" i="9"/>
  <c r="AW72" i="9"/>
  <c r="AW73" i="9"/>
  <c r="AW74" i="9"/>
  <c r="AW75" i="9"/>
  <c r="AW76" i="9"/>
  <c r="AW77" i="9"/>
  <c r="AW78" i="9"/>
  <c r="AW79" i="9"/>
  <c r="AW80" i="9"/>
  <c r="AW81" i="9"/>
  <c r="AW82" i="9"/>
  <c r="AW83" i="9"/>
  <c r="AW84" i="9"/>
  <c r="AW85" i="9"/>
  <c r="AW86" i="9"/>
  <c r="AW87" i="9"/>
  <c r="AW88" i="9"/>
  <c r="AW89" i="9"/>
  <c r="AW90" i="9"/>
  <c r="AW91" i="9"/>
  <c r="AW92" i="9"/>
  <c r="AW93" i="9"/>
  <c r="AW94" i="9"/>
  <c r="AW95" i="9"/>
  <c r="AW96" i="9"/>
  <c r="AW97" i="9"/>
  <c r="AW98" i="9"/>
  <c r="AW99" i="9"/>
  <c r="AW100" i="9"/>
  <c r="AW101" i="9"/>
  <c r="AW102" i="9"/>
  <c r="AW103" i="9"/>
  <c r="AW104" i="9"/>
  <c r="AW105" i="9"/>
  <c r="AW106" i="9"/>
  <c r="AW107" i="9"/>
  <c r="AW108" i="9"/>
  <c r="AW109" i="9"/>
  <c r="AW110" i="9"/>
  <c r="AW111" i="9"/>
  <c r="AW112" i="9"/>
  <c r="AW113" i="9"/>
  <c r="AW114" i="9"/>
  <c r="AW2" i="9"/>
  <c r="BE3" i="8"/>
  <c r="BE4" i="8"/>
  <c r="BE5" i="8"/>
  <c r="BE6" i="8"/>
  <c r="BE7" i="8"/>
  <c r="BE8" i="8"/>
  <c r="BE9" i="8"/>
  <c r="BE10" i="8"/>
  <c r="BE11" i="8"/>
  <c r="BE12" i="8"/>
  <c r="BE13" i="8"/>
  <c r="BE14" i="8"/>
  <c r="BE15" i="8"/>
  <c r="BE16" i="8"/>
  <c r="BE17" i="8"/>
  <c r="BE18" i="8"/>
  <c r="BE19" i="8"/>
  <c r="BE20" i="8"/>
  <c r="BE21" i="8"/>
  <c r="BE22" i="8"/>
  <c r="BE2" i="8"/>
  <c r="BD3" i="8"/>
  <c r="BD4" i="8"/>
  <c r="BD5" i="8"/>
  <c r="BD6" i="8"/>
  <c r="BD7" i="8"/>
  <c r="BD8" i="8"/>
  <c r="BD9" i="8"/>
  <c r="BD10" i="8"/>
  <c r="BD11" i="8"/>
  <c r="BD12" i="8"/>
  <c r="BD13" i="8"/>
  <c r="BD14" i="8"/>
  <c r="BD15" i="8"/>
  <c r="BD16" i="8"/>
  <c r="BD17" i="8"/>
  <c r="BD18" i="8"/>
  <c r="BD19" i="8"/>
  <c r="BD20" i="8"/>
  <c r="BD21" i="8"/>
  <c r="BD22" i="8"/>
  <c r="BD2" i="8"/>
  <c r="AO3" i="9"/>
  <c r="AO4" i="9"/>
  <c r="AO5" i="9"/>
  <c r="AO6" i="9"/>
  <c r="AO7" i="9"/>
  <c r="AO8" i="9"/>
  <c r="AO9" i="9"/>
  <c r="AO10" i="9"/>
  <c r="AO11" i="9"/>
  <c r="AO12" i="9"/>
  <c r="AO13" i="9"/>
  <c r="AO14" i="9"/>
  <c r="AO15" i="9"/>
  <c r="AO16" i="9"/>
  <c r="AO17" i="9"/>
  <c r="AO18" i="9"/>
  <c r="AO19" i="9"/>
  <c r="AO20" i="9"/>
  <c r="AO21" i="9"/>
  <c r="AO22" i="9"/>
  <c r="AO23" i="9"/>
  <c r="AO24" i="9"/>
  <c r="AO25" i="9"/>
  <c r="AO26" i="9"/>
  <c r="AO27" i="9"/>
  <c r="AO29" i="9"/>
  <c r="AO30" i="9"/>
  <c r="AO31" i="9"/>
  <c r="AO32" i="9"/>
  <c r="AO34" i="9"/>
  <c r="AO35" i="9"/>
  <c r="AO36" i="9"/>
  <c r="AO37" i="9"/>
  <c r="AO38" i="9"/>
  <c r="AO40" i="9"/>
  <c r="AO41" i="9"/>
  <c r="AO42" i="9"/>
  <c r="AO43" i="9"/>
  <c r="AO44" i="9"/>
  <c r="AO45" i="9"/>
  <c r="AO46" i="9"/>
  <c r="AO47" i="9"/>
  <c r="AO48" i="9"/>
  <c r="AO49" i="9"/>
  <c r="AO50" i="9"/>
  <c r="AO53" i="9"/>
  <c r="AO56" i="9"/>
  <c r="AO57" i="9"/>
  <c r="AO58" i="9"/>
  <c r="AO60" i="9"/>
  <c r="AO61" i="9"/>
  <c r="AO63" i="9"/>
  <c r="AO66" i="9"/>
  <c r="AO67" i="9"/>
  <c r="AO69" i="9"/>
  <c r="AO70" i="9"/>
  <c r="AO72" i="9"/>
  <c r="AO73" i="9"/>
  <c r="AO75" i="9"/>
  <c r="AO76" i="9"/>
  <c r="AO79" i="9"/>
  <c r="AO84" i="9"/>
  <c r="AO86" i="9"/>
  <c r="AO87" i="9"/>
  <c r="AO88" i="9"/>
  <c r="AO93" i="9"/>
  <c r="AO94" i="9"/>
  <c r="AO95" i="9"/>
  <c r="AO99" i="9"/>
  <c r="AO100" i="9"/>
  <c r="AO101" i="9"/>
  <c r="AO103" i="9"/>
  <c r="AO105" i="9"/>
  <c r="AO106" i="9"/>
  <c r="AO107" i="9"/>
  <c r="AO108" i="9"/>
  <c r="AO111" i="9"/>
  <c r="AO112" i="9"/>
  <c r="AO2" i="9"/>
  <c r="W24" i="8"/>
  <c r="W25" i="8"/>
  <c r="N28" i="8"/>
  <c r="Q28" i="8"/>
  <c r="D9" i="9"/>
  <c r="D12" i="5"/>
  <c r="U114" i="9"/>
  <c r="D114" i="9"/>
  <c r="U113" i="9"/>
  <c r="D113" i="9"/>
  <c r="U112" i="9"/>
  <c r="D112" i="9"/>
  <c r="U111" i="9"/>
  <c r="D111" i="9"/>
  <c r="U110" i="9"/>
  <c r="D110" i="9"/>
  <c r="U109" i="9"/>
  <c r="D109" i="9"/>
  <c r="U108" i="9"/>
  <c r="D108" i="9"/>
  <c r="U107" i="9"/>
  <c r="D107" i="9"/>
  <c r="U106" i="9"/>
  <c r="D106" i="9"/>
  <c r="U105" i="9"/>
  <c r="D105" i="9"/>
  <c r="U104" i="9"/>
  <c r="D104" i="9"/>
  <c r="U103" i="9"/>
  <c r="D103" i="9"/>
  <c r="U102" i="9"/>
  <c r="D102" i="9"/>
  <c r="U101" i="9"/>
  <c r="D101" i="9"/>
  <c r="U100" i="9"/>
  <c r="D100" i="9"/>
  <c r="U99" i="9"/>
  <c r="D99" i="9"/>
  <c r="U98" i="9"/>
  <c r="D98" i="9"/>
  <c r="U97" i="9"/>
  <c r="D97" i="9"/>
  <c r="U96" i="9"/>
  <c r="D96" i="9"/>
  <c r="U95" i="9"/>
  <c r="D95" i="9"/>
  <c r="U94" i="9"/>
  <c r="D94" i="9"/>
  <c r="U93" i="9"/>
  <c r="D93" i="9"/>
  <c r="U92" i="9"/>
  <c r="D92" i="9"/>
  <c r="U91" i="9"/>
  <c r="D91" i="9"/>
  <c r="U90" i="9"/>
  <c r="D90" i="9"/>
  <c r="U89" i="9"/>
  <c r="D89" i="9"/>
  <c r="U88" i="9"/>
  <c r="D88" i="9"/>
  <c r="U87" i="9"/>
  <c r="D87" i="9"/>
  <c r="U86" i="9"/>
  <c r="D86" i="9"/>
  <c r="U85" i="9"/>
  <c r="D85" i="9"/>
  <c r="U84" i="9"/>
  <c r="D84" i="9"/>
  <c r="U83" i="9"/>
  <c r="D83" i="9"/>
  <c r="U82" i="9"/>
  <c r="D82" i="9"/>
  <c r="U81" i="9"/>
  <c r="D81" i="9"/>
  <c r="U80" i="9"/>
  <c r="D80" i="9"/>
  <c r="U79" i="9"/>
  <c r="D79" i="9"/>
  <c r="U78" i="9"/>
  <c r="D78" i="9"/>
  <c r="U77" i="9"/>
  <c r="D77" i="9"/>
  <c r="U76" i="9"/>
  <c r="D76" i="9"/>
  <c r="U75" i="9"/>
  <c r="D75" i="9"/>
  <c r="U74" i="9"/>
  <c r="D74" i="9"/>
  <c r="U73" i="9"/>
  <c r="D73" i="9"/>
  <c r="U72" i="9"/>
  <c r="D72" i="9"/>
  <c r="U71" i="9"/>
  <c r="D71" i="9"/>
  <c r="U70" i="9"/>
  <c r="D70" i="9"/>
  <c r="U69" i="9"/>
  <c r="D69" i="9"/>
  <c r="U68" i="9"/>
  <c r="D68" i="9"/>
  <c r="U67" i="9"/>
  <c r="D67" i="9"/>
  <c r="U66" i="9"/>
  <c r="D66" i="9"/>
  <c r="U65" i="9"/>
  <c r="D65" i="9"/>
  <c r="U64" i="9"/>
  <c r="D64" i="9"/>
  <c r="U63" i="9"/>
  <c r="D63" i="9"/>
  <c r="U62" i="9"/>
  <c r="D62" i="9"/>
  <c r="U61" i="9"/>
  <c r="D61" i="9"/>
  <c r="U60" i="9"/>
  <c r="D60" i="9"/>
  <c r="U59" i="9"/>
  <c r="D59" i="9"/>
  <c r="U58" i="9"/>
  <c r="D58" i="9"/>
  <c r="U57" i="9"/>
  <c r="D57" i="9"/>
  <c r="U56" i="9"/>
  <c r="D56" i="9"/>
  <c r="U55" i="9"/>
  <c r="D55" i="9"/>
  <c r="U54" i="9"/>
  <c r="D54" i="9"/>
  <c r="U53" i="9"/>
  <c r="D53" i="9"/>
  <c r="U52" i="9"/>
  <c r="D52" i="9"/>
  <c r="U51" i="9"/>
  <c r="D51" i="9"/>
  <c r="U50" i="9"/>
  <c r="D50" i="9"/>
  <c r="U49" i="9"/>
  <c r="D49" i="9"/>
  <c r="U48" i="9"/>
  <c r="D48" i="9"/>
  <c r="U47" i="9"/>
  <c r="D47" i="9"/>
  <c r="U46" i="9"/>
  <c r="D46" i="9"/>
  <c r="U45" i="9"/>
  <c r="D45" i="9"/>
  <c r="U44" i="9"/>
  <c r="D44" i="9"/>
  <c r="U43" i="9"/>
  <c r="D43" i="9"/>
  <c r="U42" i="9"/>
  <c r="D42" i="9"/>
  <c r="U41" i="9"/>
  <c r="U40" i="9"/>
  <c r="D40" i="9"/>
  <c r="U39" i="9"/>
  <c r="D39" i="9"/>
  <c r="U38" i="9"/>
  <c r="D38" i="9"/>
  <c r="U37" i="9"/>
  <c r="D37" i="9"/>
  <c r="U36" i="9"/>
  <c r="D36" i="9"/>
  <c r="U35" i="9"/>
  <c r="D35" i="9"/>
  <c r="U34" i="9"/>
  <c r="D34" i="9"/>
  <c r="U33" i="9"/>
  <c r="D33" i="9"/>
  <c r="U32" i="9"/>
  <c r="D32" i="9"/>
  <c r="U31" i="9"/>
  <c r="D31" i="9"/>
  <c r="U30" i="9"/>
  <c r="D30" i="9"/>
  <c r="U29" i="9"/>
  <c r="D29" i="9"/>
  <c r="U28" i="9"/>
  <c r="D28" i="9"/>
  <c r="U27" i="9"/>
  <c r="D27" i="9"/>
  <c r="U26" i="9"/>
  <c r="D26" i="9"/>
  <c r="U25" i="9"/>
  <c r="D25" i="9"/>
  <c r="U24" i="9"/>
  <c r="D24" i="9"/>
  <c r="U23" i="9"/>
  <c r="D23" i="9"/>
  <c r="U22" i="9"/>
  <c r="D22" i="9"/>
  <c r="U21" i="9"/>
  <c r="D21" i="9"/>
  <c r="U20" i="9"/>
  <c r="D20" i="9"/>
  <c r="U19" i="9"/>
  <c r="D19" i="9"/>
  <c r="U18" i="9"/>
  <c r="D18" i="9"/>
  <c r="U17" i="9"/>
  <c r="D17" i="9"/>
  <c r="U16" i="9"/>
  <c r="D16" i="9"/>
  <c r="U15" i="9"/>
  <c r="D15" i="9"/>
  <c r="U14" i="9"/>
  <c r="D14" i="9"/>
  <c r="U13" i="9"/>
  <c r="D13" i="9"/>
  <c r="U12" i="9"/>
  <c r="D12" i="9"/>
  <c r="U11" i="9"/>
  <c r="D11" i="9"/>
  <c r="U10" i="9"/>
  <c r="D10" i="9"/>
  <c r="U9" i="9"/>
  <c r="U8" i="9"/>
  <c r="D8" i="9"/>
  <c r="U7" i="9"/>
  <c r="D7" i="9"/>
  <c r="U6" i="9"/>
  <c r="D6" i="9"/>
  <c r="U5" i="9"/>
  <c r="D5" i="9"/>
  <c r="U4" i="9"/>
  <c r="D4" i="9"/>
  <c r="U3" i="9"/>
  <c r="D3" i="9"/>
  <c r="U2" i="9"/>
  <c r="F24" i="8"/>
  <c r="F25" i="8"/>
  <c r="BB3" i="8"/>
  <c r="BB4" i="8"/>
  <c r="BB5" i="8"/>
  <c r="BB6" i="8"/>
  <c r="BB7" i="8"/>
  <c r="BB8" i="8"/>
  <c r="BB9" i="8"/>
  <c r="BB10" i="8"/>
  <c r="BB11" i="8"/>
  <c r="BB12" i="8"/>
  <c r="BB13" i="8"/>
  <c r="BB14" i="8"/>
  <c r="BB15" i="8"/>
  <c r="BB16" i="8"/>
  <c r="BB17" i="8"/>
  <c r="BB18" i="8"/>
  <c r="BB19" i="8"/>
  <c r="BB20" i="8"/>
  <c r="BB21" i="8"/>
  <c r="BB22" i="8"/>
  <c r="BB2" i="8"/>
  <c r="AQ12" i="7"/>
  <c r="AP12" i="7"/>
  <c r="AQ11" i="7"/>
  <c r="AP11" i="7"/>
  <c r="AL12" i="7"/>
  <c r="AK21" i="7" s="1"/>
  <c r="AK12" i="7"/>
  <c r="AK20" i="7" s="1"/>
  <c r="AL11" i="7"/>
  <c r="AK19" i="7" s="1"/>
  <c r="AK11" i="7"/>
  <c r="AG12" i="7"/>
  <c r="AF21" i="7" s="1"/>
  <c r="AF12" i="7"/>
  <c r="AF20" i="7" s="1"/>
  <c r="AG11" i="7"/>
  <c r="AF19" i="7" s="1"/>
  <c r="AF11" i="7"/>
  <c r="AB12" i="7"/>
  <c r="AA12" i="7"/>
  <c r="AB11" i="7"/>
  <c r="AA11" i="7"/>
  <c r="W12" i="7"/>
  <c r="V12" i="7"/>
  <c r="W11" i="7"/>
  <c r="V11" i="7"/>
  <c r="R12" i="7"/>
  <c r="Q12" i="7"/>
  <c r="R11" i="7"/>
  <c r="Q11" i="7"/>
  <c r="M12" i="7"/>
  <c r="L21" i="7" s="1"/>
  <c r="L12" i="7"/>
  <c r="L20" i="7" s="1"/>
  <c r="M11" i="7"/>
  <c r="L19" i="7" s="1"/>
  <c r="L11" i="7"/>
  <c r="H12" i="7"/>
  <c r="G12" i="7"/>
  <c r="H11" i="7"/>
  <c r="G11" i="7"/>
  <c r="C12" i="7"/>
  <c r="B12" i="7"/>
  <c r="C11" i="7"/>
  <c r="B11" i="7"/>
  <c r="AV22" i="8"/>
  <c r="Y22" i="8"/>
  <c r="D22" i="8"/>
  <c r="Y21" i="8"/>
  <c r="D21" i="8"/>
  <c r="AV20" i="8"/>
  <c r="Y20" i="8"/>
  <c r="D20" i="8"/>
  <c r="AV19" i="8"/>
  <c r="Y19" i="8"/>
  <c r="D19" i="8"/>
  <c r="AV18" i="8"/>
  <c r="Y18" i="8"/>
  <c r="D18" i="8"/>
  <c r="AV17" i="8"/>
  <c r="Y17" i="8"/>
  <c r="D17" i="8"/>
  <c r="AV16" i="8"/>
  <c r="Y16" i="8"/>
  <c r="D16" i="8"/>
  <c r="AV15" i="8"/>
  <c r="Y15" i="8"/>
  <c r="D15" i="8"/>
  <c r="AV14" i="8"/>
  <c r="Y14" i="8"/>
  <c r="D14" i="8"/>
  <c r="AV13" i="8"/>
  <c r="Y13" i="8"/>
  <c r="D13" i="8"/>
  <c r="AV12" i="8"/>
  <c r="Y12" i="8"/>
  <c r="D12" i="8"/>
  <c r="AV11" i="8"/>
  <c r="Y11" i="8"/>
  <c r="D11" i="8"/>
  <c r="AV10" i="8"/>
  <c r="Y10" i="8"/>
  <c r="D10" i="8"/>
  <c r="AV9" i="8"/>
  <c r="Y9" i="8"/>
  <c r="D9" i="8"/>
  <c r="AV8" i="8"/>
  <c r="Y8" i="8"/>
  <c r="D8" i="8"/>
  <c r="AV7" i="8"/>
  <c r="Y7" i="8"/>
  <c r="D7" i="8"/>
  <c r="AV6" i="8"/>
  <c r="Y6" i="8"/>
  <c r="D6" i="8"/>
  <c r="AV5" i="8"/>
  <c r="Y5" i="8"/>
  <c r="D5" i="8"/>
  <c r="AV4" i="8"/>
  <c r="Y4" i="8"/>
  <c r="D4" i="8"/>
  <c r="AV3" i="8"/>
  <c r="Y3" i="8"/>
  <c r="D3" i="8"/>
  <c r="AV2" i="8"/>
  <c r="Y2" i="8"/>
  <c r="D2" i="8"/>
  <c r="BB4" i="5"/>
  <c r="BB5" i="5"/>
  <c r="BB16" i="5"/>
  <c r="BB19" i="5"/>
  <c r="BB23" i="5"/>
  <c r="BB24" i="5"/>
  <c r="BB25" i="5"/>
  <c r="BB31" i="5"/>
  <c r="BB33" i="5"/>
  <c r="BB34" i="5"/>
  <c r="BB36" i="5"/>
  <c r="BB39" i="5"/>
  <c r="BB42" i="5"/>
  <c r="BB46" i="5"/>
  <c r="BB47" i="5"/>
  <c r="BB53" i="5"/>
  <c r="BB66" i="5"/>
  <c r="BB77" i="5"/>
  <c r="BB78" i="5"/>
  <c r="BB109" i="5"/>
  <c r="BB2" i="5"/>
  <c r="AV2" i="5"/>
  <c r="AV3" i="5"/>
  <c r="AV4" i="5"/>
  <c r="AV5" i="5"/>
  <c r="AV6" i="5"/>
  <c r="AV7" i="5"/>
  <c r="AV8" i="5"/>
  <c r="AV9" i="5"/>
  <c r="AV10" i="5"/>
  <c r="AV11" i="5"/>
  <c r="AV12" i="5"/>
  <c r="AV13" i="5"/>
  <c r="AV14" i="5"/>
  <c r="AV15" i="5"/>
  <c r="AV16" i="5"/>
  <c r="AV17" i="5"/>
  <c r="AV18" i="5"/>
  <c r="AV19" i="5"/>
  <c r="AV20" i="5"/>
  <c r="AV21" i="5"/>
  <c r="AV22" i="5"/>
  <c r="AV23" i="5"/>
  <c r="AV24" i="5"/>
  <c r="AV25" i="5"/>
  <c r="AV26" i="5"/>
  <c r="AV27" i="5"/>
  <c r="AV28" i="5"/>
  <c r="AV29" i="5"/>
  <c r="AV30" i="5"/>
  <c r="AV31" i="5"/>
  <c r="AV32" i="5"/>
  <c r="AV33" i="5"/>
  <c r="AV34" i="5"/>
  <c r="AV35" i="5"/>
  <c r="AV36" i="5"/>
  <c r="AV37" i="5"/>
  <c r="AV38" i="5"/>
  <c r="AV39" i="5"/>
  <c r="AV40" i="5"/>
  <c r="AV42" i="5"/>
  <c r="AV43" i="5"/>
  <c r="AV44" i="5"/>
  <c r="AV45" i="5"/>
  <c r="AV46" i="5"/>
  <c r="AV47" i="5"/>
  <c r="AV48" i="5"/>
  <c r="AV50" i="5"/>
  <c r="AV51" i="5"/>
  <c r="AV52" i="5"/>
  <c r="AV53" i="5"/>
  <c r="AV54" i="5"/>
  <c r="AV55" i="5"/>
  <c r="AV57" i="5"/>
  <c r="AV58" i="5"/>
  <c r="AV59" i="5"/>
  <c r="AV60" i="5"/>
  <c r="AV61" i="5"/>
  <c r="AV62" i="5"/>
  <c r="AV63" i="5"/>
  <c r="AV64" i="5"/>
  <c r="AV65" i="5"/>
  <c r="AV66" i="5"/>
  <c r="AV67" i="5"/>
  <c r="AV68" i="5"/>
  <c r="AV71" i="5"/>
  <c r="AV74" i="5"/>
  <c r="AV75" i="5"/>
  <c r="AV76" i="5"/>
  <c r="AV77" i="5"/>
  <c r="AV80" i="5"/>
  <c r="AV81" i="5"/>
  <c r="AV83" i="5"/>
  <c r="AV86" i="5"/>
  <c r="AV87" i="5"/>
  <c r="AV89" i="5"/>
  <c r="AV90" i="5"/>
  <c r="AV92" i="5"/>
  <c r="AV93" i="5"/>
  <c r="AV95" i="5"/>
  <c r="AV96" i="5"/>
  <c r="AV99" i="5"/>
  <c r="AV104" i="5"/>
  <c r="AV106" i="5"/>
  <c r="AV107" i="5"/>
  <c r="AV108" i="5"/>
  <c r="AV109" i="5"/>
  <c r="AV114" i="5"/>
  <c r="AV115" i="5"/>
  <c r="AV116" i="5"/>
  <c r="AV120" i="5"/>
  <c r="AV121" i="5"/>
  <c r="AV122" i="5"/>
  <c r="AV124" i="5"/>
  <c r="AV126" i="5"/>
  <c r="AV127" i="5"/>
  <c r="AV128" i="5"/>
  <c r="AV129" i="5"/>
  <c r="AV132" i="5"/>
  <c r="AV133" i="5"/>
  <c r="BE2" i="5"/>
  <c r="BE3" i="5"/>
  <c r="BE4" i="5"/>
  <c r="BE5" i="5"/>
  <c r="BE6" i="5"/>
  <c r="BE7" i="5"/>
  <c r="BE8" i="5"/>
  <c r="BE9" i="5"/>
  <c r="BE10" i="5"/>
  <c r="BE11" i="5"/>
  <c r="BE12" i="5"/>
  <c r="BE13" i="5"/>
  <c r="BE14" i="5"/>
  <c r="BE15" i="5"/>
  <c r="BE16" i="5"/>
  <c r="BE17" i="5"/>
  <c r="BE18" i="5"/>
  <c r="BE19" i="5"/>
  <c r="BE20" i="5"/>
  <c r="BE21" i="5"/>
  <c r="BE22" i="5"/>
  <c r="BE23" i="5"/>
  <c r="BE24" i="5"/>
  <c r="BE25" i="5"/>
  <c r="BE26" i="5"/>
  <c r="BE27" i="5"/>
  <c r="BE28" i="5"/>
  <c r="BE29" i="5"/>
  <c r="BE30" i="5"/>
  <c r="BE31" i="5"/>
  <c r="BE32" i="5"/>
  <c r="BE33" i="5"/>
  <c r="BE34" i="5"/>
  <c r="BE35" i="5"/>
  <c r="BE36" i="5"/>
  <c r="BE37" i="5"/>
  <c r="BE38" i="5"/>
  <c r="BE39" i="5"/>
  <c r="BE40" i="5"/>
  <c r="BE41" i="5"/>
  <c r="BE42" i="5"/>
  <c r="BE43" i="5"/>
  <c r="BE44" i="5"/>
  <c r="BE45" i="5"/>
  <c r="BE46" i="5"/>
  <c r="BE47" i="5"/>
  <c r="BE48" i="5"/>
  <c r="BE49" i="5"/>
  <c r="BE50" i="5"/>
  <c r="BE51" i="5"/>
  <c r="BE52" i="5"/>
  <c r="BE53" i="5"/>
  <c r="BE54" i="5"/>
  <c r="BE55" i="5"/>
  <c r="BE56" i="5"/>
  <c r="BE57" i="5"/>
  <c r="BE58" i="5"/>
  <c r="BE59" i="5"/>
  <c r="BE60" i="5"/>
  <c r="BE61" i="5"/>
  <c r="BE62" i="5"/>
  <c r="BE63" i="5"/>
  <c r="BE64" i="5"/>
  <c r="BE65" i="5"/>
  <c r="BE66" i="5"/>
  <c r="BE67" i="5"/>
  <c r="BE68" i="5"/>
  <c r="BE69" i="5"/>
  <c r="BE70" i="5"/>
  <c r="BE71" i="5"/>
  <c r="BE72" i="5"/>
  <c r="BE73" i="5"/>
  <c r="BE74" i="5"/>
  <c r="BE75" i="5"/>
  <c r="BE76" i="5"/>
  <c r="BE77" i="5"/>
  <c r="BE78" i="5"/>
  <c r="BE79" i="5"/>
  <c r="BE80" i="5"/>
  <c r="BE81" i="5"/>
  <c r="BE82" i="5"/>
  <c r="BE83" i="5"/>
  <c r="BE84" i="5"/>
  <c r="BE85" i="5"/>
  <c r="BE86" i="5"/>
  <c r="BE87" i="5"/>
  <c r="BE88" i="5"/>
  <c r="BE89" i="5"/>
  <c r="BE90" i="5"/>
  <c r="BE91" i="5"/>
  <c r="BE92" i="5"/>
  <c r="BE93" i="5"/>
  <c r="BE94" i="5"/>
  <c r="BE95" i="5"/>
  <c r="BE96" i="5"/>
  <c r="BE97" i="5"/>
  <c r="BE98" i="5"/>
  <c r="BE99" i="5"/>
  <c r="BE100" i="5"/>
  <c r="BE101" i="5"/>
  <c r="BE102" i="5"/>
  <c r="BE103" i="5"/>
  <c r="BE104" i="5"/>
  <c r="BE105" i="5"/>
  <c r="BE106" i="5"/>
  <c r="BE107" i="5"/>
  <c r="BE108" i="5"/>
  <c r="BE109" i="5"/>
  <c r="BE110" i="5"/>
  <c r="BE111" i="5"/>
  <c r="BE112" i="5"/>
  <c r="BE113" i="5"/>
  <c r="BE114" i="5"/>
  <c r="BE115" i="5"/>
  <c r="BE116" i="5"/>
  <c r="BE117" i="5"/>
  <c r="BE118" i="5"/>
  <c r="BE119" i="5"/>
  <c r="BE120" i="5"/>
  <c r="BE121" i="5"/>
  <c r="BE122" i="5"/>
  <c r="BE123" i="5"/>
  <c r="BE124" i="5"/>
  <c r="BE125" i="5"/>
  <c r="BE126" i="5"/>
  <c r="BE127" i="5"/>
  <c r="BE128" i="5"/>
  <c r="BE129" i="5"/>
  <c r="BE130" i="5"/>
  <c r="BE131" i="5"/>
  <c r="BE132" i="5"/>
  <c r="BE133" i="5"/>
  <c r="BE134" i="5"/>
  <c r="BE135" i="5"/>
  <c r="BD2" i="5"/>
  <c r="BD3" i="5"/>
  <c r="BD4" i="5"/>
  <c r="BD5" i="5"/>
  <c r="BD6" i="5"/>
  <c r="BD7" i="5"/>
  <c r="BD8" i="5"/>
  <c r="BD9" i="5"/>
  <c r="BD10" i="5"/>
  <c r="BD11" i="5"/>
  <c r="BD12" i="5"/>
  <c r="BD13" i="5"/>
  <c r="BD14" i="5"/>
  <c r="BD15" i="5"/>
  <c r="BD16" i="5"/>
  <c r="BD17" i="5"/>
  <c r="BD18" i="5"/>
  <c r="BD19" i="5"/>
  <c r="BD20" i="5"/>
  <c r="BD21" i="5"/>
  <c r="BD22" i="5"/>
  <c r="BD23" i="5"/>
  <c r="BD24" i="5"/>
  <c r="BD25" i="5"/>
  <c r="BD26" i="5"/>
  <c r="BD27" i="5"/>
  <c r="BD28" i="5"/>
  <c r="BD29" i="5"/>
  <c r="BD30" i="5"/>
  <c r="BD31" i="5"/>
  <c r="BD32" i="5"/>
  <c r="BD33" i="5"/>
  <c r="BD34" i="5"/>
  <c r="BD35" i="5"/>
  <c r="BD36" i="5"/>
  <c r="BD37" i="5"/>
  <c r="BD38" i="5"/>
  <c r="BD39" i="5"/>
  <c r="BD40" i="5"/>
  <c r="BD41" i="5"/>
  <c r="BD42" i="5"/>
  <c r="BD43" i="5"/>
  <c r="BD44" i="5"/>
  <c r="BD45" i="5"/>
  <c r="BD46" i="5"/>
  <c r="BD47" i="5"/>
  <c r="BD48" i="5"/>
  <c r="BD49" i="5"/>
  <c r="BD50" i="5"/>
  <c r="BD51" i="5"/>
  <c r="BD52" i="5"/>
  <c r="BD53" i="5"/>
  <c r="BD54" i="5"/>
  <c r="BD55" i="5"/>
  <c r="BD56" i="5"/>
  <c r="BD57" i="5"/>
  <c r="BD58" i="5"/>
  <c r="BD59" i="5"/>
  <c r="BD60" i="5"/>
  <c r="BD61" i="5"/>
  <c r="BD62" i="5"/>
  <c r="BD63" i="5"/>
  <c r="BD64" i="5"/>
  <c r="BD65" i="5"/>
  <c r="BD66" i="5"/>
  <c r="BD67" i="5"/>
  <c r="BD68" i="5"/>
  <c r="BD69" i="5"/>
  <c r="BD70" i="5"/>
  <c r="BD71" i="5"/>
  <c r="BD72" i="5"/>
  <c r="BD73" i="5"/>
  <c r="BD74" i="5"/>
  <c r="BD75" i="5"/>
  <c r="BD76" i="5"/>
  <c r="BD77" i="5"/>
  <c r="BD78" i="5"/>
  <c r="BD79" i="5"/>
  <c r="BD80" i="5"/>
  <c r="BD81" i="5"/>
  <c r="BD82" i="5"/>
  <c r="BD83" i="5"/>
  <c r="BD84" i="5"/>
  <c r="BD85" i="5"/>
  <c r="BD86" i="5"/>
  <c r="BD87" i="5"/>
  <c r="BD88" i="5"/>
  <c r="BD89" i="5"/>
  <c r="BD90" i="5"/>
  <c r="BD91" i="5"/>
  <c r="BD92" i="5"/>
  <c r="BD93" i="5"/>
  <c r="BD94" i="5"/>
  <c r="BD95" i="5"/>
  <c r="BD96" i="5"/>
  <c r="BD97" i="5"/>
  <c r="BD98" i="5"/>
  <c r="BD99" i="5"/>
  <c r="BD100" i="5"/>
  <c r="BD101" i="5"/>
  <c r="BD102" i="5"/>
  <c r="BD103" i="5"/>
  <c r="BD104" i="5"/>
  <c r="BD105" i="5"/>
  <c r="BD106" i="5"/>
  <c r="BD107" i="5"/>
  <c r="BD108" i="5"/>
  <c r="BD109" i="5"/>
  <c r="BD110" i="5"/>
  <c r="BD111" i="5"/>
  <c r="BD112" i="5"/>
  <c r="BD113" i="5"/>
  <c r="BD114" i="5"/>
  <c r="BD115" i="5"/>
  <c r="BD116" i="5"/>
  <c r="BD117" i="5"/>
  <c r="BD118" i="5"/>
  <c r="BD119" i="5"/>
  <c r="BD120" i="5"/>
  <c r="BD121" i="5"/>
  <c r="BD122" i="5"/>
  <c r="BD123" i="5"/>
  <c r="BD124" i="5"/>
  <c r="BD125" i="5"/>
  <c r="BD126" i="5"/>
  <c r="BD127" i="5"/>
  <c r="BD128" i="5"/>
  <c r="BD129" i="5"/>
  <c r="BD130" i="5"/>
  <c r="BD131" i="5"/>
  <c r="BD132" i="5"/>
  <c r="BD133" i="5"/>
  <c r="BD134" i="5"/>
  <c r="BD135" i="5"/>
  <c r="Y135" i="5"/>
  <c r="D135" i="5"/>
  <c r="Y134" i="5"/>
  <c r="D134" i="5"/>
  <c r="Y133" i="5"/>
  <c r="D133" i="5"/>
  <c r="Y132" i="5"/>
  <c r="D132" i="5"/>
  <c r="Y131" i="5"/>
  <c r="D131" i="5"/>
  <c r="Y130" i="5"/>
  <c r="D130" i="5"/>
  <c r="Y129" i="5"/>
  <c r="D129" i="5"/>
  <c r="Y128" i="5"/>
  <c r="D128" i="5"/>
  <c r="Y127" i="5"/>
  <c r="D127" i="5"/>
  <c r="Y126" i="5"/>
  <c r="D126" i="5"/>
  <c r="Y125" i="5"/>
  <c r="D125" i="5"/>
  <c r="Y124" i="5"/>
  <c r="D124" i="5"/>
  <c r="Y123" i="5"/>
  <c r="D123" i="5"/>
  <c r="Y122" i="5"/>
  <c r="D122" i="5"/>
  <c r="Y121" i="5"/>
  <c r="D121" i="5"/>
  <c r="Y120" i="5"/>
  <c r="D120" i="5"/>
  <c r="Y119" i="5"/>
  <c r="D119" i="5"/>
  <c r="Y118" i="5"/>
  <c r="D118" i="5"/>
  <c r="Y117" i="5"/>
  <c r="D117" i="5"/>
  <c r="Y116" i="5"/>
  <c r="D116" i="5"/>
  <c r="Y115" i="5"/>
  <c r="D115" i="5"/>
  <c r="Y114" i="5"/>
  <c r="D114" i="5"/>
  <c r="Y113" i="5"/>
  <c r="D113" i="5"/>
  <c r="Y112" i="5"/>
  <c r="D112" i="5"/>
  <c r="Y111" i="5"/>
  <c r="D111" i="5"/>
  <c r="Y110" i="5"/>
  <c r="D110" i="5"/>
  <c r="Y109" i="5"/>
  <c r="D109" i="5"/>
  <c r="Y108" i="5"/>
  <c r="D108" i="5"/>
  <c r="Y107" i="5"/>
  <c r="D107" i="5"/>
  <c r="Y106" i="5"/>
  <c r="D106" i="5"/>
  <c r="Y105" i="5"/>
  <c r="D105" i="5"/>
  <c r="Y104" i="5"/>
  <c r="D104" i="5"/>
  <c r="Y103" i="5"/>
  <c r="D103" i="5"/>
  <c r="Y102" i="5"/>
  <c r="D102" i="5"/>
  <c r="Y101" i="5"/>
  <c r="D101" i="5"/>
  <c r="Y100" i="5"/>
  <c r="D100" i="5"/>
  <c r="Y99" i="5"/>
  <c r="D99" i="5"/>
  <c r="Y98" i="5"/>
  <c r="D98" i="5"/>
  <c r="Y97" i="5"/>
  <c r="D97" i="5"/>
  <c r="Y96" i="5"/>
  <c r="D96" i="5"/>
  <c r="Y95" i="5"/>
  <c r="D95" i="5"/>
  <c r="Y94" i="5"/>
  <c r="D94" i="5"/>
  <c r="Y93" i="5"/>
  <c r="D93" i="5"/>
  <c r="Y92" i="5"/>
  <c r="D92" i="5"/>
  <c r="Y91" i="5"/>
  <c r="D91" i="5"/>
  <c r="Y90" i="5"/>
  <c r="D90" i="5"/>
  <c r="Y89" i="5"/>
  <c r="D89" i="5"/>
  <c r="Y88" i="5"/>
  <c r="D88" i="5"/>
  <c r="Y87" i="5"/>
  <c r="D87" i="5"/>
  <c r="Y86" i="5"/>
  <c r="D86" i="5"/>
  <c r="Y85" i="5"/>
  <c r="D85" i="5"/>
  <c r="Y84" i="5"/>
  <c r="D84" i="5"/>
  <c r="Y83" i="5"/>
  <c r="D83" i="5"/>
  <c r="Y82" i="5"/>
  <c r="D82" i="5"/>
  <c r="Y81" i="5"/>
  <c r="D81" i="5"/>
  <c r="Y80" i="5"/>
  <c r="D80" i="5"/>
  <c r="Y79" i="5"/>
  <c r="D79" i="5"/>
  <c r="Y78" i="5"/>
  <c r="D78" i="5"/>
  <c r="Y77" i="5"/>
  <c r="D77" i="5"/>
  <c r="Y76" i="5"/>
  <c r="D76" i="5"/>
  <c r="Y75" i="5"/>
  <c r="D75" i="5"/>
  <c r="Y74" i="5"/>
  <c r="D74" i="5"/>
  <c r="Y73" i="5"/>
  <c r="D73" i="5"/>
  <c r="Y72" i="5"/>
  <c r="D72" i="5"/>
  <c r="Y71" i="5"/>
  <c r="D71" i="5"/>
  <c r="Y70" i="5"/>
  <c r="D70" i="5"/>
  <c r="Y69" i="5"/>
  <c r="D69" i="5"/>
  <c r="Y68" i="5"/>
  <c r="D68" i="5"/>
  <c r="Y67" i="5"/>
  <c r="D67" i="5"/>
  <c r="Y66" i="5"/>
  <c r="D66" i="5"/>
  <c r="Y65" i="5"/>
  <c r="D65" i="5"/>
  <c r="Y64" i="5"/>
  <c r="D64" i="5"/>
  <c r="Y63" i="5"/>
  <c r="D63" i="5"/>
  <c r="Y62" i="5"/>
  <c r="D62" i="5"/>
  <c r="Y61" i="5"/>
  <c r="D61" i="5"/>
  <c r="Y60" i="5"/>
  <c r="D60" i="5"/>
  <c r="Y59" i="5"/>
  <c r="D59" i="5"/>
  <c r="Y58" i="5"/>
  <c r="Y57" i="5"/>
  <c r="D57" i="5"/>
  <c r="Y56" i="5"/>
  <c r="D56" i="5"/>
  <c r="Y55" i="5"/>
  <c r="D55" i="5"/>
  <c r="Y54" i="5"/>
  <c r="D54" i="5"/>
  <c r="Y53" i="5"/>
  <c r="D53" i="5"/>
  <c r="Y52" i="5"/>
  <c r="D52" i="5"/>
  <c r="Y51" i="5"/>
  <c r="D51" i="5"/>
  <c r="Y50" i="5"/>
  <c r="D50" i="5"/>
  <c r="Y49" i="5"/>
  <c r="D49" i="5"/>
  <c r="Y48" i="5"/>
  <c r="D48" i="5"/>
  <c r="Y47" i="5"/>
  <c r="D47" i="5"/>
  <c r="Y46" i="5"/>
  <c r="D46" i="5"/>
  <c r="Y45" i="5"/>
  <c r="D45" i="5"/>
  <c r="Y44" i="5"/>
  <c r="D44" i="5"/>
  <c r="Y43" i="5"/>
  <c r="D43" i="5"/>
  <c r="Y42" i="5"/>
  <c r="D42" i="5"/>
  <c r="Y41" i="5"/>
  <c r="D41" i="5"/>
  <c r="Y40" i="5"/>
  <c r="D40" i="5"/>
  <c r="Y39" i="5"/>
  <c r="D39" i="5"/>
  <c r="Y38" i="5"/>
  <c r="D38" i="5"/>
  <c r="Y37" i="5"/>
  <c r="D37" i="5"/>
  <c r="Y36" i="5"/>
  <c r="D36" i="5"/>
  <c r="Y35" i="5"/>
  <c r="D35" i="5"/>
  <c r="Y34" i="5"/>
  <c r="D34" i="5"/>
  <c r="Y33" i="5"/>
  <c r="D33" i="5"/>
  <c r="Y32" i="5"/>
  <c r="D32" i="5"/>
  <c r="Y31" i="5"/>
  <c r="D31" i="5"/>
  <c r="Y30" i="5"/>
  <c r="D30" i="5"/>
  <c r="Y29" i="5"/>
  <c r="D29" i="5"/>
  <c r="Y28" i="5"/>
  <c r="D28" i="5"/>
  <c r="Y27" i="5"/>
  <c r="D27" i="5"/>
  <c r="Y26" i="5"/>
  <c r="D26" i="5"/>
  <c r="Y25" i="5"/>
  <c r="D25" i="5"/>
  <c r="Y24" i="5"/>
  <c r="D24" i="5"/>
  <c r="Y23" i="5"/>
  <c r="D23" i="5"/>
  <c r="Y22" i="5"/>
  <c r="D22" i="5"/>
  <c r="Y21" i="5"/>
  <c r="D21" i="5"/>
  <c r="Y20" i="5"/>
  <c r="D20" i="5"/>
  <c r="Y19" i="5"/>
  <c r="D19" i="5"/>
  <c r="Y18" i="5"/>
  <c r="D18" i="5"/>
  <c r="Y17" i="5"/>
  <c r="D17" i="5"/>
  <c r="Y16" i="5"/>
  <c r="D16" i="5"/>
  <c r="Y15" i="5"/>
  <c r="D15" i="5"/>
  <c r="Y14" i="5"/>
  <c r="D14" i="5"/>
  <c r="Y13" i="5"/>
  <c r="D13" i="5"/>
  <c r="Y12" i="5"/>
  <c r="Y11" i="5"/>
  <c r="D11" i="5"/>
  <c r="Y10" i="5"/>
  <c r="D10" i="5"/>
  <c r="Y9" i="5"/>
  <c r="D9" i="5"/>
  <c r="Y8" i="5"/>
  <c r="D8" i="5"/>
  <c r="Y7" i="5"/>
  <c r="D7" i="5"/>
  <c r="Y6" i="5"/>
  <c r="D6" i="5"/>
  <c r="Y5" i="5"/>
  <c r="D5" i="5"/>
  <c r="Y4" i="5"/>
  <c r="D4" i="5"/>
  <c r="Y3" i="5"/>
  <c r="Y2" i="5"/>
  <c r="D2" i="5"/>
  <c r="U3" i="4"/>
  <c r="U4" i="4"/>
  <c r="U5" i="4"/>
  <c r="U6" i="4"/>
  <c r="U7" i="4"/>
  <c r="U8" i="4"/>
  <c r="U9" i="4"/>
  <c r="U10"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U45" i="4"/>
  <c r="U46" i="4"/>
  <c r="U47" i="4"/>
  <c r="U48" i="4"/>
  <c r="U49" i="4"/>
  <c r="U50" i="4"/>
  <c r="U51" i="4"/>
  <c r="U52" i="4"/>
  <c r="U53" i="4"/>
  <c r="U54" i="4"/>
  <c r="U55" i="4"/>
  <c r="U56"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5" i="4"/>
  <c r="U86" i="4"/>
  <c r="U87" i="4"/>
  <c r="U88" i="4"/>
  <c r="U89" i="4"/>
  <c r="U90" i="4"/>
  <c r="U91" i="4"/>
  <c r="U92" i="4"/>
  <c r="U93" i="4"/>
  <c r="U94" i="4"/>
  <c r="U95" i="4"/>
  <c r="U96" i="4"/>
  <c r="U97" i="4"/>
  <c r="U98" i="4"/>
  <c r="U99" i="4"/>
  <c r="U100" i="4"/>
  <c r="U101" i="4"/>
  <c r="U102" i="4"/>
  <c r="U103" i="4"/>
  <c r="U104" i="4"/>
  <c r="U105" i="4"/>
  <c r="U106" i="4"/>
  <c r="U107" i="4"/>
  <c r="U108" i="4"/>
  <c r="U109" i="4"/>
  <c r="U110" i="4"/>
  <c r="U111" i="4"/>
  <c r="U112" i="4"/>
  <c r="U113" i="4"/>
  <c r="U114" i="4"/>
  <c r="U115" i="4"/>
  <c r="U116" i="4"/>
  <c r="U117" i="4"/>
  <c r="U118" i="4"/>
  <c r="U119" i="4"/>
  <c r="U120" i="4"/>
  <c r="U121" i="4"/>
  <c r="U122" i="4"/>
  <c r="U123" i="4"/>
  <c r="U124" i="4"/>
  <c r="U125" i="4"/>
  <c r="U126" i="4"/>
  <c r="U127" i="4"/>
  <c r="U128" i="4"/>
  <c r="U129" i="4"/>
  <c r="U130" i="4"/>
  <c r="U131" i="4"/>
  <c r="U132" i="4"/>
  <c r="U133" i="4"/>
  <c r="U134" i="4"/>
  <c r="U135" i="4"/>
  <c r="U2" i="4"/>
  <c r="AU139" i="3"/>
  <c r="AV139" i="3"/>
  <c r="AX139" i="3"/>
  <c r="AZ139" i="3"/>
  <c r="BA139" i="3"/>
  <c r="BB139" i="3"/>
  <c r="AU140" i="3"/>
  <c r="AV140" i="3"/>
  <c r="AX140" i="3"/>
  <c r="AZ140" i="3"/>
  <c r="BA140" i="3"/>
  <c r="BB140" i="3"/>
  <c r="AU142" i="3"/>
  <c r="AV142" i="3"/>
  <c r="AX142" i="3"/>
  <c r="AZ142" i="3"/>
  <c r="BA142" i="3"/>
  <c r="BB142" i="3"/>
  <c r="AU143" i="3"/>
  <c r="AV143" i="3"/>
  <c r="AX143" i="3"/>
  <c r="AZ143" i="3"/>
  <c r="BA143" i="3"/>
  <c r="BB143" i="3"/>
  <c r="AU144" i="3"/>
  <c r="AV144" i="3"/>
  <c r="AX144" i="3"/>
  <c r="AZ144" i="3"/>
  <c r="BA144" i="3"/>
  <c r="BB144" i="3"/>
  <c r="AU145" i="3"/>
  <c r="AV145" i="3"/>
  <c r="AX145" i="3"/>
  <c r="AZ145" i="3"/>
  <c r="BA145" i="3"/>
  <c r="BB145" i="3"/>
  <c r="AU146" i="3"/>
  <c r="AV146" i="3"/>
  <c r="AX146" i="3"/>
  <c r="AZ146" i="3"/>
  <c r="BA146" i="3"/>
  <c r="BB146" i="3"/>
  <c r="AU151" i="3"/>
  <c r="AV151" i="3"/>
  <c r="AX151" i="3"/>
  <c r="AZ151" i="3"/>
  <c r="BA151" i="3"/>
  <c r="BB151" i="3"/>
  <c r="AU152" i="3"/>
  <c r="AV152" i="3"/>
  <c r="AX152" i="3"/>
  <c r="AZ152" i="3"/>
  <c r="BA152" i="3"/>
  <c r="BB152" i="3"/>
  <c r="AU154" i="3"/>
  <c r="AV154" i="3"/>
  <c r="AX154" i="3"/>
  <c r="AZ154" i="3"/>
  <c r="BA154" i="3"/>
  <c r="BB154" i="3"/>
  <c r="AU155" i="3"/>
  <c r="AV155" i="3"/>
  <c r="AX155" i="3"/>
  <c r="AZ155" i="3"/>
  <c r="BA155" i="3"/>
  <c r="BB155" i="3"/>
  <c r="AU156" i="3"/>
  <c r="AV156" i="3"/>
  <c r="AX156" i="3"/>
  <c r="AZ156" i="3"/>
  <c r="BA156" i="3"/>
  <c r="BB156" i="3"/>
  <c r="AU157" i="3"/>
  <c r="AV157" i="3"/>
  <c r="AX157" i="3"/>
  <c r="AZ157" i="3"/>
  <c r="BA157" i="3"/>
  <c r="BB157" i="3"/>
  <c r="AU158" i="3"/>
  <c r="AV158" i="3"/>
  <c r="AX158" i="3"/>
  <c r="AZ158" i="3"/>
  <c r="BA158" i="3"/>
  <c r="BB158" i="3"/>
  <c r="AU159" i="3"/>
  <c r="AV159" i="3"/>
  <c r="AX159" i="3"/>
  <c r="AZ159" i="3"/>
  <c r="BA159" i="3"/>
  <c r="BB159" i="3"/>
  <c r="AU137" i="3"/>
  <c r="AU138" i="3" s="1"/>
  <c r="AV137" i="3"/>
  <c r="AV138" i="3" s="1"/>
  <c r="AX137" i="3"/>
  <c r="AX138" i="3" s="1"/>
  <c r="AZ137" i="3"/>
  <c r="AZ138" i="3" s="1"/>
  <c r="BA137" i="3"/>
  <c r="BA138" i="3" s="1"/>
  <c r="BB137" i="3"/>
  <c r="BB138" i="3" s="1"/>
  <c r="BF137" i="3"/>
  <c r="BF138" i="3" s="1"/>
  <c r="I139" i="3"/>
  <c r="J139" i="3"/>
  <c r="K139" i="3"/>
  <c r="L139" i="3"/>
  <c r="M139" i="3"/>
  <c r="N139" i="3"/>
  <c r="I140" i="3"/>
  <c r="J140" i="3"/>
  <c r="K140" i="3"/>
  <c r="L140" i="3"/>
  <c r="M140" i="3"/>
  <c r="N140" i="3"/>
  <c r="I142" i="3"/>
  <c r="J142" i="3"/>
  <c r="K142" i="3"/>
  <c r="L142" i="3"/>
  <c r="M142" i="3"/>
  <c r="N142" i="3"/>
  <c r="I143" i="3"/>
  <c r="J143" i="3"/>
  <c r="K143" i="3"/>
  <c r="L143" i="3"/>
  <c r="M143" i="3"/>
  <c r="N143" i="3"/>
  <c r="I144" i="3"/>
  <c r="J144" i="3"/>
  <c r="K144" i="3"/>
  <c r="L144" i="3"/>
  <c r="M144" i="3"/>
  <c r="N144" i="3"/>
  <c r="I145" i="3"/>
  <c r="J145" i="3"/>
  <c r="K145" i="3"/>
  <c r="L145" i="3"/>
  <c r="M145" i="3"/>
  <c r="N145" i="3"/>
  <c r="I146" i="3"/>
  <c r="J146" i="3"/>
  <c r="K146" i="3"/>
  <c r="L146" i="3"/>
  <c r="M146" i="3"/>
  <c r="N146" i="3"/>
  <c r="I151" i="3"/>
  <c r="J151" i="3"/>
  <c r="K151" i="3"/>
  <c r="L151" i="3"/>
  <c r="M151" i="3"/>
  <c r="N151" i="3"/>
  <c r="I152" i="3"/>
  <c r="J152" i="3"/>
  <c r="K152" i="3"/>
  <c r="L152" i="3"/>
  <c r="M152" i="3"/>
  <c r="N152" i="3"/>
  <c r="I154" i="3"/>
  <c r="J154" i="3"/>
  <c r="K154" i="3"/>
  <c r="L154" i="3"/>
  <c r="M154" i="3"/>
  <c r="N154" i="3"/>
  <c r="I155" i="3"/>
  <c r="J155" i="3"/>
  <c r="K155" i="3"/>
  <c r="L155" i="3"/>
  <c r="M155" i="3"/>
  <c r="N155" i="3"/>
  <c r="I156" i="3"/>
  <c r="J156" i="3"/>
  <c r="K156" i="3"/>
  <c r="L156" i="3"/>
  <c r="M156" i="3"/>
  <c r="N156" i="3"/>
  <c r="I157" i="3"/>
  <c r="J157" i="3"/>
  <c r="K157" i="3"/>
  <c r="L157" i="3"/>
  <c r="M157" i="3"/>
  <c r="N157" i="3"/>
  <c r="I158" i="3"/>
  <c r="J158" i="3"/>
  <c r="K158" i="3"/>
  <c r="L158" i="3"/>
  <c r="M158" i="3"/>
  <c r="N158" i="3"/>
  <c r="I159" i="3"/>
  <c r="J159" i="3"/>
  <c r="K159" i="3"/>
  <c r="L159" i="3"/>
  <c r="M159" i="3"/>
  <c r="N159" i="3"/>
  <c r="O159" i="3"/>
  <c r="O158" i="3"/>
  <c r="O157" i="3"/>
  <c r="O156" i="3"/>
  <c r="O155" i="3"/>
  <c r="O154" i="3"/>
  <c r="O152" i="3"/>
  <c r="O151" i="3"/>
  <c r="O146" i="3"/>
  <c r="O145" i="3"/>
  <c r="O144" i="3"/>
  <c r="O143" i="3"/>
  <c r="O142" i="3"/>
  <c r="O140" i="3"/>
  <c r="O139" i="3"/>
  <c r="X139" i="3"/>
  <c r="Y139" i="3"/>
  <c r="AA139" i="3"/>
  <c r="AB139" i="3"/>
  <c r="AC139" i="3"/>
  <c r="AD139" i="3"/>
  <c r="AE139" i="3"/>
  <c r="AF139" i="3"/>
  <c r="AG139" i="3"/>
  <c r="AH139" i="3"/>
  <c r="AI139" i="3"/>
  <c r="AJ139" i="3"/>
  <c r="AL139" i="3"/>
  <c r="AM139" i="3"/>
  <c r="AN139" i="3"/>
  <c r="AR139" i="3"/>
  <c r="AS139" i="3"/>
  <c r="BF139" i="3"/>
  <c r="X140" i="3"/>
  <c r="Y140" i="3"/>
  <c r="AA140" i="3"/>
  <c r="AB140" i="3"/>
  <c r="AC140" i="3"/>
  <c r="AD140" i="3"/>
  <c r="AE140" i="3"/>
  <c r="AF140" i="3"/>
  <c r="AG140" i="3"/>
  <c r="AH140" i="3"/>
  <c r="AI140" i="3"/>
  <c r="AJ140" i="3"/>
  <c r="AL140" i="3"/>
  <c r="AM140" i="3"/>
  <c r="AN140" i="3"/>
  <c r="AR140" i="3"/>
  <c r="AS140" i="3"/>
  <c r="BF140" i="3"/>
  <c r="X142" i="3"/>
  <c r="Y142" i="3"/>
  <c r="AA142" i="3"/>
  <c r="AB142" i="3"/>
  <c r="AC142" i="3"/>
  <c r="AD142" i="3"/>
  <c r="AE142" i="3"/>
  <c r="AF142" i="3"/>
  <c r="AG142" i="3"/>
  <c r="AH142" i="3"/>
  <c r="AI142" i="3"/>
  <c r="AJ142" i="3"/>
  <c r="AL142" i="3"/>
  <c r="AM142" i="3"/>
  <c r="AN142" i="3"/>
  <c r="AR142" i="3"/>
  <c r="AS142" i="3"/>
  <c r="BF142" i="3"/>
  <c r="X143" i="3"/>
  <c r="Y143" i="3"/>
  <c r="AA143" i="3"/>
  <c r="AB143" i="3"/>
  <c r="AC143" i="3"/>
  <c r="AD143" i="3"/>
  <c r="AE143" i="3"/>
  <c r="AF143" i="3"/>
  <c r="AG143" i="3"/>
  <c r="AH143" i="3"/>
  <c r="AI143" i="3"/>
  <c r="AJ143" i="3"/>
  <c r="AL143" i="3"/>
  <c r="AM143" i="3"/>
  <c r="AN143" i="3"/>
  <c r="AR143" i="3"/>
  <c r="AS143" i="3"/>
  <c r="BF143" i="3"/>
  <c r="X144" i="3"/>
  <c r="Y144" i="3"/>
  <c r="AA144" i="3"/>
  <c r="AB144" i="3"/>
  <c r="AC144" i="3"/>
  <c r="AD144" i="3"/>
  <c r="AE144" i="3"/>
  <c r="AF144" i="3"/>
  <c r="AG144" i="3"/>
  <c r="AH144" i="3"/>
  <c r="AI144" i="3"/>
  <c r="AJ144" i="3"/>
  <c r="AL144" i="3"/>
  <c r="AM144" i="3"/>
  <c r="AN144" i="3"/>
  <c r="AR144" i="3"/>
  <c r="AS144" i="3"/>
  <c r="BF144" i="3"/>
  <c r="X145" i="3"/>
  <c r="Y145" i="3"/>
  <c r="AA145" i="3"/>
  <c r="AB145" i="3"/>
  <c r="AC145" i="3"/>
  <c r="AD145" i="3"/>
  <c r="AE145" i="3"/>
  <c r="AF145" i="3"/>
  <c r="AG145" i="3"/>
  <c r="AH145" i="3"/>
  <c r="AI145" i="3"/>
  <c r="AJ145" i="3"/>
  <c r="AL145" i="3"/>
  <c r="AM145" i="3"/>
  <c r="AN145" i="3"/>
  <c r="AR145" i="3"/>
  <c r="AS145" i="3"/>
  <c r="BF145" i="3"/>
  <c r="X146" i="3"/>
  <c r="Y146" i="3"/>
  <c r="AA146" i="3"/>
  <c r="AB146" i="3"/>
  <c r="AC146" i="3"/>
  <c r="AD146" i="3"/>
  <c r="AE146" i="3"/>
  <c r="AF146" i="3"/>
  <c r="AG146" i="3"/>
  <c r="AH146" i="3"/>
  <c r="AI146" i="3"/>
  <c r="AJ146" i="3"/>
  <c r="AL146" i="3"/>
  <c r="AM146" i="3"/>
  <c r="AN146" i="3"/>
  <c r="AR146" i="3"/>
  <c r="AS146" i="3"/>
  <c r="BF146" i="3"/>
  <c r="X151" i="3"/>
  <c r="Y151" i="3"/>
  <c r="AA151" i="3"/>
  <c r="AB151" i="3"/>
  <c r="AC151" i="3"/>
  <c r="AD151" i="3"/>
  <c r="AE151" i="3"/>
  <c r="AF151" i="3"/>
  <c r="AG151" i="3"/>
  <c r="AH151" i="3"/>
  <c r="AI151" i="3"/>
  <c r="AJ151" i="3"/>
  <c r="AL151" i="3"/>
  <c r="AM151" i="3"/>
  <c r="AN151" i="3"/>
  <c r="AR151" i="3"/>
  <c r="AS151" i="3"/>
  <c r="BF151" i="3"/>
  <c r="X152" i="3"/>
  <c r="Y152" i="3"/>
  <c r="AA152" i="3"/>
  <c r="AB152" i="3"/>
  <c r="AC152" i="3"/>
  <c r="AD152" i="3"/>
  <c r="AE152" i="3"/>
  <c r="AF152" i="3"/>
  <c r="AG152" i="3"/>
  <c r="AH152" i="3"/>
  <c r="AI152" i="3"/>
  <c r="AJ152" i="3"/>
  <c r="AL152" i="3"/>
  <c r="AM152" i="3"/>
  <c r="AN152" i="3"/>
  <c r="AR152" i="3"/>
  <c r="AS152" i="3"/>
  <c r="BF152" i="3"/>
  <c r="X154" i="3"/>
  <c r="Y154" i="3"/>
  <c r="AA154" i="3"/>
  <c r="AB154" i="3"/>
  <c r="AC154" i="3"/>
  <c r="AD154" i="3"/>
  <c r="AE154" i="3"/>
  <c r="AF154" i="3"/>
  <c r="AG154" i="3"/>
  <c r="AH154" i="3"/>
  <c r="AI154" i="3"/>
  <c r="AJ154" i="3"/>
  <c r="AL154" i="3"/>
  <c r="AM154" i="3"/>
  <c r="AN154" i="3"/>
  <c r="AR154" i="3"/>
  <c r="AS154" i="3"/>
  <c r="BF154" i="3"/>
  <c r="X155" i="3"/>
  <c r="Y155" i="3"/>
  <c r="AA155" i="3"/>
  <c r="AB155" i="3"/>
  <c r="AC155" i="3"/>
  <c r="AD155" i="3"/>
  <c r="AE155" i="3"/>
  <c r="AF155" i="3"/>
  <c r="AG155" i="3"/>
  <c r="AH155" i="3"/>
  <c r="AI155" i="3"/>
  <c r="AJ155" i="3"/>
  <c r="AL155" i="3"/>
  <c r="AM155" i="3"/>
  <c r="AN155" i="3"/>
  <c r="AR155" i="3"/>
  <c r="AS155" i="3"/>
  <c r="BF155" i="3"/>
  <c r="X156" i="3"/>
  <c r="Y156" i="3"/>
  <c r="AA156" i="3"/>
  <c r="AB156" i="3"/>
  <c r="AC156" i="3"/>
  <c r="AD156" i="3"/>
  <c r="AE156" i="3"/>
  <c r="AF156" i="3"/>
  <c r="AG156" i="3"/>
  <c r="AH156" i="3"/>
  <c r="AI156" i="3"/>
  <c r="AJ156" i="3"/>
  <c r="AL156" i="3"/>
  <c r="AM156" i="3"/>
  <c r="AN156" i="3"/>
  <c r="AR156" i="3"/>
  <c r="AS156" i="3"/>
  <c r="BF156" i="3"/>
  <c r="X157" i="3"/>
  <c r="Y157" i="3"/>
  <c r="AA157" i="3"/>
  <c r="AB157" i="3"/>
  <c r="AC157" i="3"/>
  <c r="AD157" i="3"/>
  <c r="AE157" i="3"/>
  <c r="AF157" i="3"/>
  <c r="AG157" i="3"/>
  <c r="AH157" i="3"/>
  <c r="AI157" i="3"/>
  <c r="AJ157" i="3"/>
  <c r="AL157" i="3"/>
  <c r="AM157" i="3"/>
  <c r="AN157" i="3"/>
  <c r="AR157" i="3"/>
  <c r="AS157" i="3"/>
  <c r="BF157" i="3"/>
  <c r="X158" i="3"/>
  <c r="Y158" i="3"/>
  <c r="AA158" i="3"/>
  <c r="AB158" i="3"/>
  <c r="AC158" i="3"/>
  <c r="AD158" i="3"/>
  <c r="AE158" i="3"/>
  <c r="AF158" i="3"/>
  <c r="AG158" i="3"/>
  <c r="AH158" i="3"/>
  <c r="AI158" i="3"/>
  <c r="AJ158" i="3"/>
  <c r="AL158" i="3"/>
  <c r="AM158" i="3"/>
  <c r="AN158" i="3"/>
  <c r="AR158" i="3"/>
  <c r="AS158" i="3"/>
  <c r="BF158" i="3"/>
  <c r="X159" i="3"/>
  <c r="Y159" i="3"/>
  <c r="AA159" i="3"/>
  <c r="AB159" i="3"/>
  <c r="AC159" i="3"/>
  <c r="AD159" i="3"/>
  <c r="AE159" i="3"/>
  <c r="AF159" i="3"/>
  <c r="AG159" i="3"/>
  <c r="AH159" i="3"/>
  <c r="AI159" i="3"/>
  <c r="AJ159" i="3"/>
  <c r="AL159" i="3"/>
  <c r="AM159" i="3"/>
  <c r="AN159" i="3"/>
  <c r="AR159" i="3"/>
  <c r="AS159" i="3"/>
  <c r="BF159" i="3"/>
  <c r="W159" i="3"/>
  <c r="W158" i="3"/>
  <c r="W157" i="3"/>
  <c r="W156" i="3"/>
  <c r="W155" i="3"/>
  <c r="W154" i="3"/>
  <c r="W152" i="3"/>
  <c r="W151" i="3"/>
  <c r="W146" i="3"/>
  <c r="W145" i="3"/>
  <c r="W144" i="3"/>
  <c r="W143" i="3"/>
  <c r="W142" i="3"/>
  <c r="Q140" i="3"/>
  <c r="W140" i="3"/>
  <c r="W139" i="3"/>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1" i="4"/>
  <c r="D10" i="4"/>
  <c r="D9" i="4"/>
  <c r="D8" i="4"/>
  <c r="D7" i="4"/>
  <c r="D6" i="4"/>
  <c r="D5" i="4"/>
  <c r="D4" i="4"/>
  <c r="D2" i="4"/>
  <c r="V159" i="3"/>
  <c r="Q159" i="3"/>
  <c r="V158" i="3"/>
  <c r="Q158" i="3"/>
  <c r="V157" i="3"/>
  <c r="Q157" i="3"/>
  <c r="V156" i="3"/>
  <c r="Q156" i="3"/>
  <c r="V155" i="3"/>
  <c r="Q155" i="3"/>
  <c r="V154" i="3"/>
  <c r="Q154" i="3"/>
  <c r="V152" i="3"/>
  <c r="Q152" i="3"/>
  <c r="V151" i="3"/>
  <c r="Q151" i="3"/>
  <c r="F154" i="3"/>
  <c r="F155" i="3" s="1"/>
  <c r="E154" i="3"/>
  <c r="E155" i="3" s="1"/>
  <c r="D154" i="3"/>
  <c r="D155" i="3" s="1"/>
  <c r="C154" i="3"/>
  <c r="C155" i="3" s="1"/>
  <c r="V149" i="3"/>
  <c r="Q149" i="3"/>
  <c r="V147" i="3"/>
  <c r="Q147" i="3"/>
  <c r="D149" i="3"/>
  <c r="D150" i="3" s="1"/>
  <c r="C149" i="3"/>
  <c r="C150" i="3" s="1"/>
  <c r="V146" i="3"/>
  <c r="Q146" i="3"/>
  <c r="V145" i="3"/>
  <c r="Q145" i="3"/>
  <c r="V144" i="3"/>
  <c r="Q144" i="3"/>
  <c r="V143" i="3"/>
  <c r="Q143" i="3"/>
  <c r="V142" i="3"/>
  <c r="Q142" i="3"/>
  <c r="F142" i="3"/>
  <c r="F141" i="3"/>
  <c r="V140" i="3"/>
  <c r="F140" i="3"/>
  <c r="AS161" i="3"/>
  <c r="AR161" i="3"/>
  <c r="AN161" i="3"/>
  <c r="AM161" i="3"/>
  <c r="AL161" i="3"/>
  <c r="AJ161" i="3"/>
  <c r="AI161" i="3"/>
  <c r="AH161" i="3"/>
  <c r="AG161" i="3"/>
  <c r="AF161" i="3"/>
  <c r="AE161" i="3"/>
  <c r="AD161" i="3"/>
  <c r="AC161" i="3"/>
  <c r="AB161" i="3"/>
  <c r="AA161" i="3"/>
  <c r="W161" i="3"/>
  <c r="V139" i="3"/>
  <c r="V161" i="3" s="1"/>
  <c r="Q139" i="3"/>
  <c r="Q161" i="3" s="1"/>
  <c r="O161" i="3"/>
  <c r="N161" i="3"/>
  <c r="M161" i="3"/>
  <c r="L161" i="3"/>
  <c r="K161" i="3"/>
  <c r="J161" i="3"/>
  <c r="I161" i="3"/>
  <c r="F139" i="3"/>
  <c r="F138" i="3"/>
  <c r="AS137" i="3"/>
  <c r="AS138" i="3" s="1"/>
  <c r="AR137" i="3"/>
  <c r="AR138" i="3" s="1"/>
  <c r="AN137" i="3"/>
  <c r="AN138" i="3" s="1"/>
  <c r="AM137" i="3"/>
  <c r="AM138" i="3" s="1"/>
  <c r="AL137" i="3"/>
  <c r="AL138" i="3" s="1"/>
  <c r="AJ137" i="3"/>
  <c r="AJ138" i="3" s="1"/>
  <c r="AI137" i="3"/>
  <c r="AI138" i="3" s="1"/>
  <c r="AH137" i="3"/>
  <c r="AH138" i="3" s="1"/>
  <c r="AG137" i="3"/>
  <c r="AG138" i="3" s="1"/>
  <c r="AF137" i="3"/>
  <c r="AF138" i="3" s="1"/>
  <c r="AE137" i="3"/>
  <c r="AE138" i="3" s="1"/>
  <c r="AD137" i="3"/>
  <c r="AD138" i="3" s="1"/>
  <c r="AC137" i="3"/>
  <c r="AC138" i="3" s="1"/>
  <c r="AB137" i="3"/>
  <c r="AB138" i="3" s="1"/>
  <c r="AA137" i="3"/>
  <c r="AA138" i="3" s="1"/>
  <c r="W137" i="3"/>
  <c r="V137" i="3"/>
  <c r="V138" i="3" s="1"/>
  <c r="O137" i="3"/>
  <c r="O138" i="3" s="1"/>
  <c r="N137" i="3"/>
  <c r="N138" i="3" s="1"/>
  <c r="M137" i="3"/>
  <c r="M138" i="3" s="1"/>
  <c r="L137" i="3"/>
  <c r="L138" i="3" s="1"/>
  <c r="K137" i="3"/>
  <c r="K138" i="3" s="1"/>
  <c r="J137" i="3"/>
  <c r="J138" i="3" s="1"/>
  <c r="I137" i="3"/>
  <c r="I138" i="3" s="1"/>
  <c r="F137" i="3"/>
  <c r="Y135" i="3"/>
  <c r="D135" i="3"/>
  <c r="Y134" i="3"/>
  <c r="D134" i="3"/>
  <c r="Y133" i="3"/>
  <c r="D133" i="3"/>
  <c r="Y132" i="3"/>
  <c r="D132" i="3"/>
  <c r="Y131" i="3"/>
  <c r="D131" i="3"/>
  <c r="Y130" i="3"/>
  <c r="D130" i="3"/>
  <c r="Y129" i="3"/>
  <c r="D129" i="3"/>
  <c r="Y128" i="3"/>
  <c r="D128" i="3"/>
  <c r="Y127" i="3"/>
  <c r="D127" i="3"/>
  <c r="Y126" i="3"/>
  <c r="D126" i="3"/>
  <c r="Y125" i="3"/>
  <c r="D125" i="3"/>
  <c r="Y124" i="3"/>
  <c r="D124" i="3"/>
  <c r="Y123" i="3"/>
  <c r="D123" i="3"/>
  <c r="Y122" i="3"/>
  <c r="D122" i="3"/>
  <c r="Y121" i="3"/>
  <c r="D121" i="3"/>
  <c r="Y120" i="3"/>
  <c r="D120" i="3"/>
  <c r="Y119" i="3"/>
  <c r="D119" i="3"/>
  <c r="Y118" i="3"/>
  <c r="D118" i="3"/>
  <c r="Y117" i="3"/>
  <c r="D117" i="3"/>
  <c r="Y116" i="3"/>
  <c r="D116" i="3"/>
  <c r="Y115" i="3"/>
  <c r="D115" i="3"/>
  <c r="Y114" i="3"/>
  <c r="D114" i="3"/>
  <c r="Y113" i="3"/>
  <c r="D113" i="3"/>
  <c r="Y112" i="3"/>
  <c r="D112" i="3"/>
  <c r="Y111" i="3"/>
  <c r="D111" i="3"/>
  <c r="Y110" i="3"/>
  <c r="D110" i="3"/>
  <c r="Y109" i="3"/>
  <c r="D109" i="3"/>
  <c r="Y108" i="3"/>
  <c r="D108" i="3"/>
  <c r="Y107" i="3"/>
  <c r="D107" i="3"/>
  <c r="Y106" i="3"/>
  <c r="D106" i="3"/>
  <c r="Y105" i="3"/>
  <c r="D105" i="3"/>
  <c r="Y104" i="3"/>
  <c r="D104" i="3"/>
  <c r="Y103" i="3"/>
  <c r="D103" i="3"/>
  <c r="Y102" i="3"/>
  <c r="D102" i="3"/>
  <c r="Y101" i="3"/>
  <c r="D101" i="3"/>
  <c r="Y100" i="3"/>
  <c r="D100" i="3"/>
  <c r="Y99" i="3"/>
  <c r="D99" i="3"/>
  <c r="Y98" i="3"/>
  <c r="D98" i="3"/>
  <c r="Y97" i="3"/>
  <c r="D97" i="3"/>
  <c r="Y96" i="3"/>
  <c r="D96" i="3"/>
  <c r="Y95" i="3"/>
  <c r="D95" i="3"/>
  <c r="Y94" i="3"/>
  <c r="Z157" i="3" s="1"/>
  <c r="D94" i="3"/>
  <c r="Y93" i="3"/>
  <c r="D93" i="3"/>
  <c r="Y92" i="3"/>
  <c r="D92" i="3"/>
  <c r="Y91" i="3"/>
  <c r="D91" i="3"/>
  <c r="Y90" i="3"/>
  <c r="D90" i="3"/>
  <c r="Y89" i="3"/>
  <c r="D89" i="3"/>
  <c r="Y88" i="3"/>
  <c r="D88" i="3"/>
  <c r="Y87" i="3"/>
  <c r="D87" i="3"/>
  <c r="Y86" i="3"/>
  <c r="Z156" i="3" s="1"/>
  <c r="D86" i="3"/>
  <c r="Y85" i="3"/>
  <c r="D85" i="3"/>
  <c r="Y84" i="3"/>
  <c r="D84" i="3"/>
  <c r="Y83" i="3"/>
  <c r="D83" i="3"/>
  <c r="Y82" i="3"/>
  <c r="D82" i="3"/>
  <c r="Y81" i="3"/>
  <c r="D81" i="3"/>
  <c r="Y80" i="3"/>
  <c r="D80" i="3"/>
  <c r="Y79" i="3"/>
  <c r="D79" i="3"/>
  <c r="Y78" i="3"/>
  <c r="Z155" i="3" s="1"/>
  <c r="D78" i="3"/>
  <c r="Y77" i="3"/>
  <c r="D77" i="3"/>
  <c r="Y76" i="3"/>
  <c r="D76" i="3"/>
  <c r="Y75" i="3"/>
  <c r="D75" i="3"/>
  <c r="Y74" i="3"/>
  <c r="D74" i="3"/>
  <c r="Y73" i="3"/>
  <c r="D73" i="3"/>
  <c r="Y72" i="3"/>
  <c r="Z158" i="3" s="1"/>
  <c r="D72" i="3"/>
  <c r="Y71" i="3"/>
  <c r="Z159" i="3" s="1"/>
  <c r="D71" i="3"/>
  <c r="Y70" i="3"/>
  <c r="D70" i="3"/>
  <c r="Y69" i="3"/>
  <c r="Z154" i="3" s="1"/>
  <c r="D69" i="3"/>
  <c r="Y68" i="3"/>
  <c r="D68" i="3"/>
  <c r="Y67" i="3"/>
  <c r="D67" i="3"/>
  <c r="Y66" i="3"/>
  <c r="D66" i="3"/>
  <c r="Y65" i="3"/>
  <c r="D65" i="3"/>
  <c r="Y64" i="3"/>
  <c r="D64" i="3"/>
  <c r="Y63" i="3"/>
  <c r="D63" i="3"/>
  <c r="Y62" i="3"/>
  <c r="D62" i="3"/>
  <c r="Y61" i="3"/>
  <c r="D61" i="3"/>
  <c r="Y60" i="3"/>
  <c r="Z152" i="3" s="1"/>
  <c r="D60" i="3"/>
  <c r="Y59" i="3"/>
  <c r="D59" i="3"/>
  <c r="Y58" i="3"/>
  <c r="Y57" i="3"/>
  <c r="Z151" i="3" s="1"/>
  <c r="D57" i="3"/>
  <c r="Y56" i="3"/>
  <c r="D56" i="3"/>
  <c r="Y55" i="3"/>
  <c r="D55" i="3"/>
  <c r="Y54" i="3"/>
  <c r="D54" i="3"/>
  <c r="Y53" i="3"/>
  <c r="D53" i="3"/>
  <c r="Y52" i="3"/>
  <c r="D52" i="3"/>
  <c r="Y51" i="3"/>
  <c r="D51" i="3"/>
  <c r="Y50" i="3"/>
  <c r="D50" i="3"/>
  <c r="Y49" i="3"/>
  <c r="D49" i="3"/>
  <c r="Y48" i="3"/>
  <c r="D48" i="3"/>
  <c r="Y47" i="3"/>
  <c r="D47" i="3"/>
  <c r="Y46" i="3"/>
  <c r="D46" i="3"/>
  <c r="Y45" i="3"/>
  <c r="Z145" i="3" s="1"/>
  <c r="D45" i="3"/>
  <c r="Y44" i="3"/>
  <c r="D44" i="3"/>
  <c r="Y43" i="3"/>
  <c r="D43" i="3"/>
  <c r="Y42" i="3"/>
  <c r="Z144" i="3" s="1"/>
  <c r="D42" i="3"/>
  <c r="Y41" i="3"/>
  <c r="Z143" i="3" s="1"/>
  <c r="D41" i="3"/>
  <c r="Y40" i="3"/>
  <c r="Z142" i="3" s="1"/>
  <c r="D40" i="3"/>
  <c r="Y39" i="3"/>
  <c r="D39" i="3"/>
  <c r="Y38" i="3"/>
  <c r="D38" i="3"/>
  <c r="Y37" i="3"/>
  <c r="D37" i="3"/>
  <c r="Y36" i="3"/>
  <c r="D36" i="3"/>
  <c r="Y35" i="3"/>
  <c r="D35" i="3"/>
  <c r="Y34" i="3"/>
  <c r="D34" i="3"/>
  <c r="Y33" i="3"/>
  <c r="D33" i="3"/>
  <c r="Y32" i="3"/>
  <c r="D32" i="3"/>
  <c r="Y31" i="3"/>
  <c r="D31" i="3"/>
  <c r="Y30" i="3"/>
  <c r="D30" i="3"/>
  <c r="Y29" i="3"/>
  <c r="D29" i="3"/>
  <c r="Y28" i="3"/>
  <c r="D28" i="3"/>
  <c r="Y27" i="3"/>
  <c r="D27" i="3"/>
  <c r="Y26" i="3"/>
  <c r="D26" i="3"/>
  <c r="Y25" i="3"/>
  <c r="D25" i="3"/>
  <c r="Y24" i="3"/>
  <c r="D24" i="3"/>
  <c r="Y23" i="3"/>
  <c r="D23" i="3"/>
  <c r="Y22" i="3"/>
  <c r="D22" i="3"/>
  <c r="Y21" i="3"/>
  <c r="D21" i="3"/>
  <c r="Y20" i="3"/>
  <c r="D20" i="3"/>
  <c r="Y19" i="3"/>
  <c r="D19" i="3"/>
  <c r="Y18" i="3"/>
  <c r="D18" i="3"/>
  <c r="Y17" i="3"/>
  <c r="D17" i="3"/>
  <c r="Y16" i="3"/>
  <c r="D16" i="3"/>
  <c r="Y15" i="3"/>
  <c r="D15" i="3"/>
  <c r="Y14" i="3"/>
  <c r="D14" i="3"/>
  <c r="Y13" i="3"/>
  <c r="D13" i="3"/>
  <c r="Y12" i="3"/>
  <c r="D12" i="3"/>
  <c r="Y11" i="3"/>
  <c r="D11" i="3"/>
  <c r="Y10" i="3"/>
  <c r="D10" i="3"/>
  <c r="Y9" i="3"/>
  <c r="D9" i="3"/>
  <c r="Y8" i="3"/>
  <c r="D8" i="3"/>
  <c r="Y7" i="3"/>
  <c r="D7" i="3"/>
  <c r="Y6" i="3"/>
  <c r="D6" i="3"/>
  <c r="Y5" i="3"/>
  <c r="D5" i="3"/>
  <c r="Y4" i="3"/>
  <c r="Z139" i="3" s="1"/>
  <c r="D4" i="3"/>
  <c r="Y3" i="3"/>
  <c r="Y2" i="3"/>
  <c r="Z140" i="3" s="1"/>
  <c r="D2" i="3"/>
  <c r="I153" i="2"/>
  <c r="J153" i="2"/>
  <c r="K153" i="2"/>
  <c r="L153" i="2"/>
  <c r="M153" i="2"/>
  <c r="N153" i="2"/>
  <c r="I154" i="2"/>
  <c r="J154" i="2"/>
  <c r="K154" i="2"/>
  <c r="L154" i="2"/>
  <c r="M154" i="2"/>
  <c r="N154" i="2"/>
  <c r="I156" i="2"/>
  <c r="J156" i="2"/>
  <c r="K156" i="2"/>
  <c r="L156" i="2"/>
  <c r="M156" i="2"/>
  <c r="N156" i="2"/>
  <c r="I157" i="2"/>
  <c r="J157" i="2"/>
  <c r="K157" i="2"/>
  <c r="L157" i="2"/>
  <c r="M157" i="2"/>
  <c r="N157" i="2"/>
  <c r="I158" i="2"/>
  <c r="J158" i="2"/>
  <c r="K158" i="2"/>
  <c r="L158" i="2"/>
  <c r="M158" i="2"/>
  <c r="N158" i="2"/>
  <c r="I159" i="2"/>
  <c r="J159" i="2"/>
  <c r="K159" i="2"/>
  <c r="L159" i="2"/>
  <c r="M159" i="2"/>
  <c r="N159" i="2"/>
  <c r="I160" i="2"/>
  <c r="J160" i="2"/>
  <c r="K160" i="2"/>
  <c r="L160" i="2"/>
  <c r="M160" i="2"/>
  <c r="N160" i="2"/>
  <c r="I161" i="2"/>
  <c r="J161" i="2"/>
  <c r="K161" i="2"/>
  <c r="L161" i="2"/>
  <c r="M161" i="2"/>
  <c r="N161" i="2"/>
  <c r="I163" i="2"/>
  <c r="J163" i="2"/>
  <c r="K163" i="2"/>
  <c r="L163" i="2"/>
  <c r="M163" i="2"/>
  <c r="N163" i="2"/>
  <c r="I165" i="2"/>
  <c r="J165" i="2"/>
  <c r="K165" i="2"/>
  <c r="L165" i="2"/>
  <c r="M165" i="2"/>
  <c r="N165" i="2"/>
  <c r="I166" i="2"/>
  <c r="J166" i="2"/>
  <c r="K166" i="2"/>
  <c r="L166" i="2"/>
  <c r="M166" i="2"/>
  <c r="N166" i="2"/>
  <c r="I168" i="2"/>
  <c r="J168" i="2"/>
  <c r="K168" i="2"/>
  <c r="L168" i="2"/>
  <c r="M168" i="2"/>
  <c r="N168" i="2"/>
  <c r="I169" i="2"/>
  <c r="J169" i="2"/>
  <c r="K169" i="2"/>
  <c r="L169" i="2"/>
  <c r="M169" i="2"/>
  <c r="N169" i="2"/>
  <c r="I170" i="2"/>
  <c r="J170" i="2"/>
  <c r="K170" i="2"/>
  <c r="L170" i="2"/>
  <c r="M170" i="2"/>
  <c r="N170" i="2"/>
  <c r="I171" i="2"/>
  <c r="J171" i="2"/>
  <c r="K171" i="2"/>
  <c r="L171" i="2"/>
  <c r="M171" i="2"/>
  <c r="N171" i="2"/>
  <c r="I172" i="2"/>
  <c r="J172" i="2"/>
  <c r="K172" i="2"/>
  <c r="L172" i="2"/>
  <c r="M172" i="2"/>
  <c r="N172" i="2"/>
  <c r="I173" i="2"/>
  <c r="J173" i="2"/>
  <c r="K173" i="2"/>
  <c r="L173" i="2"/>
  <c r="M173" i="2"/>
  <c r="N173" i="2"/>
  <c r="I175" i="2"/>
  <c r="J175" i="2"/>
  <c r="K175" i="2"/>
  <c r="L175" i="2"/>
  <c r="M175" i="2"/>
  <c r="N175" i="2"/>
  <c r="O173" i="2"/>
  <c r="O172" i="2"/>
  <c r="O171" i="2"/>
  <c r="O170" i="2"/>
  <c r="O169" i="2"/>
  <c r="O168" i="2"/>
  <c r="O166" i="2"/>
  <c r="O165" i="2"/>
  <c r="O163" i="2"/>
  <c r="O161" i="2"/>
  <c r="O160" i="2"/>
  <c r="O159" i="2"/>
  <c r="O158" i="2"/>
  <c r="O157" i="2"/>
  <c r="O156" i="2"/>
  <c r="O154" i="2"/>
  <c r="O153" i="2"/>
  <c r="O175" i="2" s="1"/>
  <c r="AP151" i="2"/>
  <c r="AU151" i="2"/>
  <c r="AP153" i="2"/>
  <c r="AU153" i="2"/>
  <c r="AP154" i="2"/>
  <c r="AU154" i="2"/>
  <c r="AP156" i="2"/>
  <c r="AU156" i="2"/>
  <c r="AP157" i="2"/>
  <c r="AU157" i="2"/>
  <c r="AP158" i="2"/>
  <c r="AU158" i="2"/>
  <c r="AP159" i="2"/>
  <c r="AU159" i="2"/>
  <c r="AP160" i="2"/>
  <c r="AU160" i="2"/>
  <c r="AP161" i="2"/>
  <c r="AU161" i="2"/>
  <c r="AP163" i="2"/>
  <c r="AU163" i="2"/>
  <c r="AP165" i="2"/>
  <c r="AU165" i="2"/>
  <c r="AP166" i="2"/>
  <c r="AU166" i="2"/>
  <c r="AP168" i="2"/>
  <c r="AU168" i="2"/>
  <c r="AP169" i="2"/>
  <c r="AU169" i="2"/>
  <c r="AP170" i="2"/>
  <c r="AU170" i="2"/>
  <c r="AP171" i="2"/>
  <c r="AU171" i="2"/>
  <c r="AP172" i="2"/>
  <c r="AU172" i="2"/>
  <c r="AP173" i="2"/>
  <c r="AU173" i="2"/>
  <c r="AP175" i="2"/>
  <c r="AU175" i="2"/>
  <c r="AH151" i="2"/>
  <c r="AI151" i="2"/>
  <c r="AJ151" i="2"/>
  <c r="AK151" i="2"/>
  <c r="AL151" i="2"/>
  <c r="AH153" i="2"/>
  <c r="AI153" i="2"/>
  <c r="AJ153" i="2"/>
  <c r="AK153" i="2"/>
  <c r="AL153" i="2"/>
  <c r="AH154" i="2"/>
  <c r="AI154" i="2"/>
  <c r="AJ154" i="2"/>
  <c r="AK154" i="2"/>
  <c r="AL154" i="2"/>
  <c r="AH156" i="2"/>
  <c r="AI156" i="2"/>
  <c r="AJ156" i="2"/>
  <c r="AK156" i="2"/>
  <c r="AL156" i="2"/>
  <c r="AH157" i="2"/>
  <c r="AI157" i="2"/>
  <c r="AJ157" i="2"/>
  <c r="AK157" i="2"/>
  <c r="AL157" i="2"/>
  <c r="AH158" i="2"/>
  <c r="AI158" i="2"/>
  <c r="AJ158" i="2"/>
  <c r="AK158" i="2"/>
  <c r="AL158" i="2"/>
  <c r="AH159" i="2"/>
  <c r="AI159" i="2"/>
  <c r="AJ159" i="2"/>
  <c r="AK159" i="2"/>
  <c r="AL159" i="2"/>
  <c r="AH160" i="2"/>
  <c r="AI160" i="2"/>
  <c r="AJ160" i="2"/>
  <c r="AK160" i="2"/>
  <c r="AL160" i="2"/>
  <c r="AH161" i="2"/>
  <c r="AI161" i="2"/>
  <c r="AJ161" i="2"/>
  <c r="AK161" i="2"/>
  <c r="AL161" i="2"/>
  <c r="AH163" i="2"/>
  <c r="AI163" i="2"/>
  <c r="AJ163" i="2"/>
  <c r="AK163" i="2"/>
  <c r="AL163" i="2"/>
  <c r="AH165" i="2"/>
  <c r="AI165" i="2"/>
  <c r="AJ165" i="2"/>
  <c r="AK165" i="2"/>
  <c r="AL165" i="2"/>
  <c r="AH166" i="2"/>
  <c r="AI166" i="2"/>
  <c r="AJ166" i="2"/>
  <c r="AK166" i="2"/>
  <c r="AL166" i="2"/>
  <c r="AH168" i="2"/>
  <c r="AI168" i="2"/>
  <c r="AJ168" i="2"/>
  <c r="AK168" i="2"/>
  <c r="AL168" i="2"/>
  <c r="AH169" i="2"/>
  <c r="AI169" i="2"/>
  <c r="AJ169" i="2"/>
  <c r="AK169" i="2"/>
  <c r="AL169" i="2"/>
  <c r="AH170" i="2"/>
  <c r="AI170" i="2"/>
  <c r="AJ170" i="2"/>
  <c r="AK170" i="2"/>
  <c r="AL170" i="2"/>
  <c r="AH171" i="2"/>
  <c r="AI171" i="2"/>
  <c r="AJ171" i="2"/>
  <c r="AK171" i="2"/>
  <c r="AL171" i="2"/>
  <c r="AH172" i="2"/>
  <c r="AI172" i="2"/>
  <c r="AJ172" i="2"/>
  <c r="AK172" i="2"/>
  <c r="AL172" i="2"/>
  <c r="AH173" i="2"/>
  <c r="AI173" i="2"/>
  <c r="AJ173" i="2"/>
  <c r="AK173" i="2"/>
  <c r="AL173" i="2"/>
  <c r="AH175" i="2"/>
  <c r="AI175" i="2"/>
  <c r="AJ175" i="2"/>
  <c r="AK175" i="2"/>
  <c r="AL175" i="2"/>
  <c r="AF153" i="2"/>
  <c r="AF154" i="2"/>
  <c r="AF156" i="2"/>
  <c r="AF157" i="2"/>
  <c r="AF158" i="2"/>
  <c r="AF159" i="2"/>
  <c r="AF160" i="2"/>
  <c r="AF161" i="2"/>
  <c r="AF163" i="2"/>
  <c r="AF165" i="2"/>
  <c r="AF166" i="2"/>
  <c r="AF168" i="2"/>
  <c r="AF169" i="2"/>
  <c r="AF170" i="2"/>
  <c r="AF171" i="2"/>
  <c r="AF172" i="2"/>
  <c r="AF173" i="2"/>
  <c r="AF175" i="2"/>
  <c r="X153" i="2"/>
  <c r="Y153" i="2"/>
  <c r="Z153" i="2"/>
  <c r="AA153" i="2"/>
  <c r="AB153" i="2"/>
  <c r="AC153" i="2"/>
  <c r="AD153" i="2"/>
  <c r="AE153" i="2"/>
  <c r="X154" i="2"/>
  <c r="Y154" i="2"/>
  <c r="Z154" i="2"/>
  <c r="AA154" i="2"/>
  <c r="AB154" i="2"/>
  <c r="AC154" i="2"/>
  <c r="AD154" i="2"/>
  <c r="AE154" i="2"/>
  <c r="X156" i="2"/>
  <c r="Y156" i="2"/>
  <c r="Z156" i="2"/>
  <c r="AA156" i="2"/>
  <c r="AB156" i="2"/>
  <c r="AC156" i="2"/>
  <c r="AD156" i="2"/>
  <c r="AE156" i="2"/>
  <c r="X157" i="2"/>
  <c r="Y157" i="2"/>
  <c r="Z157" i="2"/>
  <c r="AA157" i="2"/>
  <c r="AB157" i="2"/>
  <c r="AC157" i="2"/>
  <c r="AD157" i="2"/>
  <c r="AE157" i="2"/>
  <c r="X158" i="2"/>
  <c r="Y158" i="2"/>
  <c r="Z158" i="2"/>
  <c r="AA158" i="2"/>
  <c r="AB158" i="2"/>
  <c r="AC158" i="2"/>
  <c r="AD158" i="2"/>
  <c r="AE158" i="2"/>
  <c r="X159" i="2"/>
  <c r="Y159" i="2"/>
  <c r="Z159" i="2"/>
  <c r="AA159" i="2"/>
  <c r="AB159" i="2"/>
  <c r="AC159" i="2"/>
  <c r="AD159" i="2"/>
  <c r="AE159" i="2"/>
  <c r="X160" i="2"/>
  <c r="Y160" i="2"/>
  <c r="Z160" i="2"/>
  <c r="AA160" i="2"/>
  <c r="AB160" i="2"/>
  <c r="AC160" i="2"/>
  <c r="AD160" i="2"/>
  <c r="AE160" i="2"/>
  <c r="X161" i="2"/>
  <c r="Y161" i="2"/>
  <c r="Z161" i="2"/>
  <c r="AA161" i="2"/>
  <c r="AB161" i="2"/>
  <c r="AC161" i="2"/>
  <c r="AD161" i="2"/>
  <c r="AE161" i="2"/>
  <c r="X163" i="2"/>
  <c r="Y163" i="2"/>
  <c r="Z163" i="2"/>
  <c r="AA163" i="2"/>
  <c r="AB163" i="2"/>
  <c r="AC163" i="2"/>
  <c r="AD163" i="2"/>
  <c r="AE163" i="2"/>
  <c r="X165" i="2"/>
  <c r="Y165" i="2"/>
  <c r="Z165" i="2"/>
  <c r="AA165" i="2"/>
  <c r="AB165" i="2"/>
  <c r="AC165" i="2"/>
  <c r="AD165" i="2"/>
  <c r="AE165" i="2"/>
  <c r="X166" i="2"/>
  <c r="Y166" i="2"/>
  <c r="Z166" i="2"/>
  <c r="AA166" i="2"/>
  <c r="AB166" i="2"/>
  <c r="AC166" i="2"/>
  <c r="AD166" i="2"/>
  <c r="AE166" i="2"/>
  <c r="X168" i="2"/>
  <c r="Y168" i="2"/>
  <c r="Z168" i="2"/>
  <c r="AA168" i="2"/>
  <c r="AB168" i="2"/>
  <c r="AC168" i="2"/>
  <c r="AD168" i="2"/>
  <c r="AE168" i="2"/>
  <c r="X169" i="2"/>
  <c r="Y169" i="2"/>
  <c r="Z169" i="2"/>
  <c r="AA169" i="2"/>
  <c r="AB169" i="2"/>
  <c r="AC169" i="2"/>
  <c r="AD169" i="2"/>
  <c r="AE169" i="2"/>
  <c r="X170" i="2"/>
  <c r="Y170" i="2"/>
  <c r="Z170" i="2"/>
  <c r="AA170" i="2"/>
  <c r="AB170" i="2"/>
  <c r="AC170" i="2"/>
  <c r="AD170" i="2"/>
  <c r="AE170" i="2"/>
  <c r="X171" i="2"/>
  <c r="Y171" i="2"/>
  <c r="Z171" i="2"/>
  <c r="AA171" i="2"/>
  <c r="AB171" i="2"/>
  <c r="AC171" i="2"/>
  <c r="AD171" i="2"/>
  <c r="AE171" i="2"/>
  <c r="X172" i="2"/>
  <c r="Y172" i="2"/>
  <c r="Z172" i="2"/>
  <c r="AA172" i="2"/>
  <c r="AB172" i="2"/>
  <c r="AC172" i="2"/>
  <c r="AD172" i="2"/>
  <c r="AE172" i="2"/>
  <c r="X173" i="2"/>
  <c r="Y173" i="2"/>
  <c r="Z173" i="2"/>
  <c r="AA173" i="2"/>
  <c r="AB173" i="2"/>
  <c r="AC173" i="2"/>
  <c r="AD173" i="2"/>
  <c r="AE173" i="2"/>
  <c r="X175" i="2"/>
  <c r="Y175" i="2"/>
  <c r="Z175" i="2"/>
  <c r="AA175" i="2"/>
  <c r="AB175" i="2"/>
  <c r="AC175" i="2"/>
  <c r="AD175" i="2"/>
  <c r="AE175" i="2"/>
  <c r="W153" i="2"/>
  <c r="W154" i="2"/>
  <c r="W156" i="2"/>
  <c r="W157" i="2"/>
  <c r="W158" i="2"/>
  <c r="W159" i="2"/>
  <c r="W160" i="2"/>
  <c r="W161" i="2"/>
  <c r="W163" i="2"/>
  <c r="W165" i="2"/>
  <c r="W166" i="2"/>
  <c r="W168" i="2"/>
  <c r="W169" i="2"/>
  <c r="W170" i="2"/>
  <c r="W171" i="2"/>
  <c r="W172" i="2"/>
  <c r="W173" i="2"/>
  <c r="W175" i="2"/>
  <c r="S163" i="2"/>
  <c r="W151" i="2"/>
  <c r="S173" i="2"/>
  <c r="S172" i="2"/>
  <c r="S171" i="2"/>
  <c r="S170" i="2"/>
  <c r="S169" i="2"/>
  <c r="S168" i="2"/>
  <c r="S166" i="2"/>
  <c r="S165" i="2"/>
  <c r="S161" i="2"/>
  <c r="S160" i="2"/>
  <c r="S159" i="2"/>
  <c r="S158" i="2"/>
  <c r="S157" i="2"/>
  <c r="S156" i="2"/>
  <c r="S154" i="2"/>
  <c r="S153" i="2"/>
  <c r="S175" i="2" s="1"/>
  <c r="X151" i="2"/>
  <c r="Y151" i="2"/>
  <c r="Z151" i="2"/>
  <c r="AA151" i="2"/>
  <c r="AB151" i="2"/>
  <c r="AC151" i="2"/>
  <c r="AD151" i="2"/>
  <c r="AE151" i="2"/>
  <c r="AF151" i="2"/>
  <c r="S151" i="2"/>
  <c r="U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V161" i="2" s="1"/>
  <c r="U63" i="2"/>
  <c r="V163" i="2" s="1"/>
  <c r="U64" i="2"/>
  <c r="U65" i="2"/>
  <c r="U66" i="2"/>
  <c r="U67" i="2"/>
  <c r="U68" i="2"/>
  <c r="U69" i="2"/>
  <c r="U70" i="2"/>
  <c r="U71" i="2"/>
  <c r="U72" i="2"/>
  <c r="U73" i="2"/>
  <c r="U74" i="2"/>
  <c r="U75" i="2"/>
  <c r="U76" i="2"/>
  <c r="U77" i="2"/>
  <c r="U78" i="2"/>
  <c r="U79" i="2"/>
  <c r="U80" i="2"/>
  <c r="V173" i="2" s="1"/>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2" i="2"/>
  <c r="F155" i="2"/>
  <c r="F156" i="2"/>
  <c r="D12" i="2"/>
  <c r="R173" i="2"/>
  <c r="R172" i="2"/>
  <c r="R171" i="2"/>
  <c r="R170" i="2"/>
  <c r="R169" i="2"/>
  <c r="R168" i="2"/>
  <c r="R166" i="2"/>
  <c r="R165" i="2"/>
  <c r="R163" i="2"/>
  <c r="R161" i="2"/>
  <c r="R160" i="2"/>
  <c r="R159" i="2"/>
  <c r="R158" i="2"/>
  <c r="R157" i="2"/>
  <c r="R156" i="2"/>
  <c r="R154" i="2"/>
  <c r="R153" i="2"/>
  <c r="R175" i="2" s="1"/>
  <c r="R151" i="2"/>
  <c r="Q173" i="2"/>
  <c r="Q172" i="2"/>
  <c r="Q171" i="2"/>
  <c r="Q170" i="2"/>
  <c r="Q169" i="2"/>
  <c r="Q168" i="2"/>
  <c r="Q166" i="2"/>
  <c r="Q165" i="2"/>
  <c r="Q163" i="2"/>
  <c r="Q161" i="2"/>
  <c r="Q160" i="2"/>
  <c r="Q159" i="2"/>
  <c r="Q158" i="2"/>
  <c r="Q157" i="2"/>
  <c r="Q156" i="2"/>
  <c r="Q154" i="2"/>
  <c r="Q153" i="2"/>
  <c r="Q175" i="2" s="1"/>
  <c r="J151" i="2"/>
  <c r="K151" i="2"/>
  <c r="L151" i="2"/>
  <c r="M151" i="2"/>
  <c r="N151" i="2"/>
  <c r="O151" i="2"/>
  <c r="I151" i="2"/>
  <c r="F164" i="2"/>
  <c r="E164" i="2"/>
  <c r="D164" i="2"/>
  <c r="C164" i="2"/>
  <c r="D161" i="2"/>
  <c r="C161" i="2"/>
  <c r="F153" i="2"/>
  <c r="F151" i="2"/>
  <c r="F152" i="2"/>
  <c r="F154" i="2"/>
  <c r="D149" i="2"/>
  <c r="D148" i="2"/>
  <c r="D147" i="2"/>
  <c r="D146" i="2"/>
  <c r="D145" i="2"/>
  <c r="D144" i="2"/>
  <c r="D143" i="2"/>
  <c r="D142" i="2"/>
  <c r="D141" i="2"/>
  <c r="D140" i="2"/>
  <c r="D139" i="2"/>
  <c r="D138" i="2"/>
  <c r="D137" i="2"/>
  <c r="D136" i="2"/>
  <c r="D135" i="2"/>
  <c r="D134" i="2"/>
  <c r="D133" i="2"/>
  <c r="D132" i="2"/>
  <c r="D131" i="2"/>
  <c r="D130" i="2"/>
  <c r="D129" i="2"/>
  <c r="D128" i="2"/>
  <c r="D127" i="2"/>
  <c r="D126" i="2"/>
  <c r="D125" i="2"/>
  <c r="D124" i="2"/>
  <c r="D123" i="2"/>
  <c r="D122" i="2"/>
  <c r="D121" i="2"/>
  <c r="D120" i="2"/>
  <c r="D119" i="2"/>
  <c r="D118" i="2"/>
  <c r="D117" i="2"/>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1" i="2"/>
  <c r="D10" i="2"/>
  <c r="D9" i="2"/>
  <c r="D8" i="2"/>
  <c r="D7" i="2"/>
  <c r="D6" i="2"/>
  <c r="D5" i="2"/>
  <c r="D4" i="2"/>
  <c r="D2" i="2"/>
  <c r="D146" i="1"/>
  <c r="D76"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7" i="1"/>
  <c r="D148" i="1"/>
  <c r="D149" i="1"/>
  <c r="D84" i="1"/>
  <c r="D85" i="1"/>
  <c r="D86" i="1"/>
  <c r="D87" i="1"/>
  <c r="D88" i="1"/>
  <c r="D89" i="1"/>
  <c r="D90" i="1"/>
  <c r="D91" i="1"/>
  <c r="D92" i="1"/>
  <c r="D93" i="1"/>
  <c r="D94" i="1"/>
  <c r="D83" i="1"/>
  <c r="D82" i="1"/>
  <c r="D81" i="1"/>
  <c r="D80" i="1"/>
  <c r="D79" i="1"/>
  <c r="D78" i="1"/>
  <c r="D77" i="1"/>
  <c r="D75" i="1"/>
  <c r="D74" i="1"/>
  <c r="D73" i="1"/>
  <c r="D72" i="1"/>
  <c r="D71" i="1"/>
  <c r="D70" i="1"/>
  <c r="D69" i="1"/>
  <c r="D68" i="1"/>
  <c r="D67" i="1"/>
  <c r="D66" i="1"/>
  <c r="D64" i="1"/>
  <c r="D63" i="1"/>
  <c r="D62" i="1"/>
  <c r="D61" i="1"/>
  <c r="D60" i="1"/>
  <c r="D59" i="1"/>
  <c r="D58" i="1"/>
  <c r="D57" i="1"/>
  <c r="D56" i="1"/>
  <c r="D55" i="1"/>
  <c r="D54" i="1"/>
  <c r="D53" i="1"/>
  <c r="D52" i="1"/>
  <c r="D51" i="1"/>
  <c r="D50" i="1"/>
  <c r="D49" i="1"/>
  <c r="D48" i="1"/>
  <c r="D47" i="1"/>
  <c r="D46" i="1"/>
  <c r="D45" i="1"/>
  <c r="D44" i="1"/>
  <c r="D43" i="1"/>
  <c r="D42" i="1"/>
  <c r="D41" i="1"/>
  <c r="D40" i="1"/>
  <c r="D39" i="1"/>
  <c r="D38" i="1"/>
  <c r="D37" i="1"/>
  <c r="D36" i="1"/>
  <c r="D35" i="1"/>
  <c r="D34" i="1"/>
  <c r="D33" i="1"/>
  <c r="D32" i="1"/>
  <c r="D31" i="1"/>
  <c r="D30" i="1"/>
  <c r="D29" i="1"/>
  <c r="D28" i="1"/>
  <c r="D27" i="1"/>
  <c r="D26" i="1"/>
  <c r="D25" i="1"/>
  <c r="D24" i="1"/>
  <c r="D23" i="1"/>
  <c r="D22" i="1"/>
  <c r="D21" i="1"/>
  <c r="D20" i="1"/>
  <c r="D19" i="1"/>
  <c r="D18" i="1"/>
  <c r="D17" i="1"/>
  <c r="D16" i="1"/>
  <c r="D15" i="1"/>
  <c r="D14" i="1"/>
  <c r="D13" i="1"/>
  <c r="D11" i="1"/>
  <c r="D10" i="1"/>
  <c r="D9" i="1"/>
  <c r="D8" i="1"/>
  <c r="D7" i="1"/>
  <c r="D6" i="1"/>
  <c r="D5" i="1"/>
  <c r="D4" i="1"/>
  <c r="D2" i="1"/>
  <c r="W32" i="8" l="1"/>
  <c r="W35" i="8"/>
  <c r="W34" i="8"/>
  <c r="V154" i="2"/>
  <c r="V151" i="2"/>
  <c r="V171" i="2"/>
  <c r="V170" i="2"/>
  <c r="V169" i="2"/>
  <c r="V172" i="2"/>
  <c r="V168" i="2"/>
  <c r="V166" i="2"/>
  <c r="V165" i="2"/>
  <c r="V160" i="2"/>
  <c r="V159" i="2"/>
  <c r="V158" i="2"/>
  <c r="V157" i="2"/>
  <c r="V156" i="2"/>
  <c r="V153" i="2"/>
  <c r="V175" i="2" s="1"/>
  <c r="T32" i="8"/>
  <c r="EG18" i="7"/>
  <c r="EF15" i="7"/>
  <c r="N71" i="13"/>
  <c r="M68" i="13"/>
  <c r="P67" i="13" s="1"/>
  <c r="K75" i="12"/>
  <c r="J72" i="12"/>
  <c r="BY18" i="7"/>
  <c r="BX15" i="7"/>
  <c r="CN18" i="7"/>
  <c r="CM15" i="7"/>
  <c r="DB15" i="7"/>
  <c r="DC18" i="7"/>
  <c r="DG15" i="7"/>
  <c r="DH18" i="7"/>
  <c r="DL15" i="7"/>
  <c r="DM18" i="7"/>
  <c r="L18" i="7"/>
  <c r="K15" i="7"/>
  <c r="AF18" i="7"/>
  <c r="AE15" i="7"/>
  <c r="AK18" i="7"/>
  <c r="AJ15" i="7"/>
  <c r="AU18" i="7"/>
  <c r="AT15" i="7"/>
  <c r="AZ18" i="7"/>
  <c r="AY15" i="7"/>
  <c r="BJ18" i="7"/>
  <c r="BI15" i="7"/>
  <c r="B56" i="7"/>
  <c r="A53" i="7"/>
  <c r="AF56" i="7"/>
  <c r="AE53" i="7"/>
  <c r="AK56" i="7"/>
  <c r="AJ53" i="7"/>
  <c r="AU56" i="7"/>
  <c r="AT53" i="7"/>
  <c r="AZ56" i="7"/>
  <c r="AY53" i="7"/>
  <c r="B94" i="7"/>
  <c r="A91" i="7"/>
  <c r="G94" i="7"/>
  <c r="F91" i="7"/>
  <c r="L94" i="7"/>
  <c r="K91" i="7"/>
  <c r="AA94" i="7"/>
  <c r="Z91" i="7"/>
  <c r="AF94" i="7"/>
  <c r="AE91" i="7"/>
  <c r="AK94" i="7"/>
  <c r="AJ91" i="7"/>
  <c r="AP94" i="7"/>
  <c r="AO91" i="7"/>
  <c r="AU94" i="7"/>
  <c r="AT91" i="7"/>
  <c r="AZ94" i="7"/>
  <c r="AY91" i="7"/>
  <c r="BE94" i="7"/>
  <c r="BD91" i="7"/>
  <c r="BJ94" i="7"/>
  <c r="BI91" i="7"/>
  <c r="W30" i="8"/>
  <c r="T30" i="8"/>
  <c r="E144" i="3"/>
  <c r="E143" i="3"/>
  <c r="BG140" i="3"/>
  <c r="BG137" i="3"/>
  <c r="BG138" i="3" s="1"/>
  <c r="BG157" i="3"/>
  <c r="BG156" i="3"/>
  <c r="BG155" i="3"/>
  <c r="BG158" i="3"/>
  <c r="BG154" i="3"/>
  <c r="BG152" i="3"/>
  <c r="BG151" i="3"/>
  <c r="BG145" i="3"/>
  <c r="BG144" i="3"/>
  <c r="BG143" i="3"/>
  <c r="BG142" i="3"/>
  <c r="BG139" i="3"/>
  <c r="AW24" i="8"/>
  <c r="AW25" i="8"/>
  <c r="BD157" i="3"/>
  <c r="BD156" i="3"/>
  <c r="BD158" i="3"/>
  <c r="BD154" i="3"/>
  <c r="BD152" i="3"/>
  <c r="BD151" i="3"/>
  <c r="BD143" i="3"/>
  <c r="BD140" i="3"/>
  <c r="BD139" i="3"/>
  <c r="BD155" i="3"/>
  <c r="BE157" i="3"/>
  <c r="BE156" i="3"/>
  <c r="BE155" i="3"/>
  <c r="BE158" i="3"/>
  <c r="BE154" i="3"/>
  <c r="BE152" i="3"/>
  <c r="BE151" i="3"/>
  <c r="BE145" i="3"/>
  <c r="BE144" i="3"/>
  <c r="BE143" i="3"/>
  <c r="BE142" i="3"/>
  <c r="BE139" i="3"/>
  <c r="BE140" i="3"/>
  <c r="BD137" i="3"/>
  <c r="BD138" i="3" s="1"/>
  <c r="BE137" i="3"/>
  <c r="BE138" i="3" s="1"/>
  <c r="V117" i="9"/>
  <c r="V116" i="9"/>
  <c r="E117" i="9"/>
  <c r="E116" i="9"/>
  <c r="E138" i="5"/>
  <c r="E137" i="5"/>
  <c r="Z24" i="8"/>
  <c r="Z25" i="8"/>
  <c r="E25" i="8"/>
  <c r="E24" i="8"/>
  <c r="BC25" i="8"/>
  <c r="BC24" i="8"/>
  <c r="Z146" i="3"/>
  <c r="BF161" i="3"/>
  <c r="AX161" i="3"/>
  <c r="BB161" i="3"/>
  <c r="BA161" i="3"/>
  <c r="AZ161" i="3"/>
  <c r="AV161" i="3"/>
  <c r="AU161" i="3"/>
  <c r="E142" i="3"/>
  <c r="E141" i="3"/>
  <c r="E140" i="3"/>
  <c r="E139" i="3"/>
  <c r="E138" i="3"/>
  <c r="E137" i="3"/>
  <c r="Z137" i="3"/>
  <c r="Z161" i="3"/>
  <c r="E156" i="2"/>
  <c r="E155" i="2"/>
  <c r="E153" i="2"/>
  <c r="E154" i="2"/>
  <c r="E152" i="2"/>
  <c r="E151" i="2"/>
  <c r="F14" i="7"/>
  <c r="K14" i="7"/>
  <c r="P14" i="7"/>
  <c r="U14" i="7"/>
  <c r="Z14" i="7"/>
  <c r="AE14" i="7"/>
  <c r="AJ14" i="7"/>
  <c r="A14" i="7"/>
  <c r="AO14" i="7"/>
  <c r="AI39" i="8"/>
  <c r="AS39" i="8"/>
  <c r="AX39" i="8"/>
  <c r="BC39" i="8"/>
  <c r="BH39" i="8"/>
  <c r="BH54" i="8"/>
  <c r="BC54" i="8"/>
  <c r="AX54" i="8"/>
  <c r="AS54" i="8"/>
  <c r="AI54" i="8"/>
  <c r="AD54" i="8"/>
  <c r="AD39" i="8"/>
  <c r="AN54" i="8"/>
  <c r="AN39" i="8"/>
  <c r="AT14" i="7"/>
  <c r="AY14" i="7"/>
  <c r="BD14" i="7"/>
  <c r="BI14" i="7"/>
  <c r="A52" i="7"/>
  <c r="F52" i="7"/>
  <c r="K52" i="7"/>
  <c r="P52" i="7"/>
  <c r="U52" i="7"/>
  <c r="Z52" i="7"/>
  <c r="AE52" i="7"/>
  <c r="AJ52" i="7"/>
  <c r="AO52" i="7"/>
  <c r="AT52" i="7"/>
  <c r="AY52" i="7"/>
  <c r="A90" i="7"/>
  <c r="F90" i="7"/>
  <c r="K90" i="7"/>
  <c r="P90" i="7"/>
  <c r="U90" i="7"/>
  <c r="Z90" i="7"/>
  <c r="AE90" i="7"/>
  <c r="AJ90" i="7"/>
  <c r="AO90" i="7"/>
  <c r="AT90" i="7"/>
  <c r="AY90" i="7"/>
  <c r="BD52" i="7"/>
  <c r="BI52" i="7"/>
  <c r="BI90" i="7"/>
  <c r="BD90" i="7"/>
  <c r="G128" i="7"/>
  <c r="T35" i="8" l="1"/>
  <c r="T34" i="8"/>
  <c r="E145" i="3"/>
  <c r="BE161" i="3"/>
  <c r="BD161" i="3"/>
  <c r="A128" i="7"/>
  <c r="BN14" i="7"/>
  <c r="BS14" i="7"/>
  <c r="BN52" i="7"/>
  <c r="BS52" i="7"/>
  <c r="BN90" i="7"/>
  <c r="BS90" i="7"/>
  <c r="BM69" i="8"/>
  <c r="BR69" i="8"/>
  <c r="B117" i="11"/>
  <c r="G117" i="11"/>
  <c r="L117" i="11"/>
  <c r="AD69" i="8"/>
  <c r="AI69" i="8"/>
  <c r="AN69" i="8"/>
  <c r="AS69" i="8"/>
  <c r="AX69" i="8"/>
  <c r="BC69" i="8"/>
  <c r="BH69" i="8"/>
  <c r="BM39" i="8"/>
  <c r="BM54" i="8"/>
  <c r="BX14" i="7"/>
  <c r="CC14" i="7"/>
  <c r="CH14" i="7"/>
  <c r="CM14" i="7"/>
  <c r="CM52" i="7"/>
  <c r="CH52" i="7"/>
  <c r="CC52" i="7"/>
  <c r="BX52" i="7"/>
  <c r="CM90" i="7"/>
  <c r="CH90" i="7"/>
  <c r="CC90" i="7"/>
  <c r="BX90" i="7"/>
  <c r="AC128" i="7"/>
  <c r="X128" i="7"/>
  <c r="S128" i="7"/>
  <c r="N128" i="7"/>
  <c r="AW128" i="7"/>
  <c r="AR128" i="7"/>
  <c r="AM128" i="7"/>
  <c r="AH128" i="7"/>
  <c r="BQ128" i="7"/>
  <c r="BL128" i="7"/>
  <c r="BG128" i="7"/>
  <c r="BB128" i="7"/>
  <c r="CR14" i="7"/>
  <c r="CR52" i="7"/>
  <c r="CR90" i="7"/>
  <c r="CW56" i="7"/>
  <c r="CW94" i="7"/>
  <c r="CA132" i="7"/>
  <c r="BV128" i="7"/>
  <c r="DB14" i="7"/>
  <c r="DG14" i="7"/>
  <c r="DL14" i="7"/>
  <c r="DQ14" i="7"/>
  <c r="DQ52" i="7"/>
  <c r="DL52" i="7"/>
  <c r="DG52" i="7"/>
  <c r="DB52" i="7"/>
  <c r="DQ90" i="7"/>
  <c r="DL90" i="7"/>
  <c r="DG90" i="7"/>
  <c r="DB90" i="7"/>
  <c r="DV14" i="7"/>
  <c r="EA14" i="7"/>
  <c r="DV52" i="7"/>
  <c r="EA52" i="7"/>
  <c r="DV90" i="7"/>
  <c r="EA90" i="7"/>
  <c r="CW18" i="7"/>
  <c r="BR54" i="8"/>
  <c r="J71" i="12"/>
  <c r="BR39" i="8"/>
  <c r="M67" i="13"/>
  <c r="EF14" i="7"/>
</calcChain>
</file>

<file path=xl/sharedStrings.xml><?xml version="1.0" encoding="utf-8"?>
<sst xmlns="http://schemas.openxmlformats.org/spreadsheetml/2006/main" count="5207" uniqueCount="648">
  <si>
    <t>Subject #</t>
  </si>
  <si>
    <t>Admission Date</t>
  </si>
  <si>
    <t>Discharge Date</t>
  </si>
  <si>
    <t>LOS</t>
  </si>
  <si>
    <t>Age</t>
  </si>
  <si>
    <t>Sex</t>
  </si>
  <si>
    <t>Race</t>
  </si>
  <si>
    <t>Comorbidity present (at least 1)?</t>
  </si>
  <si>
    <t>IVDU</t>
  </si>
  <si>
    <t>Prosthetic Valve</t>
  </si>
  <si>
    <t>Intracardiac device</t>
  </si>
  <si>
    <t>Chronic in-line cath</t>
  </si>
  <si>
    <t>Previous IE</t>
  </si>
  <si>
    <t>Cardio-structural abnormality</t>
  </si>
  <si>
    <t>Type of abnormality</t>
  </si>
  <si>
    <t>Bcx initial</t>
  </si>
  <si>
    <t>Bcx repeat positive?</t>
  </si>
  <si>
    <t>Total sets of positive Bcx</t>
  </si>
  <si>
    <t>Date initial positive Bcx</t>
  </si>
  <si>
    <t>Date last positive Bcx</t>
  </si>
  <si>
    <t>Alternative source of infx?</t>
  </si>
  <si>
    <t>OM?</t>
  </si>
  <si>
    <t>Cellulitis or open wound?</t>
  </si>
  <si>
    <t>Line related?</t>
  </si>
  <si>
    <t>Abscess?</t>
  </si>
  <si>
    <t>Intra-abdominal?</t>
  </si>
  <si>
    <t>PNA?</t>
  </si>
  <si>
    <t>UTI?</t>
  </si>
  <si>
    <t>Other</t>
  </si>
  <si>
    <t>Abx used?</t>
  </si>
  <si>
    <t>Abx tx? (ended w/)</t>
  </si>
  <si>
    <t>Planned longterm abx tx (~4-6wks) +/- PICC?</t>
  </si>
  <si>
    <t>fever?</t>
  </si>
  <si>
    <t>&lt; 3 days defervescence or remained afebrile?</t>
  </si>
  <si>
    <t>WBC downtrend or remained nrml?</t>
  </si>
  <si>
    <t>TTE used?</t>
  </si>
  <si>
    <t>TTE date</t>
  </si>
  <si>
    <t>TTE new valvular veg?</t>
  </si>
  <si>
    <t>TTE new worsened fxnl findings from previous TTEs?</t>
  </si>
  <si>
    <t>TEE used?</t>
  </si>
  <si>
    <t>TEE date</t>
  </si>
  <si>
    <t>TEE new valvular veg?</t>
  </si>
  <si>
    <t>TEE new anatomical/fxnl findings?</t>
  </si>
  <si>
    <t>Abx/tx changed based off TEE?</t>
  </si>
  <si>
    <t>Pt required ICU level of care?</t>
  </si>
  <si>
    <t>Comments</t>
  </si>
  <si>
    <t>mod TR, MR, AS w/ TAVR, CABG 2000</t>
  </si>
  <si>
    <t>Methicillin-Resistant Staphylococcus aureus</t>
  </si>
  <si>
    <t>Daptomycin</t>
  </si>
  <si>
    <t>NEVER febrile, TTE prev was BEFORE CABG</t>
  </si>
  <si>
    <t>OM L foot, TEE denied by cards, SICU</t>
  </si>
  <si>
    <t>thickened AV leaf</t>
  </si>
  <si>
    <t>Staphylococcus aureus</t>
  </si>
  <si>
    <t>Ertapenem nafcillin</t>
  </si>
  <si>
    <t>MICU, was on ertapenem, nafcillin, clindamycin early on, source septic arthritis R knee aspiration, TTE this adm showed mod-sev AR</t>
  </si>
  <si>
    <t>cefazolin</t>
  </si>
  <si>
    <t>infected kidney stone</t>
  </si>
  <si>
    <t>G3DD, sev LA dilation</t>
  </si>
  <si>
    <t>vanc zosyn</t>
  </si>
  <si>
    <t>prev IE on Mitral valve, TTE this adm show mod MR, tx w/ PICC, chole and psoas abscess, MICU</t>
  </si>
  <si>
    <t>mod MR, TR, sev biatrial enlarge</t>
  </si>
  <si>
    <t>Ertapenem cefazolin</t>
  </si>
  <si>
    <t>MICU</t>
  </si>
  <si>
    <t>G2DD</t>
  </si>
  <si>
    <t>chest port for Br ca w/ brain mets, port negative as source, RUE cellulitis, planned 6wks abx but made comfort</t>
  </si>
  <si>
    <t xml:space="preserve">1/4/24 veg seen, sev TR, </t>
  </si>
  <si>
    <t>recurring IE w/ mult adm, been in ICU, prior veg 1/24, bad IVDU not even candidate for PICC, this adm it was NOT due to line related, left AMA, not candidate for CT surgery, TTE this adm showed increased RV dilation and sev pulm HTN</t>
  </si>
  <si>
    <t>sev calc AV, mod AS, mod TR</t>
  </si>
  <si>
    <t>vanc cefepime</t>
  </si>
  <si>
    <t>wbc confound by new L pyelo, hx of bladdar ca (no chemo), pulm nodule, TTE now shows mod-sev AS, G2DD, biatrial enlarge, MICU</t>
  </si>
  <si>
    <t>G1DD</t>
  </si>
  <si>
    <t>ESRD HD MWF, has dialysis cath which was source, suprapub cath, TTE this adm shows significant MR</t>
  </si>
  <si>
    <t>HFrEF</t>
  </si>
  <si>
    <t>had recent spinal fusion T8-12 4/2024, spine abscess, IR declined intervent, 8 wks abx maybe lifelong given infxn of hardware</t>
  </si>
  <si>
    <t>patient made comfort day of admission, lung ca w/ bone and brain mets</t>
  </si>
  <si>
    <t>lung ca on chemo, chest port tip also growing MSSA, no TEE 2/2 thrombocytopenia</t>
  </si>
  <si>
    <t>at least mod TR'</t>
  </si>
  <si>
    <t>L hip septic arthritis s/p girdlestone, UTI hx of freq straight cath, resolved findings of TR on TTE</t>
  </si>
  <si>
    <t>PFO, sev biatrial enlarge, G1DD, mod LVH</t>
  </si>
  <si>
    <t>nafcillin</t>
  </si>
  <si>
    <t>bcx positive 10 days into admission, poss in line assc,  had 1 TTE prior to pos bcx 5/9/24 and another after, MICU</t>
  </si>
  <si>
    <t>G1DD, mod mitral annular calc</t>
  </si>
  <si>
    <t>severely thickened calc mitral valve on admss TTE, CKD5 not on HD but has LUE AV fist w/ recent angioplasty, chronic L toe wound, amputated, PLANNED TEE AFTER ABX</t>
  </si>
  <si>
    <t>ESRD on HD right AV fistula, R foot OM</t>
  </si>
  <si>
    <t>HFrEF,mod MR, sev global hypokinesia</t>
  </si>
  <si>
    <t>HF on milrinone via PICC, coded shortly after transfer to MICU</t>
  </si>
  <si>
    <t>septic thrombus in RA, TTE echodensity c/f clot in transit and mild-mod TR, mod TR, was made comfort</t>
  </si>
  <si>
    <t>septic shock 2/2 PNA, made comfort care</t>
  </si>
  <si>
    <t>4 week abx course w/ lack of acute findings</t>
  </si>
  <si>
    <t>psoas abscess s/p drainage on 4/23, had fevers up until drainage, TTE changes Grade II DD (grade I), dec RV fxn (nrml), mild stenosis (none); last TTE was 4 years ago</t>
  </si>
  <si>
    <t>source maybe post complication scalp Moh's sx?, ESRD on HD left AV fistula,</t>
  </si>
  <si>
    <t>vanc</t>
  </si>
  <si>
    <t>fabry disease 2 wk infusion via chest port likely source, port removed this adm w/ cath tip pos for MRSA, IVDU, hx of MRSA bact tx w/ 6wk abx</t>
  </si>
  <si>
    <t>mod MS, G1DD</t>
  </si>
  <si>
    <t>changed from 6 to 4 week abx course</t>
  </si>
  <si>
    <t>lumbar OM, psoas and epidural abscess, need 8 wks for epidural abs, neurosx intervene had post op fever, MICU</t>
  </si>
  <si>
    <t xml:space="preserve">PICC for TPN likely source, </t>
  </si>
  <si>
    <t>anterolat hypokinesis, apical kinesis, HFmrEF</t>
  </si>
  <si>
    <t>septic arthritis L shoulder, coded on day 7, TEE was considered</t>
  </si>
  <si>
    <t>mod TR, G1DD</t>
  </si>
  <si>
    <t>source poss from OM, psoas/epidural abscess, septic phlebitis, TTE this adm shows minimal TR now</t>
  </si>
  <si>
    <t>open sacral wound likely source, had central fevers as well, drug fever</t>
  </si>
  <si>
    <t>necrotizing MRSA PNA, transitioned to PO linezolid for last 2 weeks, now noting mild-mod TR on this TTE, TEE showed mod TR and thickening of TV could rep as scarring old veg? or inflammatory process</t>
  </si>
  <si>
    <t>sev AS</t>
  </si>
  <si>
    <t>port for chemo growing MSSA, TTE this adm show now mod-sev RV dysfxn, right atrial dilation, still sev AS, MICU</t>
  </si>
  <si>
    <t>pt critically sick, bcx positive days into adms, was already on abx before bcx pos</t>
  </si>
  <si>
    <t>G3DD, mod RV dilation</t>
  </si>
  <si>
    <t>needed EGD first before TEE 2/2 esoph varices</t>
  </si>
  <si>
    <t>sev biatrial enlarge, mod TR</t>
  </si>
  <si>
    <t>TEE showed TV veg, req pacemaker removal, narrowed cef/vanc to cefazolin and was CONSIDERING CT surgery but never consulted</t>
  </si>
  <si>
    <t>source poss excoriation nose picking??</t>
  </si>
  <si>
    <t>scattered pos bcx, hx of MULTIPLE MRSA bacteremia and septic joint</t>
  </si>
  <si>
    <t>TTE this adm mitral valve veg w/ mod AS</t>
  </si>
  <si>
    <t>CRT device, need lifelong abx after 6wk IV</t>
  </si>
  <si>
    <t>Methicillin Resistant Staphylococcus aureus</t>
  </si>
  <si>
    <t>TTE this adm G2DD, developed asp pna later on, abx adj from vanc to dapt after TEE</t>
  </si>
  <si>
    <t>Streptococcus mutans</t>
  </si>
  <si>
    <t>ceftriaxone</t>
  </si>
  <si>
    <t>OM symph pupis, did 6-8wk for OM, TTE this adm G1DD</t>
  </si>
  <si>
    <t>Streptococcus mitis group</t>
  </si>
  <si>
    <t>AML on chemo via PICC, neutropenic fever, source GI translocation vs oral mucositis, WAS TRANSF TO UPENN, CTX for 14 days, is on cephpodoxime ppx for her AML</t>
  </si>
  <si>
    <t>Streptococcus gordonii</t>
  </si>
  <si>
    <t>prosthetic aortic valve, mitral annuloplasty ring, TEE this adm showed mod MR</t>
  </si>
  <si>
    <t>dental abscess, planned 4 wks tx w/ conclusive TTE , repeat echo in 6 wks after discharge</t>
  </si>
  <si>
    <t>TTE this adm showed G2DD, mod conc LVH, only 14 days abx</t>
  </si>
  <si>
    <t>Streptococcus constellatus</t>
  </si>
  <si>
    <t>levofloxacin</t>
  </si>
  <si>
    <t>pancreas ca w/ chest port, source maybe superinfected tumor, only 14 days abx</t>
  </si>
  <si>
    <t>sev MR</t>
  </si>
  <si>
    <t>ceftriaxone gentamycin</t>
  </si>
  <si>
    <t>source dental wound, had CVA likely 2/2 bact endocard, CT surgery consulted and gentamycin started based off TEE, transferred to Einstein</t>
  </si>
  <si>
    <t>patient w/ sev liver ca, bcx positve during stay in MICU, likely line related, but was made comfort</t>
  </si>
  <si>
    <t>ext hx AsAA repair complic by sternal wound infxn s/p I/D c flap reconstruct and prolong vanc , source periaortic supurative fluid from graft, abx were adjusted for CT surgery BUT NOT for IE managment</t>
  </si>
  <si>
    <t>has lung ca w/ mets to spine, thought about 4wks abx but said if MRI neg for OM chances of endovas infxn are unlikely, went w/ 14 days abx</t>
  </si>
  <si>
    <t>amoxicillin clav</t>
  </si>
  <si>
    <t>diverticulitis w/ bowel perf peritonitis, 14 days PO abx</t>
  </si>
  <si>
    <t>Streptococcus anginosus</t>
  </si>
  <si>
    <t>meropenem</t>
  </si>
  <si>
    <t>source odontogenic sinusitis w/ invasion to brain, cx positve in oral and brain, transferred to TJIH 4/15/24 for neurosx ICU, comfort care inpatient hospice 5/7/24</t>
  </si>
  <si>
    <t>source liver abscess, fever on 5/3/24 day of liver drain,</t>
  </si>
  <si>
    <t>thought to be contaminent, covid +</t>
  </si>
  <si>
    <t>bicuspid AV and AS</t>
  </si>
  <si>
    <t>likely dental source, TTE found mod AR and sev AS G2DD, TEE (intraop w/ CT sx) showed same, decision to get CT sx involved after TTE NOT TEE 2/2 VERY CLASSIC picture of IE</t>
  </si>
  <si>
    <t>cefazolin levofloxacin</t>
  </si>
  <si>
    <t>paralyzed at baseline, source likely mult open wounds or spinal abscess, levofloxacin changed to PO</t>
  </si>
  <si>
    <t>G1DD, mod AS</t>
  </si>
  <si>
    <t>amoxicillin</t>
  </si>
  <si>
    <t>TTE found mod-sev MR, mod AS, mod TR</t>
  </si>
  <si>
    <t>recent prosthetic R hip 2 wks ago, susp for infxn, ortho said no intervent, transferred to Temple for ortho reeval, they found abscess when I&amp;D</t>
  </si>
  <si>
    <t>bicuspid AV, mod MR, AS, AR, G1DD</t>
  </si>
  <si>
    <t>Streptococcus sanguinis</t>
  </si>
  <si>
    <t>was made comfort care the day of admis</t>
  </si>
  <si>
    <t>mod MR, sev MS, prosthetic AV, mod TR</t>
  </si>
  <si>
    <t>Streptococcus lutetiensis</t>
  </si>
  <si>
    <t>source gallstone complications, ID said low susp for intravasc infxn, transitioned to PO abx, made comfort</t>
  </si>
  <si>
    <t>Enterococcus faecalis</t>
  </si>
  <si>
    <t>was on ampicillin inpatient, switched to PO amox 500 TID for 14 days total tx</t>
  </si>
  <si>
    <t>HCM</t>
  </si>
  <si>
    <t>ceftriaxone ampicillin</t>
  </si>
  <si>
    <t xml:space="preserve">pacemaker ICD, brain infarct c/f septic emboli, TTE this adm shows mod-sev MR w/ LA sev dilation, PLANNED TEE and ICD removal when stable </t>
  </si>
  <si>
    <t>TTE this adm showed mod TR, transitioned abx to PO amox</t>
  </si>
  <si>
    <t>vanc cefepime flagyl</t>
  </si>
  <si>
    <t>dialysis line source, made comfort</t>
  </si>
  <si>
    <t>Vancomycin resistant Enterococcus faecalis</t>
  </si>
  <si>
    <t>dialysis line or intrabdominal source, coded and made comfort</t>
  </si>
  <si>
    <t>TTE this adm showed mod MR, source maybe gut translocation from GI cancer, no TEE b/c not candidate for surgery</t>
  </si>
  <si>
    <t>G1DD, mod TR</t>
  </si>
  <si>
    <t>piperacillin tazo</t>
  </si>
  <si>
    <t>TTE this adm showed mod-sev MR TR, no TEE b/c not candidate for sx, made comfort</t>
  </si>
  <si>
    <t>sev TR</t>
  </si>
  <si>
    <t>IVDU, left AMA</t>
  </si>
  <si>
    <t>also had fungemia tx w/ micafungin, no TEE not a surgical candidate</t>
  </si>
  <si>
    <t>mod AS</t>
  </si>
  <si>
    <t>ampicillin</t>
  </si>
  <si>
    <t>TTE this adm takosubo CM w/ G1DD, didnt seem to care about the entoroccocus</t>
  </si>
  <si>
    <t>linezolid</t>
  </si>
  <si>
    <t>changed to oral linezolid until 4/7/24 for tx completion, source UTI and had underlying malignancy</t>
  </si>
  <si>
    <t>has PICC in from prev adm 4/24-5/10, PICC removed this adm and replaced, dapto replaced nafcillin</t>
  </si>
  <si>
    <t>souce poss from PICC or GI, had multiple bugs growing including fungemia, PICC removed and replaced</t>
  </si>
  <si>
    <t>Staphylococcus epidermidis</t>
  </si>
  <si>
    <t>likely contaminent, on chemo via chest port for prostate ca</t>
  </si>
  <si>
    <t>mod TR</t>
  </si>
  <si>
    <t>source cellulitis? PICC had erythema (TPN), transferred to Upenn</t>
  </si>
  <si>
    <t>likely contaminent, ED abx use</t>
  </si>
  <si>
    <t>Staphylococcus saccarolyticus</t>
  </si>
  <si>
    <t>source maybe vasc graft for RLE ischemia, TTE this adm showed sev dec LV fxn 25-30% and Takosubo</t>
  </si>
  <si>
    <t>Staphylococcus pettenkoferi</t>
  </si>
  <si>
    <t>ampicillin sulb</t>
  </si>
  <si>
    <t>likely contaminent, central fever possibly 2 days after adm from strok prob</t>
  </si>
  <si>
    <t>likely contaminent, presented w/ sepsis pressure wound</t>
  </si>
  <si>
    <t>cefazolin ampicillin sulb</t>
  </si>
  <si>
    <t>contaminent, TTE not used for IE but for afib</t>
  </si>
  <si>
    <t>G3DD</t>
  </si>
  <si>
    <t>has midline cath, removed 6/14, TTE this adm showed mod MR, TR</t>
  </si>
  <si>
    <t>contam, shock 2/2 poor PO intake momentarily, made comfort</t>
  </si>
  <si>
    <t>Staphylococcus hominis</t>
  </si>
  <si>
    <t>cefazolin gentamycin rifampin</t>
  </si>
  <si>
    <t>went right to TEE, abx tx for presumed MSSE CIED endocarditis</t>
  </si>
  <si>
    <t>found to have lung ca, refused abx, home hospice</t>
  </si>
  <si>
    <t>quickly seen and eval by gyn/onc and said can be followed otpt, bcx never addressed</t>
  </si>
  <si>
    <t>contam, had covid, no abx, pos bcx never addressed</t>
  </si>
  <si>
    <t>mod MS</t>
  </si>
  <si>
    <t>contam, tx for UTI, stroke may explain WBC, made comfort</t>
  </si>
  <si>
    <t>contam, instantly made comfort</t>
  </si>
  <si>
    <t>immediately code blue in the ED</t>
  </si>
  <si>
    <t>contam, TTE found G2DD</t>
  </si>
  <si>
    <t>contam</t>
  </si>
  <si>
    <t>contam, TTE showed HFrEF</t>
  </si>
  <si>
    <t>Staphylococcus capitis</t>
  </si>
  <si>
    <t>ertapenenm</t>
  </si>
  <si>
    <t>contam, found to have liver abscess but not the source, tx 6 wks for abscess NOT IE</t>
  </si>
  <si>
    <t>sev AS s/p TAVR, G2DD</t>
  </si>
  <si>
    <t>contam, TTE this adm showed mod MR</t>
  </si>
  <si>
    <t>HFrEF, mod MR</t>
  </si>
  <si>
    <t>vanc ceftriaxone</t>
  </si>
  <si>
    <t>Staphylococcus haemolyticus</t>
  </si>
  <si>
    <t>mod TR, sev biatrial enlarge</t>
  </si>
  <si>
    <t>cefepime</t>
  </si>
  <si>
    <t>HFrEF, sev thickened MV AV</t>
  </si>
  <si>
    <t>contam, TTE for ACS this adm showed mod MS MR, severe AS</t>
  </si>
  <si>
    <t>mod MR</t>
  </si>
  <si>
    <t>contam, PICC for TPN that was NOT removed this adm, was growing fungemia way later in the adm</t>
  </si>
  <si>
    <t>died immediatley on admission</t>
  </si>
  <si>
    <t>Ucx also grew s.epi</t>
  </si>
  <si>
    <t>G1DD, s/p TAVR</t>
  </si>
  <si>
    <t>G2DD, s/p TAVR</t>
  </si>
  <si>
    <t>TEE this adm showed mod-sev MR, they did x2 more TTE's after TEE to assess clinically, consulted CT sx but they rec IV abx</t>
  </si>
  <si>
    <t>contam, TTE done before positve bcx due to shock and PE, level 1 trauma</t>
  </si>
  <si>
    <t>contam, TTE this adm G2DD</t>
  </si>
  <si>
    <t>vanc meropenem</t>
  </si>
  <si>
    <t>MVP s/p repair</t>
  </si>
  <si>
    <t>contam, hospice</t>
  </si>
  <si>
    <t>contam, had chest port for chemo for breast ca</t>
  </si>
  <si>
    <t>doxycycline</t>
  </si>
  <si>
    <t>contam, TTE this adm mod TR</t>
  </si>
  <si>
    <t>contam, covid positve</t>
  </si>
  <si>
    <t>contam, TTE done for pericardial effusion which is new</t>
  </si>
  <si>
    <t>linezolid levofloxacin</t>
  </si>
  <si>
    <t>poss PICC source</t>
  </si>
  <si>
    <t>cefuroxime</t>
  </si>
  <si>
    <t>daptomycin</t>
  </si>
  <si>
    <t>poss PICC source, removed and replaced</t>
  </si>
  <si>
    <t>source likely chemoport c/b nosocomial infx</t>
  </si>
  <si>
    <t>contam, has chestport for chemo</t>
  </si>
  <si>
    <t>Days bcx positive</t>
  </si>
  <si>
    <t>Mean</t>
  </si>
  <si>
    <t>Median</t>
  </si>
  <si>
    <t>Mode</t>
  </si>
  <si>
    <t>MSSA</t>
  </si>
  <si>
    <t>SD</t>
  </si>
  <si>
    <t>MRSA</t>
  </si>
  <si>
    <t>Max</t>
  </si>
  <si>
    <t>Min</t>
  </si>
  <si>
    <t>Strep mutans</t>
  </si>
  <si>
    <t>Strep mitis group</t>
  </si>
  <si>
    <t>Strep gordornii</t>
  </si>
  <si>
    <t>Strep constellatus</t>
  </si>
  <si>
    <t>Male</t>
  </si>
  <si>
    <t>Female</t>
  </si>
  <si>
    <t>Strep anginosus</t>
  </si>
  <si>
    <t>Strep sanguinis</t>
  </si>
  <si>
    <t>White</t>
  </si>
  <si>
    <t>Black</t>
  </si>
  <si>
    <t>Hisp</t>
  </si>
  <si>
    <t>Asian</t>
  </si>
  <si>
    <t>Strep lutetiensis</t>
  </si>
  <si>
    <t>E.faecalis</t>
  </si>
  <si>
    <t>VRE</t>
  </si>
  <si>
    <t>Staph epidermidis</t>
  </si>
  <si>
    <t>Staph hominis</t>
  </si>
  <si>
    <t>Staph capitis</t>
  </si>
  <si>
    <t>Staph haemolyticus</t>
  </si>
  <si>
    <t>Staph pettenkoferi</t>
  </si>
  <si>
    <t>Staph saccarolyticus</t>
  </si>
  <si>
    <t>check</t>
  </si>
  <si>
    <t>Days Bcx positive</t>
  </si>
  <si>
    <t>Staph aureus</t>
  </si>
  <si>
    <t>Viridans</t>
  </si>
  <si>
    <t>Enterococcus</t>
  </si>
  <si>
    <t>CoNS</t>
  </si>
  <si>
    <t>defervesced</t>
  </si>
  <si>
    <t>not defervesced</t>
  </si>
  <si>
    <t>remained afebrile</t>
  </si>
  <si>
    <t>Time to TTE</t>
  </si>
  <si>
    <t>DEFINITE IE dx made (Dukes criteria 2 maj or 1 maj + 3 minor)</t>
  </si>
  <si>
    <t>POSS IE Dukescirteria (1 maj + 1 minor or 3 minor)</t>
  </si>
  <si>
    <t>cardiac predisposition per Dukes</t>
  </si>
  <si>
    <t>Both TTE and TEE</t>
  </si>
  <si>
    <t>PE, septic thrombus in RA, TTE echodensity c/f clot in transit and mild-mod TR, mod TR, was made comfort</t>
  </si>
  <si>
    <t>severe AS, port for chemo growing MSSA, TTE this adm show now mod-sev RV dysfxn, right atrial dilation, still sev AS, MICU</t>
  </si>
  <si>
    <t>CRT device, need lifelong abx after 6wk IV, MRI embolic stroke</t>
  </si>
  <si>
    <t>Q1</t>
  </si>
  <si>
    <t>Q2</t>
  </si>
  <si>
    <t>IQR</t>
  </si>
  <si>
    <t>Time to TEE</t>
  </si>
  <si>
    <t>No comorbid, Alt source infxn, Abx used, Defervesced, WBC resolve/nrml</t>
  </si>
  <si>
    <t>Defervesced, WBC resolve/nrml</t>
  </si>
  <si>
    <t>POSS IE Dukes cirteria (1 maj + 1 minor or 3 minor)</t>
  </si>
  <si>
    <t>mean</t>
  </si>
  <si>
    <t>STD</t>
  </si>
  <si>
    <t>No comorbid, Alt source infxn, Abx used, Defervesced, WBC resolve/nrml VS Abx change</t>
  </si>
  <si>
    <t xml:space="preserve"> Defervesced, WBC resolve/nrml VS Abx change</t>
  </si>
  <si>
    <t xml:space="preserve"> Fever VS Abx change</t>
  </si>
  <si>
    <t xml:space="preserve"> Defervesced VS Abx change</t>
  </si>
  <si>
    <t>WBC resolve/nrml VS Abx change</t>
  </si>
  <si>
    <t>Co-morbidiy VS Abx change</t>
  </si>
  <si>
    <t>Alt source infxn VS Abx change</t>
  </si>
  <si>
    <t>Planned abx VS Abx change</t>
  </si>
  <si>
    <t>Defervesce, WBC downtrend VS Abx change</t>
  </si>
  <si>
    <t>Expected</t>
  </si>
  <si>
    <t>Actual</t>
  </si>
  <si>
    <t>pvalue</t>
  </si>
  <si>
    <t>Age all</t>
  </si>
  <si>
    <t>Age TEE</t>
  </si>
  <si>
    <t>LOS all</t>
  </si>
  <si>
    <t>LOS TEE</t>
  </si>
  <si>
    <t>Tot set bcx all</t>
  </si>
  <si>
    <t>Tot set bcx TEE</t>
  </si>
  <si>
    <t>Age w/o TEE</t>
  </si>
  <si>
    <t>Age w/ TEE</t>
  </si>
  <si>
    <t>LOS w/o TEE</t>
  </si>
  <si>
    <t>LOS w/ TEE</t>
  </si>
  <si>
    <t>Tot set bcx w/o TEE</t>
  </si>
  <si>
    <t>Tot set bcx w/ TEE</t>
  </si>
  <si>
    <t>Days bcx pos w/o TEE</t>
  </si>
  <si>
    <t>Days bcx positive w/ TEE</t>
  </si>
  <si>
    <t>Count of Subject #</t>
  </si>
  <si>
    <t>NO co-morbidity WITHOUT Abx change</t>
  </si>
  <si>
    <t>df</t>
  </si>
  <si>
    <t>Grand Total</t>
  </si>
  <si>
    <t>NO co-morbidity WITH Abx change</t>
  </si>
  <si>
    <t>t value</t>
  </si>
  <si>
    <t>co-morbidity WITHOUT Abx change</t>
  </si>
  <si>
    <t>SE</t>
  </si>
  <si>
    <t>co-morbidity WITH Abx change</t>
  </si>
  <si>
    <t>MOE</t>
  </si>
  <si>
    <t>mean diff</t>
  </si>
  <si>
    <t>CI upper</t>
  </si>
  <si>
    <t>CI lower</t>
  </si>
  <si>
    <t>No comorbid, Alt source infxn, Abx used, Defervesced, WBC resolve/nrml VS TEE valv veg</t>
  </si>
  <si>
    <t xml:space="preserve"> Defervesced, WBC resolve/nrml VS TEE valv veg</t>
  </si>
  <si>
    <t xml:space="preserve"> Fever VS TEE valv veg</t>
  </si>
  <si>
    <t xml:space="preserve"> Defervesced VS TEE valv veg</t>
  </si>
  <si>
    <t>WBC resolve/nrml VS TEE valv veg</t>
  </si>
  <si>
    <t>Co-morbidiy VS TEE valv veg</t>
  </si>
  <si>
    <t>Alt source infxn VS TEE valv veg</t>
  </si>
  <si>
    <t>Planned abx VS TEE valv veg</t>
  </si>
  <si>
    <t>Abx/tx change VS TEE valv veg</t>
  </si>
  <si>
    <t>No comorbid, Alt source infxn, Abx used, Defervesced, WBC resolve/nrml VS TEE new fxnl</t>
  </si>
  <si>
    <t xml:space="preserve"> Defervesced, WBC resolve/nrml VS TEE new fxnl</t>
  </si>
  <si>
    <t xml:space="preserve"> Fever VS TEE new fxnl</t>
  </si>
  <si>
    <t xml:space="preserve"> Defervesced VS TEE new fxnl</t>
  </si>
  <si>
    <t>WBC resolve/nrml VS TEE new fxnl</t>
  </si>
  <si>
    <t>Co-morbidiy VS TEE new fxnl</t>
  </si>
  <si>
    <t>Alt source infxn VS TEE new fxnl</t>
  </si>
  <si>
    <t>DEF dx IE VS TEE new fxnl</t>
  </si>
  <si>
    <t>NO abx change WITHOUT TEE use</t>
  </si>
  <si>
    <t>NO abx change WITH TEE use</t>
  </si>
  <si>
    <t>abx change WITHOUT TEE use</t>
  </si>
  <si>
    <t>abx change  WITH TEE use</t>
  </si>
  <si>
    <t>DEF dx IE vs TTE fxnl changes</t>
  </si>
  <si>
    <t>POSS dx IE vs TTE fxnl changes</t>
  </si>
  <si>
    <t>TEE use vs TTE fxnl changes</t>
  </si>
  <si>
    <t>Comorbidity vs TEE</t>
  </si>
  <si>
    <t>Alt source infxn vs TEE</t>
  </si>
  <si>
    <t>Defervesce vs TEE</t>
  </si>
  <si>
    <t>WBC resolve/nrml vs TEE</t>
  </si>
  <si>
    <t>No comorbid, Alt source infxn, Abx used, Defervesced, WBC resolve/nrml VS TEE</t>
  </si>
  <si>
    <t>Defervesced, WBC resolve/nrml VS TEE</t>
  </si>
  <si>
    <t>Planned longterm abx vs TEE</t>
  </si>
  <si>
    <t>Repeat pos bcx  vs TEE</t>
  </si>
  <si>
    <t>ICU level care  VS TEE</t>
  </si>
  <si>
    <t>Fever  VS TEE</t>
  </si>
  <si>
    <t>Cardiac predisoposition  VS TEE</t>
  </si>
  <si>
    <t>DEFINITE dx IE  VS TEE</t>
  </si>
  <si>
    <t>POSS dx IE  VS TEE</t>
  </si>
  <si>
    <t xml:space="preserve"> Act defervesced  VS TEE</t>
  </si>
  <si>
    <t xml:space="preserve"> NOT defervesced  VS TEE</t>
  </si>
  <si>
    <t>SA  VS TEE</t>
  </si>
  <si>
    <t>Viridans  VS TEE</t>
  </si>
  <si>
    <t>Enteroc  VS TEE</t>
  </si>
  <si>
    <t xml:space="preserve"> CoNS  VS TEE</t>
  </si>
  <si>
    <t xml:space="preserve"> Sex  VS TEE</t>
  </si>
  <si>
    <t xml:space="preserve"> Race  VS TEE</t>
  </si>
  <si>
    <t>Prosthetic valve  VS TEE</t>
  </si>
  <si>
    <t>Intracardiac device  VS TEE</t>
  </si>
  <si>
    <t>IVDU VS TEE</t>
  </si>
  <si>
    <t>Chronic in-line cath  VS TEE</t>
  </si>
  <si>
    <t>Cardstruct Abnrml  VS TEE</t>
  </si>
  <si>
    <t>Previous IE  VS TEE</t>
  </si>
  <si>
    <t xml:space="preserve"> CoNS  VS TTE</t>
  </si>
  <si>
    <t>NOT defervesced/stayed afeb WITHOUT TEE use</t>
  </si>
  <si>
    <t>NO plan longterm abx WITHOUT TEE use</t>
  </si>
  <si>
    <t>NO Repeat +bcx WITHOUT TEE use</t>
  </si>
  <si>
    <t>NO fever WITHOUT TEE use</t>
  </si>
  <si>
    <t>NO predis WITHOUT TEE use</t>
  </si>
  <si>
    <t>NO poss dx IE WITHOUT TEE use</t>
  </si>
  <si>
    <t>NO NOT defervesced WITHOUT TEE use</t>
  </si>
  <si>
    <t>NO SA WITHOUT TEE use</t>
  </si>
  <si>
    <t>NO CoNS WITHOUT TEE use</t>
  </si>
  <si>
    <t>NO prosthetic valve WITHOUT TEE use</t>
  </si>
  <si>
    <t>NO IC device WITHOUT TEE use</t>
  </si>
  <si>
    <t>NO IVDU WITHOUT TEE use</t>
  </si>
  <si>
    <t>NOT defervesced/stayed afebrile WITH TEE use</t>
  </si>
  <si>
    <t>NO plan longterm abx WITH TEE use</t>
  </si>
  <si>
    <t>NO Repeat +bcx WITH TEE use</t>
  </si>
  <si>
    <t>NO fever WITH TEE use</t>
  </si>
  <si>
    <t>NO predispos WITH TEE use</t>
  </si>
  <si>
    <t>NO poss dx IE WITH TEE use</t>
  </si>
  <si>
    <t>NO NOT defervesced WITH TEE use</t>
  </si>
  <si>
    <t>NO SA WITH TEE use</t>
  </si>
  <si>
    <t>NO CoNS WITH TEE use</t>
  </si>
  <si>
    <t>NO prosthetic valve WITH TEE use</t>
  </si>
  <si>
    <t>NO IC device WITH TEE use</t>
  </si>
  <si>
    <t>NO IVDU WITH TEE use</t>
  </si>
  <si>
    <t>defervesced/stayed afeb WITHOUT TEE use</t>
  </si>
  <si>
    <t>plan longterm abx WITHOUT TEE use</t>
  </si>
  <si>
    <t>Repeat +bcx WITHOUT TEE use</t>
  </si>
  <si>
    <t>fever WITHOUT TEE use</t>
  </si>
  <si>
    <t>predispos WITHOUT TEE use</t>
  </si>
  <si>
    <t>poss dx IE WITHOUT TEE use</t>
  </si>
  <si>
    <t>NOT defervesced WITHOUT TEE use</t>
  </si>
  <si>
    <t>SA WITHOUT TEE use</t>
  </si>
  <si>
    <t>CoNS WITHOUT TEE use</t>
  </si>
  <si>
    <t>prosthetic valve WITHOUT TEE use</t>
  </si>
  <si>
    <t>IC device WITHOUT TEE use</t>
  </si>
  <si>
    <t>IVDU WITHOUT TEE use</t>
  </si>
  <si>
    <t>defervesced/stayed afeb WITH TEE use</t>
  </si>
  <si>
    <t>plan longterm abx WITH TEE use</t>
  </si>
  <si>
    <t>Repeat +bcx WITH TEE use</t>
  </si>
  <si>
    <t>fever WITH TEE use</t>
  </si>
  <si>
    <t>predispos WITH TEE use</t>
  </si>
  <si>
    <t>poss dx IE WITH TEE use</t>
  </si>
  <si>
    <t>NOT defervesced WITH TEE use</t>
  </si>
  <si>
    <t>SA WITH TEE use</t>
  </si>
  <si>
    <t>CoNS WITH TEE use</t>
  </si>
  <si>
    <t>prosthetic valve  WITH TEE use</t>
  </si>
  <si>
    <t>IC device WITH TEE use</t>
  </si>
  <si>
    <t>IVDU WITH TEE use</t>
  </si>
  <si>
    <t>Comorbidity vs DEF dx IE</t>
  </si>
  <si>
    <t>Alt source infxn vs  DEF dx IE</t>
  </si>
  <si>
    <t>Defervesce vs DEF dx IE</t>
  </si>
  <si>
    <t>WBC resolve/nrml vs DEF dx IE</t>
  </si>
  <si>
    <t>No comorbid, Alt source infxn, Abx used, Defervesced, WBC resolve/nrml VS DEF dx IE</t>
  </si>
  <si>
    <t>Defervesced, WBC resolve/nrml VS DEF dx IE</t>
  </si>
  <si>
    <t>Planned longterm abx vs DEF dx IE</t>
  </si>
  <si>
    <t>Repeat pos bcx  vs DEF dx IE</t>
  </si>
  <si>
    <t>ICU level care  VS DEF dx IE</t>
  </si>
  <si>
    <t>Fever  VS DEF dx IE</t>
  </si>
  <si>
    <t>Cardiac predisoposition  VS DEF dx IE</t>
  </si>
  <si>
    <t>TTE use  VS DEF dx IE</t>
  </si>
  <si>
    <t>TEE use  VS DEF dx IE</t>
  </si>
  <si>
    <t xml:space="preserve"> Act defervesced  VS DEF dx IE</t>
  </si>
  <si>
    <t xml:space="preserve"> NOT defervesced  VS DEF dx IE</t>
  </si>
  <si>
    <t>SA  VS DEF dx IE</t>
  </si>
  <si>
    <t>Viridans  VS DEF dx IE</t>
  </si>
  <si>
    <t>Enteroc  VS DEF dx IE</t>
  </si>
  <si>
    <t xml:space="preserve"> CoNS  VS DEF dx IE</t>
  </si>
  <si>
    <t xml:space="preserve"> Sex  VS DEF dx IE</t>
  </si>
  <si>
    <t xml:space="preserve"> Race  VS DEF dx IE</t>
  </si>
  <si>
    <t>Prosthetic valve  VS DEF dx IE</t>
  </si>
  <si>
    <t>Intracardiac device  VS DEF dx IE</t>
  </si>
  <si>
    <t>IVDU VS DEF dx IE</t>
  </si>
  <si>
    <t>Chronic in-line cath  VS DEF dx IE</t>
  </si>
  <si>
    <t>Cardstruct Abnrml  VS DEF dx IE</t>
  </si>
  <si>
    <t>Previous IE  VS DEF dx IE</t>
  </si>
  <si>
    <t>NO comorbidity WITHOUT DEF dx IE</t>
  </si>
  <si>
    <t>NO planned longterm abx WITHOUT DEF dx IE</t>
  </si>
  <si>
    <t>NO Repeat +bcx WITHOUT DEF dx IE</t>
  </si>
  <si>
    <t>NO fever WITHOUT DEF dx IE</t>
  </si>
  <si>
    <t>NO predispos WITHOUT DEF dx IE</t>
  </si>
  <si>
    <t>NO act defervesced WITHOUT DEF dx IE</t>
  </si>
  <si>
    <t>NO SA WITHOUT DEF dx IE</t>
  </si>
  <si>
    <t>NO CoNS WITHOUT DEF dx IE</t>
  </si>
  <si>
    <t>NO IC device WITHOUT DEF dx IE</t>
  </si>
  <si>
    <t>NO IVDU WITHOUT DEF dx IE</t>
  </si>
  <si>
    <t>NO Cardstruct Abnrml WITHOUT DEF dx IE</t>
  </si>
  <si>
    <t>NO Previous IE WITHOUT DEF dx IE</t>
  </si>
  <si>
    <t>NO comorbidity WITH DEF dx IE</t>
  </si>
  <si>
    <t>NO planned longterm abx WITH DEF dx IE</t>
  </si>
  <si>
    <t>NO Repeat +bcx WITH DEF dx IE</t>
  </si>
  <si>
    <t>NO fever WITH DEF dx IE</t>
  </si>
  <si>
    <t>NO predispos WITH DEF dx IE</t>
  </si>
  <si>
    <t>NO act defervesced WITH DEF dx IE</t>
  </si>
  <si>
    <t>NO SA WITH DEF dx IE</t>
  </si>
  <si>
    <t>NO CoNS WITH DEF dx IE</t>
  </si>
  <si>
    <t>NO IC device WITH DEF dx IE</t>
  </si>
  <si>
    <t>NO IVDU WITH DEF dx IE</t>
  </si>
  <si>
    <t>NO Cardstruct Abnrml WITH DEF dx IE</t>
  </si>
  <si>
    <t>NOPrevious IE WITH DEF dx IE</t>
  </si>
  <si>
    <t>comorbidity WITHOUT DEF dx IE</t>
  </si>
  <si>
    <t>planned longterm abx WITHOUT DEF dx IE</t>
  </si>
  <si>
    <t>Repeat +bcx WITHOUT DEF dx IE</t>
  </si>
  <si>
    <t>fever WITHOUT DEF dx IE</t>
  </si>
  <si>
    <t>predispos WITHOUT DEF dx IE</t>
  </si>
  <si>
    <t>act defervesced WITHOUT DEF dx IE</t>
  </si>
  <si>
    <t>SA WITHOUT DEF dx IE</t>
  </si>
  <si>
    <t>CoNS WITHOUT DEF dx IE</t>
  </si>
  <si>
    <t>IC device WITHOUT DEF dx IE</t>
  </si>
  <si>
    <t>IVDU WITHOUT DEF dx IE</t>
  </si>
  <si>
    <t>Cardstruct Abnrml WITHOUT DEF dx IE</t>
  </si>
  <si>
    <t>Previous IE WITHOUT DEF dx IE</t>
  </si>
  <si>
    <t>comorbidity WITH DEF dx IE</t>
  </si>
  <si>
    <t>planned longterm abx WITH DEF dx IE</t>
  </si>
  <si>
    <t>Repeat +bcx WITH DEF dx IE</t>
  </si>
  <si>
    <t>fever WITH DEF dx IE</t>
  </si>
  <si>
    <t>predispos WITH DEF dx IE</t>
  </si>
  <si>
    <t>act defervesced WITH DEF dx IE</t>
  </si>
  <si>
    <t>SA WITH DEF dx IE</t>
  </si>
  <si>
    <t>CoNS WITH DEF dx IE</t>
  </si>
  <si>
    <t>IC device WITH DEF dx IE</t>
  </si>
  <si>
    <t>IVDU WITH DEF dx IE</t>
  </si>
  <si>
    <t>Cardstruct Abnrml WITH DEF dx IE</t>
  </si>
  <si>
    <t>Previous IE WITH DEF dx IE</t>
  </si>
  <si>
    <t>Comorbidity vs POSS dx IE</t>
  </si>
  <si>
    <t>Alt source infxn vs  POSS dx IE</t>
  </si>
  <si>
    <t>Defervesce vs POSS dx IE</t>
  </si>
  <si>
    <t>WBC resolve/nrml vs POSS dx IE</t>
  </si>
  <si>
    <t>No comorbid, Alt source infxn, Abx used, Defervesced, WBC resolve/nrml VS POSS dx IE</t>
  </si>
  <si>
    <t>Defervesced, WBC resolve/nrml VS POSS dx IE</t>
  </si>
  <si>
    <t>Planned longterm abx vs POSS dx IE</t>
  </si>
  <si>
    <t>Repeat pos bcx  vs POSS dx IE</t>
  </si>
  <si>
    <t>ICU level care  VS POSS dx IE</t>
  </si>
  <si>
    <t>Fever  VS POSS dx IE</t>
  </si>
  <si>
    <t>Cardiac predisoposition  VS POSS dx IE</t>
  </si>
  <si>
    <t>TTE use  VS POSS dx IE</t>
  </si>
  <si>
    <t>TEE use  VS POSS dx IE</t>
  </si>
  <si>
    <t xml:space="preserve"> Act defervesced  VS POSS dx IE</t>
  </si>
  <si>
    <t xml:space="preserve"> NOT defervesced  VS POSS dx IE</t>
  </si>
  <si>
    <t>SA  VS POSS dx IE</t>
  </si>
  <si>
    <t>Viridans  VS POSS dx IE</t>
  </si>
  <si>
    <t>Enteroc  VS POSS dx IE</t>
  </si>
  <si>
    <t xml:space="preserve"> CoNS  VS POSS dx IE</t>
  </si>
  <si>
    <t xml:space="preserve"> Sex  VS POSS dx IE</t>
  </si>
  <si>
    <t xml:space="preserve"> Race  VS POSS dx IE</t>
  </si>
  <si>
    <t>Prosthetic valve  VS POSS dx IE</t>
  </si>
  <si>
    <t>Intracardiac device  VS POSS dx IE</t>
  </si>
  <si>
    <t>IVDU VS POSS dx IE</t>
  </si>
  <si>
    <t>Chronic in-line cath  VS POSS dx IE</t>
  </si>
  <si>
    <t>Cardstruct Abnrml  VS POSS dx IE</t>
  </si>
  <si>
    <t>Previous IE  VS POSS dx IE</t>
  </si>
  <si>
    <t>NO comorbidity WITHOUT POSS dx IE</t>
  </si>
  <si>
    <t>NO alt source infxn WITHOUT POSS dx IE</t>
  </si>
  <si>
    <t>NO defervesced/stayed afeb WITHOUT POSS dx IE</t>
  </si>
  <si>
    <t>NO Defervesced, WBC resolve/nrml WITHOUT POSS dx IE</t>
  </si>
  <si>
    <t>NO planned longterm abx WITHOUT POSS dx IE</t>
  </si>
  <si>
    <t>NO Repeat +bcx WITHOUT POSS dx IE</t>
  </si>
  <si>
    <t>NO ICU WITHOUT POSS dx IE</t>
  </si>
  <si>
    <t>NO fever WITHOUT POSS dx IE</t>
  </si>
  <si>
    <t>NO predispos WITHOUT POSS dx IE</t>
  </si>
  <si>
    <t>NO TTE WITHOUT POSS dx IE</t>
  </si>
  <si>
    <t>NO TEE WITHOUT POSS dx IE</t>
  </si>
  <si>
    <t>NO act defervesced WITHOUT POSS dx IE</t>
  </si>
  <si>
    <t>NO NOT defervesced WITHOUT POSS dx IE</t>
  </si>
  <si>
    <t>NO SA WITHOUT POSS dx IE</t>
  </si>
  <si>
    <t>NO Enteroc WITHOUT POSS dx IE</t>
  </si>
  <si>
    <t>NO CoNS WITHOUT POSS dx IE</t>
  </si>
  <si>
    <t>NO IC device WITHOUT POSS dx IE</t>
  </si>
  <si>
    <t>NO Cardstruct Abnrml WITHOUT POSS dx IE</t>
  </si>
  <si>
    <t>NO comorbidity WITH POSS dx IE</t>
  </si>
  <si>
    <t>NO alt source infxn WITH POSS dx IE</t>
  </si>
  <si>
    <t>NO defervesced/stayed afeb WITH POSS dx IE</t>
  </si>
  <si>
    <t>NO Defervesced, WBC resolve/nrml WITH POSS dx IE</t>
  </si>
  <si>
    <t>NO planned longterm abx WITH POSS dx IE</t>
  </si>
  <si>
    <t>NO Repeat +bcx WITH POSS dx IE</t>
  </si>
  <si>
    <t>NO ICU WITH POSS dx IE</t>
  </si>
  <si>
    <t>NO fever WITH POSS dx IE</t>
  </si>
  <si>
    <t>NO predispos WITH POSS dx IE</t>
  </si>
  <si>
    <t>NO TTE WITH POSS dx IE</t>
  </si>
  <si>
    <t>NO TEE WITH POSS dx IE</t>
  </si>
  <si>
    <t>NO act defervesced WITH POSS dx IE</t>
  </si>
  <si>
    <t>NO NOT defervesced WITH POSS dx IE</t>
  </si>
  <si>
    <t>NO SA  WITH POSS dx IE</t>
  </si>
  <si>
    <t>NO Enteroc WITH POSS dx IE</t>
  </si>
  <si>
    <t>NO CoNS  WITH POSS dx IE</t>
  </si>
  <si>
    <t>NO IC device  WITH POSS dx IE</t>
  </si>
  <si>
    <t>NO Cardstruct Abnrml  WITH POSS dx IE</t>
  </si>
  <si>
    <t>comorbidity WITHOUT POSS dx IE</t>
  </si>
  <si>
    <t>alt source infxn WITHOUT POSS dx IE</t>
  </si>
  <si>
    <t>defervesced/stayed afeb WITHOUT POSS dx IE</t>
  </si>
  <si>
    <t>Defervesced, WBC resolve/nrml WITHOUT POSS dx IE</t>
  </si>
  <si>
    <t>planned longterm abx WITHOUT POSS dx IE</t>
  </si>
  <si>
    <t>Repeat +bcx WITHOUT POSS dx IE</t>
  </si>
  <si>
    <t>ICU WITHOUT POSS dx IE</t>
  </si>
  <si>
    <t>fever WITHOUT POSS dx IE</t>
  </si>
  <si>
    <t>predispos WITHOUT POSS dx IE</t>
  </si>
  <si>
    <t>TTE WITHOUT POSS dx IE</t>
  </si>
  <si>
    <t>TEE WITHOUT POSS dx IE</t>
  </si>
  <si>
    <t>act defervesced WITHOUT POSS dx IE</t>
  </si>
  <si>
    <t>NOT defervesced WITHOUT POSS dx IE</t>
  </si>
  <si>
    <t>SA WITHOUT POSS dx IE</t>
  </si>
  <si>
    <t>Enteroc WITHOUT POSS dx IE</t>
  </si>
  <si>
    <t>CoNS WITHOUT POSS dx IE</t>
  </si>
  <si>
    <t>IC device WITHOUT POSS dx IE</t>
  </si>
  <si>
    <t>Cardstruct Abnrml WITHOUT POSS dx IE</t>
  </si>
  <si>
    <t>comorbidity WITH POSS dx IE</t>
  </si>
  <si>
    <t>alt source infxn WITH POSS dx IE</t>
  </si>
  <si>
    <t>defervesced/stayed afeb WITH POSS dx IE</t>
  </si>
  <si>
    <t>Defervesced, WBC resolve/nrml WITH POSS dx IE</t>
  </si>
  <si>
    <t>planned longterm abx WITH POSS dx IE</t>
  </si>
  <si>
    <t>Repeat +bcx WITH POSS dx IE</t>
  </si>
  <si>
    <t>ICU WITH POSS dx IE</t>
  </si>
  <si>
    <t>fever WITH POSS dx IE</t>
  </si>
  <si>
    <t>predispos WITH POSS dx IE</t>
  </si>
  <si>
    <t>TTE WITH POSS dx IE</t>
  </si>
  <si>
    <t>TEE WITH POSS dx IE</t>
  </si>
  <si>
    <t>act defervesced WITH POSS dx IE</t>
  </si>
  <si>
    <t>NOT defervesced WITH POSS dx IE</t>
  </si>
  <si>
    <t>SA WITH POSS dx IE</t>
  </si>
  <si>
    <t>Enteroc WITH POSS dx IE</t>
  </si>
  <si>
    <t>CoNS WITH POSS dx IE</t>
  </si>
  <si>
    <t>IC device WITH POSS dx IE</t>
  </si>
  <si>
    <t>Cardstruct Abnrml WITH POSS dx IE</t>
  </si>
  <si>
    <t>TEE vs TTE valv veg</t>
  </si>
  <si>
    <t>TEE vs TTE worse fxnl</t>
  </si>
  <si>
    <t>SA  VS fever</t>
  </si>
  <si>
    <t>Viridans  VS fever</t>
  </si>
  <si>
    <t>Enteroc VS fever</t>
  </si>
  <si>
    <t xml:space="preserve"> CoNS VS fever</t>
  </si>
  <si>
    <t>SA VS defervesce</t>
  </si>
  <si>
    <t>Viridans VS defervesce</t>
  </si>
  <si>
    <t>Enteroc VS defervesce</t>
  </si>
  <si>
    <t xml:space="preserve"> CoNS VS defervesce</t>
  </si>
  <si>
    <t>SA VS TTE</t>
  </si>
  <si>
    <t>Viridans VS TTE</t>
  </si>
  <si>
    <t>Enteroc VS TTE</t>
  </si>
  <si>
    <t xml:space="preserve"> CoNS VS TTE</t>
  </si>
  <si>
    <t xml:space="preserve"> Sex  VS TTE</t>
  </si>
  <si>
    <t xml:space="preserve"> Race  VS TTE</t>
  </si>
  <si>
    <t>Count of TTE new valvular veg?</t>
  </si>
  <si>
    <t>Count of TTE new worsened fxnl findings from previous TTEs?</t>
  </si>
  <si>
    <t>(blank)</t>
  </si>
  <si>
    <t>NO SA WITHOUT fever</t>
  </si>
  <si>
    <t>NO CoNS WITHOUT fever</t>
  </si>
  <si>
    <t>NO SA WITHOUT TTE</t>
  </si>
  <si>
    <t>NO CoNS WITHOUT TTE</t>
  </si>
  <si>
    <t>NO SA  WITH fever</t>
  </si>
  <si>
    <t>NO CoNS  WITH fever</t>
  </si>
  <si>
    <t>NO SA  WITH TTE</t>
  </si>
  <si>
    <t>NO CoNS  WITH TTE</t>
  </si>
  <si>
    <t>SA WITHOUT fever</t>
  </si>
  <si>
    <t>CoNS WITHOUT fever</t>
  </si>
  <si>
    <t>SA WITHOUT TTE</t>
  </si>
  <si>
    <t>CoNS WITHOUT TTE</t>
  </si>
  <si>
    <t>SA WITH fever</t>
  </si>
  <si>
    <t>CoNS WITH fever</t>
  </si>
  <si>
    <t>SA WITH TTE</t>
  </si>
  <si>
    <t>CoNS WITH TTE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</si>
</sst>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theme="1"/>
      <name val="Aptos Narrow"/>
      <family val="2"/>
      <scheme val="minor"/>
    </font>
    <font>
      <b/>
      <sz val="11"/>
      <color theme="0"/>
      <name val="Aptos Narrow"/>
      <family val="2"/>
      <scheme val="minor"/>
    </font>
    <font>
      <sz val="11"/>
      <color rgb="FF242424"/>
      <name val="Aptos Narrow"/>
      <charset val="1"/>
    </font>
  </fonts>
  <fills count="9">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8" tint="0.39997558519241921"/>
        <bgColor indexed="64"/>
      </patternFill>
    </fill>
    <fill>
      <patternFill patternType="solid">
        <fgColor theme="7"/>
        <bgColor indexed="64"/>
      </patternFill>
    </fill>
    <fill>
      <patternFill patternType="solid">
        <fgColor theme="4"/>
        <bgColor theme="4"/>
      </patternFill>
    </fill>
  </fills>
  <borders count="35">
    <border>
      <left/>
      <right/>
      <top/>
      <bottom/>
      <diagonal/>
    </border>
    <border>
      <left/>
      <right/>
      <top/>
      <bottom style="medium">
        <color rgb="FF7030A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style="medium">
        <color rgb="FFFF0000"/>
      </right>
      <top style="medium">
        <color rgb="FFFF0000"/>
      </top>
      <bottom style="medium">
        <color rgb="FFFF000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s>
  <cellStyleXfs count="1">
    <xf numFmtId="0" fontId="0" fillId="0" borderId="0"/>
  </cellStyleXfs>
  <cellXfs count="88">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0" fillId="2" borderId="0" xfId="0" applyFill="1" applyAlignment="1">
      <alignment horizontal="center" vertical="center" wrapText="1"/>
    </xf>
    <xf numFmtId="0" fontId="0" fillId="3" borderId="0" xfId="0" applyFill="1" applyAlignment="1">
      <alignment horizontal="center" vertical="center" wrapText="1"/>
    </xf>
    <xf numFmtId="14" fontId="0" fillId="0" borderId="0" xfId="0" applyNumberFormat="1" applyAlignment="1">
      <alignment horizontal="center" vertical="center"/>
    </xf>
    <xf numFmtId="14" fontId="0" fillId="4" borderId="0" xfId="0" applyNumberFormat="1" applyFill="1" applyAlignment="1">
      <alignment horizontal="center" vertical="center"/>
    </xf>
    <xf numFmtId="0" fontId="0" fillId="5" borderId="0" xfId="0" applyFill="1" applyAlignment="1">
      <alignment horizontal="center" vertical="center"/>
    </xf>
    <xf numFmtId="0" fontId="0" fillId="4" borderId="0" xfId="0" applyFill="1" applyAlignment="1">
      <alignment horizontal="center" vertical="center"/>
    </xf>
    <xf numFmtId="0" fontId="0" fillId="4" borderId="0" xfId="0" applyFill="1"/>
    <xf numFmtId="0" fontId="0" fillId="0" borderId="0" xfId="0" quotePrefix="1" applyAlignment="1">
      <alignment horizontal="center" vertical="center"/>
    </xf>
    <xf numFmtId="0" fontId="0" fillId="2" borderId="0" xfId="0" applyFill="1" applyAlignment="1">
      <alignment horizontal="center" vertical="center"/>
    </xf>
    <xf numFmtId="14" fontId="0" fillId="2" borderId="0" xfId="0" applyNumberFormat="1" applyFill="1" applyAlignment="1">
      <alignment horizontal="center" vertical="center"/>
    </xf>
    <xf numFmtId="0" fontId="0" fillId="0" borderId="1" xfId="0" applyBorder="1" applyAlignment="1">
      <alignment horizontal="center" vertical="center"/>
    </xf>
    <xf numFmtId="0" fontId="0" fillId="0" borderId="1" xfId="0" applyBorder="1"/>
    <xf numFmtId="0" fontId="0" fillId="4" borderId="1" xfId="0" applyFill="1" applyBorder="1" applyAlignment="1">
      <alignment horizontal="center" vertical="center"/>
    </xf>
    <xf numFmtId="0" fontId="0" fillId="4" borderId="1" xfId="0" applyFill="1" applyBorder="1"/>
    <xf numFmtId="14" fontId="0" fillId="4" borderId="1" xfId="0" applyNumberFormat="1" applyFill="1" applyBorder="1" applyAlignment="1">
      <alignment horizontal="center" vertical="center"/>
    </xf>
    <xf numFmtId="14" fontId="0" fillId="0" borderId="1" xfId="0" applyNumberFormat="1" applyBorder="1" applyAlignment="1">
      <alignment horizontal="center" vertical="center"/>
    </xf>
    <xf numFmtId="0" fontId="0" fillId="6" borderId="0" xfId="0" applyFill="1" applyAlignment="1">
      <alignment horizontal="center" vertical="center"/>
    </xf>
    <xf numFmtId="0" fontId="0" fillId="6" borderId="0" xfId="0" applyFill="1"/>
    <xf numFmtId="14" fontId="0" fillId="6" borderId="0" xfId="0" applyNumberFormat="1" applyFill="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1" fontId="0" fillId="0" borderId="0" xfId="0" applyNumberFormat="1" applyAlignment="1">
      <alignment horizontal="center" vertical="center"/>
    </xf>
    <xf numFmtId="1" fontId="0" fillId="4" borderId="0" xfId="0" applyNumberFormat="1" applyFill="1" applyAlignment="1">
      <alignment horizontal="center" vertical="center"/>
    </xf>
    <xf numFmtId="1" fontId="0" fillId="6" borderId="0" xfId="0" applyNumberFormat="1" applyFill="1" applyAlignment="1">
      <alignment horizontal="center" vertical="center"/>
    </xf>
    <xf numFmtId="1" fontId="0" fillId="0" borderId="1" xfId="0" applyNumberFormat="1" applyBorder="1" applyAlignment="1">
      <alignment horizontal="center" vertical="center"/>
    </xf>
    <xf numFmtId="1" fontId="0" fillId="4" borderId="1" xfId="0" applyNumberFormat="1" applyFill="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2" borderId="9" xfId="0"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2" borderId="14" xfId="0" applyFill="1" applyBorder="1" applyAlignment="1">
      <alignment horizontal="center" vertical="center"/>
    </xf>
    <xf numFmtId="0" fontId="0" fillId="0" borderId="15" xfId="0" applyBorder="1" applyAlignment="1">
      <alignment horizontal="center" vertical="center"/>
    </xf>
    <xf numFmtId="14" fontId="0" fillId="2" borderId="1" xfId="0" applyNumberFormat="1" applyFill="1" applyBorder="1" applyAlignment="1">
      <alignment horizontal="center" vertical="center"/>
    </xf>
    <xf numFmtId="0" fontId="0" fillId="7" borderId="0" xfId="0" applyFill="1" applyAlignment="1">
      <alignment horizontal="center" vertical="center" wrapText="1"/>
    </xf>
    <xf numFmtId="0" fontId="0" fillId="0" borderId="0" xfId="0" pivotButton="1"/>
    <xf numFmtId="0" fontId="1" fillId="8" borderId="0" xfId="0" applyFont="1" applyFill="1"/>
    <xf numFmtId="0" fontId="0" fillId="2" borderId="0" xfId="0" applyFill="1"/>
    <xf numFmtId="0" fontId="0" fillId="0" borderId="16" xfId="0" applyBorder="1"/>
    <xf numFmtId="0" fontId="0" fillId="0" borderId="17" xfId="0" applyBorder="1"/>
    <xf numFmtId="0" fontId="2" fillId="0" borderId="0" xfId="0" applyFont="1"/>
    <xf numFmtId="0" fontId="0" fillId="0" borderId="0" xfId="0" applyAlignment="1">
      <alignment horizontal="center"/>
    </xf>
    <xf numFmtId="0" fontId="0" fillId="0" borderId="1" xfId="0" applyBorder="1" applyAlignment="1">
      <alignment horizontal="center"/>
    </xf>
    <xf numFmtId="0" fontId="0" fillId="3" borderId="0" xfId="0" applyFill="1" applyAlignment="1">
      <alignment horizontal="center" vertical="center"/>
    </xf>
    <xf numFmtId="0" fontId="0" fillId="3" borderId="1" xfId="0" applyFill="1" applyBorder="1" applyAlignment="1">
      <alignment horizontal="center" vertical="center"/>
    </xf>
    <xf numFmtId="0" fontId="0" fillId="0" borderId="22" xfId="0" applyBorder="1"/>
    <xf numFmtId="0" fontId="0" fillId="0" borderId="21" xfId="0" applyBorder="1"/>
    <xf numFmtId="0" fontId="0" fillId="0" borderId="23" xfId="0" applyBorder="1"/>
    <xf numFmtId="0" fontId="1" fillId="8" borderId="21" xfId="0" applyFont="1" applyFill="1" applyBorder="1"/>
    <xf numFmtId="0" fontId="0" fillId="0" borderId="24" xfId="0" applyBorder="1"/>
    <xf numFmtId="0" fontId="0" fillId="0" borderId="25" xfId="0" applyBorder="1"/>
    <xf numFmtId="0" fontId="0" fillId="3" borderId="0" xfId="0" applyFill="1"/>
    <xf numFmtId="0" fontId="0" fillId="0" borderId="21" xfId="0" pivotButton="1" applyBorder="1"/>
    <xf numFmtId="0" fontId="0" fillId="2" borderId="1" xfId="0" applyFill="1" applyBorder="1" applyAlignment="1">
      <alignment horizontal="center" vertical="center"/>
    </xf>
    <xf numFmtId="0" fontId="0" fillId="0" borderId="26" xfId="0" applyBorder="1" applyAlignment="1">
      <alignment horizontal="center" vertical="center" wrapText="1"/>
    </xf>
    <xf numFmtId="0" fontId="0" fillId="0" borderId="30" xfId="0" pivotButton="1" applyBorder="1"/>
    <xf numFmtId="0" fontId="0" fillId="0" borderId="31" xfId="0" applyBorder="1"/>
    <xf numFmtId="0" fontId="0" fillId="0" borderId="30" xfId="0" applyBorder="1"/>
    <xf numFmtId="0" fontId="1" fillId="8" borderId="30" xfId="0" applyFont="1" applyFill="1" applyBorder="1"/>
    <xf numFmtId="0" fontId="0" fillId="0" borderId="32" xfId="0" applyBorder="1"/>
    <xf numFmtId="0" fontId="0" fillId="0" borderId="33" xfId="0" applyBorder="1"/>
    <xf numFmtId="0" fontId="0" fillId="0" borderId="34" xfId="0" applyBorder="1"/>
    <xf numFmtId="0" fontId="0" fillId="0" borderId="27" xfId="0" pivotButton="1" applyBorder="1"/>
    <xf numFmtId="0" fontId="0" fillId="0" borderId="28" xfId="0" pivotButton="1" applyBorder="1"/>
    <xf numFmtId="0" fontId="0" fillId="0" borderId="28" xfId="0" applyBorder="1"/>
    <xf numFmtId="0" fontId="0" fillId="0" borderId="29" xfId="0" applyBorder="1"/>
    <xf numFmtId="0" fontId="0" fillId="0" borderId="31" xfId="0" applyBorder="1" applyAlignment="1">
      <alignment horizontal="center" vertical="center"/>
    </xf>
    <xf numFmtId="0" fontId="0" fillId="2" borderId="30" xfId="0" applyFill="1" applyBorder="1"/>
    <xf numFmtId="0" fontId="2" fillId="0" borderId="30" xfId="0" applyFont="1" applyBorder="1"/>
    <xf numFmtId="0" fontId="2" fillId="0" borderId="32" xfId="0" applyFont="1" applyBorder="1"/>
    <xf numFmtId="0" fontId="0" fillId="0" borderId="34" xfId="0" applyBorder="1" applyAlignment="1">
      <alignment horizontal="center"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0" xfId="0"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0" fillId="0" borderId="29" xfId="0" applyBorder="1" applyAlignment="1">
      <alignment horizontal="center" vertical="center" wrapText="1"/>
    </xf>
  </cellXfs>
  <cellStyles count="1">
    <cellStyle name="Normal" xfId="0" builtinId="0"/>
  </cellStyles>
  <dxfs count="307">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 formatCode="0"/>
      <alignment horizontal="center" vertical="center" textRotation="0" wrapText="0" indent="0" justifyLastLine="0" shrinkToFit="0" readingOrder="0"/>
    </dxf>
    <dxf>
      <numFmt numFmtId="19" formatCode="m/d/yyyy"/>
      <alignment horizontal="center" vertical="center" textRotation="0" wrapText="0" indent="0" justifyLastLine="0" shrinkToFit="0" readingOrder="0"/>
    </dxf>
    <dxf>
      <numFmt numFmtId="19" formatCode="m/d/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dxf>
    <dxf>
      <alignment horizontal="center"/>
    </dxf>
    <dxf>
      <alignment horizontal="center"/>
    </dxf>
    <dxf>
      <alignment horizontal="cent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9" formatCode="m/d/yyyy"/>
      <alignment horizontal="center" vertical="center" textRotation="0" wrapText="0" indent="0" justifyLastLine="0" shrinkToFit="0" readingOrder="0"/>
    </dxf>
    <dxf>
      <numFmt numFmtId="19" formatCode="m/d/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fill>
        <patternFill patternType="solid">
          <fgColor indexed="64"/>
          <bgColor rgb="FFFF0000"/>
        </patternFill>
      </fill>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fill>
        <patternFill patternType="solid">
          <fgColor indexed="64"/>
          <bgColor rgb="FF92D050"/>
        </patternFill>
      </fill>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fill>
        <patternFill patternType="solid">
          <fgColor indexed="64"/>
          <bgColor rgb="FF92D050"/>
        </patternFill>
      </fill>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fill>
        <patternFill patternType="solid">
          <fgColor indexed="64"/>
          <bgColor rgb="FF92D050"/>
        </patternFill>
      </fill>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fill>
        <patternFill patternType="solid">
          <fgColor indexed="64"/>
          <bgColor rgb="FF92D050"/>
        </patternFill>
      </fill>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right/>
        <top/>
        <bottom/>
      </border>
    </dxf>
    <dxf>
      <border outline="0">
        <left/>
        <right/>
        <top/>
        <bottom/>
      </border>
    </dxf>
    <dxf>
      <border outline="0">
        <left/>
        <right/>
        <top/>
        <bottom/>
      </border>
    </dxf>
    <dxf>
      <border outline="0">
        <left/>
        <right/>
        <top/>
        <bottom/>
      </border>
    </dxf>
    <dxf>
      <border outline="0">
        <left/>
        <right/>
        <top/>
        <bottom/>
      </border>
    </dxf>
    <dxf>
      <border outline="0">
        <left/>
        <right/>
        <top/>
        <bottom/>
      </border>
    </dxf>
    <dxf>
      <border outline="0">
        <left/>
        <right/>
        <top/>
        <bottom/>
      </border>
    </dxf>
    <dxf>
      <border outline="0">
        <left/>
        <right/>
        <top/>
        <bottom/>
      </border>
    </dxf>
    <dxf>
      <border outline="0">
        <left/>
        <right/>
        <top/>
        <bottom/>
      </border>
    </dxf>
    <dxf>
      <border outline="0">
        <left/>
        <right/>
        <top/>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0070C0"/>
        </left>
        <right style="medium">
          <color rgb="FF0070C0"/>
        </right>
        <top style="medium">
          <color rgb="FF0070C0"/>
        </top>
        <bottom style="medium">
          <color rgb="FF0070C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fill>
        <patternFill patternType="solid">
          <fgColor indexed="64"/>
          <bgColor rgb="FF92D050"/>
        </patternFill>
      </fill>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
      <border outline="0">
        <left style="medium">
          <color rgb="FFFF0000"/>
        </left>
        <right style="medium">
          <color rgb="FFFF0000"/>
        </right>
        <top style="medium">
          <color rgb="FFFF0000"/>
        </top>
        <bottom style="medium">
          <color rgb="FFFF0000"/>
        </bottom>
      </border>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5.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'TEE specific data'!$CD$27</c:f>
              <c:strCache>
                <c:ptCount val="1"/>
                <c:pt idx="0">
                  <c:v>Expected</c:v>
                </c:pt>
              </c:strCache>
            </c:strRef>
          </c:tx>
          <c:spPr>
            <a:solidFill>
              <a:schemeClr val="accent1"/>
            </a:solidFill>
            <a:ln>
              <a:noFill/>
            </a:ln>
            <a:effectLst/>
          </c:spPr>
          <c:invertIfNegative val="0"/>
          <c:cat>
            <c:strRef>
              <c:f>'TEE specific data'!$CC$28:$CC$31</c:f>
              <c:strCache>
                <c:ptCount val="4"/>
                <c:pt idx="0">
                  <c:v>NO co-morbidity WITHOUT Abx change</c:v>
                </c:pt>
                <c:pt idx="1">
                  <c:v>NO co-morbidity WITH Abx change</c:v>
                </c:pt>
                <c:pt idx="2">
                  <c:v>co-morbidity WITHOUT Abx change</c:v>
                </c:pt>
                <c:pt idx="3">
                  <c:v>co-morbidity WITH Abx change</c:v>
                </c:pt>
              </c:strCache>
            </c:strRef>
          </c:cat>
          <c:val>
            <c:numRef>
              <c:f>'TEE specific data'!$CD$28:$CD$31</c:f>
              <c:numCache>
                <c:formatCode>General</c:formatCode>
                <c:ptCount val="4"/>
                <c:pt idx="0">
                  <c:v>5.333333333333333</c:v>
                </c:pt>
                <c:pt idx="1">
                  <c:v>1.6666666666666667</c:v>
                </c:pt>
                <c:pt idx="2">
                  <c:v>10.666666666666666</c:v>
                </c:pt>
                <c:pt idx="3">
                  <c:v>3.3333333333333335</c:v>
                </c:pt>
              </c:numCache>
            </c:numRef>
          </c:val>
          <c:extLst>
            <c:ext xmlns:c16="http://schemas.microsoft.com/office/drawing/2014/chart" uri="{C3380CC4-5D6E-409C-BE32-E72D297353CC}">
              <c16:uniqueId val="{00000001-A088-47B9-962B-35CB19FE8D5A}"/>
            </c:ext>
          </c:extLst>
        </c:ser>
        <c:ser>
          <c:idx val="1"/>
          <c:order val="1"/>
          <c:tx>
            <c:strRef>
              <c:f>'TEE specific data'!$CE$27</c:f>
              <c:strCache>
                <c:ptCount val="1"/>
                <c:pt idx="0">
                  <c:v>Actual</c:v>
                </c:pt>
              </c:strCache>
            </c:strRef>
          </c:tx>
          <c:spPr>
            <a:solidFill>
              <a:schemeClr val="accent2"/>
            </a:solidFill>
            <a:ln>
              <a:noFill/>
            </a:ln>
            <a:effectLst/>
          </c:spPr>
          <c:invertIfNegative val="0"/>
          <c:cat>
            <c:strRef>
              <c:f>'TEE specific data'!$CC$28:$CC$31</c:f>
              <c:strCache>
                <c:ptCount val="4"/>
                <c:pt idx="0">
                  <c:v>NO co-morbidity WITHOUT Abx change</c:v>
                </c:pt>
                <c:pt idx="1">
                  <c:v>NO co-morbidity WITH Abx change</c:v>
                </c:pt>
                <c:pt idx="2">
                  <c:v>co-morbidity WITHOUT Abx change</c:v>
                </c:pt>
                <c:pt idx="3">
                  <c:v>co-morbidity WITH Abx change</c:v>
                </c:pt>
              </c:strCache>
            </c:strRef>
          </c:cat>
          <c:val>
            <c:numRef>
              <c:f>'TEE specific data'!$CE$28:$CE$31</c:f>
              <c:numCache>
                <c:formatCode>General</c:formatCode>
                <c:ptCount val="4"/>
                <c:pt idx="0">
                  <c:v>4</c:v>
                </c:pt>
                <c:pt idx="1">
                  <c:v>3</c:v>
                </c:pt>
                <c:pt idx="2">
                  <c:v>12</c:v>
                </c:pt>
                <c:pt idx="3">
                  <c:v>2</c:v>
                </c:pt>
              </c:numCache>
            </c:numRef>
          </c:val>
          <c:extLst>
            <c:ext xmlns:c16="http://schemas.microsoft.com/office/drawing/2014/chart" uri="{C3380CC4-5D6E-409C-BE32-E72D297353CC}">
              <c16:uniqueId val="{00000003-A088-47B9-962B-35CB19FE8D5A}"/>
            </c:ext>
          </c:extLst>
        </c:ser>
        <c:dLbls>
          <c:showLegendKey val="0"/>
          <c:showVal val="0"/>
          <c:showCatName val="0"/>
          <c:showSerName val="0"/>
          <c:showPercent val="0"/>
          <c:showBubbleSize val="0"/>
        </c:dLbls>
        <c:gapWidth val="219"/>
        <c:overlap val="-27"/>
        <c:axId val="1485659655"/>
        <c:axId val="1485674503"/>
      </c:barChart>
      <c:catAx>
        <c:axId val="14856596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5674503"/>
        <c:crosses val="autoZero"/>
        <c:auto val="1"/>
        <c:lblAlgn val="ctr"/>
        <c:lblOffset val="100"/>
        <c:noMultiLvlLbl val="0"/>
      </c:catAx>
      <c:valAx>
        <c:axId val="14856745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56596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analysis'!$AF$55</c:f>
              <c:strCache>
                <c:ptCount val="1"/>
                <c:pt idx="0">
                  <c:v>Expected</c:v>
                </c:pt>
              </c:strCache>
            </c:strRef>
          </c:tx>
          <c:spPr>
            <a:solidFill>
              <a:schemeClr val="accent1"/>
            </a:solidFill>
            <a:ln>
              <a:noFill/>
            </a:ln>
            <a:effectLst/>
          </c:spPr>
          <c:invertIfNegative val="0"/>
          <c:cat>
            <c:strRef>
              <c:f>'chisq analysis'!$AE$56:$AE$59</c:f>
              <c:strCache>
                <c:ptCount val="4"/>
                <c:pt idx="0">
                  <c:v>NO planned longterm abx WITHOUT DEF dx IE</c:v>
                </c:pt>
                <c:pt idx="1">
                  <c:v>NO planned longterm abx WITH DEF dx IE</c:v>
                </c:pt>
                <c:pt idx="2">
                  <c:v>planned longterm abx WITHOUT DEF dx IE</c:v>
                </c:pt>
                <c:pt idx="3">
                  <c:v>planned longterm abx WITH DEF dx IE</c:v>
                </c:pt>
              </c:strCache>
            </c:strRef>
          </c:cat>
          <c:val>
            <c:numRef>
              <c:f>'chisq analysis'!$AF$56:$AF$59</c:f>
              <c:numCache>
                <c:formatCode>General</c:formatCode>
                <c:ptCount val="4"/>
                <c:pt idx="0">
                  <c:v>71.335820895522389</c:v>
                </c:pt>
                <c:pt idx="1">
                  <c:v>7.6641791044776122</c:v>
                </c:pt>
                <c:pt idx="2">
                  <c:v>49.664179104477611</c:v>
                </c:pt>
                <c:pt idx="3">
                  <c:v>5.3358208955223878</c:v>
                </c:pt>
              </c:numCache>
            </c:numRef>
          </c:val>
          <c:extLst>
            <c:ext xmlns:c16="http://schemas.microsoft.com/office/drawing/2014/chart" uri="{C3380CC4-5D6E-409C-BE32-E72D297353CC}">
              <c16:uniqueId val="{00000001-4A44-44E2-8AB0-7F6FFA9BE986}"/>
            </c:ext>
          </c:extLst>
        </c:ser>
        <c:ser>
          <c:idx val="1"/>
          <c:order val="1"/>
          <c:tx>
            <c:strRef>
              <c:f>'chisq analysis'!$AG$55</c:f>
              <c:strCache>
                <c:ptCount val="1"/>
                <c:pt idx="0">
                  <c:v>Actual</c:v>
                </c:pt>
              </c:strCache>
            </c:strRef>
          </c:tx>
          <c:spPr>
            <a:solidFill>
              <a:schemeClr val="accent2"/>
            </a:solidFill>
            <a:ln>
              <a:noFill/>
            </a:ln>
            <a:effectLst/>
          </c:spPr>
          <c:invertIfNegative val="0"/>
          <c:cat>
            <c:strRef>
              <c:f>'chisq analysis'!$AE$56:$AE$59</c:f>
              <c:strCache>
                <c:ptCount val="4"/>
                <c:pt idx="0">
                  <c:v>NO planned longterm abx WITHOUT DEF dx IE</c:v>
                </c:pt>
                <c:pt idx="1">
                  <c:v>NO planned longterm abx WITH DEF dx IE</c:v>
                </c:pt>
                <c:pt idx="2">
                  <c:v>planned longterm abx WITHOUT DEF dx IE</c:v>
                </c:pt>
                <c:pt idx="3">
                  <c:v>planned longterm abx WITH DEF dx IE</c:v>
                </c:pt>
              </c:strCache>
            </c:strRef>
          </c:cat>
          <c:val>
            <c:numRef>
              <c:f>'chisq analysis'!$AG$56:$AG$59</c:f>
              <c:numCache>
                <c:formatCode>General</c:formatCode>
                <c:ptCount val="4"/>
                <c:pt idx="0">
                  <c:v>78</c:v>
                </c:pt>
                <c:pt idx="1">
                  <c:v>1</c:v>
                </c:pt>
                <c:pt idx="2">
                  <c:v>43</c:v>
                </c:pt>
                <c:pt idx="3">
                  <c:v>12</c:v>
                </c:pt>
              </c:numCache>
            </c:numRef>
          </c:val>
          <c:extLst>
            <c:ext xmlns:c16="http://schemas.microsoft.com/office/drawing/2014/chart" uri="{C3380CC4-5D6E-409C-BE32-E72D297353CC}">
              <c16:uniqueId val="{00000003-4A44-44E2-8AB0-7F6FFA9BE986}"/>
            </c:ext>
          </c:extLst>
        </c:ser>
        <c:dLbls>
          <c:showLegendKey val="0"/>
          <c:showVal val="0"/>
          <c:showCatName val="0"/>
          <c:showSerName val="0"/>
          <c:showPercent val="0"/>
          <c:showBubbleSize val="0"/>
        </c:dLbls>
        <c:gapWidth val="219"/>
        <c:overlap val="-27"/>
        <c:axId val="1912806408"/>
        <c:axId val="1912820744"/>
      </c:barChart>
      <c:catAx>
        <c:axId val="1912806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12820744"/>
        <c:crosses val="autoZero"/>
        <c:auto val="1"/>
        <c:lblAlgn val="ctr"/>
        <c:lblOffset val="100"/>
        <c:noMultiLvlLbl val="0"/>
      </c:catAx>
      <c:valAx>
        <c:axId val="1912820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12806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analysis'!$AK$55</c:f>
              <c:strCache>
                <c:ptCount val="1"/>
                <c:pt idx="0">
                  <c:v>Expected</c:v>
                </c:pt>
              </c:strCache>
            </c:strRef>
          </c:tx>
          <c:spPr>
            <a:solidFill>
              <a:schemeClr val="accent1"/>
            </a:solidFill>
            <a:ln>
              <a:noFill/>
            </a:ln>
            <a:effectLst/>
          </c:spPr>
          <c:invertIfNegative val="0"/>
          <c:cat>
            <c:strRef>
              <c:f>'chisq analysis'!$AJ$56:$AJ$59</c:f>
              <c:strCache>
                <c:ptCount val="4"/>
                <c:pt idx="0">
                  <c:v>NO Repeat +bcx WITHOUT DEF dx IE</c:v>
                </c:pt>
                <c:pt idx="1">
                  <c:v>NO Repeat +bcx WITH DEF dx IE</c:v>
                </c:pt>
                <c:pt idx="2">
                  <c:v>Repeat +bcx WITHOUT DEF dx IE</c:v>
                </c:pt>
                <c:pt idx="3">
                  <c:v>Repeat +bcx WITH DEF dx IE</c:v>
                </c:pt>
              </c:strCache>
            </c:strRef>
          </c:cat>
          <c:val>
            <c:numRef>
              <c:f>'chisq analysis'!$AK$56:$AK$59</c:f>
              <c:numCache>
                <c:formatCode>General</c:formatCode>
                <c:ptCount val="4"/>
                <c:pt idx="0">
                  <c:v>77.656716417910445</c:v>
                </c:pt>
                <c:pt idx="1">
                  <c:v>8.343283582089553</c:v>
                </c:pt>
                <c:pt idx="2">
                  <c:v>43.343283582089555</c:v>
                </c:pt>
                <c:pt idx="3">
                  <c:v>4.6567164179104479</c:v>
                </c:pt>
              </c:numCache>
            </c:numRef>
          </c:val>
          <c:extLst>
            <c:ext xmlns:c16="http://schemas.microsoft.com/office/drawing/2014/chart" uri="{C3380CC4-5D6E-409C-BE32-E72D297353CC}">
              <c16:uniqueId val="{00000001-7FC6-4B76-8682-587859742859}"/>
            </c:ext>
          </c:extLst>
        </c:ser>
        <c:ser>
          <c:idx val="1"/>
          <c:order val="1"/>
          <c:tx>
            <c:strRef>
              <c:f>'chisq analysis'!$AL$55</c:f>
              <c:strCache>
                <c:ptCount val="1"/>
                <c:pt idx="0">
                  <c:v>Actual</c:v>
                </c:pt>
              </c:strCache>
            </c:strRef>
          </c:tx>
          <c:spPr>
            <a:solidFill>
              <a:schemeClr val="accent2"/>
            </a:solidFill>
            <a:ln>
              <a:noFill/>
            </a:ln>
            <a:effectLst/>
          </c:spPr>
          <c:invertIfNegative val="0"/>
          <c:cat>
            <c:strRef>
              <c:f>'chisq analysis'!$AJ$56:$AJ$59</c:f>
              <c:strCache>
                <c:ptCount val="4"/>
                <c:pt idx="0">
                  <c:v>NO Repeat +bcx WITHOUT DEF dx IE</c:v>
                </c:pt>
                <c:pt idx="1">
                  <c:v>NO Repeat +bcx WITH DEF dx IE</c:v>
                </c:pt>
                <c:pt idx="2">
                  <c:v>Repeat +bcx WITHOUT DEF dx IE</c:v>
                </c:pt>
                <c:pt idx="3">
                  <c:v>Repeat +bcx WITH DEF dx IE</c:v>
                </c:pt>
              </c:strCache>
            </c:strRef>
          </c:cat>
          <c:val>
            <c:numRef>
              <c:f>'chisq analysis'!$AL$56:$AL$59</c:f>
              <c:numCache>
                <c:formatCode>General</c:formatCode>
                <c:ptCount val="4"/>
                <c:pt idx="0">
                  <c:v>84</c:v>
                </c:pt>
                <c:pt idx="1">
                  <c:v>2</c:v>
                </c:pt>
                <c:pt idx="2">
                  <c:v>37</c:v>
                </c:pt>
                <c:pt idx="3">
                  <c:v>11</c:v>
                </c:pt>
              </c:numCache>
            </c:numRef>
          </c:val>
          <c:extLst>
            <c:ext xmlns:c16="http://schemas.microsoft.com/office/drawing/2014/chart" uri="{C3380CC4-5D6E-409C-BE32-E72D297353CC}">
              <c16:uniqueId val="{00000003-7FC6-4B76-8682-587859742859}"/>
            </c:ext>
          </c:extLst>
        </c:ser>
        <c:dLbls>
          <c:showLegendKey val="0"/>
          <c:showVal val="0"/>
          <c:showCatName val="0"/>
          <c:showSerName val="0"/>
          <c:showPercent val="0"/>
          <c:showBubbleSize val="0"/>
        </c:dLbls>
        <c:gapWidth val="219"/>
        <c:overlap val="-27"/>
        <c:axId val="1308215304"/>
        <c:axId val="466055175"/>
      </c:barChart>
      <c:catAx>
        <c:axId val="1308215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6055175"/>
        <c:crosses val="autoZero"/>
        <c:auto val="1"/>
        <c:lblAlgn val="ctr"/>
        <c:lblOffset val="100"/>
        <c:noMultiLvlLbl val="0"/>
      </c:catAx>
      <c:valAx>
        <c:axId val="4660551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8215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analysis'!$AU$55</c:f>
              <c:strCache>
                <c:ptCount val="1"/>
                <c:pt idx="0">
                  <c:v>Expected</c:v>
                </c:pt>
              </c:strCache>
            </c:strRef>
          </c:tx>
          <c:spPr>
            <a:solidFill>
              <a:schemeClr val="accent1"/>
            </a:solidFill>
            <a:ln>
              <a:noFill/>
            </a:ln>
            <a:effectLst/>
          </c:spPr>
          <c:invertIfNegative val="0"/>
          <c:cat>
            <c:strRef>
              <c:f>'chisq analysis'!$AT$56:$AT$59</c:f>
              <c:strCache>
                <c:ptCount val="4"/>
                <c:pt idx="0">
                  <c:v>NO fever WITHOUT DEF dx IE</c:v>
                </c:pt>
                <c:pt idx="1">
                  <c:v>NO fever WITH DEF dx IE</c:v>
                </c:pt>
                <c:pt idx="2">
                  <c:v>fever WITHOUT DEF dx IE</c:v>
                </c:pt>
                <c:pt idx="3">
                  <c:v>fever WITH DEF dx IE</c:v>
                </c:pt>
              </c:strCache>
            </c:strRef>
          </c:cat>
          <c:val>
            <c:numRef>
              <c:f>'chisq analysis'!$AU$56:$AU$59</c:f>
              <c:numCache>
                <c:formatCode>General</c:formatCode>
                <c:ptCount val="4"/>
                <c:pt idx="0">
                  <c:v>55.082089552238806</c:v>
                </c:pt>
                <c:pt idx="1">
                  <c:v>5.9179104477611943</c:v>
                </c:pt>
                <c:pt idx="2">
                  <c:v>65.917910447761187</c:v>
                </c:pt>
                <c:pt idx="3">
                  <c:v>7.0820895522388057</c:v>
                </c:pt>
              </c:numCache>
            </c:numRef>
          </c:val>
          <c:extLst>
            <c:ext xmlns:c16="http://schemas.microsoft.com/office/drawing/2014/chart" uri="{C3380CC4-5D6E-409C-BE32-E72D297353CC}">
              <c16:uniqueId val="{00000001-6BFA-4BA2-952B-8501513F19BC}"/>
            </c:ext>
          </c:extLst>
        </c:ser>
        <c:ser>
          <c:idx val="1"/>
          <c:order val="1"/>
          <c:tx>
            <c:strRef>
              <c:f>'chisq analysis'!$AV$55</c:f>
              <c:strCache>
                <c:ptCount val="1"/>
                <c:pt idx="0">
                  <c:v>Actual</c:v>
                </c:pt>
              </c:strCache>
            </c:strRef>
          </c:tx>
          <c:spPr>
            <a:solidFill>
              <a:schemeClr val="accent2"/>
            </a:solidFill>
            <a:ln>
              <a:noFill/>
            </a:ln>
            <a:effectLst/>
          </c:spPr>
          <c:invertIfNegative val="0"/>
          <c:cat>
            <c:strRef>
              <c:f>'chisq analysis'!$AT$56:$AT$59</c:f>
              <c:strCache>
                <c:ptCount val="4"/>
                <c:pt idx="0">
                  <c:v>NO fever WITHOUT DEF dx IE</c:v>
                </c:pt>
                <c:pt idx="1">
                  <c:v>NO fever WITH DEF dx IE</c:v>
                </c:pt>
                <c:pt idx="2">
                  <c:v>fever WITHOUT DEF dx IE</c:v>
                </c:pt>
                <c:pt idx="3">
                  <c:v>fever WITH DEF dx IE</c:v>
                </c:pt>
              </c:strCache>
            </c:strRef>
          </c:cat>
          <c:val>
            <c:numRef>
              <c:f>'chisq analysis'!$AV$56:$AV$59</c:f>
              <c:numCache>
                <c:formatCode>General</c:formatCode>
                <c:ptCount val="4"/>
                <c:pt idx="0">
                  <c:v>60</c:v>
                </c:pt>
                <c:pt idx="1">
                  <c:v>1</c:v>
                </c:pt>
                <c:pt idx="2">
                  <c:v>61</c:v>
                </c:pt>
                <c:pt idx="3">
                  <c:v>12</c:v>
                </c:pt>
              </c:numCache>
            </c:numRef>
          </c:val>
          <c:extLst>
            <c:ext xmlns:c16="http://schemas.microsoft.com/office/drawing/2014/chart" uri="{C3380CC4-5D6E-409C-BE32-E72D297353CC}">
              <c16:uniqueId val="{00000003-6BFA-4BA2-952B-8501513F19BC}"/>
            </c:ext>
          </c:extLst>
        </c:ser>
        <c:dLbls>
          <c:showLegendKey val="0"/>
          <c:showVal val="0"/>
          <c:showCatName val="0"/>
          <c:showSerName val="0"/>
          <c:showPercent val="0"/>
          <c:showBubbleSize val="0"/>
        </c:dLbls>
        <c:gapWidth val="219"/>
        <c:overlap val="-27"/>
        <c:axId val="295842312"/>
        <c:axId val="209648135"/>
      </c:barChart>
      <c:catAx>
        <c:axId val="295842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648135"/>
        <c:crosses val="autoZero"/>
        <c:auto val="1"/>
        <c:lblAlgn val="ctr"/>
        <c:lblOffset val="100"/>
        <c:noMultiLvlLbl val="0"/>
      </c:catAx>
      <c:valAx>
        <c:axId val="2096481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58423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analysis'!$AZ$55</c:f>
              <c:strCache>
                <c:ptCount val="1"/>
                <c:pt idx="0">
                  <c:v>Expected</c:v>
                </c:pt>
              </c:strCache>
            </c:strRef>
          </c:tx>
          <c:spPr>
            <a:solidFill>
              <a:schemeClr val="accent1"/>
            </a:solidFill>
            <a:ln>
              <a:noFill/>
            </a:ln>
            <a:effectLst/>
          </c:spPr>
          <c:invertIfNegative val="0"/>
          <c:cat>
            <c:strRef>
              <c:f>'chisq analysis'!$AY$56:$AY$59</c:f>
              <c:strCache>
                <c:ptCount val="4"/>
                <c:pt idx="0">
                  <c:v>NO predispos WITHOUT DEF dx IE</c:v>
                </c:pt>
                <c:pt idx="1">
                  <c:v>NO predispos WITH DEF dx IE</c:v>
                </c:pt>
                <c:pt idx="2">
                  <c:v>predispos WITHOUT DEF dx IE</c:v>
                </c:pt>
                <c:pt idx="3">
                  <c:v>predispos WITH DEF dx IE</c:v>
                </c:pt>
              </c:strCache>
            </c:strRef>
          </c:cat>
          <c:val>
            <c:numRef>
              <c:f>'chisq analysis'!$AZ$56:$AZ$59</c:f>
              <c:numCache>
                <c:formatCode>General</c:formatCode>
                <c:ptCount val="4"/>
                <c:pt idx="0">
                  <c:v>102.03731343283582</c:v>
                </c:pt>
                <c:pt idx="1">
                  <c:v>10.962686567164178</c:v>
                </c:pt>
                <c:pt idx="2">
                  <c:v>18.96268656716418</c:v>
                </c:pt>
                <c:pt idx="3">
                  <c:v>2.0373134328358211</c:v>
                </c:pt>
              </c:numCache>
            </c:numRef>
          </c:val>
          <c:extLst>
            <c:ext xmlns:c16="http://schemas.microsoft.com/office/drawing/2014/chart" uri="{C3380CC4-5D6E-409C-BE32-E72D297353CC}">
              <c16:uniqueId val="{00000001-1506-4D2E-AB5D-3F861D59BB72}"/>
            </c:ext>
          </c:extLst>
        </c:ser>
        <c:ser>
          <c:idx val="1"/>
          <c:order val="1"/>
          <c:tx>
            <c:strRef>
              <c:f>'chisq analysis'!$BA$55</c:f>
              <c:strCache>
                <c:ptCount val="1"/>
                <c:pt idx="0">
                  <c:v>Actual</c:v>
                </c:pt>
              </c:strCache>
            </c:strRef>
          </c:tx>
          <c:spPr>
            <a:solidFill>
              <a:schemeClr val="accent2"/>
            </a:solidFill>
            <a:ln>
              <a:noFill/>
            </a:ln>
            <a:effectLst/>
          </c:spPr>
          <c:invertIfNegative val="0"/>
          <c:cat>
            <c:strRef>
              <c:f>'chisq analysis'!$AY$56:$AY$59</c:f>
              <c:strCache>
                <c:ptCount val="4"/>
                <c:pt idx="0">
                  <c:v>NO predispos WITHOUT DEF dx IE</c:v>
                </c:pt>
                <c:pt idx="1">
                  <c:v>NO predispos WITH DEF dx IE</c:v>
                </c:pt>
                <c:pt idx="2">
                  <c:v>predispos WITHOUT DEF dx IE</c:v>
                </c:pt>
                <c:pt idx="3">
                  <c:v>predispos WITH DEF dx IE</c:v>
                </c:pt>
              </c:strCache>
            </c:strRef>
          </c:cat>
          <c:val>
            <c:numRef>
              <c:f>'chisq analysis'!$BA$56:$BA$59</c:f>
              <c:numCache>
                <c:formatCode>General</c:formatCode>
                <c:ptCount val="4"/>
                <c:pt idx="0">
                  <c:v>106</c:v>
                </c:pt>
                <c:pt idx="1">
                  <c:v>7</c:v>
                </c:pt>
                <c:pt idx="2">
                  <c:v>15</c:v>
                </c:pt>
                <c:pt idx="3">
                  <c:v>6</c:v>
                </c:pt>
              </c:numCache>
            </c:numRef>
          </c:val>
          <c:extLst>
            <c:ext xmlns:c16="http://schemas.microsoft.com/office/drawing/2014/chart" uri="{C3380CC4-5D6E-409C-BE32-E72D297353CC}">
              <c16:uniqueId val="{00000003-1506-4D2E-AB5D-3F861D59BB72}"/>
            </c:ext>
          </c:extLst>
        </c:ser>
        <c:dLbls>
          <c:showLegendKey val="0"/>
          <c:showVal val="0"/>
          <c:showCatName val="0"/>
          <c:showSerName val="0"/>
          <c:showPercent val="0"/>
          <c:showBubbleSize val="0"/>
        </c:dLbls>
        <c:gapWidth val="219"/>
        <c:overlap val="-27"/>
        <c:axId val="1912845320"/>
        <c:axId val="1164628488"/>
      </c:barChart>
      <c:catAx>
        <c:axId val="1912845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4628488"/>
        <c:crosses val="autoZero"/>
        <c:auto val="1"/>
        <c:lblAlgn val="ctr"/>
        <c:lblOffset val="100"/>
        <c:noMultiLvlLbl val="0"/>
      </c:catAx>
      <c:valAx>
        <c:axId val="1164628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12845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analysis'!$B$93</c:f>
              <c:strCache>
                <c:ptCount val="1"/>
                <c:pt idx="0">
                  <c:v>Expected</c:v>
                </c:pt>
              </c:strCache>
            </c:strRef>
          </c:tx>
          <c:spPr>
            <a:solidFill>
              <a:schemeClr val="accent1"/>
            </a:solidFill>
            <a:ln>
              <a:noFill/>
            </a:ln>
            <a:effectLst/>
          </c:spPr>
          <c:invertIfNegative val="0"/>
          <c:cat>
            <c:strRef>
              <c:f>'chisq analysis'!$A$94:$A$97</c:f>
              <c:strCache>
                <c:ptCount val="4"/>
                <c:pt idx="0">
                  <c:v>NO comorbidity WITHOUT POSS dx IE</c:v>
                </c:pt>
                <c:pt idx="1">
                  <c:v>NO comorbidity WITH POSS dx IE</c:v>
                </c:pt>
                <c:pt idx="2">
                  <c:v>comorbidity WITHOUT POSS dx IE</c:v>
                </c:pt>
                <c:pt idx="3">
                  <c:v>comorbidity WITH POSS dx IE</c:v>
                </c:pt>
              </c:strCache>
            </c:strRef>
          </c:cat>
          <c:val>
            <c:numRef>
              <c:f>'chisq analysis'!$B$94:$B$97</c:f>
              <c:numCache>
                <c:formatCode>General</c:formatCode>
                <c:ptCount val="4"/>
                <c:pt idx="0">
                  <c:v>37.5</c:v>
                </c:pt>
                <c:pt idx="1">
                  <c:v>29.5</c:v>
                </c:pt>
                <c:pt idx="2">
                  <c:v>37.5</c:v>
                </c:pt>
                <c:pt idx="3">
                  <c:v>29.5</c:v>
                </c:pt>
              </c:numCache>
            </c:numRef>
          </c:val>
          <c:extLst>
            <c:ext xmlns:c16="http://schemas.microsoft.com/office/drawing/2014/chart" uri="{C3380CC4-5D6E-409C-BE32-E72D297353CC}">
              <c16:uniqueId val="{00000001-B060-4E12-9577-8040F7A6306D}"/>
            </c:ext>
          </c:extLst>
        </c:ser>
        <c:ser>
          <c:idx val="1"/>
          <c:order val="1"/>
          <c:tx>
            <c:strRef>
              <c:f>'chisq analysis'!$C$93</c:f>
              <c:strCache>
                <c:ptCount val="1"/>
                <c:pt idx="0">
                  <c:v>Actual</c:v>
                </c:pt>
              </c:strCache>
            </c:strRef>
          </c:tx>
          <c:spPr>
            <a:solidFill>
              <a:schemeClr val="accent2"/>
            </a:solidFill>
            <a:ln>
              <a:noFill/>
            </a:ln>
            <a:effectLst/>
          </c:spPr>
          <c:invertIfNegative val="0"/>
          <c:cat>
            <c:strRef>
              <c:f>'chisq analysis'!$A$94:$A$97</c:f>
              <c:strCache>
                <c:ptCount val="4"/>
                <c:pt idx="0">
                  <c:v>NO comorbidity WITHOUT POSS dx IE</c:v>
                </c:pt>
                <c:pt idx="1">
                  <c:v>NO comorbidity WITH POSS dx IE</c:v>
                </c:pt>
                <c:pt idx="2">
                  <c:v>comorbidity WITHOUT POSS dx IE</c:v>
                </c:pt>
                <c:pt idx="3">
                  <c:v>comorbidity WITH POSS dx IE</c:v>
                </c:pt>
              </c:strCache>
            </c:strRef>
          </c:cat>
          <c:val>
            <c:numRef>
              <c:f>'chisq analysis'!$C$94:$C$97</c:f>
              <c:numCache>
                <c:formatCode>General</c:formatCode>
                <c:ptCount val="4"/>
                <c:pt idx="0">
                  <c:v>51</c:v>
                </c:pt>
                <c:pt idx="1">
                  <c:v>16</c:v>
                </c:pt>
                <c:pt idx="2">
                  <c:v>24</c:v>
                </c:pt>
                <c:pt idx="3">
                  <c:v>43</c:v>
                </c:pt>
              </c:numCache>
            </c:numRef>
          </c:val>
          <c:extLst>
            <c:ext xmlns:c16="http://schemas.microsoft.com/office/drawing/2014/chart" uri="{C3380CC4-5D6E-409C-BE32-E72D297353CC}">
              <c16:uniqueId val="{00000003-B060-4E12-9577-8040F7A6306D}"/>
            </c:ext>
          </c:extLst>
        </c:ser>
        <c:dLbls>
          <c:showLegendKey val="0"/>
          <c:showVal val="0"/>
          <c:showCatName val="0"/>
          <c:showSerName val="0"/>
          <c:showPercent val="0"/>
          <c:showBubbleSize val="0"/>
        </c:dLbls>
        <c:gapWidth val="219"/>
        <c:overlap val="-27"/>
        <c:axId val="1164634632"/>
        <c:axId val="754177544"/>
      </c:barChart>
      <c:catAx>
        <c:axId val="1164634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177544"/>
        <c:crosses val="autoZero"/>
        <c:auto val="1"/>
        <c:lblAlgn val="ctr"/>
        <c:lblOffset val="100"/>
        <c:noMultiLvlLbl val="0"/>
      </c:catAx>
      <c:valAx>
        <c:axId val="7541775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4634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analysis'!$G$93</c:f>
              <c:strCache>
                <c:ptCount val="1"/>
                <c:pt idx="0">
                  <c:v>Expected</c:v>
                </c:pt>
              </c:strCache>
            </c:strRef>
          </c:tx>
          <c:spPr>
            <a:solidFill>
              <a:schemeClr val="accent1"/>
            </a:solidFill>
            <a:ln>
              <a:noFill/>
            </a:ln>
            <a:effectLst/>
          </c:spPr>
          <c:invertIfNegative val="0"/>
          <c:cat>
            <c:strRef>
              <c:f>'chisq analysis'!$F$94:$F$97</c:f>
              <c:strCache>
                <c:ptCount val="4"/>
                <c:pt idx="0">
                  <c:v>NO alt source infxn WITHOUT POSS dx IE</c:v>
                </c:pt>
                <c:pt idx="1">
                  <c:v>NO alt source infxn WITH POSS dx IE</c:v>
                </c:pt>
                <c:pt idx="2">
                  <c:v>alt source infxn WITHOUT POSS dx IE</c:v>
                </c:pt>
                <c:pt idx="3">
                  <c:v>alt source infxn WITH POSS dx IE</c:v>
                </c:pt>
              </c:strCache>
            </c:strRef>
          </c:cat>
          <c:val>
            <c:numRef>
              <c:f>'chisq analysis'!$G$94:$G$97</c:f>
              <c:numCache>
                <c:formatCode>General</c:formatCode>
                <c:ptCount val="4"/>
                <c:pt idx="0">
                  <c:v>44.21641791044776</c:v>
                </c:pt>
                <c:pt idx="1">
                  <c:v>34.78358208955224</c:v>
                </c:pt>
                <c:pt idx="2">
                  <c:v>30.78358208955224</c:v>
                </c:pt>
                <c:pt idx="3">
                  <c:v>24.21641791044776</c:v>
                </c:pt>
              </c:numCache>
            </c:numRef>
          </c:val>
          <c:extLst>
            <c:ext xmlns:c16="http://schemas.microsoft.com/office/drawing/2014/chart" uri="{C3380CC4-5D6E-409C-BE32-E72D297353CC}">
              <c16:uniqueId val="{00000001-A111-420E-A27A-C2F4DC00B1C0}"/>
            </c:ext>
          </c:extLst>
        </c:ser>
        <c:ser>
          <c:idx val="1"/>
          <c:order val="1"/>
          <c:tx>
            <c:strRef>
              <c:f>'chisq analysis'!$H$93</c:f>
              <c:strCache>
                <c:ptCount val="1"/>
                <c:pt idx="0">
                  <c:v>Actual</c:v>
                </c:pt>
              </c:strCache>
            </c:strRef>
          </c:tx>
          <c:spPr>
            <a:solidFill>
              <a:schemeClr val="accent2"/>
            </a:solidFill>
            <a:ln>
              <a:noFill/>
            </a:ln>
            <a:effectLst/>
          </c:spPr>
          <c:invertIfNegative val="0"/>
          <c:cat>
            <c:strRef>
              <c:f>'chisq analysis'!$F$94:$F$97</c:f>
              <c:strCache>
                <c:ptCount val="4"/>
                <c:pt idx="0">
                  <c:v>NO alt source infxn WITHOUT POSS dx IE</c:v>
                </c:pt>
                <c:pt idx="1">
                  <c:v>NO alt source infxn WITH POSS dx IE</c:v>
                </c:pt>
                <c:pt idx="2">
                  <c:v>alt source infxn WITHOUT POSS dx IE</c:v>
                </c:pt>
                <c:pt idx="3">
                  <c:v>alt source infxn WITH POSS dx IE</c:v>
                </c:pt>
              </c:strCache>
            </c:strRef>
          </c:cat>
          <c:val>
            <c:numRef>
              <c:f>'chisq analysis'!$H$94:$H$97</c:f>
              <c:numCache>
                <c:formatCode>General</c:formatCode>
                <c:ptCount val="4"/>
                <c:pt idx="0">
                  <c:v>60</c:v>
                </c:pt>
                <c:pt idx="1">
                  <c:v>19</c:v>
                </c:pt>
                <c:pt idx="2">
                  <c:v>15</c:v>
                </c:pt>
                <c:pt idx="3">
                  <c:v>40</c:v>
                </c:pt>
              </c:numCache>
            </c:numRef>
          </c:val>
          <c:extLst>
            <c:ext xmlns:c16="http://schemas.microsoft.com/office/drawing/2014/chart" uri="{C3380CC4-5D6E-409C-BE32-E72D297353CC}">
              <c16:uniqueId val="{00000003-A111-420E-A27A-C2F4DC00B1C0}"/>
            </c:ext>
          </c:extLst>
        </c:ser>
        <c:dLbls>
          <c:showLegendKey val="0"/>
          <c:showVal val="0"/>
          <c:showCatName val="0"/>
          <c:showSerName val="0"/>
          <c:showPercent val="0"/>
          <c:showBubbleSize val="0"/>
        </c:dLbls>
        <c:gapWidth val="219"/>
        <c:overlap val="-27"/>
        <c:axId val="1164638728"/>
        <c:axId val="705431559"/>
      </c:barChart>
      <c:catAx>
        <c:axId val="1164638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5431559"/>
        <c:crosses val="autoZero"/>
        <c:auto val="1"/>
        <c:lblAlgn val="ctr"/>
        <c:lblOffset val="100"/>
        <c:noMultiLvlLbl val="0"/>
      </c:catAx>
      <c:valAx>
        <c:axId val="7054315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4638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analysis'!$L$93</c:f>
              <c:strCache>
                <c:ptCount val="1"/>
                <c:pt idx="0">
                  <c:v>Expected</c:v>
                </c:pt>
              </c:strCache>
            </c:strRef>
          </c:tx>
          <c:spPr>
            <a:solidFill>
              <a:schemeClr val="accent1"/>
            </a:solidFill>
            <a:ln>
              <a:noFill/>
            </a:ln>
            <a:effectLst/>
          </c:spPr>
          <c:invertIfNegative val="0"/>
          <c:cat>
            <c:strRef>
              <c:f>'chisq analysis'!$K$94:$K$97</c:f>
              <c:strCache>
                <c:ptCount val="4"/>
                <c:pt idx="0">
                  <c:v>NO defervesced/stayed afeb WITHOUT POSS dx IE</c:v>
                </c:pt>
                <c:pt idx="1">
                  <c:v>NO defervesced/stayed afeb WITH POSS dx IE</c:v>
                </c:pt>
                <c:pt idx="2">
                  <c:v>defervesced/stayed afeb WITHOUT POSS dx IE</c:v>
                </c:pt>
                <c:pt idx="3">
                  <c:v>defervesced/stayed afeb WITH POSS dx IE</c:v>
                </c:pt>
              </c:strCache>
            </c:strRef>
          </c:cat>
          <c:val>
            <c:numRef>
              <c:f>'chisq analysis'!$L$94:$L$97</c:f>
              <c:numCache>
                <c:formatCode>General</c:formatCode>
                <c:ptCount val="4"/>
                <c:pt idx="0">
                  <c:v>8.3955223880597014</c:v>
                </c:pt>
                <c:pt idx="1">
                  <c:v>6.6044776119402986</c:v>
                </c:pt>
                <c:pt idx="2">
                  <c:v>66.604477611940297</c:v>
                </c:pt>
                <c:pt idx="3">
                  <c:v>52.395522388059703</c:v>
                </c:pt>
              </c:numCache>
            </c:numRef>
          </c:val>
          <c:extLst>
            <c:ext xmlns:c16="http://schemas.microsoft.com/office/drawing/2014/chart" uri="{C3380CC4-5D6E-409C-BE32-E72D297353CC}">
              <c16:uniqueId val="{00000001-1620-4674-8298-C3211B654794}"/>
            </c:ext>
          </c:extLst>
        </c:ser>
        <c:ser>
          <c:idx val="1"/>
          <c:order val="1"/>
          <c:tx>
            <c:strRef>
              <c:f>'chisq analysis'!$M$93</c:f>
              <c:strCache>
                <c:ptCount val="1"/>
                <c:pt idx="0">
                  <c:v>Actual</c:v>
                </c:pt>
              </c:strCache>
            </c:strRef>
          </c:tx>
          <c:spPr>
            <a:solidFill>
              <a:schemeClr val="accent2"/>
            </a:solidFill>
            <a:ln>
              <a:noFill/>
            </a:ln>
            <a:effectLst/>
          </c:spPr>
          <c:invertIfNegative val="0"/>
          <c:cat>
            <c:strRef>
              <c:f>'chisq analysis'!$K$94:$K$97</c:f>
              <c:strCache>
                <c:ptCount val="4"/>
                <c:pt idx="0">
                  <c:v>NO defervesced/stayed afeb WITHOUT POSS dx IE</c:v>
                </c:pt>
                <c:pt idx="1">
                  <c:v>NO defervesced/stayed afeb WITH POSS dx IE</c:v>
                </c:pt>
                <c:pt idx="2">
                  <c:v>defervesced/stayed afeb WITHOUT POSS dx IE</c:v>
                </c:pt>
                <c:pt idx="3">
                  <c:v>defervesced/stayed afeb WITH POSS dx IE</c:v>
                </c:pt>
              </c:strCache>
            </c:strRef>
          </c:cat>
          <c:val>
            <c:numRef>
              <c:f>'chisq analysis'!$M$94:$M$97</c:f>
              <c:numCache>
                <c:formatCode>General</c:formatCode>
                <c:ptCount val="4"/>
                <c:pt idx="0">
                  <c:v>4</c:v>
                </c:pt>
                <c:pt idx="1">
                  <c:v>11</c:v>
                </c:pt>
                <c:pt idx="2">
                  <c:v>71</c:v>
                </c:pt>
                <c:pt idx="3">
                  <c:v>48</c:v>
                </c:pt>
              </c:numCache>
            </c:numRef>
          </c:val>
          <c:extLst>
            <c:ext xmlns:c16="http://schemas.microsoft.com/office/drawing/2014/chart" uri="{C3380CC4-5D6E-409C-BE32-E72D297353CC}">
              <c16:uniqueId val="{00000003-1620-4674-8298-C3211B654794}"/>
            </c:ext>
          </c:extLst>
        </c:ser>
        <c:dLbls>
          <c:showLegendKey val="0"/>
          <c:showVal val="0"/>
          <c:showCatName val="0"/>
          <c:showSerName val="0"/>
          <c:showPercent val="0"/>
          <c:showBubbleSize val="0"/>
        </c:dLbls>
        <c:gapWidth val="219"/>
        <c:overlap val="-27"/>
        <c:axId val="754152968"/>
        <c:axId val="754155016"/>
      </c:barChart>
      <c:catAx>
        <c:axId val="754152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155016"/>
        <c:crosses val="autoZero"/>
        <c:auto val="1"/>
        <c:lblAlgn val="ctr"/>
        <c:lblOffset val="100"/>
        <c:noMultiLvlLbl val="0"/>
      </c:catAx>
      <c:valAx>
        <c:axId val="7541550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152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analysis'!$AA$93</c:f>
              <c:strCache>
                <c:ptCount val="1"/>
                <c:pt idx="0">
                  <c:v>Expected</c:v>
                </c:pt>
              </c:strCache>
            </c:strRef>
          </c:tx>
          <c:spPr>
            <a:solidFill>
              <a:schemeClr val="accent1"/>
            </a:solidFill>
            <a:ln>
              <a:noFill/>
            </a:ln>
            <a:effectLst/>
          </c:spPr>
          <c:invertIfNegative val="0"/>
          <c:cat>
            <c:strRef>
              <c:f>'chisq analysis'!$Z$94:$Z$97</c:f>
              <c:strCache>
                <c:ptCount val="4"/>
                <c:pt idx="0">
                  <c:v>NO Defervesced, WBC resolve/nrml WITHOUT POSS dx IE</c:v>
                </c:pt>
                <c:pt idx="1">
                  <c:v>NO Defervesced, WBC resolve/nrml WITH POSS dx IE</c:v>
                </c:pt>
                <c:pt idx="2">
                  <c:v>Defervesced, WBC resolve/nrml WITHOUT POSS dx IE</c:v>
                </c:pt>
                <c:pt idx="3">
                  <c:v>Defervesced, WBC resolve/nrml WITH POSS dx IE</c:v>
                </c:pt>
              </c:strCache>
            </c:strRef>
          </c:cat>
          <c:val>
            <c:numRef>
              <c:f>'chisq analysis'!$AA$94:$AA$97</c:f>
              <c:numCache>
                <c:formatCode>General</c:formatCode>
                <c:ptCount val="4"/>
                <c:pt idx="0">
                  <c:v>16.231343283582088</c:v>
                </c:pt>
                <c:pt idx="1">
                  <c:v>12.76865671641791</c:v>
                </c:pt>
                <c:pt idx="2">
                  <c:v>58.768656716417908</c:v>
                </c:pt>
                <c:pt idx="3">
                  <c:v>46.231343283582092</c:v>
                </c:pt>
              </c:numCache>
            </c:numRef>
          </c:val>
          <c:extLst>
            <c:ext xmlns:c16="http://schemas.microsoft.com/office/drawing/2014/chart" uri="{C3380CC4-5D6E-409C-BE32-E72D297353CC}">
              <c16:uniqueId val="{00000001-416A-4013-A03E-3394673E3ACE}"/>
            </c:ext>
          </c:extLst>
        </c:ser>
        <c:ser>
          <c:idx val="1"/>
          <c:order val="1"/>
          <c:tx>
            <c:strRef>
              <c:f>'chisq analysis'!$AB$93</c:f>
              <c:strCache>
                <c:ptCount val="1"/>
                <c:pt idx="0">
                  <c:v>Actual</c:v>
                </c:pt>
              </c:strCache>
            </c:strRef>
          </c:tx>
          <c:spPr>
            <a:solidFill>
              <a:schemeClr val="accent2"/>
            </a:solidFill>
            <a:ln>
              <a:noFill/>
            </a:ln>
            <a:effectLst/>
          </c:spPr>
          <c:invertIfNegative val="0"/>
          <c:cat>
            <c:strRef>
              <c:f>'chisq analysis'!$Z$94:$Z$97</c:f>
              <c:strCache>
                <c:ptCount val="4"/>
                <c:pt idx="0">
                  <c:v>NO Defervesced, WBC resolve/nrml WITHOUT POSS dx IE</c:v>
                </c:pt>
                <c:pt idx="1">
                  <c:v>NO Defervesced, WBC resolve/nrml WITH POSS dx IE</c:v>
                </c:pt>
                <c:pt idx="2">
                  <c:v>Defervesced, WBC resolve/nrml WITHOUT POSS dx IE</c:v>
                </c:pt>
                <c:pt idx="3">
                  <c:v>Defervesced, WBC resolve/nrml WITH POSS dx IE</c:v>
                </c:pt>
              </c:strCache>
            </c:strRef>
          </c:cat>
          <c:val>
            <c:numRef>
              <c:f>'chisq analysis'!$AB$94:$AB$97</c:f>
              <c:numCache>
                <c:formatCode>General</c:formatCode>
                <c:ptCount val="4"/>
                <c:pt idx="0">
                  <c:v>11</c:v>
                </c:pt>
                <c:pt idx="1">
                  <c:v>18</c:v>
                </c:pt>
                <c:pt idx="2">
                  <c:v>64</c:v>
                </c:pt>
                <c:pt idx="3">
                  <c:v>41</c:v>
                </c:pt>
              </c:numCache>
            </c:numRef>
          </c:val>
          <c:extLst>
            <c:ext xmlns:c16="http://schemas.microsoft.com/office/drawing/2014/chart" uri="{C3380CC4-5D6E-409C-BE32-E72D297353CC}">
              <c16:uniqueId val="{00000003-416A-4013-A03E-3394673E3ACE}"/>
            </c:ext>
          </c:extLst>
        </c:ser>
        <c:dLbls>
          <c:showLegendKey val="0"/>
          <c:showVal val="0"/>
          <c:showCatName val="0"/>
          <c:showSerName val="0"/>
          <c:showPercent val="0"/>
          <c:showBubbleSize val="0"/>
        </c:dLbls>
        <c:gapWidth val="219"/>
        <c:overlap val="-27"/>
        <c:axId val="594464263"/>
        <c:axId val="838587911"/>
      </c:barChart>
      <c:catAx>
        <c:axId val="5944642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8587911"/>
        <c:crosses val="autoZero"/>
        <c:auto val="1"/>
        <c:lblAlgn val="ctr"/>
        <c:lblOffset val="100"/>
        <c:noMultiLvlLbl val="0"/>
      </c:catAx>
      <c:valAx>
        <c:axId val="83858791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44642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analysis'!$AF$93</c:f>
              <c:strCache>
                <c:ptCount val="1"/>
                <c:pt idx="0">
                  <c:v>Expected</c:v>
                </c:pt>
              </c:strCache>
            </c:strRef>
          </c:tx>
          <c:spPr>
            <a:solidFill>
              <a:schemeClr val="accent1"/>
            </a:solidFill>
            <a:ln>
              <a:noFill/>
            </a:ln>
            <a:effectLst/>
          </c:spPr>
          <c:invertIfNegative val="0"/>
          <c:cat>
            <c:strRef>
              <c:f>'chisq analysis'!$AE$94:$AE$97</c:f>
              <c:strCache>
                <c:ptCount val="4"/>
                <c:pt idx="0">
                  <c:v>NO planned longterm abx WITHOUT POSS dx IE</c:v>
                </c:pt>
                <c:pt idx="1">
                  <c:v>NO planned longterm abx WITH POSS dx IE</c:v>
                </c:pt>
                <c:pt idx="2">
                  <c:v>planned longterm abx WITHOUT POSS dx IE</c:v>
                </c:pt>
                <c:pt idx="3">
                  <c:v>planned longterm abx WITH POSS dx IE</c:v>
                </c:pt>
              </c:strCache>
            </c:strRef>
          </c:cat>
          <c:val>
            <c:numRef>
              <c:f>'chisq analysis'!$AF$94:$AF$97</c:f>
              <c:numCache>
                <c:formatCode>General</c:formatCode>
                <c:ptCount val="4"/>
                <c:pt idx="0">
                  <c:v>44.21641791044776</c:v>
                </c:pt>
                <c:pt idx="1">
                  <c:v>34.78358208955224</c:v>
                </c:pt>
                <c:pt idx="2">
                  <c:v>30.78358208955224</c:v>
                </c:pt>
                <c:pt idx="3">
                  <c:v>24.21641791044776</c:v>
                </c:pt>
              </c:numCache>
            </c:numRef>
          </c:val>
          <c:extLst>
            <c:ext xmlns:c16="http://schemas.microsoft.com/office/drawing/2014/chart" uri="{C3380CC4-5D6E-409C-BE32-E72D297353CC}">
              <c16:uniqueId val="{00000001-C5BF-41D6-8031-B9D55D920E97}"/>
            </c:ext>
          </c:extLst>
        </c:ser>
        <c:ser>
          <c:idx val="1"/>
          <c:order val="1"/>
          <c:tx>
            <c:strRef>
              <c:f>'chisq analysis'!$AG$93</c:f>
              <c:strCache>
                <c:ptCount val="1"/>
                <c:pt idx="0">
                  <c:v>Actual</c:v>
                </c:pt>
              </c:strCache>
            </c:strRef>
          </c:tx>
          <c:spPr>
            <a:solidFill>
              <a:schemeClr val="accent2"/>
            </a:solidFill>
            <a:ln>
              <a:noFill/>
            </a:ln>
            <a:effectLst/>
          </c:spPr>
          <c:invertIfNegative val="0"/>
          <c:cat>
            <c:strRef>
              <c:f>'chisq analysis'!$AE$94:$AE$97</c:f>
              <c:strCache>
                <c:ptCount val="4"/>
                <c:pt idx="0">
                  <c:v>NO planned longterm abx WITHOUT POSS dx IE</c:v>
                </c:pt>
                <c:pt idx="1">
                  <c:v>NO planned longterm abx WITH POSS dx IE</c:v>
                </c:pt>
                <c:pt idx="2">
                  <c:v>planned longterm abx WITHOUT POSS dx IE</c:v>
                </c:pt>
                <c:pt idx="3">
                  <c:v>planned longterm abx WITH POSS dx IE</c:v>
                </c:pt>
              </c:strCache>
            </c:strRef>
          </c:cat>
          <c:val>
            <c:numRef>
              <c:f>'chisq analysis'!$AG$94:$AG$97</c:f>
              <c:numCache>
                <c:formatCode>General</c:formatCode>
                <c:ptCount val="4"/>
                <c:pt idx="0">
                  <c:v>67</c:v>
                </c:pt>
                <c:pt idx="1">
                  <c:v>12</c:v>
                </c:pt>
                <c:pt idx="2">
                  <c:v>8</c:v>
                </c:pt>
                <c:pt idx="3">
                  <c:v>47</c:v>
                </c:pt>
              </c:numCache>
            </c:numRef>
          </c:val>
          <c:extLst>
            <c:ext xmlns:c16="http://schemas.microsoft.com/office/drawing/2014/chart" uri="{C3380CC4-5D6E-409C-BE32-E72D297353CC}">
              <c16:uniqueId val="{00000003-C5BF-41D6-8031-B9D55D920E97}"/>
            </c:ext>
          </c:extLst>
        </c:ser>
        <c:dLbls>
          <c:showLegendKey val="0"/>
          <c:showVal val="0"/>
          <c:showCatName val="0"/>
          <c:showSerName val="0"/>
          <c:showPercent val="0"/>
          <c:showBubbleSize val="0"/>
        </c:dLbls>
        <c:gapWidth val="219"/>
        <c:overlap val="-27"/>
        <c:axId val="406903303"/>
        <c:axId val="1086173704"/>
      </c:barChart>
      <c:catAx>
        <c:axId val="4069033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6173704"/>
        <c:crosses val="autoZero"/>
        <c:auto val="1"/>
        <c:lblAlgn val="ctr"/>
        <c:lblOffset val="100"/>
        <c:noMultiLvlLbl val="0"/>
      </c:catAx>
      <c:valAx>
        <c:axId val="1086173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69033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analysis'!$AK$93</c:f>
              <c:strCache>
                <c:ptCount val="1"/>
                <c:pt idx="0">
                  <c:v>Expected</c:v>
                </c:pt>
              </c:strCache>
            </c:strRef>
          </c:tx>
          <c:spPr>
            <a:solidFill>
              <a:schemeClr val="accent1"/>
            </a:solidFill>
            <a:ln>
              <a:noFill/>
            </a:ln>
            <a:effectLst/>
          </c:spPr>
          <c:invertIfNegative val="0"/>
          <c:cat>
            <c:strRef>
              <c:f>'chisq analysis'!$AJ$94:$AJ$97</c:f>
              <c:strCache>
                <c:ptCount val="4"/>
                <c:pt idx="0">
                  <c:v>NO Repeat +bcx WITHOUT POSS dx IE</c:v>
                </c:pt>
                <c:pt idx="1">
                  <c:v>NO Repeat +bcx WITH POSS dx IE</c:v>
                </c:pt>
                <c:pt idx="2">
                  <c:v>Repeat +bcx WITHOUT POSS dx IE</c:v>
                </c:pt>
                <c:pt idx="3">
                  <c:v>Repeat +bcx WITH POSS dx IE</c:v>
                </c:pt>
              </c:strCache>
            </c:strRef>
          </c:cat>
          <c:val>
            <c:numRef>
              <c:f>'chisq analysis'!$AK$94:$AK$97</c:f>
              <c:numCache>
                <c:formatCode>General</c:formatCode>
                <c:ptCount val="4"/>
                <c:pt idx="0">
                  <c:v>48.134328358208954</c:v>
                </c:pt>
                <c:pt idx="1">
                  <c:v>37.865671641791046</c:v>
                </c:pt>
                <c:pt idx="2">
                  <c:v>26.865671641791046</c:v>
                </c:pt>
                <c:pt idx="3">
                  <c:v>21.134328358208954</c:v>
                </c:pt>
              </c:numCache>
            </c:numRef>
          </c:val>
          <c:extLst>
            <c:ext xmlns:c16="http://schemas.microsoft.com/office/drawing/2014/chart" uri="{C3380CC4-5D6E-409C-BE32-E72D297353CC}">
              <c16:uniqueId val="{00000001-758B-4AD2-BA98-F4DC1F1FDCCF}"/>
            </c:ext>
          </c:extLst>
        </c:ser>
        <c:ser>
          <c:idx val="1"/>
          <c:order val="1"/>
          <c:tx>
            <c:strRef>
              <c:f>'chisq analysis'!$AL$93</c:f>
              <c:strCache>
                <c:ptCount val="1"/>
                <c:pt idx="0">
                  <c:v>Actual</c:v>
                </c:pt>
              </c:strCache>
            </c:strRef>
          </c:tx>
          <c:spPr>
            <a:solidFill>
              <a:schemeClr val="accent2"/>
            </a:solidFill>
            <a:ln>
              <a:noFill/>
            </a:ln>
            <a:effectLst/>
          </c:spPr>
          <c:invertIfNegative val="0"/>
          <c:cat>
            <c:strRef>
              <c:f>'chisq analysis'!$AJ$94:$AJ$97</c:f>
              <c:strCache>
                <c:ptCount val="4"/>
                <c:pt idx="0">
                  <c:v>NO Repeat +bcx WITHOUT POSS dx IE</c:v>
                </c:pt>
                <c:pt idx="1">
                  <c:v>NO Repeat +bcx WITH POSS dx IE</c:v>
                </c:pt>
                <c:pt idx="2">
                  <c:v>Repeat +bcx WITHOUT POSS dx IE</c:v>
                </c:pt>
                <c:pt idx="3">
                  <c:v>Repeat +bcx WITH POSS dx IE</c:v>
                </c:pt>
              </c:strCache>
            </c:strRef>
          </c:cat>
          <c:val>
            <c:numRef>
              <c:f>'chisq analysis'!$AL$94:$AL$97</c:f>
              <c:numCache>
                <c:formatCode>General</c:formatCode>
                <c:ptCount val="4"/>
                <c:pt idx="0">
                  <c:v>70</c:v>
                </c:pt>
                <c:pt idx="1">
                  <c:v>16</c:v>
                </c:pt>
                <c:pt idx="2">
                  <c:v>5</c:v>
                </c:pt>
                <c:pt idx="3">
                  <c:v>43</c:v>
                </c:pt>
              </c:numCache>
            </c:numRef>
          </c:val>
          <c:extLst>
            <c:ext xmlns:c16="http://schemas.microsoft.com/office/drawing/2014/chart" uri="{C3380CC4-5D6E-409C-BE32-E72D297353CC}">
              <c16:uniqueId val="{00000003-758B-4AD2-BA98-F4DC1F1FDCCF}"/>
            </c:ext>
          </c:extLst>
        </c:ser>
        <c:dLbls>
          <c:showLegendKey val="0"/>
          <c:showVal val="0"/>
          <c:showCatName val="0"/>
          <c:showSerName val="0"/>
          <c:showPercent val="0"/>
          <c:showBubbleSize val="0"/>
        </c:dLbls>
        <c:gapWidth val="219"/>
        <c:overlap val="-27"/>
        <c:axId val="1067513863"/>
        <c:axId val="1079051271"/>
      </c:barChart>
      <c:catAx>
        <c:axId val="10675138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9051271"/>
        <c:crosses val="autoZero"/>
        <c:auto val="1"/>
        <c:lblAlgn val="ctr"/>
        <c:lblOffset val="100"/>
        <c:noMultiLvlLbl val="0"/>
      </c:catAx>
      <c:valAx>
        <c:axId val="10790512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75138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Abx change vs TEE use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'Predeterm Abx specific data'!$K$74</c:f>
              <c:strCache>
                <c:ptCount val="1"/>
                <c:pt idx="0">
                  <c:v>Expected</c:v>
                </c:pt>
              </c:strCache>
            </c:strRef>
          </c:tx>
          <c:spPr>
            <a:solidFill>
              <a:schemeClr val="accent1"/>
            </a:solidFill>
            <a:ln>
              <a:noFill/>
            </a:ln>
            <a:effectLst/>
          </c:spPr>
          <c:invertIfNegative val="0"/>
          <c:cat>
            <c:strRef>
              <c:f>'Predeterm Abx specific data'!$J$75:$J$78</c:f>
              <c:strCache>
                <c:ptCount val="4"/>
                <c:pt idx="0">
                  <c:v>NO abx change WITHOUT TEE use</c:v>
                </c:pt>
                <c:pt idx="1">
                  <c:v>NO abx change WITH TEE use</c:v>
                </c:pt>
                <c:pt idx="2">
                  <c:v>abx change WITHOUT TEE use</c:v>
                </c:pt>
                <c:pt idx="3">
                  <c:v>abx change  WITH TEE use</c:v>
                </c:pt>
              </c:strCache>
            </c:strRef>
          </c:cat>
          <c:val>
            <c:numRef>
              <c:f>'Predeterm Abx specific data'!$K$75:$K$78</c:f>
              <c:numCache>
                <c:formatCode>General</c:formatCode>
                <c:ptCount val="4"/>
                <c:pt idx="0">
                  <c:v>37.581818181818178</c:v>
                </c:pt>
                <c:pt idx="1">
                  <c:v>15.418181818181818</c:v>
                </c:pt>
                <c:pt idx="2">
                  <c:v>1.4181818181818182</c:v>
                </c:pt>
                <c:pt idx="3">
                  <c:v>0.58181818181818179</c:v>
                </c:pt>
              </c:numCache>
            </c:numRef>
          </c:val>
          <c:extLst>
            <c:ext xmlns:c16="http://schemas.microsoft.com/office/drawing/2014/chart" uri="{C3380CC4-5D6E-409C-BE32-E72D297353CC}">
              <c16:uniqueId val="{00000001-380D-466D-B955-C67B9169EACF}"/>
            </c:ext>
          </c:extLst>
        </c:ser>
        <c:ser>
          <c:idx val="1"/>
          <c:order val="1"/>
          <c:tx>
            <c:strRef>
              <c:f>'Predeterm Abx specific data'!$L$74</c:f>
              <c:strCache>
                <c:ptCount val="1"/>
                <c:pt idx="0">
                  <c:v>Actual</c:v>
                </c:pt>
              </c:strCache>
            </c:strRef>
          </c:tx>
          <c:spPr>
            <a:solidFill>
              <a:schemeClr val="accent2"/>
            </a:solidFill>
            <a:ln>
              <a:noFill/>
            </a:ln>
            <a:effectLst/>
          </c:spPr>
          <c:invertIfNegative val="0"/>
          <c:cat>
            <c:strRef>
              <c:f>'Predeterm Abx specific data'!$J$75:$J$78</c:f>
              <c:strCache>
                <c:ptCount val="4"/>
                <c:pt idx="0">
                  <c:v>NO abx change WITHOUT TEE use</c:v>
                </c:pt>
                <c:pt idx="1">
                  <c:v>NO abx change WITH TEE use</c:v>
                </c:pt>
                <c:pt idx="2">
                  <c:v>abx change WITHOUT TEE use</c:v>
                </c:pt>
                <c:pt idx="3">
                  <c:v>abx change  WITH TEE use</c:v>
                </c:pt>
              </c:strCache>
            </c:strRef>
          </c:cat>
          <c:val>
            <c:numRef>
              <c:f>'Predeterm Abx specific data'!$L$75:$L$78</c:f>
              <c:numCache>
                <c:formatCode>General</c:formatCode>
                <c:ptCount val="4"/>
                <c:pt idx="0">
                  <c:v>39</c:v>
                </c:pt>
                <c:pt idx="1">
                  <c:v>14</c:v>
                </c:pt>
                <c:pt idx="2">
                  <c:v>0</c:v>
                </c:pt>
                <c:pt idx="3">
                  <c:v>2</c:v>
                </c:pt>
              </c:numCache>
            </c:numRef>
          </c:val>
          <c:extLst>
            <c:ext xmlns:c16="http://schemas.microsoft.com/office/drawing/2014/chart" uri="{C3380CC4-5D6E-409C-BE32-E72D297353CC}">
              <c16:uniqueId val="{00000003-380D-466D-B955-C67B9169EACF}"/>
            </c:ext>
          </c:extLst>
        </c:ser>
        <c:dLbls>
          <c:showLegendKey val="0"/>
          <c:showVal val="0"/>
          <c:showCatName val="0"/>
          <c:showSerName val="0"/>
          <c:showPercent val="0"/>
          <c:showBubbleSize val="0"/>
        </c:dLbls>
        <c:gapWidth val="219"/>
        <c:overlap val="-27"/>
        <c:axId val="933278216"/>
        <c:axId val="933441544"/>
      </c:barChart>
      <c:catAx>
        <c:axId val="933278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3441544"/>
        <c:crosses val="autoZero"/>
        <c:auto val="1"/>
        <c:lblAlgn val="ctr"/>
        <c:lblOffset val="100"/>
        <c:noMultiLvlLbl val="0"/>
      </c:catAx>
      <c:valAx>
        <c:axId val="9334415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3278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analysis'!$AP$93</c:f>
              <c:strCache>
                <c:ptCount val="1"/>
                <c:pt idx="0">
                  <c:v>Expected</c:v>
                </c:pt>
              </c:strCache>
            </c:strRef>
          </c:tx>
          <c:spPr>
            <a:solidFill>
              <a:schemeClr val="accent1"/>
            </a:solidFill>
            <a:ln>
              <a:noFill/>
            </a:ln>
            <a:effectLst/>
          </c:spPr>
          <c:invertIfNegative val="0"/>
          <c:cat>
            <c:strRef>
              <c:f>'chisq analysis'!$AO$94:$AO$97</c:f>
              <c:strCache>
                <c:ptCount val="4"/>
                <c:pt idx="0">
                  <c:v>NO ICU WITHOUT POSS dx IE</c:v>
                </c:pt>
                <c:pt idx="1">
                  <c:v>NO ICU WITH POSS dx IE</c:v>
                </c:pt>
                <c:pt idx="2">
                  <c:v>ICU WITHOUT POSS dx IE</c:v>
                </c:pt>
                <c:pt idx="3">
                  <c:v>ICU WITH POSS dx IE</c:v>
                </c:pt>
              </c:strCache>
            </c:strRef>
          </c:cat>
          <c:val>
            <c:numRef>
              <c:f>'chisq analysis'!$AP$94:$AP$97</c:f>
              <c:numCache>
                <c:formatCode>General</c:formatCode>
                <c:ptCount val="4"/>
                <c:pt idx="0">
                  <c:v>61.007462686567166</c:v>
                </c:pt>
                <c:pt idx="1">
                  <c:v>47.992537313432834</c:v>
                </c:pt>
                <c:pt idx="2">
                  <c:v>13.992537313432836</c:v>
                </c:pt>
                <c:pt idx="3">
                  <c:v>11.007462686567164</c:v>
                </c:pt>
              </c:numCache>
            </c:numRef>
          </c:val>
          <c:extLst>
            <c:ext xmlns:c16="http://schemas.microsoft.com/office/drawing/2014/chart" uri="{C3380CC4-5D6E-409C-BE32-E72D297353CC}">
              <c16:uniqueId val="{00000001-082E-451B-9F82-9FF6B6BD58BC}"/>
            </c:ext>
          </c:extLst>
        </c:ser>
        <c:ser>
          <c:idx val="1"/>
          <c:order val="1"/>
          <c:tx>
            <c:strRef>
              <c:f>'chisq analysis'!$AQ$93</c:f>
              <c:strCache>
                <c:ptCount val="1"/>
                <c:pt idx="0">
                  <c:v>Actual</c:v>
                </c:pt>
              </c:strCache>
            </c:strRef>
          </c:tx>
          <c:spPr>
            <a:solidFill>
              <a:schemeClr val="accent2"/>
            </a:solidFill>
            <a:ln>
              <a:noFill/>
            </a:ln>
            <a:effectLst/>
          </c:spPr>
          <c:invertIfNegative val="0"/>
          <c:cat>
            <c:strRef>
              <c:f>'chisq analysis'!$AO$94:$AO$97</c:f>
              <c:strCache>
                <c:ptCount val="4"/>
                <c:pt idx="0">
                  <c:v>NO ICU WITHOUT POSS dx IE</c:v>
                </c:pt>
                <c:pt idx="1">
                  <c:v>NO ICU WITH POSS dx IE</c:v>
                </c:pt>
                <c:pt idx="2">
                  <c:v>ICU WITHOUT POSS dx IE</c:v>
                </c:pt>
                <c:pt idx="3">
                  <c:v>ICU WITH POSS dx IE</c:v>
                </c:pt>
              </c:strCache>
            </c:strRef>
          </c:cat>
          <c:val>
            <c:numRef>
              <c:f>'chisq analysis'!$AQ$94:$AQ$97</c:f>
              <c:numCache>
                <c:formatCode>General</c:formatCode>
                <c:ptCount val="4"/>
                <c:pt idx="0">
                  <c:v>66</c:v>
                </c:pt>
                <c:pt idx="1">
                  <c:v>43</c:v>
                </c:pt>
                <c:pt idx="2">
                  <c:v>9</c:v>
                </c:pt>
                <c:pt idx="3">
                  <c:v>16</c:v>
                </c:pt>
              </c:numCache>
            </c:numRef>
          </c:val>
          <c:extLst>
            <c:ext xmlns:c16="http://schemas.microsoft.com/office/drawing/2014/chart" uri="{C3380CC4-5D6E-409C-BE32-E72D297353CC}">
              <c16:uniqueId val="{00000003-082E-451B-9F82-9FF6B6BD58BC}"/>
            </c:ext>
          </c:extLst>
        </c:ser>
        <c:dLbls>
          <c:showLegendKey val="0"/>
          <c:showVal val="0"/>
          <c:showCatName val="0"/>
          <c:showSerName val="0"/>
          <c:showPercent val="0"/>
          <c:showBubbleSize val="0"/>
        </c:dLbls>
        <c:gapWidth val="219"/>
        <c:overlap val="-27"/>
        <c:axId val="429538311"/>
        <c:axId val="749860359"/>
      </c:barChart>
      <c:catAx>
        <c:axId val="4295383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860359"/>
        <c:crosses val="autoZero"/>
        <c:auto val="1"/>
        <c:lblAlgn val="ctr"/>
        <c:lblOffset val="100"/>
        <c:noMultiLvlLbl val="0"/>
      </c:catAx>
      <c:valAx>
        <c:axId val="7498603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95383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analysis'!$AU$93</c:f>
              <c:strCache>
                <c:ptCount val="1"/>
                <c:pt idx="0">
                  <c:v>Expected</c:v>
                </c:pt>
              </c:strCache>
            </c:strRef>
          </c:tx>
          <c:spPr>
            <a:solidFill>
              <a:schemeClr val="accent1"/>
            </a:solidFill>
            <a:ln>
              <a:noFill/>
            </a:ln>
            <a:effectLst/>
          </c:spPr>
          <c:invertIfNegative val="0"/>
          <c:cat>
            <c:strRef>
              <c:f>'chisq analysis'!$AT$94:$AT$97</c:f>
              <c:strCache>
                <c:ptCount val="4"/>
                <c:pt idx="0">
                  <c:v>NO fever WITHOUT POSS dx IE</c:v>
                </c:pt>
                <c:pt idx="1">
                  <c:v>NO fever WITH POSS dx IE</c:v>
                </c:pt>
                <c:pt idx="2">
                  <c:v>fever WITHOUT POSS dx IE</c:v>
                </c:pt>
                <c:pt idx="3">
                  <c:v>fever WITH POSS dx IE</c:v>
                </c:pt>
              </c:strCache>
            </c:strRef>
          </c:cat>
          <c:val>
            <c:numRef>
              <c:f>'chisq analysis'!$AU$94:$AU$97</c:f>
              <c:numCache>
                <c:formatCode>General</c:formatCode>
                <c:ptCount val="4"/>
                <c:pt idx="0">
                  <c:v>34.14179104477612</c:v>
                </c:pt>
                <c:pt idx="1">
                  <c:v>26.85820895522388</c:v>
                </c:pt>
                <c:pt idx="2">
                  <c:v>40.85820895522388</c:v>
                </c:pt>
                <c:pt idx="3">
                  <c:v>32.14179104477612</c:v>
                </c:pt>
              </c:numCache>
            </c:numRef>
          </c:val>
          <c:extLst>
            <c:ext xmlns:c16="http://schemas.microsoft.com/office/drawing/2014/chart" uri="{C3380CC4-5D6E-409C-BE32-E72D297353CC}">
              <c16:uniqueId val="{00000001-0490-4930-9C72-920E335BE24A}"/>
            </c:ext>
          </c:extLst>
        </c:ser>
        <c:ser>
          <c:idx val="1"/>
          <c:order val="1"/>
          <c:tx>
            <c:strRef>
              <c:f>'chisq analysis'!$AV$93</c:f>
              <c:strCache>
                <c:ptCount val="1"/>
                <c:pt idx="0">
                  <c:v>Actual</c:v>
                </c:pt>
              </c:strCache>
            </c:strRef>
          </c:tx>
          <c:spPr>
            <a:solidFill>
              <a:schemeClr val="accent2"/>
            </a:solidFill>
            <a:ln>
              <a:noFill/>
            </a:ln>
            <a:effectLst/>
          </c:spPr>
          <c:invertIfNegative val="0"/>
          <c:cat>
            <c:strRef>
              <c:f>'chisq analysis'!$AT$94:$AT$97</c:f>
              <c:strCache>
                <c:ptCount val="4"/>
                <c:pt idx="0">
                  <c:v>NO fever WITHOUT POSS dx IE</c:v>
                </c:pt>
                <c:pt idx="1">
                  <c:v>NO fever WITH POSS dx IE</c:v>
                </c:pt>
                <c:pt idx="2">
                  <c:v>fever WITHOUT POSS dx IE</c:v>
                </c:pt>
                <c:pt idx="3">
                  <c:v>fever WITH POSS dx IE</c:v>
                </c:pt>
              </c:strCache>
            </c:strRef>
          </c:cat>
          <c:val>
            <c:numRef>
              <c:f>'chisq analysis'!$AV$94:$AV$97</c:f>
              <c:numCache>
                <c:formatCode>General</c:formatCode>
                <c:ptCount val="4"/>
                <c:pt idx="0">
                  <c:v>55</c:v>
                </c:pt>
                <c:pt idx="1">
                  <c:v>6</c:v>
                </c:pt>
                <c:pt idx="2">
                  <c:v>20</c:v>
                </c:pt>
                <c:pt idx="3">
                  <c:v>53</c:v>
                </c:pt>
              </c:numCache>
            </c:numRef>
          </c:val>
          <c:extLst>
            <c:ext xmlns:c16="http://schemas.microsoft.com/office/drawing/2014/chart" uri="{C3380CC4-5D6E-409C-BE32-E72D297353CC}">
              <c16:uniqueId val="{00000003-0490-4930-9C72-920E335BE24A}"/>
            </c:ext>
          </c:extLst>
        </c:ser>
        <c:dLbls>
          <c:showLegendKey val="0"/>
          <c:showVal val="0"/>
          <c:showCatName val="0"/>
          <c:showSerName val="0"/>
          <c:showPercent val="0"/>
          <c:showBubbleSize val="0"/>
        </c:dLbls>
        <c:gapWidth val="219"/>
        <c:overlap val="-27"/>
        <c:axId val="406862855"/>
        <c:axId val="749826055"/>
      </c:barChart>
      <c:catAx>
        <c:axId val="4068628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49826055"/>
        <c:crosses val="autoZero"/>
        <c:auto val="1"/>
        <c:lblAlgn val="ctr"/>
        <c:lblOffset val="100"/>
        <c:noMultiLvlLbl val="0"/>
      </c:catAx>
      <c:valAx>
        <c:axId val="7498260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68628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analysis'!$AZ$93</c:f>
              <c:strCache>
                <c:ptCount val="1"/>
                <c:pt idx="0">
                  <c:v>Expected</c:v>
                </c:pt>
              </c:strCache>
            </c:strRef>
          </c:tx>
          <c:spPr>
            <a:solidFill>
              <a:schemeClr val="accent1"/>
            </a:solidFill>
            <a:ln>
              <a:noFill/>
            </a:ln>
            <a:effectLst/>
          </c:spPr>
          <c:invertIfNegative val="0"/>
          <c:cat>
            <c:strRef>
              <c:f>'chisq analysis'!$AY$94:$AY$97</c:f>
              <c:strCache>
                <c:ptCount val="4"/>
                <c:pt idx="0">
                  <c:v>NO predispos WITHOUT POSS dx IE</c:v>
                </c:pt>
                <c:pt idx="1">
                  <c:v>NO predispos WITH POSS dx IE</c:v>
                </c:pt>
                <c:pt idx="2">
                  <c:v>predispos WITHOUT POSS dx IE</c:v>
                </c:pt>
                <c:pt idx="3">
                  <c:v>predispos WITH POSS dx IE</c:v>
                </c:pt>
              </c:strCache>
            </c:strRef>
          </c:cat>
          <c:val>
            <c:numRef>
              <c:f>'chisq analysis'!$AZ$94:$AZ$97</c:f>
              <c:numCache>
                <c:formatCode>General</c:formatCode>
                <c:ptCount val="4"/>
                <c:pt idx="0">
                  <c:v>63.246268656716417</c:v>
                </c:pt>
                <c:pt idx="1">
                  <c:v>49.753731343283583</c:v>
                </c:pt>
                <c:pt idx="2">
                  <c:v>11.753731343283581</c:v>
                </c:pt>
                <c:pt idx="3">
                  <c:v>9.2462686567164187</c:v>
                </c:pt>
              </c:numCache>
            </c:numRef>
          </c:val>
          <c:extLst>
            <c:ext xmlns:c16="http://schemas.microsoft.com/office/drawing/2014/chart" uri="{C3380CC4-5D6E-409C-BE32-E72D297353CC}">
              <c16:uniqueId val="{00000001-6FAB-480E-B544-D617B4233BCE}"/>
            </c:ext>
          </c:extLst>
        </c:ser>
        <c:ser>
          <c:idx val="1"/>
          <c:order val="1"/>
          <c:tx>
            <c:strRef>
              <c:f>'chisq analysis'!$BA$93</c:f>
              <c:strCache>
                <c:ptCount val="1"/>
                <c:pt idx="0">
                  <c:v>Actual</c:v>
                </c:pt>
              </c:strCache>
            </c:strRef>
          </c:tx>
          <c:spPr>
            <a:solidFill>
              <a:schemeClr val="accent2"/>
            </a:solidFill>
            <a:ln>
              <a:noFill/>
            </a:ln>
            <a:effectLst/>
          </c:spPr>
          <c:invertIfNegative val="0"/>
          <c:cat>
            <c:strRef>
              <c:f>'chisq analysis'!$AY$94:$AY$97</c:f>
              <c:strCache>
                <c:ptCount val="4"/>
                <c:pt idx="0">
                  <c:v>NO predispos WITHOUT POSS dx IE</c:v>
                </c:pt>
                <c:pt idx="1">
                  <c:v>NO predispos WITH POSS dx IE</c:v>
                </c:pt>
                <c:pt idx="2">
                  <c:v>predispos WITHOUT POSS dx IE</c:v>
                </c:pt>
                <c:pt idx="3">
                  <c:v>predispos WITH POSS dx IE</c:v>
                </c:pt>
              </c:strCache>
            </c:strRef>
          </c:cat>
          <c:val>
            <c:numRef>
              <c:f>'chisq analysis'!$BA$94:$BA$97</c:f>
              <c:numCache>
                <c:formatCode>General</c:formatCode>
                <c:ptCount val="4"/>
                <c:pt idx="0">
                  <c:v>71</c:v>
                </c:pt>
                <c:pt idx="1">
                  <c:v>42</c:v>
                </c:pt>
                <c:pt idx="2">
                  <c:v>4</c:v>
                </c:pt>
                <c:pt idx="3">
                  <c:v>17</c:v>
                </c:pt>
              </c:numCache>
            </c:numRef>
          </c:val>
          <c:extLst>
            <c:ext xmlns:c16="http://schemas.microsoft.com/office/drawing/2014/chart" uri="{C3380CC4-5D6E-409C-BE32-E72D297353CC}">
              <c16:uniqueId val="{00000003-6FAB-480E-B544-D617B4233BCE}"/>
            </c:ext>
          </c:extLst>
        </c:ser>
        <c:dLbls>
          <c:showLegendKey val="0"/>
          <c:showVal val="0"/>
          <c:showCatName val="0"/>
          <c:showSerName val="0"/>
          <c:showPercent val="0"/>
          <c:showBubbleSize val="0"/>
        </c:dLbls>
        <c:gapWidth val="219"/>
        <c:overlap val="-27"/>
        <c:axId val="397329415"/>
        <c:axId val="429564423"/>
      </c:barChart>
      <c:catAx>
        <c:axId val="397329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9564423"/>
        <c:crosses val="autoZero"/>
        <c:auto val="1"/>
        <c:lblAlgn val="ctr"/>
        <c:lblOffset val="100"/>
        <c:noMultiLvlLbl val="0"/>
      </c:catAx>
      <c:valAx>
        <c:axId val="4295644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3294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analysis'!$BE$93</c:f>
              <c:strCache>
                <c:ptCount val="1"/>
                <c:pt idx="0">
                  <c:v>Expected</c:v>
                </c:pt>
              </c:strCache>
            </c:strRef>
          </c:tx>
          <c:spPr>
            <a:solidFill>
              <a:schemeClr val="accent1"/>
            </a:solidFill>
            <a:ln>
              <a:noFill/>
            </a:ln>
            <a:effectLst/>
          </c:spPr>
          <c:invertIfNegative val="0"/>
          <c:cat>
            <c:strRef>
              <c:f>'chisq analysis'!$BD$94:$BD$97</c:f>
              <c:strCache>
                <c:ptCount val="4"/>
                <c:pt idx="0">
                  <c:v>NO TTE WITHOUT POSS dx IE</c:v>
                </c:pt>
                <c:pt idx="1">
                  <c:v>NO TTE WITH POSS dx IE</c:v>
                </c:pt>
                <c:pt idx="2">
                  <c:v>TTE WITHOUT POSS dx IE</c:v>
                </c:pt>
                <c:pt idx="3">
                  <c:v>TTE WITH POSS dx IE</c:v>
                </c:pt>
              </c:strCache>
            </c:strRef>
          </c:cat>
          <c:val>
            <c:numRef>
              <c:f>'chisq analysis'!$BE$94:$BE$97</c:f>
              <c:numCache>
                <c:formatCode>General</c:formatCode>
                <c:ptCount val="4"/>
                <c:pt idx="0">
                  <c:v>19.589552238805972</c:v>
                </c:pt>
                <c:pt idx="1">
                  <c:v>15.41044776119403</c:v>
                </c:pt>
                <c:pt idx="2">
                  <c:v>55.410447761194028</c:v>
                </c:pt>
                <c:pt idx="3">
                  <c:v>43.589552238805972</c:v>
                </c:pt>
              </c:numCache>
            </c:numRef>
          </c:val>
          <c:extLst>
            <c:ext xmlns:c16="http://schemas.microsoft.com/office/drawing/2014/chart" uri="{C3380CC4-5D6E-409C-BE32-E72D297353CC}">
              <c16:uniqueId val="{00000001-7F15-44EA-9549-EE42C7B51FC0}"/>
            </c:ext>
          </c:extLst>
        </c:ser>
        <c:ser>
          <c:idx val="1"/>
          <c:order val="1"/>
          <c:tx>
            <c:strRef>
              <c:f>'chisq analysis'!$BF$93</c:f>
              <c:strCache>
                <c:ptCount val="1"/>
                <c:pt idx="0">
                  <c:v>Actual</c:v>
                </c:pt>
              </c:strCache>
            </c:strRef>
          </c:tx>
          <c:spPr>
            <a:solidFill>
              <a:schemeClr val="accent2"/>
            </a:solidFill>
            <a:ln>
              <a:noFill/>
            </a:ln>
            <a:effectLst/>
          </c:spPr>
          <c:invertIfNegative val="0"/>
          <c:cat>
            <c:strRef>
              <c:f>'chisq analysis'!$BD$94:$BD$97</c:f>
              <c:strCache>
                <c:ptCount val="4"/>
                <c:pt idx="0">
                  <c:v>NO TTE WITHOUT POSS dx IE</c:v>
                </c:pt>
                <c:pt idx="1">
                  <c:v>NO TTE WITH POSS dx IE</c:v>
                </c:pt>
                <c:pt idx="2">
                  <c:v>TTE WITHOUT POSS dx IE</c:v>
                </c:pt>
                <c:pt idx="3">
                  <c:v>TTE WITH POSS dx IE</c:v>
                </c:pt>
              </c:strCache>
            </c:strRef>
          </c:cat>
          <c:val>
            <c:numRef>
              <c:f>'chisq analysis'!$BF$94:$BF$97</c:f>
              <c:numCache>
                <c:formatCode>General</c:formatCode>
                <c:ptCount val="4"/>
                <c:pt idx="0">
                  <c:v>33</c:v>
                </c:pt>
                <c:pt idx="1">
                  <c:v>2</c:v>
                </c:pt>
                <c:pt idx="2">
                  <c:v>42</c:v>
                </c:pt>
                <c:pt idx="3">
                  <c:v>57</c:v>
                </c:pt>
              </c:numCache>
            </c:numRef>
          </c:val>
          <c:extLst>
            <c:ext xmlns:c16="http://schemas.microsoft.com/office/drawing/2014/chart" uri="{C3380CC4-5D6E-409C-BE32-E72D297353CC}">
              <c16:uniqueId val="{00000003-7F15-44EA-9549-EE42C7B51FC0}"/>
            </c:ext>
          </c:extLst>
        </c:ser>
        <c:dLbls>
          <c:showLegendKey val="0"/>
          <c:showVal val="0"/>
          <c:showCatName val="0"/>
          <c:showSerName val="0"/>
          <c:showPercent val="0"/>
          <c:showBubbleSize val="0"/>
        </c:dLbls>
        <c:gapWidth val="219"/>
        <c:overlap val="-27"/>
        <c:axId val="429548551"/>
        <c:axId val="1424168455"/>
      </c:barChart>
      <c:catAx>
        <c:axId val="4295485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4168455"/>
        <c:crosses val="autoZero"/>
        <c:auto val="1"/>
        <c:lblAlgn val="ctr"/>
        <c:lblOffset val="100"/>
        <c:noMultiLvlLbl val="0"/>
      </c:catAx>
      <c:valAx>
        <c:axId val="14241684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95485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analysis'!$BJ$93</c:f>
              <c:strCache>
                <c:ptCount val="1"/>
                <c:pt idx="0">
                  <c:v>Expected</c:v>
                </c:pt>
              </c:strCache>
            </c:strRef>
          </c:tx>
          <c:spPr>
            <a:solidFill>
              <a:schemeClr val="accent1"/>
            </a:solidFill>
            <a:ln>
              <a:noFill/>
            </a:ln>
            <a:effectLst/>
          </c:spPr>
          <c:invertIfNegative val="0"/>
          <c:cat>
            <c:strRef>
              <c:f>'chisq analysis'!$BI$94:$BI$97</c:f>
              <c:strCache>
                <c:ptCount val="4"/>
                <c:pt idx="0">
                  <c:v>NO TEE WITHOUT POSS dx IE</c:v>
                </c:pt>
                <c:pt idx="1">
                  <c:v>NO TEE WITH POSS dx IE</c:v>
                </c:pt>
                <c:pt idx="2">
                  <c:v>TEE WITHOUT POSS dx IE</c:v>
                </c:pt>
                <c:pt idx="3">
                  <c:v>TEE WITH POSS dx IE</c:v>
                </c:pt>
              </c:strCache>
            </c:strRef>
          </c:cat>
          <c:val>
            <c:numRef>
              <c:f>'chisq analysis'!$BJ$94:$BJ$97</c:f>
              <c:numCache>
                <c:formatCode>General</c:formatCode>
                <c:ptCount val="4"/>
                <c:pt idx="0">
                  <c:v>63.246268656716417</c:v>
                </c:pt>
                <c:pt idx="1">
                  <c:v>49.753731343283583</c:v>
                </c:pt>
                <c:pt idx="2">
                  <c:v>11.753731343283581</c:v>
                </c:pt>
                <c:pt idx="3">
                  <c:v>9.2462686567164187</c:v>
                </c:pt>
              </c:numCache>
            </c:numRef>
          </c:val>
          <c:extLst>
            <c:ext xmlns:c16="http://schemas.microsoft.com/office/drawing/2014/chart" uri="{C3380CC4-5D6E-409C-BE32-E72D297353CC}">
              <c16:uniqueId val="{00000001-F183-4AF7-99F0-A3BF01416FA7}"/>
            </c:ext>
          </c:extLst>
        </c:ser>
        <c:ser>
          <c:idx val="1"/>
          <c:order val="1"/>
          <c:tx>
            <c:strRef>
              <c:f>'chisq analysis'!$BK$93</c:f>
              <c:strCache>
                <c:ptCount val="1"/>
                <c:pt idx="0">
                  <c:v>Actual</c:v>
                </c:pt>
              </c:strCache>
            </c:strRef>
          </c:tx>
          <c:spPr>
            <a:solidFill>
              <a:schemeClr val="accent2"/>
            </a:solidFill>
            <a:ln>
              <a:noFill/>
            </a:ln>
            <a:effectLst/>
          </c:spPr>
          <c:invertIfNegative val="0"/>
          <c:cat>
            <c:strRef>
              <c:f>'chisq analysis'!$BI$94:$BI$97</c:f>
              <c:strCache>
                <c:ptCount val="4"/>
                <c:pt idx="0">
                  <c:v>NO TEE WITHOUT POSS dx IE</c:v>
                </c:pt>
                <c:pt idx="1">
                  <c:v>NO TEE WITH POSS dx IE</c:v>
                </c:pt>
                <c:pt idx="2">
                  <c:v>TEE WITHOUT POSS dx IE</c:v>
                </c:pt>
                <c:pt idx="3">
                  <c:v>TEE WITH POSS dx IE</c:v>
                </c:pt>
              </c:strCache>
            </c:strRef>
          </c:cat>
          <c:val>
            <c:numRef>
              <c:f>'chisq analysis'!$BK$94:$BK$97</c:f>
              <c:numCache>
                <c:formatCode>General</c:formatCode>
                <c:ptCount val="4"/>
                <c:pt idx="0">
                  <c:v>74</c:v>
                </c:pt>
                <c:pt idx="1">
                  <c:v>39</c:v>
                </c:pt>
                <c:pt idx="2">
                  <c:v>1</c:v>
                </c:pt>
                <c:pt idx="3">
                  <c:v>20</c:v>
                </c:pt>
              </c:numCache>
            </c:numRef>
          </c:val>
          <c:extLst>
            <c:ext xmlns:c16="http://schemas.microsoft.com/office/drawing/2014/chart" uri="{C3380CC4-5D6E-409C-BE32-E72D297353CC}">
              <c16:uniqueId val="{00000003-F183-4AF7-99F0-A3BF01416FA7}"/>
            </c:ext>
          </c:extLst>
        </c:ser>
        <c:dLbls>
          <c:showLegendKey val="0"/>
          <c:showVal val="0"/>
          <c:showCatName val="0"/>
          <c:showSerName val="0"/>
          <c:showPercent val="0"/>
          <c:showBubbleSize val="0"/>
        </c:dLbls>
        <c:gapWidth val="219"/>
        <c:overlap val="-27"/>
        <c:axId val="2034022407"/>
        <c:axId val="2034024455"/>
      </c:barChart>
      <c:catAx>
        <c:axId val="2034022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4024455"/>
        <c:crosses val="autoZero"/>
        <c:auto val="1"/>
        <c:lblAlgn val="ctr"/>
        <c:lblOffset val="100"/>
        <c:noMultiLvlLbl val="0"/>
      </c:catAx>
      <c:valAx>
        <c:axId val="20340244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40224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analysis'!$BT$17</c:f>
              <c:strCache>
                <c:ptCount val="1"/>
                <c:pt idx="0">
                  <c:v>Expected</c:v>
                </c:pt>
              </c:strCache>
            </c:strRef>
          </c:tx>
          <c:spPr>
            <a:solidFill>
              <a:schemeClr val="accent1"/>
            </a:solidFill>
            <a:ln>
              <a:noFill/>
            </a:ln>
            <a:effectLst/>
          </c:spPr>
          <c:invertIfNegative val="0"/>
          <c:cat>
            <c:strRef>
              <c:f>'chisq analysis'!$BS$18:$BS$21</c:f>
              <c:strCache>
                <c:ptCount val="4"/>
                <c:pt idx="0">
                  <c:v>NO NOT defervesced WITHOUT TEE use</c:v>
                </c:pt>
                <c:pt idx="1">
                  <c:v>NO NOT defervesced WITH TEE use</c:v>
                </c:pt>
                <c:pt idx="2">
                  <c:v>NOT defervesced WITHOUT TEE use</c:v>
                </c:pt>
                <c:pt idx="3">
                  <c:v>NOT defervesced WITH TEE use</c:v>
                </c:pt>
              </c:strCache>
            </c:strRef>
          </c:cat>
          <c:val>
            <c:numRef>
              <c:f>'chisq analysis'!$BT$18:$BT$21</c:f>
              <c:numCache>
                <c:formatCode>General</c:formatCode>
                <c:ptCount val="4"/>
                <c:pt idx="0">
                  <c:v>100.35074626865672</c:v>
                </c:pt>
                <c:pt idx="1">
                  <c:v>18.649253731343283</c:v>
                </c:pt>
                <c:pt idx="2">
                  <c:v>12.649253731343284</c:v>
                </c:pt>
                <c:pt idx="3">
                  <c:v>2.3507462686567164</c:v>
                </c:pt>
              </c:numCache>
            </c:numRef>
          </c:val>
          <c:extLst>
            <c:ext xmlns:c16="http://schemas.microsoft.com/office/drawing/2014/chart" uri="{C3380CC4-5D6E-409C-BE32-E72D297353CC}">
              <c16:uniqueId val="{00000001-BB39-4D5A-A3A5-FF472EFBD01A}"/>
            </c:ext>
          </c:extLst>
        </c:ser>
        <c:ser>
          <c:idx val="1"/>
          <c:order val="1"/>
          <c:tx>
            <c:strRef>
              <c:f>'chisq analysis'!$BU$17</c:f>
              <c:strCache>
                <c:ptCount val="1"/>
                <c:pt idx="0">
                  <c:v>Actual</c:v>
                </c:pt>
              </c:strCache>
            </c:strRef>
          </c:tx>
          <c:spPr>
            <a:solidFill>
              <a:schemeClr val="accent2"/>
            </a:solidFill>
            <a:ln>
              <a:noFill/>
            </a:ln>
            <a:effectLst/>
          </c:spPr>
          <c:invertIfNegative val="0"/>
          <c:cat>
            <c:strRef>
              <c:f>'chisq analysis'!$BS$18:$BS$21</c:f>
              <c:strCache>
                <c:ptCount val="4"/>
                <c:pt idx="0">
                  <c:v>NO NOT defervesced WITHOUT TEE use</c:v>
                </c:pt>
                <c:pt idx="1">
                  <c:v>NO NOT defervesced WITH TEE use</c:v>
                </c:pt>
                <c:pt idx="2">
                  <c:v>NOT defervesced WITHOUT TEE use</c:v>
                </c:pt>
                <c:pt idx="3">
                  <c:v>NOT defervesced WITH TEE use</c:v>
                </c:pt>
              </c:strCache>
            </c:strRef>
          </c:cat>
          <c:val>
            <c:numRef>
              <c:f>'chisq analysis'!$BU$18:$BU$21</c:f>
              <c:numCache>
                <c:formatCode>General</c:formatCode>
                <c:ptCount val="4"/>
                <c:pt idx="0">
                  <c:v>103</c:v>
                </c:pt>
                <c:pt idx="1">
                  <c:v>16</c:v>
                </c:pt>
                <c:pt idx="2">
                  <c:v>10</c:v>
                </c:pt>
                <c:pt idx="3">
                  <c:v>5</c:v>
                </c:pt>
              </c:numCache>
            </c:numRef>
          </c:val>
          <c:extLst>
            <c:ext xmlns:c16="http://schemas.microsoft.com/office/drawing/2014/chart" uri="{C3380CC4-5D6E-409C-BE32-E72D297353CC}">
              <c16:uniqueId val="{00000003-BB39-4D5A-A3A5-FF472EFBD01A}"/>
            </c:ext>
          </c:extLst>
        </c:ser>
        <c:dLbls>
          <c:showLegendKey val="0"/>
          <c:showVal val="0"/>
          <c:showCatName val="0"/>
          <c:showSerName val="0"/>
          <c:showPercent val="0"/>
          <c:showBubbleSize val="0"/>
        </c:dLbls>
        <c:gapWidth val="219"/>
        <c:overlap val="-27"/>
        <c:axId val="2095053832"/>
        <c:axId val="94566407"/>
      </c:barChart>
      <c:catAx>
        <c:axId val="2095053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66407"/>
        <c:crosses val="autoZero"/>
        <c:auto val="1"/>
        <c:lblAlgn val="ctr"/>
        <c:lblOffset val="100"/>
        <c:noMultiLvlLbl val="0"/>
      </c:catAx>
      <c:valAx>
        <c:axId val="945664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5053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analysis'!$BO$55</c:f>
              <c:strCache>
                <c:ptCount val="1"/>
                <c:pt idx="0">
                  <c:v>Expected</c:v>
                </c:pt>
              </c:strCache>
            </c:strRef>
          </c:tx>
          <c:spPr>
            <a:solidFill>
              <a:schemeClr val="accent1"/>
            </a:solidFill>
            <a:ln>
              <a:noFill/>
            </a:ln>
            <a:effectLst/>
          </c:spPr>
          <c:invertIfNegative val="0"/>
          <c:cat>
            <c:strRef>
              <c:f>'chisq analysis'!$BN$56:$BN$59</c:f>
              <c:strCache>
                <c:ptCount val="4"/>
                <c:pt idx="0">
                  <c:v>NO act defervesced WITHOUT DEF dx IE</c:v>
                </c:pt>
                <c:pt idx="1">
                  <c:v>NO act defervesced WITH DEF dx IE</c:v>
                </c:pt>
                <c:pt idx="2">
                  <c:v>act defervesced WITHOUT DEF dx IE</c:v>
                </c:pt>
                <c:pt idx="3">
                  <c:v>act defervesced WITH DEF dx IE</c:v>
                </c:pt>
              </c:strCache>
            </c:strRef>
          </c:cat>
          <c:val>
            <c:numRef>
              <c:f>'chisq analysis'!$BO$56:$BO$59</c:f>
              <c:numCache>
                <c:formatCode>General</c:formatCode>
                <c:ptCount val="4"/>
                <c:pt idx="0">
                  <c:v>68.626865671641795</c:v>
                </c:pt>
                <c:pt idx="1">
                  <c:v>7.3731343283582094</c:v>
                </c:pt>
                <c:pt idx="2">
                  <c:v>52.373134328358212</c:v>
                </c:pt>
                <c:pt idx="3">
                  <c:v>5.6268656716417906</c:v>
                </c:pt>
              </c:numCache>
            </c:numRef>
          </c:val>
          <c:extLst>
            <c:ext xmlns:c16="http://schemas.microsoft.com/office/drawing/2014/chart" uri="{C3380CC4-5D6E-409C-BE32-E72D297353CC}">
              <c16:uniqueId val="{00000001-C94A-447C-B4E9-6CB6BCF05826}"/>
            </c:ext>
          </c:extLst>
        </c:ser>
        <c:ser>
          <c:idx val="1"/>
          <c:order val="1"/>
          <c:tx>
            <c:strRef>
              <c:f>'chisq analysis'!$BP$55</c:f>
              <c:strCache>
                <c:ptCount val="1"/>
                <c:pt idx="0">
                  <c:v>Actual</c:v>
                </c:pt>
              </c:strCache>
            </c:strRef>
          </c:tx>
          <c:spPr>
            <a:solidFill>
              <a:schemeClr val="accent2"/>
            </a:solidFill>
            <a:ln>
              <a:noFill/>
            </a:ln>
            <a:effectLst/>
          </c:spPr>
          <c:invertIfNegative val="0"/>
          <c:cat>
            <c:strRef>
              <c:f>'chisq analysis'!$BN$56:$BN$59</c:f>
              <c:strCache>
                <c:ptCount val="4"/>
                <c:pt idx="0">
                  <c:v>NO act defervesced WITHOUT DEF dx IE</c:v>
                </c:pt>
                <c:pt idx="1">
                  <c:v>NO act defervesced WITH DEF dx IE</c:v>
                </c:pt>
                <c:pt idx="2">
                  <c:v>act defervesced WITHOUT DEF dx IE</c:v>
                </c:pt>
                <c:pt idx="3">
                  <c:v>act defervesced WITH DEF dx IE</c:v>
                </c:pt>
              </c:strCache>
            </c:strRef>
          </c:cat>
          <c:val>
            <c:numRef>
              <c:f>'chisq analysis'!$BP$56:$BP$59</c:f>
              <c:numCache>
                <c:formatCode>General</c:formatCode>
                <c:ptCount val="4"/>
                <c:pt idx="0">
                  <c:v>74</c:v>
                </c:pt>
                <c:pt idx="1">
                  <c:v>2</c:v>
                </c:pt>
                <c:pt idx="2">
                  <c:v>47</c:v>
                </c:pt>
                <c:pt idx="3">
                  <c:v>11</c:v>
                </c:pt>
              </c:numCache>
            </c:numRef>
          </c:val>
          <c:extLst>
            <c:ext xmlns:c16="http://schemas.microsoft.com/office/drawing/2014/chart" uri="{C3380CC4-5D6E-409C-BE32-E72D297353CC}">
              <c16:uniqueId val="{00000003-C94A-447C-B4E9-6CB6BCF05826}"/>
            </c:ext>
          </c:extLst>
        </c:ser>
        <c:dLbls>
          <c:showLegendKey val="0"/>
          <c:showVal val="0"/>
          <c:showCatName val="0"/>
          <c:showSerName val="0"/>
          <c:showPercent val="0"/>
          <c:showBubbleSize val="0"/>
        </c:dLbls>
        <c:gapWidth val="219"/>
        <c:overlap val="-27"/>
        <c:axId val="64972295"/>
        <c:axId val="64974343"/>
      </c:barChart>
      <c:catAx>
        <c:axId val="64972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74343"/>
        <c:crosses val="autoZero"/>
        <c:auto val="1"/>
        <c:lblAlgn val="ctr"/>
        <c:lblOffset val="100"/>
        <c:noMultiLvlLbl val="0"/>
      </c:catAx>
      <c:valAx>
        <c:axId val="6497434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722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analysis'!$BO$93</c:f>
              <c:strCache>
                <c:ptCount val="1"/>
                <c:pt idx="0">
                  <c:v>Expected</c:v>
                </c:pt>
              </c:strCache>
            </c:strRef>
          </c:tx>
          <c:spPr>
            <a:solidFill>
              <a:schemeClr val="accent1"/>
            </a:solidFill>
            <a:ln>
              <a:noFill/>
            </a:ln>
            <a:effectLst/>
          </c:spPr>
          <c:invertIfNegative val="0"/>
          <c:cat>
            <c:strRef>
              <c:f>'chisq analysis'!$BN$94:$BN$97</c:f>
              <c:strCache>
                <c:ptCount val="4"/>
                <c:pt idx="0">
                  <c:v>NO act defervesced WITHOUT POSS dx IE</c:v>
                </c:pt>
                <c:pt idx="1">
                  <c:v>NO act defervesced WITH POSS dx IE</c:v>
                </c:pt>
                <c:pt idx="2">
                  <c:v>act defervesced WITHOUT POSS dx IE</c:v>
                </c:pt>
                <c:pt idx="3">
                  <c:v>act defervesced WITH POSS dx IE</c:v>
                </c:pt>
              </c:strCache>
            </c:strRef>
          </c:cat>
          <c:val>
            <c:numRef>
              <c:f>'chisq analysis'!$BO$94:$BO$97</c:f>
              <c:numCache>
                <c:formatCode>General</c:formatCode>
                <c:ptCount val="4"/>
                <c:pt idx="0">
                  <c:v>42.537313432835823</c:v>
                </c:pt>
                <c:pt idx="1">
                  <c:v>33.462686567164177</c:v>
                </c:pt>
                <c:pt idx="2">
                  <c:v>32.462686567164177</c:v>
                </c:pt>
                <c:pt idx="3">
                  <c:v>25.53731343283582</c:v>
                </c:pt>
              </c:numCache>
            </c:numRef>
          </c:val>
          <c:extLst>
            <c:ext xmlns:c16="http://schemas.microsoft.com/office/drawing/2014/chart" uri="{C3380CC4-5D6E-409C-BE32-E72D297353CC}">
              <c16:uniqueId val="{00000001-E403-4C2C-A81A-7F24B9A9D69D}"/>
            </c:ext>
          </c:extLst>
        </c:ser>
        <c:ser>
          <c:idx val="1"/>
          <c:order val="1"/>
          <c:tx>
            <c:strRef>
              <c:f>'chisq analysis'!$BP$93</c:f>
              <c:strCache>
                <c:ptCount val="1"/>
                <c:pt idx="0">
                  <c:v>Actual</c:v>
                </c:pt>
              </c:strCache>
            </c:strRef>
          </c:tx>
          <c:spPr>
            <a:solidFill>
              <a:schemeClr val="accent2"/>
            </a:solidFill>
            <a:ln>
              <a:noFill/>
            </a:ln>
            <a:effectLst/>
          </c:spPr>
          <c:invertIfNegative val="0"/>
          <c:cat>
            <c:strRef>
              <c:f>'chisq analysis'!$BN$94:$BN$97</c:f>
              <c:strCache>
                <c:ptCount val="4"/>
                <c:pt idx="0">
                  <c:v>NO act defervesced WITHOUT POSS dx IE</c:v>
                </c:pt>
                <c:pt idx="1">
                  <c:v>NO act defervesced WITH POSS dx IE</c:v>
                </c:pt>
                <c:pt idx="2">
                  <c:v>act defervesced WITHOUT POSS dx IE</c:v>
                </c:pt>
                <c:pt idx="3">
                  <c:v>act defervesced WITH POSS dx IE</c:v>
                </c:pt>
              </c:strCache>
            </c:strRef>
          </c:cat>
          <c:val>
            <c:numRef>
              <c:f>'chisq analysis'!$BP$94:$BP$97</c:f>
              <c:numCache>
                <c:formatCode>General</c:formatCode>
                <c:ptCount val="4"/>
                <c:pt idx="0">
                  <c:v>59</c:v>
                </c:pt>
                <c:pt idx="1">
                  <c:v>17</c:v>
                </c:pt>
                <c:pt idx="2">
                  <c:v>16</c:v>
                </c:pt>
                <c:pt idx="3">
                  <c:v>42</c:v>
                </c:pt>
              </c:numCache>
            </c:numRef>
          </c:val>
          <c:extLst>
            <c:ext xmlns:c16="http://schemas.microsoft.com/office/drawing/2014/chart" uri="{C3380CC4-5D6E-409C-BE32-E72D297353CC}">
              <c16:uniqueId val="{00000003-E403-4C2C-A81A-7F24B9A9D69D}"/>
            </c:ext>
          </c:extLst>
        </c:ser>
        <c:dLbls>
          <c:showLegendKey val="0"/>
          <c:showVal val="0"/>
          <c:showCatName val="0"/>
          <c:showSerName val="0"/>
          <c:showPercent val="0"/>
          <c:showBubbleSize val="0"/>
        </c:dLbls>
        <c:gapWidth val="219"/>
        <c:overlap val="-27"/>
        <c:axId val="64995847"/>
        <c:axId val="2093959176"/>
      </c:barChart>
      <c:catAx>
        <c:axId val="649958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3959176"/>
        <c:crosses val="autoZero"/>
        <c:auto val="1"/>
        <c:lblAlgn val="ctr"/>
        <c:lblOffset val="100"/>
        <c:noMultiLvlLbl val="0"/>
      </c:catAx>
      <c:valAx>
        <c:axId val="20939591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9958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analysis'!$BT$93</c:f>
              <c:strCache>
                <c:ptCount val="1"/>
                <c:pt idx="0">
                  <c:v>Expected</c:v>
                </c:pt>
              </c:strCache>
            </c:strRef>
          </c:tx>
          <c:spPr>
            <a:solidFill>
              <a:schemeClr val="accent1"/>
            </a:solidFill>
            <a:ln>
              <a:noFill/>
            </a:ln>
            <a:effectLst/>
          </c:spPr>
          <c:invertIfNegative val="0"/>
          <c:cat>
            <c:strRef>
              <c:f>'chisq analysis'!$BS$94:$BS$97</c:f>
              <c:strCache>
                <c:ptCount val="4"/>
                <c:pt idx="0">
                  <c:v>NO NOT defervesced WITHOUT POSS dx IE</c:v>
                </c:pt>
                <c:pt idx="1">
                  <c:v>NO NOT defervesced WITH POSS dx IE</c:v>
                </c:pt>
                <c:pt idx="2">
                  <c:v>NOT defervesced WITHOUT POSS dx IE</c:v>
                </c:pt>
                <c:pt idx="3">
                  <c:v>NOT defervesced WITH POSS dx IE</c:v>
                </c:pt>
              </c:strCache>
            </c:strRef>
          </c:cat>
          <c:val>
            <c:numRef>
              <c:f>'chisq analysis'!$BT$94:$BT$97</c:f>
              <c:numCache>
                <c:formatCode>General</c:formatCode>
                <c:ptCount val="4"/>
                <c:pt idx="0">
                  <c:v>66.604477611940297</c:v>
                </c:pt>
                <c:pt idx="1">
                  <c:v>52.395522388059703</c:v>
                </c:pt>
                <c:pt idx="2">
                  <c:v>8.3955223880597014</c:v>
                </c:pt>
                <c:pt idx="3">
                  <c:v>6.6044776119402986</c:v>
                </c:pt>
              </c:numCache>
            </c:numRef>
          </c:val>
          <c:extLst>
            <c:ext xmlns:c16="http://schemas.microsoft.com/office/drawing/2014/chart" uri="{C3380CC4-5D6E-409C-BE32-E72D297353CC}">
              <c16:uniqueId val="{00000001-007D-45DF-843D-478695907A9B}"/>
            </c:ext>
          </c:extLst>
        </c:ser>
        <c:ser>
          <c:idx val="1"/>
          <c:order val="1"/>
          <c:tx>
            <c:strRef>
              <c:f>'chisq analysis'!$BU$93</c:f>
              <c:strCache>
                <c:ptCount val="1"/>
                <c:pt idx="0">
                  <c:v>Actual</c:v>
                </c:pt>
              </c:strCache>
            </c:strRef>
          </c:tx>
          <c:spPr>
            <a:solidFill>
              <a:schemeClr val="accent2"/>
            </a:solidFill>
            <a:ln>
              <a:noFill/>
            </a:ln>
            <a:effectLst/>
          </c:spPr>
          <c:invertIfNegative val="0"/>
          <c:cat>
            <c:strRef>
              <c:f>'chisq analysis'!$BS$94:$BS$97</c:f>
              <c:strCache>
                <c:ptCount val="4"/>
                <c:pt idx="0">
                  <c:v>NO NOT defervesced WITHOUT POSS dx IE</c:v>
                </c:pt>
                <c:pt idx="1">
                  <c:v>NO NOT defervesced WITH POSS dx IE</c:v>
                </c:pt>
                <c:pt idx="2">
                  <c:v>NOT defervesced WITHOUT POSS dx IE</c:v>
                </c:pt>
                <c:pt idx="3">
                  <c:v>NOT defervesced WITH POSS dx IE</c:v>
                </c:pt>
              </c:strCache>
            </c:strRef>
          </c:cat>
          <c:val>
            <c:numRef>
              <c:f>'chisq analysis'!$BU$94:$BU$97</c:f>
              <c:numCache>
                <c:formatCode>General</c:formatCode>
                <c:ptCount val="4"/>
                <c:pt idx="0">
                  <c:v>71</c:v>
                </c:pt>
                <c:pt idx="1">
                  <c:v>48</c:v>
                </c:pt>
                <c:pt idx="2">
                  <c:v>4</c:v>
                </c:pt>
                <c:pt idx="3">
                  <c:v>11</c:v>
                </c:pt>
              </c:numCache>
            </c:numRef>
          </c:val>
          <c:extLst>
            <c:ext xmlns:c16="http://schemas.microsoft.com/office/drawing/2014/chart" uri="{C3380CC4-5D6E-409C-BE32-E72D297353CC}">
              <c16:uniqueId val="{00000003-007D-45DF-843D-478695907A9B}"/>
            </c:ext>
          </c:extLst>
        </c:ser>
        <c:dLbls>
          <c:showLegendKey val="0"/>
          <c:showVal val="0"/>
          <c:showCatName val="0"/>
          <c:showSerName val="0"/>
          <c:showPercent val="0"/>
          <c:showBubbleSize val="0"/>
        </c:dLbls>
        <c:gapWidth val="219"/>
        <c:overlap val="-27"/>
        <c:axId val="683459079"/>
        <c:axId val="683461127"/>
      </c:barChart>
      <c:catAx>
        <c:axId val="6834590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461127"/>
        <c:crosses val="autoZero"/>
        <c:auto val="1"/>
        <c:lblAlgn val="ctr"/>
        <c:lblOffset val="100"/>
        <c:noMultiLvlLbl val="0"/>
      </c:catAx>
      <c:valAx>
        <c:axId val="6834611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34590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analysis'!$BY$17</c:f>
              <c:strCache>
                <c:ptCount val="1"/>
                <c:pt idx="0">
                  <c:v>Expected</c:v>
                </c:pt>
              </c:strCache>
            </c:strRef>
          </c:tx>
          <c:spPr>
            <a:solidFill>
              <a:schemeClr val="accent1"/>
            </a:solidFill>
            <a:ln>
              <a:noFill/>
            </a:ln>
            <a:effectLst/>
          </c:spPr>
          <c:invertIfNegative val="0"/>
          <c:cat>
            <c:strRef>
              <c:f>'chisq analysis'!$BX$18:$BX$21</c:f>
              <c:strCache>
                <c:ptCount val="4"/>
                <c:pt idx="0">
                  <c:v>NO SA WITHOUT TEE use</c:v>
                </c:pt>
                <c:pt idx="1">
                  <c:v>NO SA WITH TEE use</c:v>
                </c:pt>
                <c:pt idx="2">
                  <c:v>SA WITHOUT TEE use</c:v>
                </c:pt>
                <c:pt idx="3">
                  <c:v>SA WITH TEE use</c:v>
                </c:pt>
              </c:strCache>
            </c:strRef>
          </c:cat>
          <c:val>
            <c:numRef>
              <c:f>'chisq analysis'!$BY$18:$BY$21</c:f>
              <c:numCache>
                <c:formatCode>General</c:formatCode>
                <c:ptCount val="4"/>
                <c:pt idx="0">
                  <c:v>80.955223880597018</c:v>
                </c:pt>
                <c:pt idx="1">
                  <c:v>15.044776119402986</c:v>
                </c:pt>
                <c:pt idx="2">
                  <c:v>32.044776119402982</c:v>
                </c:pt>
                <c:pt idx="3">
                  <c:v>5.955223880597015</c:v>
                </c:pt>
              </c:numCache>
            </c:numRef>
          </c:val>
          <c:extLst>
            <c:ext xmlns:c16="http://schemas.microsoft.com/office/drawing/2014/chart" uri="{C3380CC4-5D6E-409C-BE32-E72D297353CC}">
              <c16:uniqueId val="{00000001-23CE-42B2-882B-5F028880E954}"/>
            </c:ext>
          </c:extLst>
        </c:ser>
        <c:ser>
          <c:idx val="1"/>
          <c:order val="1"/>
          <c:tx>
            <c:strRef>
              <c:f>'chisq analysis'!$BZ$17</c:f>
              <c:strCache>
                <c:ptCount val="1"/>
                <c:pt idx="0">
                  <c:v>Actual</c:v>
                </c:pt>
              </c:strCache>
            </c:strRef>
          </c:tx>
          <c:spPr>
            <a:solidFill>
              <a:schemeClr val="accent2"/>
            </a:solidFill>
            <a:ln>
              <a:noFill/>
            </a:ln>
            <a:effectLst/>
          </c:spPr>
          <c:invertIfNegative val="0"/>
          <c:cat>
            <c:strRef>
              <c:f>'chisq analysis'!$BX$18:$BX$21</c:f>
              <c:strCache>
                <c:ptCount val="4"/>
                <c:pt idx="0">
                  <c:v>NO SA WITHOUT TEE use</c:v>
                </c:pt>
                <c:pt idx="1">
                  <c:v>NO SA WITH TEE use</c:v>
                </c:pt>
                <c:pt idx="2">
                  <c:v>SA WITHOUT TEE use</c:v>
                </c:pt>
                <c:pt idx="3">
                  <c:v>SA WITH TEE use</c:v>
                </c:pt>
              </c:strCache>
            </c:strRef>
          </c:cat>
          <c:val>
            <c:numRef>
              <c:f>'chisq analysis'!$BZ$18:$BZ$21</c:f>
              <c:numCache>
                <c:formatCode>General</c:formatCode>
                <c:ptCount val="4"/>
                <c:pt idx="0">
                  <c:v>88</c:v>
                </c:pt>
                <c:pt idx="1">
                  <c:v>8</c:v>
                </c:pt>
                <c:pt idx="2">
                  <c:v>25</c:v>
                </c:pt>
                <c:pt idx="3">
                  <c:v>13</c:v>
                </c:pt>
              </c:numCache>
            </c:numRef>
          </c:val>
          <c:extLst>
            <c:ext xmlns:c16="http://schemas.microsoft.com/office/drawing/2014/chart" uri="{C3380CC4-5D6E-409C-BE32-E72D297353CC}">
              <c16:uniqueId val="{00000003-23CE-42B2-882B-5F028880E954}"/>
            </c:ext>
          </c:extLst>
        </c:ser>
        <c:dLbls>
          <c:showLegendKey val="0"/>
          <c:showVal val="0"/>
          <c:showCatName val="0"/>
          <c:showSerName val="0"/>
          <c:showPercent val="0"/>
          <c:showBubbleSize val="0"/>
        </c:dLbls>
        <c:gapWidth val="219"/>
        <c:overlap val="-27"/>
        <c:axId val="1131276808"/>
        <c:axId val="228814343"/>
      </c:barChart>
      <c:catAx>
        <c:axId val="1131276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8814343"/>
        <c:crosses val="autoZero"/>
        <c:auto val="1"/>
        <c:lblAlgn val="ctr"/>
        <c:lblOffset val="100"/>
        <c:noMultiLvlLbl val="0"/>
      </c:catAx>
      <c:valAx>
        <c:axId val="22881434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1276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Expected</c:v>
          </c:tx>
          <c:spPr>
            <a:solidFill>
              <a:schemeClr val="accent1"/>
            </a:solidFill>
            <a:ln>
              <a:noFill/>
            </a:ln>
            <a:effectLst/>
          </c:spPr>
          <c:invertIfNegative val="0"/>
          <c:cat>
            <c:strRef>
              <c:f>'chisq analysis'!K18:K21</c:f>
              <c:strCache>
                <c:ptCount val="4"/>
                <c:pt idx="0">
                  <c:v>NOT defervesced/stayed afeb WITHOUT TEE use</c:v>
                </c:pt>
                <c:pt idx="1">
                  <c:v>NOT defervesced/stayed afebrile WITH TEE use</c:v>
                </c:pt>
                <c:pt idx="2">
                  <c:v>defervesced/stayed afeb WITHOUT TEE use</c:v>
                </c:pt>
                <c:pt idx="3">
                  <c:v>defervesced/stayed afeb WITH TEE use</c:v>
                </c:pt>
              </c:strCache>
            </c:strRef>
          </c:cat>
          <c:val>
            <c:numRef>
              <c:f>'chisq analysis'!$L$18:$L$21</c:f>
              <c:numCache>
                <c:formatCode>General</c:formatCode>
                <c:ptCount val="4"/>
                <c:pt idx="0">
                  <c:v>12.649253731343284</c:v>
                </c:pt>
                <c:pt idx="1">
                  <c:v>2.3507462686567164</c:v>
                </c:pt>
                <c:pt idx="2">
                  <c:v>100.35074626865672</c:v>
                </c:pt>
                <c:pt idx="3">
                  <c:v>18.649253731343283</c:v>
                </c:pt>
              </c:numCache>
            </c:numRef>
          </c:val>
          <c:extLst>
            <c:ext xmlns:c16="http://schemas.microsoft.com/office/drawing/2014/chart" uri="{C3380CC4-5D6E-409C-BE32-E72D297353CC}">
              <c16:uniqueId val="{00000001-10C2-4B08-95FA-7420DF5A3778}"/>
            </c:ext>
          </c:extLst>
        </c:ser>
        <c:ser>
          <c:idx val="1"/>
          <c:order val="1"/>
          <c:tx>
            <c:v>Actual</c:v>
          </c:tx>
          <c:spPr>
            <a:solidFill>
              <a:schemeClr val="accent2"/>
            </a:solidFill>
            <a:ln>
              <a:noFill/>
            </a:ln>
            <a:effectLst/>
          </c:spPr>
          <c:invertIfNegative val="0"/>
          <c:cat>
            <c:strRef>
              <c:f>'chisq analysis'!K18:K21</c:f>
              <c:strCache>
                <c:ptCount val="4"/>
                <c:pt idx="0">
                  <c:v>NOT defervesced/stayed afeb WITHOUT TEE use</c:v>
                </c:pt>
                <c:pt idx="1">
                  <c:v>NOT defervesced/stayed afebrile WITH TEE use</c:v>
                </c:pt>
                <c:pt idx="2">
                  <c:v>defervesced/stayed afeb WITHOUT TEE use</c:v>
                </c:pt>
                <c:pt idx="3">
                  <c:v>defervesced/stayed afeb WITH TEE use</c:v>
                </c:pt>
              </c:strCache>
            </c:strRef>
          </c:cat>
          <c:val>
            <c:numRef>
              <c:f>'chisq analysis'!$M$18:$M$21</c:f>
              <c:numCache>
                <c:formatCode>General</c:formatCode>
                <c:ptCount val="4"/>
                <c:pt idx="0">
                  <c:v>10</c:v>
                </c:pt>
                <c:pt idx="1">
                  <c:v>5</c:v>
                </c:pt>
                <c:pt idx="2">
                  <c:v>103</c:v>
                </c:pt>
                <c:pt idx="3">
                  <c:v>16</c:v>
                </c:pt>
              </c:numCache>
            </c:numRef>
          </c:val>
          <c:extLst>
            <c:ext xmlns:c16="http://schemas.microsoft.com/office/drawing/2014/chart" uri="{C3380CC4-5D6E-409C-BE32-E72D297353CC}">
              <c16:uniqueId val="{00000003-10C2-4B08-95FA-7420DF5A3778}"/>
            </c:ext>
          </c:extLst>
        </c:ser>
        <c:dLbls>
          <c:showLegendKey val="0"/>
          <c:showVal val="0"/>
          <c:showCatName val="0"/>
          <c:showSerName val="0"/>
          <c:showPercent val="0"/>
          <c:showBubbleSize val="0"/>
        </c:dLbls>
        <c:gapWidth val="219"/>
        <c:overlap val="-27"/>
        <c:axId val="116270599"/>
        <c:axId val="116297735"/>
      </c:barChart>
      <c:catAx>
        <c:axId val="116270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297735"/>
        <c:crosses val="autoZero"/>
        <c:auto val="1"/>
        <c:lblAlgn val="ctr"/>
        <c:lblOffset val="100"/>
        <c:noMultiLvlLbl val="0"/>
      </c:catAx>
      <c:valAx>
        <c:axId val="1162977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2705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analysis'!$CN$17</c:f>
              <c:strCache>
                <c:ptCount val="1"/>
                <c:pt idx="0">
                  <c:v>Expected</c:v>
                </c:pt>
              </c:strCache>
            </c:strRef>
          </c:tx>
          <c:spPr>
            <a:solidFill>
              <a:schemeClr val="accent1"/>
            </a:solidFill>
            <a:ln>
              <a:noFill/>
            </a:ln>
            <a:effectLst/>
          </c:spPr>
          <c:invertIfNegative val="0"/>
          <c:cat>
            <c:strRef>
              <c:f>'chisq analysis'!$CM$18:$CM$21</c:f>
              <c:strCache>
                <c:ptCount val="4"/>
                <c:pt idx="0">
                  <c:v>NO CoNS WITHOUT TEE use</c:v>
                </c:pt>
                <c:pt idx="1">
                  <c:v>NO CoNS WITH TEE use</c:v>
                </c:pt>
                <c:pt idx="2">
                  <c:v>CoNS WITHOUT TEE use</c:v>
                </c:pt>
                <c:pt idx="3">
                  <c:v>CoNS WITH TEE use</c:v>
                </c:pt>
              </c:strCache>
            </c:strRef>
          </c:cat>
          <c:val>
            <c:numRef>
              <c:f>'chisq analysis'!$CN$18:$CN$21</c:f>
              <c:numCache>
                <c:formatCode>General</c:formatCode>
                <c:ptCount val="4"/>
                <c:pt idx="0">
                  <c:v>56.5</c:v>
                </c:pt>
                <c:pt idx="1">
                  <c:v>10.5</c:v>
                </c:pt>
                <c:pt idx="2">
                  <c:v>56.5</c:v>
                </c:pt>
                <c:pt idx="3">
                  <c:v>10.5</c:v>
                </c:pt>
              </c:numCache>
            </c:numRef>
          </c:val>
          <c:extLst>
            <c:ext xmlns:c16="http://schemas.microsoft.com/office/drawing/2014/chart" uri="{C3380CC4-5D6E-409C-BE32-E72D297353CC}">
              <c16:uniqueId val="{00000001-65D2-4DF8-8746-02354C955CB4}"/>
            </c:ext>
          </c:extLst>
        </c:ser>
        <c:ser>
          <c:idx val="1"/>
          <c:order val="1"/>
          <c:tx>
            <c:strRef>
              <c:f>'chisq analysis'!$CO$17</c:f>
              <c:strCache>
                <c:ptCount val="1"/>
                <c:pt idx="0">
                  <c:v>Actual</c:v>
                </c:pt>
              </c:strCache>
            </c:strRef>
          </c:tx>
          <c:spPr>
            <a:solidFill>
              <a:schemeClr val="accent2"/>
            </a:solidFill>
            <a:ln>
              <a:noFill/>
            </a:ln>
            <a:effectLst/>
          </c:spPr>
          <c:invertIfNegative val="0"/>
          <c:cat>
            <c:strRef>
              <c:f>'chisq analysis'!$CM$18:$CM$21</c:f>
              <c:strCache>
                <c:ptCount val="4"/>
                <c:pt idx="0">
                  <c:v>NO CoNS WITHOUT TEE use</c:v>
                </c:pt>
                <c:pt idx="1">
                  <c:v>NO CoNS WITH TEE use</c:v>
                </c:pt>
                <c:pt idx="2">
                  <c:v>CoNS WITHOUT TEE use</c:v>
                </c:pt>
                <c:pt idx="3">
                  <c:v>CoNS WITH TEE use</c:v>
                </c:pt>
              </c:strCache>
            </c:strRef>
          </c:cat>
          <c:val>
            <c:numRef>
              <c:f>'chisq analysis'!$CO$18:$CO$21</c:f>
              <c:numCache>
                <c:formatCode>General</c:formatCode>
                <c:ptCount val="4"/>
                <c:pt idx="0">
                  <c:v>49</c:v>
                </c:pt>
                <c:pt idx="1">
                  <c:v>18</c:v>
                </c:pt>
                <c:pt idx="2">
                  <c:v>64</c:v>
                </c:pt>
                <c:pt idx="3">
                  <c:v>3</c:v>
                </c:pt>
              </c:numCache>
            </c:numRef>
          </c:val>
          <c:extLst>
            <c:ext xmlns:c16="http://schemas.microsoft.com/office/drawing/2014/chart" uri="{C3380CC4-5D6E-409C-BE32-E72D297353CC}">
              <c16:uniqueId val="{00000003-65D2-4DF8-8746-02354C955CB4}"/>
            </c:ext>
          </c:extLst>
        </c:ser>
        <c:dLbls>
          <c:showLegendKey val="0"/>
          <c:showVal val="0"/>
          <c:showCatName val="0"/>
          <c:showSerName val="0"/>
          <c:showPercent val="0"/>
          <c:showBubbleSize val="0"/>
        </c:dLbls>
        <c:gapWidth val="219"/>
        <c:overlap val="-27"/>
        <c:axId val="731539464"/>
        <c:axId val="824197128"/>
      </c:barChart>
      <c:catAx>
        <c:axId val="731539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4197128"/>
        <c:crosses val="autoZero"/>
        <c:auto val="1"/>
        <c:lblAlgn val="ctr"/>
        <c:lblOffset val="100"/>
        <c:noMultiLvlLbl val="0"/>
      </c:catAx>
      <c:valAx>
        <c:axId val="8241971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15394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analysis'!$BY$55</c:f>
              <c:strCache>
                <c:ptCount val="1"/>
                <c:pt idx="0">
                  <c:v>Expected</c:v>
                </c:pt>
              </c:strCache>
            </c:strRef>
          </c:tx>
          <c:spPr>
            <a:solidFill>
              <a:schemeClr val="accent1"/>
            </a:solidFill>
            <a:ln>
              <a:noFill/>
            </a:ln>
            <a:effectLst/>
          </c:spPr>
          <c:invertIfNegative val="0"/>
          <c:cat>
            <c:strRef>
              <c:f>'chisq analysis'!$BX$56:$BX$59</c:f>
              <c:strCache>
                <c:ptCount val="4"/>
                <c:pt idx="0">
                  <c:v>NO SA WITHOUT DEF dx IE</c:v>
                </c:pt>
                <c:pt idx="1">
                  <c:v>NO SA WITH DEF dx IE</c:v>
                </c:pt>
                <c:pt idx="2">
                  <c:v>SA WITHOUT DEF dx IE</c:v>
                </c:pt>
                <c:pt idx="3">
                  <c:v>SA WITH DEF dx IE</c:v>
                </c:pt>
              </c:strCache>
            </c:strRef>
          </c:cat>
          <c:val>
            <c:numRef>
              <c:f>'chisq analysis'!$BY$56:$BY$59</c:f>
              <c:numCache>
                <c:formatCode>General</c:formatCode>
                <c:ptCount val="4"/>
                <c:pt idx="0">
                  <c:v>86.68656716417911</c:v>
                </c:pt>
                <c:pt idx="1">
                  <c:v>9.3134328358208958</c:v>
                </c:pt>
                <c:pt idx="2">
                  <c:v>34.313432835820898</c:v>
                </c:pt>
                <c:pt idx="3">
                  <c:v>3.6865671641791047</c:v>
                </c:pt>
              </c:numCache>
            </c:numRef>
          </c:val>
          <c:extLst>
            <c:ext xmlns:c16="http://schemas.microsoft.com/office/drawing/2014/chart" uri="{C3380CC4-5D6E-409C-BE32-E72D297353CC}">
              <c16:uniqueId val="{00000001-216F-4FE0-AD27-77B5DA8E3C36}"/>
            </c:ext>
          </c:extLst>
        </c:ser>
        <c:ser>
          <c:idx val="1"/>
          <c:order val="1"/>
          <c:tx>
            <c:strRef>
              <c:f>'chisq analysis'!$BZ$55</c:f>
              <c:strCache>
                <c:ptCount val="1"/>
                <c:pt idx="0">
                  <c:v>Actual</c:v>
                </c:pt>
              </c:strCache>
            </c:strRef>
          </c:tx>
          <c:spPr>
            <a:solidFill>
              <a:schemeClr val="accent2"/>
            </a:solidFill>
            <a:ln>
              <a:noFill/>
            </a:ln>
            <a:effectLst/>
          </c:spPr>
          <c:invertIfNegative val="0"/>
          <c:cat>
            <c:strRef>
              <c:f>'chisq analysis'!$BX$56:$BX$59</c:f>
              <c:strCache>
                <c:ptCount val="4"/>
                <c:pt idx="0">
                  <c:v>NO SA WITHOUT DEF dx IE</c:v>
                </c:pt>
                <c:pt idx="1">
                  <c:v>NO SA WITH DEF dx IE</c:v>
                </c:pt>
                <c:pt idx="2">
                  <c:v>SA WITHOUT DEF dx IE</c:v>
                </c:pt>
                <c:pt idx="3">
                  <c:v>SA WITH DEF dx IE</c:v>
                </c:pt>
              </c:strCache>
            </c:strRef>
          </c:cat>
          <c:val>
            <c:numRef>
              <c:f>'chisq analysis'!$BZ$56:$BZ$59</c:f>
              <c:numCache>
                <c:formatCode>General</c:formatCode>
                <c:ptCount val="4"/>
                <c:pt idx="0">
                  <c:v>90</c:v>
                </c:pt>
                <c:pt idx="1">
                  <c:v>6</c:v>
                </c:pt>
                <c:pt idx="2">
                  <c:v>31</c:v>
                </c:pt>
                <c:pt idx="3">
                  <c:v>7</c:v>
                </c:pt>
              </c:numCache>
            </c:numRef>
          </c:val>
          <c:extLst>
            <c:ext xmlns:c16="http://schemas.microsoft.com/office/drawing/2014/chart" uri="{C3380CC4-5D6E-409C-BE32-E72D297353CC}">
              <c16:uniqueId val="{00000003-216F-4FE0-AD27-77B5DA8E3C36}"/>
            </c:ext>
          </c:extLst>
        </c:ser>
        <c:dLbls>
          <c:showLegendKey val="0"/>
          <c:showVal val="0"/>
          <c:showCatName val="0"/>
          <c:showSerName val="0"/>
          <c:showPercent val="0"/>
          <c:showBubbleSize val="0"/>
        </c:dLbls>
        <c:gapWidth val="219"/>
        <c:overlap val="-27"/>
        <c:axId val="1063748104"/>
        <c:axId val="1063750152"/>
      </c:barChart>
      <c:catAx>
        <c:axId val="1063748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750152"/>
        <c:crosses val="autoZero"/>
        <c:auto val="1"/>
        <c:lblAlgn val="ctr"/>
        <c:lblOffset val="100"/>
        <c:noMultiLvlLbl val="0"/>
      </c:catAx>
      <c:valAx>
        <c:axId val="10637501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748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analysis'!$CN$55</c:f>
              <c:strCache>
                <c:ptCount val="1"/>
                <c:pt idx="0">
                  <c:v>Expected</c:v>
                </c:pt>
              </c:strCache>
            </c:strRef>
          </c:tx>
          <c:spPr>
            <a:solidFill>
              <a:schemeClr val="accent1"/>
            </a:solidFill>
            <a:ln>
              <a:noFill/>
            </a:ln>
            <a:effectLst/>
          </c:spPr>
          <c:invertIfNegative val="0"/>
          <c:cat>
            <c:strRef>
              <c:f>'chisq analysis'!$CM$56:$CM$59</c:f>
              <c:strCache>
                <c:ptCount val="4"/>
                <c:pt idx="0">
                  <c:v>NO CoNS WITHOUT DEF dx IE</c:v>
                </c:pt>
                <c:pt idx="1">
                  <c:v>NO CoNS WITH DEF dx IE</c:v>
                </c:pt>
                <c:pt idx="2">
                  <c:v>CoNS WITHOUT DEF dx IE</c:v>
                </c:pt>
                <c:pt idx="3">
                  <c:v>CoNS WITH DEF dx IE</c:v>
                </c:pt>
              </c:strCache>
            </c:strRef>
          </c:cat>
          <c:val>
            <c:numRef>
              <c:f>'chisq analysis'!$CN$56:$CN$59</c:f>
              <c:numCache>
                <c:formatCode>General</c:formatCode>
                <c:ptCount val="4"/>
                <c:pt idx="0">
                  <c:v>60.5</c:v>
                </c:pt>
                <c:pt idx="1">
                  <c:v>6.5</c:v>
                </c:pt>
                <c:pt idx="2">
                  <c:v>60.5</c:v>
                </c:pt>
                <c:pt idx="3">
                  <c:v>6.5</c:v>
                </c:pt>
              </c:numCache>
            </c:numRef>
          </c:val>
          <c:extLst>
            <c:ext xmlns:c16="http://schemas.microsoft.com/office/drawing/2014/chart" uri="{C3380CC4-5D6E-409C-BE32-E72D297353CC}">
              <c16:uniqueId val="{00000001-7759-47D1-8E29-419E9561A60E}"/>
            </c:ext>
          </c:extLst>
        </c:ser>
        <c:ser>
          <c:idx val="1"/>
          <c:order val="1"/>
          <c:tx>
            <c:strRef>
              <c:f>'chisq analysis'!$CO$55</c:f>
              <c:strCache>
                <c:ptCount val="1"/>
                <c:pt idx="0">
                  <c:v>Actual</c:v>
                </c:pt>
              </c:strCache>
            </c:strRef>
          </c:tx>
          <c:spPr>
            <a:solidFill>
              <a:schemeClr val="accent2"/>
            </a:solidFill>
            <a:ln>
              <a:noFill/>
            </a:ln>
            <a:effectLst/>
          </c:spPr>
          <c:invertIfNegative val="0"/>
          <c:cat>
            <c:strRef>
              <c:f>'chisq analysis'!$CM$56:$CM$59</c:f>
              <c:strCache>
                <c:ptCount val="4"/>
                <c:pt idx="0">
                  <c:v>NO CoNS WITHOUT DEF dx IE</c:v>
                </c:pt>
                <c:pt idx="1">
                  <c:v>NO CoNS WITH DEF dx IE</c:v>
                </c:pt>
                <c:pt idx="2">
                  <c:v>CoNS WITHOUT DEF dx IE</c:v>
                </c:pt>
                <c:pt idx="3">
                  <c:v>CoNS WITH DEF dx IE</c:v>
                </c:pt>
              </c:strCache>
            </c:strRef>
          </c:cat>
          <c:val>
            <c:numRef>
              <c:f>'chisq analysis'!$CO$56:$CO$59</c:f>
              <c:numCache>
                <c:formatCode>General</c:formatCode>
                <c:ptCount val="4"/>
                <c:pt idx="0">
                  <c:v>55</c:v>
                </c:pt>
                <c:pt idx="1">
                  <c:v>12</c:v>
                </c:pt>
                <c:pt idx="2">
                  <c:v>66</c:v>
                </c:pt>
                <c:pt idx="3">
                  <c:v>1</c:v>
                </c:pt>
              </c:numCache>
            </c:numRef>
          </c:val>
          <c:extLst>
            <c:ext xmlns:c16="http://schemas.microsoft.com/office/drawing/2014/chart" uri="{C3380CC4-5D6E-409C-BE32-E72D297353CC}">
              <c16:uniqueId val="{00000003-7759-47D1-8E29-419E9561A60E}"/>
            </c:ext>
          </c:extLst>
        </c:ser>
        <c:dLbls>
          <c:showLegendKey val="0"/>
          <c:showVal val="0"/>
          <c:showCatName val="0"/>
          <c:showSerName val="0"/>
          <c:showPercent val="0"/>
          <c:showBubbleSize val="0"/>
        </c:dLbls>
        <c:gapWidth val="219"/>
        <c:overlap val="-27"/>
        <c:axId val="824215048"/>
        <c:axId val="1063727624"/>
      </c:barChart>
      <c:catAx>
        <c:axId val="824215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727624"/>
        <c:crosses val="autoZero"/>
        <c:auto val="1"/>
        <c:lblAlgn val="ctr"/>
        <c:lblOffset val="100"/>
        <c:noMultiLvlLbl val="0"/>
      </c:catAx>
      <c:valAx>
        <c:axId val="10637276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24215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analysis'!$BY$93</c:f>
              <c:strCache>
                <c:ptCount val="1"/>
                <c:pt idx="0">
                  <c:v>Expected</c:v>
                </c:pt>
              </c:strCache>
            </c:strRef>
          </c:tx>
          <c:spPr>
            <a:solidFill>
              <a:schemeClr val="accent1"/>
            </a:solidFill>
            <a:ln>
              <a:noFill/>
            </a:ln>
            <a:effectLst/>
          </c:spPr>
          <c:invertIfNegative val="0"/>
          <c:cat>
            <c:strRef>
              <c:f>'chisq analysis'!$BX$94:$BX$97</c:f>
              <c:strCache>
                <c:ptCount val="4"/>
                <c:pt idx="0">
                  <c:v>NO SA WITHOUT POSS dx IE</c:v>
                </c:pt>
                <c:pt idx="1">
                  <c:v>NO SA  WITH POSS dx IE</c:v>
                </c:pt>
                <c:pt idx="2">
                  <c:v>SA WITHOUT POSS dx IE</c:v>
                </c:pt>
                <c:pt idx="3">
                  <c:v>SA WITH POSS dx IE</c:v>
                </c:pt>
              </c:strCache>
            </c:strRef>
          </c:cat>
          <c:val>
            <c:numRef>
              <c:f>'chisq analysis'!$BY$94:$BY$97</c:f>
              <c:numCache>
                <c:formatCode>General</c:formatCode>
                <c:ptCount val="4"/>
                <c:pt idx="0">
                  <c:v>53.731343283582092</c:v>
                </c:pt>
                <c:pt idx="1">
                  <c:v>42.268656716417908</c:v>
                </c:pt>
                <c:pt idx="2">
                  <c:v>21.268656716417912</c:v>
                </c:pt>
                <c:pt idx="3">
                  <c:v>16.731343283582088</c:v>
                </c:pt>
              </c:numCache>
            </c:numRef>
          </c:val>
          <c:extLst>
            <c:ext xmlns:c16="http://schemas.microsoft.com/office/drawing/2014/chart" uri="{C3380CC4-5D6E-409C-BE32-E72D297353CC}">
              <c16:uniqueId val="{00000001-BA8A-4658-A256-4DB4BF19B707}"/>
            </c:ext>
          </c:extLst>
        </c:ser>
        <c:ser>
          <c:idx val="1"/>
          <c:order val="1"/>
          <c:tx>
            <c:strRef>
              <c:f>'chisq analysis'!$BZ$93</c:f>
              <c:strCache>
                <c:ptCount val="1"/>
                <c:pt idx="0">
                  <c:v>Actual</c:v>
                </c:pt>
              </c:strCache>
            </c:strRef>
          </c:tx>
          <c:spPr>
            <a:solidFill>
              <a:schemeClr val="accent2"/>
            </a:solidFill>
            <a:ln>
              <a:noFill/>
            </a:ln>
            <a:effectLst/>
          </c:spPr>
          <c:invertIfNegative val="0"/>
          <c:cat>
            <c:strRef>
              <c:f>'chisq analysis'!$BX$94:$BX$97</c:f>
              <c:strCache>
                <c:ptCount val="4"/>
                <c:pt idx="0">
                  <c:v>NO SA WITHOUT POSS dx IE</c:v>
                </c:pt>
                <c:pt idx="1">
                  <c:v>NO SA  WITH POSS dx IE</c:v>
                </c:pt>
                <c:pt idx="2">
                  <c:v>SA WITHOUT POSS dx IE</c:v>
                </c:pt>
                <c:pt idx="3">
                  <c:v>SA WITH POSS dx IE</c:v>
                </c:pt>
              </c:strCache>
            </c:strRef>
          </c:cat>
          <c:val>
            <c:numRef>
              <c:f>'chisq analysis'!$BZ$94:$BZ$97</c:f>
              <c:numCache>
                <c:formatCode>General</c:formatCode>
                <c:ptCount val="4"/>
                <c:pt idx="0">
                  <c:v>73</c:v>
                </c:pt>
                <c:pt idx="1">
                  <c:v>23</c:v>
                </c:pt>
                <c:pt idx="2">
                  <c:v>2</c:v>
                </c:pt>
                <c:pt idx="3">
                  <c:v>36</c:v>
                </c:pt>
              </c:numCache>
            </c:numRef>
          </c:val>
          <c:extLst>
            <c:ext xmlns:c16="http://schemas.microsoft.com/office/drawing/2014/chart" uri="{C3380CC4-5D6E-409C-BE32-E72D297353CC}">
              <c16:uniqueId val="{00000003-BA8A-4658-A256-4DB4BF19B707}"/>
            </c:ext>
          </c:extLst>
        </c:ser>
        <c:dLbls>
          <c:showLegendKey val="0"/>
          <c:showVal val="0"/>
          <c:showCatName val="0"/>
          <c:showSerName val="0"/>
          <c:showPercent val="0"/>
          <c:showBubbleSize val="0"/>
        </c:dLbls>
        <c:gapWidth val="219"/>
        <c:overlap val="-27"/>
        <c:axId val="969295368"/>
        <c:axId val="1063724040"/>
      </c:barChart>
      <c:catAx>
        <c:axId val="969295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3724040"/>
        <c:crosses val="autoZero"/>
        <c:auto val="1"/>
        <c:lblAlgn val="ctr"/>
        <c:lblOffset val="100"/>
        <c:noMultiLvlLbl val="0"/>
      </c:catAx>
      <c:valAx>
        <c:axId val="1063724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9295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analysis'!$CI$93</c:f>
              <c:strCache>
                <c:ptCount val="1"/>
                <c:pt idx="0">
                  <c:v>Expected</c:v>
                </c:pt>
              </c:strCache>
            </c:strRef>
          </c:tx>
          <c:spPr>
            <a:solidFill>
              <a:schemeClr val="accent1"/>
            </a:solidFill>
            <a:ln>
              <a:noFill/>
            </a:ln>
            <a:effectLst/>
          </c:spPr>
          <c:invertIfNegative val="0"/>
          <c:cat>
            <c:strRef>
              <c:f>'chisq analysis'!$CH$94:$CH$97</c:f>
              <c:strCache>
                <c:ptCount val="4"/>
                <c:pt idx="0">
                  <c:v>NO Enteroc WITHOUT POSS dx IE</c:v>
                </c:pt>
                <c:pt idx="1">
                  <c:v>NO Enteroc WITH POSS dx IE</c:v>
                </c:pt>
                <c:pt idx="2">
                  <c:v>Enteroc WITHOUT POSS dx IE</c:v>
                </c:pt>
                <c:pt idx="3">
                  <c:v>Enteroc WITH POSS dx IE</c:v>
                </c:pt>
              </c:strCache>
            </c:strRef>
          </c:cat>
          <c:val>
            <c:numRef>
              <c:f>'chisq analysis'!$CI$94:$CI$97</c:f>
              <c:numCache>
                <c:formatCode>General</c:formatCode>
                <c:ptCount val="4"/>
                <c:pt idx="0">
                  <c:v>68.28358208955224</c:v>
                </c:pt>
                <c:pt idx="1">
                  <c:v>53.71641791044776</c:v>
                </c:pt>
                <c:pt idx="2">
                  <c:v>6.7164179104477615</c:v>
                </c:pt>
                <c:pt idx="3">
                  <c:v>5.2835820895522385</c:v>
                </c:pt>
              </c:numCache>
            </c:numRef>
          </c:val>
          <c:extLst>
            <c:ext xmlns:c16="http://schemas.microsoft.com/office/drawing/2014/chart" uri="{C3380CC4-5D6E-409C-BE32-E72D297353CC}">
              <c16:uniqueId val="{00000001-81CE-465E-8A79-7B265F15C728}"/>
            </c:ext>
          </c:extLst>
        </c:ser>
        <c:ser>
          <c:idx val="1"/>
          <c:order val="1"/>
          <c:tx>
            <c:strRef>
              <c:f>'chisq analysis'!$CJ$93</c:f>
              <c:strCache>
                <c:ptCount val="1"/>
                <c:pt idx="0">
                  <c:v>Actual</c:v>
                </c:pt>
              </c:strCache>
            </c:strRef>
          </c:tx>
          <c:spPr>
            <a:solidFill>
              <a:schemeClr val="accent2"/>
            </a:solidFill>
            <a:ln>
              <a:noFill/>
            </a:ln>
            <a:effectLst/>
          </c:spPr>
          <c:invertIfNegative val="0"/>
          <c:cat>
            <c:strRef>
              <c:f>'chisq analysis'!$CH$94:$CH$97</c:f>
              <c:strCache>
                <c:ptCount val="4"/>
                <c:pt idx="0">
                  <c:v>NO Enteroc WITHOUT POSS dx IE</c:v>
                </c:pt>
                <c:pt idx="1">
                  <c:v>NO Enteroc WITH POSS dx IE</c:v>
                </c:pt>
                <c:pt idx="2">
                  <c:v>Enteroc WITHOUT POSS dx IE</c:v>
                </c:pt>
                <c:pt idx="3">
                  <c:v>Enteroc WITH POSS dx IE</c:v>
                </c:pt>
              </c:strCache>
            </c:strRef>
          </c:cat>
          <c:val>
            <c:numRef>
              <c:f>'chisq analysis'!$CJ$94:$CJ$97</c:f>
              <c:numCache>
                <c:formatCode>General</c:formatCode>
                <c:ptCount val="4"/>
                <c:pt idx="0">
                  <c:v>73</c:v>
                </c:pt>
                <c:pt idx="1">
                  <c:v>49</c:v>
                </c:pt>
                <c:pt idx="2">
                  <c:v>2</c:v>
                </c:pt>
                <c:pt idx="3">
                  <c:v>10</c:v>
                </c:pt>
              </c:numCache>
            </c:numRef>
          </c:val>
          <c:extLst>
            <c:ext xmlns:c16="http://schemas.microsoft.com/office/drawing/2014/chart" uri="{C3380CC4-5D6E-409C-BE32-E72D297353CC}">
              <c16:uniqueId val="{00000003-81CE-465E-8A79-7B265F15C728}"/>
            </c:ext>
          </c:extLst>
        </c:ser>
        <c:dLbls>
          <c:showLegendKey val="0"/>
          <c:showVal val="0"/>
          <c:showCatName val="0"/>
          <c:showSerName val="0"/>
          <c:showPercent val="0"/>
          <c:showBubbleSize val="0"/>
        </c:dLbls>
        <c:gapWidth val="219"/>
        <c:overlap val="-27"/>
        <c:axId val="1870312968"/>
        <c:axId val="228794887"/>
      </c:barChart>
      <c:catAx>
        <c:axId val="1870312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8794887"/>
        <c:crosses val="autoZero"/>
        <c:auto val="1"/>
        <c:lblAlgn val="ctr"/>
        <c:lblOffset val="100"/>
        <c:noMultiLvlLbl val="0"/>
      </c:catAx>
      <c:valAx>
        <c:axId val="2287948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0312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analysis'!$CN$93</c:f>
              <c:strCache>
                <c:ptCount val="1"/>
                <c:pt idx="0">
                  <c:v>Expected</c:v>
                </c:pt>
              </c:strCache>
            </c:strRef>
          </c:tx>
          <c:spPr>
            <a:solidFill>
              <a:schemeClr val="accent1"/>
            </a:solidFill>
            <a:ln>
              <a:noFill/>
            </a:ln>
            <a:effectLst/>
          </c:spPr>
          <c:invertIfNegative val="0"/>
          <c:cat>
            <c:strRef>
              <c:f>'chisq analysis'!$CM$94:$CM$97</c:f>
              <c:strCache>
                <c:ptCount val="4"/>
                <c:pt idx="0">
                  <c:v>NO CoNS WITHOUT POSS dx IE</c:v>
                </c:pt>
                <c:pt idx="1">
                  <c:v>NO CoNS  WITH POSS dx IE</c:v>
                </c:pt>
                <c:pt idx="2">
                  <c:v>CoNS WITHOUT POSS dx IE</c:v>
                </c:pt>
                <c:pt idx="3">
                  <c:v>CoNS WITH POSS dx IE</c:v>
                </c:pt>
              </c:strCache>
            </c:strRef>
          </c:cat>
          <c:val>
            <c:numRef>
              <c:f>'chisq analysis'!$CN$94:$CN$97</c:f>
              <c:numCache>
                <c:formatCode>General</c:formatCode>
                <c:ptCount val="4"/>
                <c:pt idx="0">
                  <c:v>37.5</c:v>
                </c:pt>
                <c:pt idx="1">
                  <c:v>29.5</c:v>
                </c:pt>
                <c:pt idx="2">
                  <c:v>37.5</c:v>
                </c:pt>
                <c:pt idx="3">
                  <c:v>29.5</c:v>
                </c:pt>
              </c:numCache>
            </c:numRef>
          </c:val>
          <c:extLst>
            <c:ext xmlns:c16="http://schemas.microsoft.com/office/drawing/2014/chart" uri="{C3380CC4-5D6E-409C-BE32-E72D297353CC}">
              <c16:uniqueId val="{00000001-A3C5-4F3F-A55F-40F1393686A2}"/>
            </c:ext>
          </c:extLst>
        </c:ser>
        <c:ser>
          <c:idx val="1"/>
          <c:order val="1"/>
          <c:tx>
            <c:strRef>
              <c:f>'chisq analysis'!$CO$93</c:f>
              <c:strCache>
                <c:ptCount val="1"/>
                <c:pt idx="0">
                  <c:v>Actual</c:v>
                </c:pt>
              </c:strCache>
            </c:strRef>
          </c:tx>
          <c:spPr>
            <a:solidFill>
              <a:schemeClr val="accent2"/>
            </a:solidFill>
            <a:ln>
              <a:noFill/>
            </a:ln>
            <a:effectLst/>
          </c:spPr>
          <c:invertIfNegative val="0"/>
          <c:cat>
            <c:strRef>
              <c:f>'chisq analysis'!$CM$94:$CM$97</c:f>
              <c:strCache>
                <c:ptCount val="4"/>
                <c:pt idx="0">
                  <c:v>NO CoNS WITHOUT POSS dx IE</c:v>
                </c:pt>
                <c:pt idx="1">
                  <c:v>NO CoNS  WITH POSS dx IE</c:v>
                </c:pt>
                <c:pt idx="2">
                  <c:v>CoNS WITHOUT POSS dx IE</c:v>
                </c:pt>
                <c:pt idx="3">
                  <c:v>CoNS WITH POSS dx IE</c:v>
                </c:pt>
              </c:strCache>
            </c:strRef>
          </c:cat>
          <c:val>
            <c:numRef>
              <c:f>'chisq analysis'!$CO$94:$CO$97</c:f>
              <c:numCache>
                <c:formatCode>General</c:formatCode>
                <c:ptCount val="4"/>
                <c:pt idx="0">
                  <c:v>10</c:v>
                </c:pt>
                <c:pt idx="1">
                  <c:v>57</c:v>
                </c:pt>
                <c:pt idx="2">
                  <c:v>65</c:v>
                </c:pt>
                <c:pt idx="3">
                  <c:v>2</c:v>
                </c:pt>
              </c:numCache>
            </c:numRef>
          </c:val>
          <c:extLst>
            <c:ext xmlns:c16="http://schemas.microsoft.com/office/drawing/2014/chart" uri="{C3380CC4-5D6E-409C-BE32-E72D297353CC}">
              <c16:uniqueId val="{00000003-A3C5-4F3F-A55F-40F1393686A2}"/>
            </c:ext>
          </c:extLst>
        </c:ser>
        <c:dLbls>
          <c:showLegendKey val="0"/>
          <c:showVal val="0"/>
          <c:showCatName val="0"/>
          <c:showSerName val="0"/>
          <c:showPercent val="0"/>
          <c:showBubbleSize val="0"/>
        </c:dLbls>
        <c:gapWidth val="219"/>
        <c:overlap val="-27"/>
        <c:axId val="404052488"/>
        <c:axId val="969302536"/>
      </c:barChart>
      <c:catAx>
        <c:axId val="404052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9302536"/>
        <c:crosses val="autoZero"/>
        <c:auto val="1"/>
        <c:lblAlgn val="ctr"/>
        <c:lblOffset val="100"/>
        <c:noMultiLvlLbl val="0"/>
      </c:catAx>
      <c:valAx>
        <c:axId val="9693025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4052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analysis'!$O$131</c:f>
              <c:strCache>
                <c:ptCount val="1"/>
                <c:pt idx="0">
                  <c:v>Expected</c:v>
                </c:pt>
              </c:strCache>
            </c:strRef>
          </c:tx>
          <c:spPr>
            <a:solidFill>
              <a:schemeClr val="accent1"/>
            </a:solidFill>
            <a:ln>
              <a:noFill/>
            </a:ln>
            <a:effectLst/>
          </c:spPr>
          <c:invertIfNegative val="0"/>
          <c:cat>
            <c:strRef>
              <c:f>'chisq analysis'!$N$132:$N$135</c:f>
              <c:strCache>
                <c:ptCount val="4"/>
                <c:pt idx="0">
                  <c:v>NO SA WITHOUT fever</c:v>
                </c:pt>
                <c:pt idx="1">
                  <c:v>NO SA  WITH fever</c:v>
                </c:pt>
                <c:pt idx="2">
                  <c:v>SA WITHOUT fever</c:v>
                </c:pt>
                <c:pt idx="3">
                  <c:v>SA WITH fever</c:v>
                </c:pt>
              </c:strCache>
            </c:strRef>
          </c:cat>
          <c:val>
            <c:numRef>
              <c:f>'chisq analysis'!$O$132:$O$135</c:f>
              <c:numCache>
                <c:formatCode>General</c:formatCode>
                <c:ptCount val="4"/>
                <c:pt idx="0">
                  <c:v>43.701492537313435</c:v>
                </c:pt>
                <c:pt idx="1">
                  <c:v>52.298507462686565</c:v>
                </c:pt>
                <c:pt idx="2">
                  <c:v>17.298507462686569</c:v>
                </c:pt>
                <c:pt idx="3">
                  <c:v>20.701492537313431</c:v>
                </c:pt>
              </c:numCache>
            </c:numRef>
          </c:val>
          <c:extLst>
            <c:ext xmlns:c16="http://schemas.microsoft.com/office/drawing/2014/chart" uri="{C3380CC4-5D6E-409C-BE32-E72D297353CC}">
              <c16:uniqueId val="{00000001-85E0-4D76-812D-5ACA2FB0FB14}"/>
            </c:ext>
          </c:extLst>
        </c:ser>
        <c:ser>
          <c:idx val="1"/>
          <c:order val="1"/>
          <c:tx>
            <c:strRef>
              <c:f>'chisq analysis'!$P$131</c:f>
              <c:strCache>
                <c:ptCount val="1"/>
                <c:pt idx="0">
                  <c:v>Actual</c:v>
                </c:pt>
              </c:strCache>
            </c:strRef>
          </c:tx>
          <c:spPr>
            <a:solidFill>
              <a:schemeClr val="accent2"/>
            </a:solidFill>
            <a:ln>
              <a:noFill/>
            </a:ln>
            <a:effectLst/>
          </c:spPr>
          <c:invertIfNegative val="0"/>
          <c:cat>
            <c:strRef>
              <c:f>'chisq analysis'!$N$132:$N$135</c:f>
              <c:strCache>
                <c:ptCount val="4"/>
                <c:pt idx="0">
                  <c:v>NO SA WITHOUT fever</c:v>
                </c:pt>
                <c:pt idx="1">
                  <c:v>NO SA  WITH fever</c:v>
                </c:pt>
                <c:pt idx="2">
                  <c:v>SA WITHOUT fever</c:v>
                </c:pt>
                <c:pt idx="3">
                  <c:v>SA WITH fever</c:v>
                </c:pt>
              </c:strCache>
            </c:strRef>
          </c:cat>
          <c:val>
            <c:numRef>
              <c:f>'chisq analysis'!$P$132:$P$135</c:f>
              <c:numCache>
                <c:formatCode>General</c:formatCode>
                <c:ptCount val="4"/>
                <c:pt idx="0">
                  <c:v>54</c:v>
                </c:pt>
                <c:pt idx="1">
                  <c:v>42</c:v>
                </c:pt>
                <c:pt idx="2">
                  <c:v>7</c:v>
                </c:pt>
                <c:pt idx="3">
                  <c:v>31</c:v>
                </c:pt>
              </c:numCache>
            </c:numRef>
          </c:val>
          <c:extLst>
            <c:ext xmlns:c16="http://schemas.microsoft.com/office/drawing/2014/chart" uri="{C3380CC4-5D6E-409C-BE32-E72D297353CC}">
              <c16:uniqueId val="{00000003-85E0-4D76-812D-5ACA2FB0FB14}"/>
            </c:ext>
          </c:extLst>
        </c:ser>
        <c:dLbls>
          <c:showLegendKey val="0"/>
          <c:showVal val="0"/>
          <c:showCatName val="0"/>
          <c:showSerName val="0"/>
          <c:showPercent val="0"/>
          <c:showBubbleSize val="0"/>
        </c:dLbls>
        <c:gapWidth val="219"/>
        <c:overlap val="-27"/>
        <c:axId val="736653320"/>
        <c:axId val="736655880"/>
      </c:barChart>
      <c:catAx>
        <c:axId val="736653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655880"/>
        <c:crosses val="autoZero"/>
        <c:auto val="1"/>
        <c:lblAlgn val="ctr"/>
        <c:lblOffset val="100"/>
        <c:noMultiLvlLbl val="0"/>
      </c:catAx>
      <c:valAx>
        <c:axId val="736655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653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analysis'!$AD$131</c:f>
              <c:strCache>
                <c:ptCount val="1"/>
                <c:pt idx="0">
                  <c:v>Expected</c:v>
                </c:pt>
              </c:strCache>
            </c:strRef>
          </c:tx>
          <c:spPr>
            <a:solidFill>
              <a:schemeClr val="accent1"/>
            </a:solidFill>
            <a:ln>
              <a:noFill/>
            </a:ln>
            <a:effectLst/>
          </c:spPr>
          <c:invertIfNegative val="0"/>
          <c:cat>
            <c:strRef>
              <c:f>'chisq analysis'!$AC$132:$AC$135</c:f>
              <c:strCache>
                <c:ptCount val="4"/>
                <c:pt idx="0">
                  <c:v>NO CoNS WITHOUT fever</c:v>
                </c:pt>
                <c:pt idx="1">
                  <c:v>NO CoNS  WITH fever</c:v>
                </c:pt>
                <c:pt idx="2">
                  <c:v>CoNS WITHOUT fever</c:v>
                </c:pt>
                <c:pt idx="3">
                  <c:v>CoNS WITH fever</c:v>
                </c:pt>
              </c:strCache>
            </c:strRef>
          </c:cat>
          <c:val>
            <c:numRef>
              <c:f>'chisq analysis'!$AD$132:$AD$135</c:f>
              <c:numCache>
                <c:formatCode>General</c:formatCode>
                <c:ptCount val="4"/>
                <c:pt idx="0">
                  <c:v>30.5</c:v>
                </c:pt>
                <c:pt idx="1">
                  <c:v>36.5</c:v>
                </c:pt>
                <c:pt idx="2">
                  <c:v>30.5</c:v>
                </c:pt>
                <c:pt idx="3">
                  <c:v>36.5</c:v>
                </c:pt>
              </c:numCache>
            </c:numRef>
          </c:val>
          <c:extLst>
            <c:ext xmlns:c16="http://schemas.microsoft.com/office/drawing/2014/chart" uri="{C3380CC4-5D6E-409C-BE32-E72D297353CC}">
              <c16:uniqueId val="{00000001-4515-4FDB-B011-111FCE76843C}"/>
            </c:ext>
          </c:extLst>
        </c:ser>
        <c:ser>
          <c:idx val="1"/>
          <c:order val="1"/>
          <c:tx>
            <c:strRef>
              <c:f>'chisq analysis'!$AE$131</c:f>
              <c:strCache>
                <c:ptCount val="1"/>
                <c:pt idx="0">
                  <c:v>Actual</c:v>
                </c:pt>
              </c:strCache>
            </c:strRef>
          </c:tx>
          <c:spPr>
            <a:solidFill>
              <a:schemeClr val="accent2"/>
            </a:solidFill>
            <a:ln>
              <a:noFill/>
            </a:ln>
            <a:effectLst/>
          </c:spPr>
          <c:invertIfNegative val="0"/>
          <c:cat>
            <c:strRef>
              <c:f>'chisq analysis'!$AC$132:$AC$135</c:f>
              <c:strCache>
                <c:ptCount val="4"/>
                <c:pt idx="0">
                  <c:v>NO CoNS WITHOUT fever</c:v>
                </c:pt>
                <c:pt idx="1">
                  <c:v>NO CoNS  WITH fever</c:v>
                </c:pt>
                <c:pt idx="2">
                  <c:v>CoNS WITHOUT fever</c:v>
                </c:pt>
                <c:pt idx="3">
                  <c:v>CoNS WITH fever</c:v>
                </c:pt>
              </c:strCache>
            </c:strRef>
          </c:cat>
          <c:val>
            <c:numRef>
              <c:f>'chisq analysis'!$AE$132:$AE$135</c:f>
              <c:numCache>
                <c:formatCode>General</c:formatCode>
                <c:ptCount val="4"/>
                <c:pt idx="0">
                  <c:v>16</c:v>
                </c:pt>
                <c:pt idx="1">
                  <c:v>51</c:v>
                </c:pt>
                <c:pt idx="2">
                  <c:v>45</c:v>
                </c:pt>
                <c:pt idx="3">
                  <c:v>22</c:v>
                </c:pt>
              </c:numCache>
            </c:numRef>
          </c:val>
          <c:extLst>
            <c:ext xmlns:c16="http://schemas.microsoft.com/office/drawing/2014/chart" uri="{C3380CC4-5D6E-409C-BE32-E72D297353CC}">
              <c16:uniqueId val="{00000003-4515-4FDB-B011-111FCE76843C}"/>
            </c:ext>
          </c:extLst>
        </c:ser>
        <c:dLbls>
          <c:showLegendKey val="0"/>
          <c:showVal val="0"/>
          <c:showCatName val="0"/>
          <c:showSerName val="0"/>
          <c:showPercent val="0"/>
          <c:showBubbleSize val="0"/>
        </c:dLbls>
        <c:gapWidth val="219"/>
        <c:overlap val="-27"/>
        <c:axId val="404045832"/>
        <c:axId val="404047880"/>
      </c:barChart>
      <c:catAx>
        <c:axId val="404045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4047880"/>
        <c:crosses val="autoZero"/>
        <c:auto val="1"/>
        <c:lblAlgn val="ctr"/>
        <c:lblOffset val="100"/>
        <c:noMultiLvlLbl val="0"/>
      </c:catAx>
      <c:valAx>
        <c:axId val="404047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04045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analysis'!$BC$131</c:f>
              <c:strCache>
                <c:ptCount val="1"/>
                <c:pt idx="0">
                  <c:v>Expected</c:v>
                </c:pt>
              </c:strCache>
            </c:strRef>
          </c:tx>
          <c:spPr>
            <a:solidFill>
              <a:schemeClr val="accent1"/>
            </a:solidFill>
            <a:ln>
              <a:noFill/>
            </a:ln>
            <a:effectLst/>
          </c:spPr>
          <c:invertIfNegative val="0"/>
          <c:cat>
            <c:strRef>
              <c:f>'chisq analysis'!$BB$132:$BB$135</c:f>
              <c:strCache>
                <c:ptCount val="4"/>
                <c:pt idx="0">
                  <c:v>NO SA WITHOUT TTE</c:v>
                </c:pt>
                <c:pt idx="1">
                  <c:v>NO SA  WITH TTE</c:v>
                </c:pt>
                <c:pt idx="2">
                  <c:v>SA WITHOUT TTE</c:v>
                </c:pt>
                <c:pt idx="3">
                  <c:v>SA WITH TTE</c:v>
                </c:pt>
              </c:strCache>
            </c:strRef>
          </c:cat>
          <c:val>
            <c:numRef>
              <c:f>'chisq analysis'!$BC$132:$BC$135</c:f>
              <c:numCache>
                <c:formatCode>General</c:formatCode>
                <c:ptCount val="4"/>
                <c:pt idx="0">
                  <c:v>25.074626865671643</c:v>
                </c:pt>
                <c:pt idx="1">
                  <c:v>70.925373134328353</c:v>
                </c:pt>
                <c:pt idx="2">
                  <c:v>9.9253731343283587</c:v>
                </c:pt>
                <c:pt idx="3">
                  <c:v>28.074626865671643</c:v>
                </c:pt>
              </c:numCache>
            </c:numRef>
          </c:val>
          <c:extLst>
            <c:ext xmlns:c16="http://schemas.microsoft.com/office/drawing/2014/chart" uri="{C3380CC4-5D6E-409C-BE32-E72D297353CC}">
              <c16:uniqueId val="{00000001-7AD7-4B4D-A8BB-F890E6BA02BA}"/>
            </c:ext>
          </c:extLst>
        </c:ser>
        <c:ser>
          <c:idx val="1"/>
          <c:order val="1"/>
          <c:tx>
            <c:strRef>
              <c:f>'chisq analysis'!$BD$131</c:f>
              <c:strCache>
                <c:ptCount val="1"/>
                <c:pt idx="0">
                  <c:v>Actual</c:v>
                </c:pt>
              </c:strCache>
            </c:strRef>
          </c:tx>
          <c:spPr>
            <a:solidFill>
              <a:schemeClr val="accent2"/>
            </a:solidFill>
            <a:ln>
              <a:noFill/>
            </a:ln>
            <a:effectLst/>
          </c:spPr>
          <c:invertIfNegative val="0"/>
          <c:cat>
            <c:strRef>
              <c:f>'chisq analysis'!$BB$132:$BB$135</c:f>
              <c:strCache>
                <c:ptCount val="4"/>
                <c:pt idx="0">
                  <c:v>NO SA WITHOUT TTE</c:v>
                </c:pt>
                <c:pt idx="1">
                  <c:v>NO SA  WITH TTE</c:v>
                </c:pt>
                <c:pt idx="2">
                  <c:v>SA WITHOUT TTE</c:v>
                </c:pt>
                <c:pt idx="3">
                  <c:v>SA WITH TTE</c:v>
                </c:pt>
              </c:strCache>
            </c:strRef>
          </c:cat>
          <c:val>
            <c:numRef>
              <c:f>'chisq analysis'!$BD$132:$BD$135</c:f>
              <c:numCache>
                <c:formatCode>General</c:formatCode>
                <c:ptCount val="4"/>
                <c:pt idx="0">
                  <c:v>35</c:v>
                </c:pt>
                <c:pt idx="1">
                  <c:v>61</c:v>
                </c:pt>
                <c:pt idx="2">
                  <c:v>0</c:v>
                </c:pt>
                <c:pt idx="3">
                  <c:v>38</c:v>
                </c:pt>
              </c:numCache>
            </c:numRef>
          </c:val>
          <c:extLst>
            <c:ext xmlns:c16="http://schemas.microsoft.com/office/drawing/2014/chart" uri="{C3380CC4-5D6E-409C-BE32-E72D297353CC}">
              <c16:uniqueId val="{00000003-7AD7-4B4D-A8BB-F890E6BA02BA}"/>
            </c:ext>
          </c:extLst>
        </c:ser>
        <c:dLbls>
          <c:showLegendKey val="0"/>
          <c:showVal val="0"/>
          <c:showCatName val="0"/>
          <c:showSerName val="0"/>
          <c:showPercent val="0"/>
          <c:showBubbleSize val="0"/>
        </c:dLbls>
        <c:gapWidth val="219"/>
        <c:overlap val="-27"/>
        <c:axId val="736678920"/>
        <c:axId val="736680968"/>
      </c:barChart>
      <c:catAx>
        <c:axId val="736678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680968"/>
        <c:crosses val="autoZero"/>
        <c:auto val="1"/>
        <c:lblAlgn val="ctr"/>
        <c:lblOffset val="100"/>
        <c:noMultiLvlLbl val="0"/>
      </c:catAx>
      <c:valAx>
        <c:axId val="736680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6678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analysis'!$BR$131</c:f>
              <c:strCache>
                <c:ptCount val="1"/>
                <c:pt idx="0">
                  <c:v>Expected</c:v>
                </c:pt>
              </c:strCache>
            </c:strRef>
          </c:tx>
          <c:spPr>
            <a:solidFill>
              <a:schemeClr val="accent1"/>
            </a:solidFill>
            <a:ln>
              <a:noFill/>
            </a:ln>
            <a:effectLst/>
          </c:spPr>
          <c:invertIfNegative val="0"/>
          <c:cat>
            <c:strRef>
              <c:f>'chisq analysis'!$BQ$132:$BQ$135</c:f>
              <c:strCache>
                <c:ptCount val="4"/>
                <c:pt idx="0">
                  <c:v>NO CoNS WITHOUT TTE</c:v>
                </c:pt>
                <c:pt idx="1">
                  <c:v>NO CoNS  WITH TTE</c:v>
                </c:pt>
                <c:pt idx="2">
                  <c:v>CoNS WITHOUT TTE</c:v>
                </c:pt>
                <c:pt idx="3">
                  <c:v>CoNS WITH TTE</c:v>
                </c:pt>
              </c:strCache>
            </c:strRef>
          </c:cat>
          <c:val>
            <c:numRef>
              <c:f>'chisq analysis'!$BR$132:$BR$135</c:f>
              <c:numCache>
                <c:formatCode>General</c:formatCode>
                <c:ptCount val="4"/>
                <c:pt idx="0">
                  <c:v>17.5</c:v>
                </c:pt>
                <c:pt idx="1">
                  <c:v>49.5</c:v>
                </c:pt>
                <c:pt idx="2">
                  <c:v>17.5</c:v>
                </c:pt>
                <c:pt idx="3">
                  <c:v>49.5</c:v>
                </c:pt>
              </c:numCache>
            </c:numRef>
          </c:val>
          <c:extLst>
            <c:ext xmlns:c16="http://schemas.microsoft.com/office/drawing/2014/chart" uri="{C3380CC4-5D6E-409C-BE32-E72D297353CC}">
              <c16:uniqueId val="{00000001-A475-4308-8CC8-FA768B9D8C52}"/>
            </c:ext>
          </c:extLst>
        </c:ser>
        <c:ser>
          <c:idx val="1"/>
          <c:order val="1"/>
          <c:tx>
            <c:strRef>
              <c:f>'chisq analysis'!$BS$131</c:f>
              <c:strCache>
                <c:ptCount val="1"/>
                <c:pt idx="0">
                  <c:v>Actual</c:v>
                </c:pt>
              </c:strCache>
            </c:strRef>
          </c:tx>
          <c:spPr>
            <a:solidFill>
              <a:schemeClr val="accent2"/>
            </a:solidFill>
            <a:ln>
              <a:noFill/>
            </a:ln>
            <a:effectLst/>
          </c:spPr>
          <c:invertIfNegative val="0"/>
          <c:cat>
            <c:strRef>
              <c:f>'chisq analysis'!$BQ$132:$BQ$135</c:f>
              <c:strCache>
                <c:ptCount val="4"/>
                <c:pt idx="0">
                  <c:v>NO CoNS WITHOUT TTE</c:v>
                </c:pt>
                <c:pt idx="1">
                  <c:v>NO CoNS  WITH TTE</c:v>
                </c:pt>
                <c:pt idx="2">
                  <c:v>CoNS WITHOUT TTE</c:v>
                </c:pt>
                <c:pt idx="3">
                  <c:v>CoNS WITH TTE</c:v>
                </c:pt>
              </c:strCache>
            </c:strRef>
          </c:cat>
          <c:val>
            <c:numRef>
              <c:f>'chisq analysis'!$BS$132:$BS$135</c:f>
              <c:numCache>
                <c:formatCode>General</c:formatCode>
                <c:ptCount val="4"/>
                <c:pt idx="0">
                  <c:v>3</c:v>
                </c:pt>
                <c:pt idx="1">
                  <c:v>64</c:v>
                </c:pt>
                <c:pt idx="2">
                  <c:v>32</c:v>
                </c:pt>
                <c:pt idx="3">
                  <c:v>35</c:v>
                </c:pt>
              </c:numCache>
            </c:numRef>
          </c:val>
          <c:extLst>
            <c:ext xmlns:c16="http://schemas.microsoft.com/office/drawing/2014/chart" uri="{C3380CC4-5D6E-409C-BE32-E72D297353CC}">
              <c16:uniqueId val="{00000003-A475-4308-8CC8-FA768B9D8C52}"/>
            </c:ext>
          </c:extLst>
        </c:ser>
        <c:dLbls>
          <c:showLegendKey val="0"/>
          <c:showVal val="0"/>
          <c:showCatName val="0"/>
          <c:showSerName val="0"/>
          <c:showPercent val="0"/>
          <c:showBubbleSize val="0"/>
        </c:dLbls>
        <c:gapWidth val="219"/>
        <c:overlap val="-27"/>
        <c:axId val="1136351752"/>
        <c:axId val="1157976584"/>
      </c:barChart>
      <c:catAx>
        <c:axId val="1136351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7976584"/>
        <c:crosses val="autoZero"/>
        <c:auto val="1"/>
        <c:lblAlgn val="ctr"/>
        <c:lblOffset val="100"/>
        <c:noMultiLvlLbl val="0"/>
      </c:catAx>
      <c:valAx>
        <c:axId val="11579765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6351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analysis'!$AF$17</c:f>
              <c:strCache>
                <c:ptCount val="1"/>
                <c:pt idx="0">
                  <c:v>Expected</c:v>
                </c:pt>
              </c:strCache>
            </c:strRef>
          </c:tx>
          <c:spPr>
            <a:solidFill>
              <a:schemeClr val="accent1"/>
            </a:solidFill>
            <a:ln>
              <a:noFill/>
            </a:ln>
            <a:effectLst/>
          </c:spPr>
          <c:invertIfNegative val="0"/>
          <c:cat>
            <c:strRef>
              <c:f>'chisq analysis'!$AE$18:$AE$21</c:f>
              <c:strCache>
                <c:ptCount val="4"/>
                <c:pt idx="0">
                  <c:v>NO plan longterm abx WITHOUT TEE use</c:v>
                </c:pt>
                <c:pt idx="1">
                  <c:v>NO plan longterm abx WITH TEE use</c:v>
                </c:pt>
                <c:pt idx="2">
                  <c:v>plan longterm abx WITHOUT TEE use</c:v>
                </c:pt>
                <c:pt idx="3">
                  <c:v>plan longterm abx WITH TEE use</c:v>
                </c:pt>
              </c:strCache>
            </c:strRef>
          </c:cat>
          <c:val>
            <c:numRef>
              <c:f>'chisq analysis'!$AF$18:$AF$21</c:f>
              <c:numCache>
                <c:formatCode>General</c:formatCode>
                <c:ptCount val="4"/>
                <c:pt idx="0">
                  <c:v>66.619402985074629</c:v>
                </c:pt>
                <c:pt idx="1">
                  <c:v>12.380597014925373</c:v>
                </c:pt>
                <c:pt idx="2">
                  <c:v>46.380597014925371</c:v>
                </c:pt>
                <c:pt idx="3">
                  <c:v>8.6194029850746272</c:v>
                </c:pt>
              </c:numCache>
            </c:numRef>
          </c:val>
          <c:extLst>
            <c:ext xmlns:c16="http://schemas.microsoft.com/office/drawing/2014/chart" uri="{C3380CC4-5D6E-409C-BE32-E72D297353CC}">
              <c16:uniqueId val="{00000001-8AFA-432C-B62D-E0D4FE54C168}"/>
            </c:ext>
          </c:extLst>
        </c:ser>
        <c:ser>
          <c:idx val="1"/>
          <c:order val="1"/>
          <c:tx>
            <c:strRef>
              <c:f>'chisq analysis'!$AG$17</c:f>
              <c:strCache>
                <c:ptCount val="1"/>
                <c:pt idx="0">
                  <c:v>Actual</c:v>
                </c:pt>
              </c:strCache>
            </c:strRef>
          </c:tx>
          <c:spPr>
            <a:solidFill>
              <a:schemeClr val="accent2"/>
            </a:solidFill>
            <a:ln>
              <a:noFill/>
            </a:ln>
            <a:effectLst/>
          </c:spPr>
          <c:invertIfNegative val="0"/>
          <c:cat>
            <c:strRef>
              <c:f>'chisq analysis'!$AE$18:$AE$21</c:f>
              <c:strCache>
                <c:ptCount val="4"/>
                <c:pt idx="0">
                  <c:v>NO plan longterm abx WITHOUT TEE use</c:v>
                </c:pt>
                <c:pt idx="1">
                  <c:v>NO plan longterm abx WITH TEE use</c:v>
                </c:pt>
                <c:pt idx="2">
                  <c:v>plan longterm abx WITHOUT TEE use</c:v>
                </c:pt>
                <c:pt idx="3">
                  <c:v>plan longterm abx WITH TEE use</c:v>
                </c:pt>
              </c:strCache>
            </c:strRef>
          </c:cat>
          <c:val>
            <c:numRef>
              <c:f>'chisq analysis'!$AG$18:$AG$21</c:f>
              <c:numCache>
                <c:formatCode>General</c:formatCode>
                <c:ptCount val="4"/>
                <c:pt idx="0">
                  <c:v>74</c:v>
                </c:pt>
                <c:pt idx="1">
                  <c:v>5</c:v>
                </c:pt>
                <c:pt idx="2">
                  <c:v>39</c:v>
                </c:pt>
                <c:pt idx="3">
                  <c:v>16</c:v>
                </c:pt>
              </c:numCache>
            </c:numRef>
          </c:val>
          <c:extLst>
            <c:ext xmlns:c16="http://schemas.microsoft.com/office/drawing/2014/chart" uri="{C3380CC4-5D6E-409C-BE32-E72D297353CC}">
              <c16:uniqueId val="{00000003-8AFA-432C-B62D-E0D4FE54C168}"/>
            </c:ext>
          </c:extLst>
        </c:ser>
        <c:dLbls>
          <c:showLegendKey val="0"/>
          <c:showVal val="0"/>
          <c:showCatName val="0"/>
          <c:showSerName val="0"/>
          <c:showPercent val="0"/>
          <c:showBubbleSize val="0"/>
        </c:dLbls>
        <c:gapWidth val="219"/>
        <c:overlap val="-27"/>
        <c:axId val="661181447"/>
        <c:axId val="661183495"/>
      </c:barChart>
      <c:catAx>
        <c:axId val="661181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183495"/>
        <c:crosses val="autoZero"/>
        <c:auto val="1"/>
        <c:lblAlgn val="ctr"/>
        <c:lblOffset val="100"/>
        <c:noMultiLvlLbl val="0"/>
      </c:catAx>
      <c:valAx>
        <c:axId val="661183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1814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analysis'!$DC$17</c:f>
              <c:strCache>
                <c:ptCount val="1"/>
                <c:pt idx="0">
                  <c:v>Expected</c:v>
                </c:pt>
              </c:strCache>
            </c:strRef>
          </c:tx>
          <c:spPr>
            <a:solidFill>
              <a:schemeClr val="accent1"/>
            </a:solidFill>
            <a:ln>
              <a:noFill/>
            </a:ln>
            <a:effectLst/>
          </c:spPr>
          <c:invertIfNegative val="0"/>
          <c:cat>
            <c:strRef>
              <c:f>'chisq analysis'!$DB$18:$DB$21</c:f>
              <c:strCache>
                <c:ptCount val="4"/>
                <c:pt idx="0">
                  <c:v>NO prosthetic valve WITHOUT TEE use</c:v>
                </c:pt>
                <c:pt idx="1">
                  <c:v>NO prosthetic valve WITH TEE use</c:v>
                </c:pt>
                <c:pt idx="2">
                  <c:v>prosthetic valve WITHOUT TEE use</c:v>
                </c:pt>
                <c:pt idx="3">
                  <c:v>prosthetic valve  WITH TEE use</c:v>
                </c:pt>
              </c:strCache>
            </c:strRef>
          </c:cat>
          <c:val>
            <c:numRef>
              <c:f>'chisq analysis'!$DC$18:$DC$21</c:f>
              <c:numCache>
                <c:formatCode>General</c:formatCode>
                <c:ptCount val="4"/>
                <c:pt idx="0">
                  <c:v>108.78358208955224</c:v>
                </c:pt>
                <c:pt idx="1">
                  <c:v>20.21641791044776</c:v>
                </c:pt>
                <c:pt idx="2">
                  <c:v>4.2164179104477615</c:v>
                </c:pt>
                <c:pt idx="3">
                  <c:v>0.78358208955223885</c:v>
                </c:pt>
              </c:numCache>
            </c:numRef>
          </c:val>
          <c:extLst>
            <c:ext xmlns:c16="http://schemas.microsoft.com/office/drawing/2014/chart" uri="{C3380CC4-5D6E-409C-BE32-E72D297353CC}">
              <c16:uniqueId val="{00000001-D248-4DA6-8E02-480B189AC2D4}"/>
            </c:ext>
          </c:extLst>
        </c:ser>
        <c:ser>
          <c:idx val="1"/>
          <c:order val="1"/>
          <c:tx>
            <c:strRef>
              <c:f>'chisq analysis'!$DD$17</c:f>
              <c:strCache>
                <c:ptCount val="1"/>
                <c:pt idx="0">
                  <c:v>Actual</c:v>
                </c:pt>
              </c:strCache>
            </c:strRef>
          </c:tx>
          <c:spPr>
            <a:solidFill>
              <a:schemeClr val="accent2"/>
            </a:solidFill>
            <a:ln>
              <a:noFill/>
            </a:ln>
            <a:effectLst/>
          </c:spPr>
          <c:invertIfNegative val="0"/>
          <c:cat>
            <c:strRef>
              <c:f>'chisq analysis'!$DB$18:$DB$21</c:f>
              <c:strCache>
                <c:ptCount val="4"/>
                <c:pt idx="0">
                  <c:v>NO prosthetic valve WITHOUT TEE use</c:v>
                </c:pt>
                <c:pt idx="1">
                  <c:v>NO prosthetic valve WITH TEE use</c:v>
                </c:pt>
                <c:pt idx="2">
                  <c:v>prosthetic valve WITHOUT TEE use</c:v>
                </c:pt>
                <c:pt idx="3">
                  <c:v>prosthetic valve  WITH TEE use</c:v>
                </c:pt>
              </c:strCache>
            </c:strRef>
          </c:cat>
          <c:val>
            <c:numRef>
              <c:f>'chisq analysis'!$DD$18:$DD$21</c:f>
              <c:numCache>
                <c:formatCode>General</c:formatCode>
                <c:ptCount val="4"/>
                <c:pt idx="0">
                  <c:v>111</c:v>
                </c:pt>
                <c:pt idx="1">
                  <c:v>18</c:v>
                </c:pt>
                <c:pt idx="2">
                  <c:v>2</c:v>
                </c:pt>
                <c:pt idx="3">
                  <c:v>3</c:v>
                </c:pt>
              </c:numCache>
            </c:numRef>
          </c:val>
          <c:extLst>
            <c:ext xmlns:c16="http://schemas.microsoft.com/office/drawing/2014/chart" uri="{C3380CC4-5D6E-409C-BE32-E72D297353CC}">
              <c16:uniqueId val="{00000003-D248-4DA6-8E02-480B189AC2D4}"/>
            </c:ext>
          </c:extLst>
        </c:ser>
        <c:dLbls>
          <c:showLegendKey val="0"/>
          <c:showVal val="0"/>
          <c:showCatName val="0"/>
          <c:showSerName val="0"/>
          <c:showPercent val="0"/>
          <c:showBubbleSize val="0"/>
        </c:dLbls>
        <c:gapWidth val="219"/>
        <c:overlap val="-27"/>
        <c:axId val="1424354312"/>
        <c:axId val="1161794567"/>
      </c:barChart>
      <c:catAx>
        <c:axId val="14243543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1794567"/>
        <c:crosses val="autoZero"/>
        <c:auto val="1"/>
        <c:lblAlgn val="ctr"/>
        <c:lblOffset val="100"/>
        <c:noMultiLvlLbl val="0"/>
      </c:catAx>
      <c:valAx>
        <c:axId val="116179456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43543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analysis'!$DH$17</c:f>
              <c:strCache>
                <c:ptCount val="1"/>
                <c:pt idx="0">
                  <c:v>Expected</c:v>
                </c:pt>
              </c:strCache>
            </c:strRef>
          </c:tx>
          <c:spPr>
            <a:solidFill>
              <a:schemeClr val="accent1"/>
            </a:solidFill>
            <a:ln>
              <a:noFill/>
            </a:ln>
            <a:effectLst/>
          </c:spPr>
          <c:invertIfNegative val="0"/>
          <c:cat>
            <c:strRef>
              <c:f>'chisq analysis'!$DG$18:$DG$21</c:f>
              <c:strCache>
                <c:ptCount val="4"/>
                <c:pt idx="0">
                  <c:v>NO IC device WITHOUT TEE use</c:v>
                </c:pt>
                <c:pt idx="1">
                  <c:v>NO IC device WITH TEE use</c:v>
                </c:pt>
                <c:pt idx="2">
                  <c:v>IC device WITHOUT TEE use</c:v>
                </c:pt>
                <c:pt idx="3">
                  <c:v>IC device WITH TEE use</c:v>
                </c:pt>
              </c:strCache>
            </c:strRef>
          </c:cat>
          <c:val>
            <c:numRef>
              <c:f>'chisq analysis'!$DH$18:$DH$21</c:f>
              <c:numCache>
                <c:formatCode>General</c:formatCode>
                <c:ptCount val="4"/>
                <c:pt idx="0">
                  <c:v>103.72388059701493</c:v>
                </c:pt>
                <c:pt idx="1">
                  <c:v>19.276119402985074</c:v>
                </c:pt>
                <c:pt idx="2">
                  <c:v>9.2761194029850742</c:v>
                </c:pt>
                <c:pt idx="3">
                  <c:v>1.7238805970149254</c:v>
                </c:pt>
              </c:numCache>
            </c:numRef>
          </c:val>
          <c:extLst>
            <c:ext xmlns:c16="http://schemas.microsoft.com/office/drawing/2014/chart" uri="{C3380CC4-5D6E-409C-BE32-E72D297353CC}">
              <c16:uniqueId val="{00000001-6705-428F-9220-125E4FF74B31}"/>
            </c:ext>
          </c:extLst>
        </c:ser>
        <c:ser>
          <c:idx val="1"/>
          <c:order val="1"/>
          <c:tx>
            <c:strRef>
              <c:f>'chisq analysis'!$DI$17</c:f>
              <c:strCache>
                <c:ptCount val="1"/>
                <c:pt idx="0">
                  <c:v>Actual</c:v>
                </c:pt>
              </c:strCache>
            </c:strRef>
          </c:tx>
          <c:spPr>
            <a:solidFill>
              <a:schemeClr val="accent2"/>
            </a:solidFill>
            <a:ln>
              <a:noFill/>
            </a:ln>
            <a:effectLst/>
          </c:spPr>
          <c:invertIfNegative val="0"/>
          <c:cat>
            <c:strRef>
              <c:f>'chisq analysis'!$DG$18:$DG$21</c:f>
              <c:strCache>
                <c:ptCount val="4"/>
                <c:pt idx="0">
                  <c:v>NO IC device WITHOUT TEE use</c:v>
                </c:pt>
                <c:pt idx="1">
                  <c:v>NO IC device WITH TEE use</c:v>
                </c:pt>
                <c:pt idx="2">
                  <c:v>IC device WITHOUT TEE use</c:v>
                </c:pt>
                <c:pt idx="3">
                  <c:v>IC device WITH TEE use</c:v>
                </c:pt>
              </c:strCache>
            </c:strRef>
          </c:cat>
          <c:val>
            <c:numRef>
              <c:f>'chisq analysis'!$DI$18:$DI$21</c:f>
              <c:numCache>
                <c:formatCode>General</c:formatCode>
                <c:ptCount val="4"/>
                <c:pt idx="0">
                  <c:v>106</c:v>
                </c:pt>
                <c:pt idx="1">
                  <c:v>17</c:v>
                </c:pt>
                <c:pt idx="2">
                  <c:v>7</c:v>
                </c:pt>
                <c:pt idx="3">
                  <c:v>4</c:v>
                </c:pt>
              </c:numCache>
            </c:numRef>
          </c:val>
          <c:extLst>
            <c:ext xmlns:c16="http://schemas.microsoft.com/office/drawing/2014/chart" uri="{C3380CC4-5D6E-409C-BE32-E72D297353CC}">
              <c16:uniqueId val="{00000003-6705-428F-9220-125E4FF74B31}"/>
            </c:ext>
          </c:extLst>
        </c:ser>
        <c:dLbls>
          <c:showLegendKey val="0"/>
          <c:showVal val="0"/>
          <c:showCatName val="0"/>
          <c:showSerName val="0"/>
          <c:showPercent val="0"/>
          <c:showBubbleSize val="0"/>
        </c:dLbls>
        <c:gapWidth val="219"/>
        <c:overlap val="-27"/>
        <c:axId val="1252459527"/>
        <c:axId val="1252461575"/>
      </c:barChart>
      <c:catAx>
        <c:axId val="1252459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2461575"/>
        <c:crosses val="autoZero"/>
        <c:auto val="1"/>
        <c:lblAlgn val="ctr"/>
        <c:lblOffset val="100"/>
        <c:noMultiLvlLbl val="0"/>
      </c:catAx>
      <c:valAx>
        <c:axId val="12524615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24595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analysis'!$DM$17</c:f>
              <c:strCache>
                <c:ptCount val="1"/>
                <c:pt idx="0">
                  <c:v>Expected</c:v>
                </c:pt>
              </c:strCache>
            </c:strRef>
          </c:tx>
          <c:spPr>
            <a:solidFill>
              <a:schemeClr val="accent1"/>
            </a:solidFill>
            <a:ln>
              <a:noFill/>
            </a:ln>
            <a:effectLst/>
          </c:spPr>
          <c:invertIfNegative val="0"/>
          <c:cat>
            <c:strRef>
              <c:f>'chisq analysis'!$DL$18:$DL$21</c:f>
              <c:strCache>
                <c:ptCount val="4"/>
                <c:pt idx="0">
                  <c:v>NO IVDU WITHOUT TEE use</c:v>
                </c:pt>
                <c:pt idx="1">
                  <c:v>NO IVDU WITH TEE use</c:v>
                </c:pt>
                <c:pt idx="2">
                  <c:v>IVDU WITHOUT TEE use</c:v>
                </c:pt>
                <c:pt idx="3">
                  <c:v>IVDU WITH TEE use</c:v>
                </c:pt>
              </c:strCache>
            </c:strRef>
          </c:cat>
          <c:val>
            <c:numRef>
              <c:f>'chisq analysis'!$DM$18:$DM$21</c:f>
              <c:numCache>
                <c:formatCode>General</c:formatCode>
                <c:ptCount val="4"/>
                <c:pt idx="0">
                  <c:v>108.78358208955224</c:v>
                </c:pt>
                <c:pt idx="1">
                  <c:v>20.21641791044776</c:v>
                </c:pt>
                <c:pt idx="2">
                  <c:v>4.2164179104477615</c:v>
                </c:pt>
                <c:pt idx="3">
                  <c:v>0.78358208955223885</c:v>
                </c:pt>
              </c:numCache>
            </c:numRef>
          </c:val>
          <c:extLst>
            <c:ext xmlns:c16="http://schemas.microsoft.com/office/drawing/2014/chart" uri="{C3380CC4-5D6E-409C-BE32-E72D297353CC}">
              <c16:uniqueId val="{00000001-89C2-4889-B9E4-FCC99A47E84D}"/>
            </c:ext>
          </c:extLst>
        </c:ser>
        <c:ser>
          <c:idx val="1"/>
          <c:order val="1"/>
          <c:tx>
            <c:strRef>
              <c:f>'chisq analysis'!$DN$17</c:f>
              <c:strCache>
                <c:ptCount val="1"/>
                <c:pt idx="0">
                  <c:v>Actual</c:v>
                </c:pt>
              </c:strCache>
            </c:strRef>
          </c:tx>
          <c:spPr>
            <a:solidFill>
              <a:schemeClr val="accent2"/>
            </a:solidFill>
            <a:ln>
              <a:noFill/>
            </a:ln>
            <a:effectLst/>
          </c:spPr>
          <c:invertIfNegative val="0"/>
          <c:cat>
            <c:strRef>
              <c:f>'chisq analysis'!$DL$18:$DL$21</c:f>
              <c:strCache>
                <c:ptCount val="4"/>
                <c:pt idx="0">
                  <c:v>NO IVDU WITHOUT TEE use</c:v>
                </c:pt>
                <c:pt idx="1">
                  <c:v>NO IVDU WITH TEE use</c:v>
                </c:pt>
                <c:pt idx="2">
                  <c:v>IVDU WITHOUT TEE use</c:v>
                </c:pt>
                <c:pt idx="3">
                  <c:v>IVDU WITH TEE use</c:v>
                </c:pt>
              </c:strCache>
            </c:strRef>
          </c:cat>
          <c:val>
            <c:numRef>
              <c:f>'chisq analysis'!$DN$18:$DN$21</c:f>
              <c:numCache>
                <c:formatCode>General</c:formatCode>
                <c:ptCount val="4"/>
                <c:pt idx="0">
                  <c:v>111</c:v>
                </c:pt>
                <c:pt idx="1">
                  <c:v>18</c:v>
                </c:pt>
                <c:pt idx="2">
                  <c:v>2</c:v>
                </c:pt>
                <c:pt idx="3">
                  <c:v>3</c:v>
                </c:pt>
              </c:numCache>
            </c:numRef>
          </c:val>
          <c:extLst>
            <c:ext xmlns:c16="http://schemas.microsoft.com/office/drawing/2014/chart" uri="{C3380CC4-5D6E-409C-BE32-E72D297353CC}">
              <c16:uniqueId val="{00000003-89C2-4889-B9E4-FCC99A47E84D}"/>
            </c:ext>
          </c:extLst>
        </c:ser>
        <c:dLbls>
          <c:showLegendKey val="0"/>
          <c:showVal val="0"/>
          <c:showCatName val="0"/>
          <c:showSerName val="0"/>
          <c:showPercent val="0"/>
          <c:showBubbleSize val="0"/>
        </c:dLbls>
        <c:gapWidth val="219"/>
        <c:overlap val="-27"/>
        <c:axId val="1689135623"/>
        <c:axId val="1689188871"/>
      </c:barChart>
      <c:catAx>
        <c:axId val="1689135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9188871"/>
        <c:crosses val="autoZero"/>
        <c:auto val="1"/>
        <c:lblAlgn val="ctr"/>
        <c:lblOffset val="100"/>
        <c:noMultiLvlLbl val="0"/>
      </c:catAx>
      <c:valAx>
        <c:axId val="16891888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891356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analysis'!$DH$55</c:f>
              <c:strCache>
                <c:ptCount val="1"/>
                <c:pt idx="0">
                  <c:v>Expected</c:v>
                </c:pt>
              </c:strCache>
            </c:strRef>
          </c:tx>
          <c:spPr>
            <a:solidFill>
              <a:schemeClr val="accent1"/>
            </a:solidFill>
            <a:ln>
              <a:noFill/>
            </a:ln>
            <a:effectLst/>
          </c:spPr>
          <c:invertIfNegative val="0"/>
          <c:cat>
            <c:strRef>
              <c:f>'chisq analysis'!$DG$56:$DG$59</c:f>
              <c:strCache>
                <c:ptCount val="4"/>
                <c:pt idx="0">
                  <c:v>NO IC device WITHOUT DEF dx IE</c:v>
                </c:pt>
                <c:pt idx="1">
                  <c:v>NO IC device WITH DEF dx IE</c:v>
                </c:pt>
                <c:pt idx="2">
                  <c:v>IC device WITHOUT DEF dx IE</c:v>
                </c:pt>
                <c:pt idx="3">
                  <c:v>IC device WITH DEF dx IE</c:v>
                </c:pt>
              </c:strCache>
            </c:strRef>
          </c:cat>
          <c:val>
            <c:numRef>
              <c:f>'chisq analysis'!$DH$56:$DH$59</c:f>
              <c:numCache>
                <c:formatCode>General</c:formatCode>
                <c:ptCount val="4"/>
                <c:pt idx="0">
                  <c:v>111.06716417910448</c:v>
                </c:pt>
                <c:pt idx="1">
                  <c:v>11.932835820895523</c:v>
                </c:pt>
                <c:pt idx="2">
                  <c:v>9.932835820895523</c:v>
                </c:pt>
                <c:pt idx="3">
                  <c:v>1.0671641791044777</c:v>
                </c:pt>
              </c:numCache>
            </c:numRef>
          </c:val>
          <c:extLst>
            <c:ext xmlns:c16="http://schemas.microsoft.com/office/drawing/2014/chart" uri="{C3380CC4-5D6E-409C-BE32-E72D297353CC}">
              <c16:uniqueId val="{00000001-45B6-408B-AF42-92CD69504402}"/>
            </c:ext>
          </c:extLst>
        </c:ser>
        <c:ser>
          <c:idx val="1"/>
          <c:order val="1"/>
          <c:tx>
            <c:strRef>
              <c:f>'chisq analysis'!$DI$55</c:f>
              <c:strCache>
                <c:ptCount val="1"/>
                <c:pt idx="0">
                  <c:v>Actual</c:v>
                </c:pt>
              </c:strCache>
            </c:strRef>
          </c:tx>
          <c:spPr>
            <a:solidFill>
              <a:schemeClr val="accent2"/>
            </a:solidFill>
            <a:ln>
              <a:noFill/>
            </a:ln>
            <a:effectLst/>
          </c:spPr>
          <c:invertIfNegative val="0"/>
          <c:cat>
            <c:strRef>
              <c:f>'chisq analysis'!$DG$56:$DG$59</c:f>
              <c:strCache>
                <c:ptCount val="4"/>
                <c:pt idx="0">
                  <c:v>NO IC device WITHOUT DEF dx IE</c:v>
                </c:pt>
                <c:pt idx="1">
                  <c:v>NO IC device WITH DEF dx IE</c:v>
                </c:pt>
                <c:pt idx="2">
                  <c:v>IC device WITHOUT DEF dx IE</c:v>
                </c:pt>
                <c:pt idx="3">
                  <c:v>IC device WITH DEF dx IE</c:v>
                </c:pt>
              </c:strCache>
            </c:strRef>
          </c:cat>
          <c:val>
            <c:numRef>
              <c:f>'chisq analysis'!$DI$56:$DI$59</c:f>
              <c:numCache>
                <c:formatCode>General</c:formatCode>
                <c:ptCount val="4"/>
                <c:pt idx="0">
                  <c:v>113</c:v>
                </c:pt>
                <c:pt idx="1">
                  <c:v>10</c:v>
                </c:pt>
                <c:pt idx="2">
                  <c:v>8</c:v>
                </c:pt>
                <c:pt idx="3">
                  <c:v>3</c:v>
                </c:pt>
              </c:numCache>
            </c:numRef>
          </c:val>
          <c:extLst>
            <c:ext xmlns:c16="http://schemas.microsoft.com/office/drawing/2014/chart" uri="{C3380CC4-5D6E-409C-BE32-E72D297353CC}">
              <c16:uniqueId val="{00000003-45B6-408B-AF42-92CD69504402}"/>
            </c:ext>
          </c:extLst>
        </c:ser>
        <c:dLbls>
          <c:showLegendKey val="0"/>
          <c:showVal val="0"/>
          <c:showCatName val="0"/>
          <c:showSerName val="0"/>
          <c:showPercent val="0"/>
          <c:showBubbleSize val="0"/>
        </c:dLbls>
        <c:gapWidth val="219"/>
        <c:overlap val="-27"/>
        <c:axId val="1304421384"/>
        <c:axId val="1304423944"/>
      </c:barChart>
      <c:catAx>
        <c:axId val="1304421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4423944"/>
        <c:crosses val="autoZero"/>
        <c:auto val="1"/>
        <c:lblAlgn val="ctr"/>
        <c:lblOffset val="100"/>
        <c:noMultiLvlLbl val="0"/>
      </c:catAx>
      <c:valAx>
        <c:axId val="1304423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44213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analysis'!$DM$55</c:f>
              <c:strCache>
                <c:ptCount val="1"/>
                <c:pt idx="0">
                  <c:v>Expected</c:v>
                </c:pt>
              </c:strCache>
            </c:strRef>
          </c:tx>
          <c:spPr>
            <a:solidFill>
              <a:schemeClr val="accent1"/>
            </a:solidFill>
            <a:ln>
              <a:noFill/>
            </a:ln>
            <a:effectLst/>
          </c:spPr>
          <c:invertIfNegative val="0"/>
          <c:cat>
            <c:strRef>
              <c:f>'chisq analysis'!$DL$56:$DL$59</c:f>
              <c:strCache>
                <c:ptCount val="4"/>
                <c:pt idx="0">
                  <c:v>NO IVDU WITHOUT DEF dx IE</c:v>
                </c:pt>
                <c:pt idx="1">
                  <c:v>NO IVDU WITH DEF dx IE</c:v>
                </c:pt>
                <c:pt idx="2">
                  <c:v>IVDU WITHOUT DEF dx IE</c:v>
                </c:pt>
                <c:pt idx="3">
                  <c:v>IVDU WITH DEF dx IE</c:v>
                </c:pt>
              </c:strCache>
            </c:strRef>
          </c:cat>
          <c:val>
            <c:numRef>
              <c:f>'chisq analysis'!$DM$56:$DM$59</c:f>
              <c:numCache>
                <c:formatCode>General</c:formatCode>
                <c:ptCount val="4"/>
                <c:pt idx="0">
                  <c:v>116.48507462686567</c:v>
                </c:pt>
                <c:pt idx="1">
                  <c:v>12.514925373134329</c:v>
                </c:pt>
                <c:pt idx="2">
                  <c:v>4.5149253731343286</c:v>
                </c:pt>
                <c:pt idx="3">
                  <c:v>0.48507462686567165</c:v>
                </c:pt>
              </c:numCache>
            </c:numRef>
          </c:val>
          <c:extLst>
            <c:ext xmlns:c16="http://schemas.microsoft.com/office/drawing/2014/chart" uri="{C3380CC4-5D6E-409C-BE32-E72D297353CC}">
              <c16:uniqueId val="{00000001-4EE1-4EB5-83C2-C5C03DC235A3}"/>
            </c:ext>
          </c:extLst>
        </c:ser>
        <c:ser>
          <c:idx val="1"/>
          <c:order val="1"/>
          <c:tx>
            <c:strRef>
              <c:f>'chisq analysis'!$DN$55</c:f>
              <c:strCache>
                <c:ptCount val="1"/>
                <c:pt idx="0">
                  <c:v>Actual</c:v>
                </c:pt>
              </c:strCache>
            </c:strRef>
          </c:tx>
          <c:spPr>
            <a:solidFill>
              <a:schemeClr val="accent2"/>
            </a:solidFill>
            <a:ln>
              <a:noFill/>
            </a:ln>
            <a:effectLst/>
          </c:spPr>
          <c:invertIfNegative val="0"/>
          <c:cat>
            <c:strRef>
              <c:f>'chisq analysis'!$DL$56:$DL$59</c:f>
              <c:strCache>
                <c:ptCount val="4"/>
                <c:pt idx="0">
                  <c:v>NO IVDU WITHOUT DEF dx IE</c:v>
                </c:pt>
                <c:pt idx="1">
                  <c:v>NO IVDU WITH DEF dx IE</c:v>
                </c:pt>
                <c:pt idx="2">
                  <c:v>IVDU WITHOUT DEF dx IE</c:v>
                </c:pt>
                <c:pt idx="3">
                  <c:v>IVDU WITH DEF dx IE</c:v>
                </c:pt>
              </c:strCache>
            </c:strRef>
          </c:cat>
          <c:val>
            <c:numRef>
              <c:f>'chisq analysis'!$DN$56:$DN$59</c:f>
              <c:numCache>
                <c:formatCode>General</c:formatCode>
                <c:ptCount val="4"/>
                <c:pt idx="0">
                  <c:v>118</c:v>
                </c:pt>
                <c:pt idx="1">
                  <c:v>11</c:v>
                </c:pt>
                <c:pt idx="2">
                  <c:v>3</c:v>
                </c:pt>
                <c:pt idx="3">
                  <c:v>2</c:v>
                </c:pt>
              </c:numCache>
            </c:numRef>
          </c:val>
          <c:extLst>
            <c:ext xmlns:c16="http://schemas.microsoft.com/office/drawing/2014/chart" uri="{C3380CC4-5D6E-409C-BE32-E72D297353CC}">
              <c16:uniqueId val="{00000003-4EE1-4EB5-83C2-C5C03DC235A3}"/>
            </c:ext>
          </c:extLst>
        </c:ser>
        <c:dLbls>
          <c:showLegendKey val="0"/>
          <c:showVal val="0"/>
          <c:showCatName val="0"/>
          <c:showSerName val="0"/>
          <c:showPercent val="0"/>
          <c:showBubbleSize val="0"/>
        </c:dLbls>
        <c:gapWidth val="219"/>
        <c:overlap val="-27"/>
        <c:axId val="1973082631"/>
        <c:axId val="1502743560"/>
      </c:barChart>
      <c:catAx>
        <c:axId val="19730826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2743560"/>
        <c:crosses val="autoZero"/>
        <c:auto val="1"/>
        <c:lblAlgn val="ctr"/>
        <c:lblOffset val="100"/>
        <c:noMultiLvlLbl val="0"/>
      </c:catAx>
      <c:valAx>
        <c:axId val="1502743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30826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analysis'!$DH$93</c:f>
              <c:strCache>
                <c:ptCount val="1"/>
                <c:pt idx="0">
                  <c:v>Expected</c:v>
                </c:pt>
              </c:strCache>
            </c:strRef>
          </c:tx>
          <c:spPr>
            <a:solidFill>
              <a:schemeClr val="accent1"/>
            </a:solidFill>
            <a:ln>
              <a:noFill/>
            </a:ln>
            <a:effectLst/>
          </c:spPr>
          <c:invertIfNegative val="0"/>
          <c:cat>
            <c:strRef>
              <c:f>'chisq analysis'!$DG$94:$DG$97</c:f>
              <c:strCache>
                <c:ptCount val="4"/>
                <c:pt idx="0">
                  <c:v>NO IC device WITHOUT POSS dx IE</c:v>
                </c:pt>
                <c:pt idx="1">
                  <c:v>NO IC device  WITH POSS dx IE</c:v>
                </c:pt>
                <c:pt idx="2">
                  <c:v>IC device WITHOUT POSS dx IE</c:v>
                </c:pt>
                <c:pt idx="3">
                  <c:v>IC device WITH POSS dx IE</c:v>
                </c:pt>
              </c:strCache>
            </c:strRef>
          </c:cat>
          <c:val>
            <c:numRef>
              <c:f>'chisq analysis'!$DH$94:$DH$97</c:f>
              <c:numCache>
                <c:formatCode>General</c:formatCode>
                <c:ptCount val="4"/>
                <c:pt idx="0">
                  <c:v>68.843283582089555</c:v>
                </c:pt>
                <c:pt idx="1">
                  <c:v>54.156716417910445</c:v>
                </c:pt>
                <c:pt idx="2">
                  <c:v>6.1567164179104479</c:v>
                </c:pt>
                <c:pt idx="3">
                  <c:v>4.8432835820895521</c:v>
                </c:pt>
              </c:numCache>
            </c:numRef>
          </c:val>
          <c:extLst>
            <c:ext xmlns:c16="http://schemas.microsoft.com/office/drawing/2014/chart" uri="{C3380CC4-5D6E-409C-BE32-E72D297353CC}">
              <c16:uniqueId val="{00000001-B7C1-46DE-9507-1E1A3D8A5FE2}"/>
            </c:ext>
          </c:extLst>
        </c:ser>
        <c:ser>
          <c:idx val="1"/>
          <c:order val="1"/>
          <c:tx>
            <c:strRef>
              <c:f>'chisq analysis'!$DI$93</c:f>
              <c:strCache>
                <c:ptCount val="1"/>
                <c:pt idx="0">
                  <c:v>Actual</c:v>
                </c:pt>
              </c:strCache>
            </c:strRef>
          </c:tx>
          <c:spPr>
            <a:solidFill>
              <a:schemeClr val="accent2"/>
            </a:solidFill>
            <a:ln>
              <a:noFill/>
            </a:ln>
            <a:effectLst/>
          </c:spPr>
          <c:invertIfNegative val="0"/>
          <c:cat>
            <c:strRef>
              <c:f>'chisq analysis'!$DG$94:$DG$97</c:f>
              <c:strCache>
                <c:ptCount val="4"/>
                <c:pt idx="0">
                  <c:v>NO IC device WITHOUT POSS dx IE</c:v>
                </c:pt>
                <c:pt idx="1">
                  <c:v>NO IC device  WITH POSS dx IE</c:v>
                </c:pt>
                <c:pt idx="2">
                  <c:v>IC device WITHOUT POSS dx IE</c:v>
                </c:pt>
                <c:pt idx="3">
                  <c:v>IC device WITH POSS dx IE</c:v>
                </c:pt>
              </c:strCache>
            </c:strRef>
          </c:cat>
          <c:val>
            <c:numRef>
              <c:f>'chisq analysis'!$DI$94:$DI$97</c:f>
              <c:numCache>
                <c:formatCode>General</c:formatCode>
                <c:ptCount val="4"/>
                <c:pt idx="0">
                  <c:v>73</c:v>
                </c:pt>
                <c:pt idx="1">
                  <c:v>50</c:v>
                </c:pt>
                <c:pt idx="2">
                  <c:v>2</c:v>
                </c:pt>
                <c:pt idx="3">
                  <c:v>9</c:v>
                </c:pt>
              </c:numCache>
            </c:numRef>
          </c:val>
          <c:extLst>
            <c:ext xmlns:c16="http://schemas.microsoft.com/office/drawing/2014/chart" uri="{C3380CC4-5D6E-409C-BE32-E72D297353CC}">
              <c16:uniqueId val="{00000003-B7C1-46DE-9507-1E1A3D8A5FE2}"/>
            </c:ext>
          </c:extLst>
        </c:ser>
        <c:dLbls>
          <c:showLegendKey val="0"/>
          <c:showVal val="0"/>
          <c:showCatName val="0"/>
          <c:showSerName val="0"/>
          <c:showPercent val="0"/>
          <c:showBubbleSize val="0"/>
        </c:dLbls>
        <c:gapWidth val="219"/>
        <c:overlap val="-27"/>
        <c:axId val="877123079"/>
        <c:axId val="1973047303"/>
      </c:barChart>
      <c:catAx>
        <c:axId val="8771230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3047303"/>
        <c:crosses val="autoZero"/>
        <c:auto val="1"/>
        <c:lblAlgn val="ctr"/>
        <c:lblOffset val="100"/>
        <c:noMultiLvlLbl val="0"/>
      </c:catAx>
      <c:valAx>
        <c:axId val="19730473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1230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analysis'!$DW$55</c:f>
              <c:strCache>
                <c:ptCount val="1"/>
                <c:pt idx="0">
                  <c:v>Expected</c:v>
                </c:pt>
              </c:strCache>
            </c:strRef>
          </c:tx>
          <c:spPr>
            <a:solidFill>
              <a:schemeClr val="accent1"/>
            </a:solidFill>
            <a:ln>
              <a:noFill/>
            </a:ln>
            <a:effectLst/>
          </c:spPr>
          <c:invertIfNegative val="0"/>
          <c:cat>
            <c:strRef>
              <c:f>'chisq analysis'!$DV$56:$DV$59</c:f>
              <c:strCache>
                <c:ptCount val="4"/>
                <c:pt idx="0">
                  <c:v>NO Cardstruct Abnrml WITHOUT DEF dx IE</c:v>
                </c:pt>
                <c:pt idx="1">
                  <c:v>NO Cardstruct Abnrml WITH DEF dx IE</c:v>
                </c:pt>
                <c:pt idx="2">
                  <c:v>Cardstruct Abnrml WITHOUT DEF dx IE</c:v>
                </c:pt>
                <c:pt idx="3">
                  <c:v>Cardstruct Abnrml WITH DEF dx IE</c:v>
                </c:pt>
              </c:strCache>
            </c:strRef>
          </c:cat>
          <c:val>
            <c:numRef>
              <c:f>'chisq analysis'!$DW$56:$DW$59</c:f>
              <c:numCache>
                <c:formatCode>General</c:formatCode>
                <c:ptCount val="4"/>
                <c:pt idx="0">
                  <c:v>72.238805970149258</c:v>
                </c:pt>
                <c:pt idx="1">
                  <c:v>7.7611940298507465</c:v>
                </c:pt>
                <c:pt idx="2">
                  <c:v>48.761194029850749</c:v>
                </c:pt>
                <c:pt idx="3">
                  <c:v>5.2388059701492535</c:v>
                </c:pt>
              </c:numCache>
            </c:numRef>
          </c:val>
          <c:extLst>
            <c:ext xmlns:c16="http://schemas.microsoft.com/office/drawing/2014/chart" uri="{C3380CC4-5D6E-409C-BE32-E72D297353CC}">
              <c16:uniqueId val="{00000001-16F7-47B4-8BE5-5517928FDB34}"/>
            </c:ext>
          </c:extLst>
        </c:ser>
        <c:ser>
          <c:idx val="1"/>
          <c:order val="1"/>
          <c:tx>
            <c:strRef>
              <c:f>'chisq analysis'!$DX$55</c:f>
              <c:strCache>
                <c:ptCount val="1"/>
                <c:pt idx="0">
                  <c:v>Actual</c:v>
                </c:pt>
              </c:strCache>
            </c:strRef>
          </c:tx>
          <c:spPr>
            <a:solidFill>
              <a:schemeClr val="accent2"/>
            </a:solidFill>
            <a:ln>
              <a:noFill/>
            </a:ln>
            <a:effectLst/>
          </c:spPr>
          <c:invertIfNegative val="0"/>
          <c:cat>
            <c:strRef>
              <c:f>'chisq analysis'!$DV$56:$DV$59</c:f>
              <c:strCache>
                <c:ptCount val="4"/>
                <c:pt idx="0">
                  <c:v>NO Cardstruct Abnrml WITHOUT DEF dx IE</c:v>
                </c:pt>
                <c:pt idx="1">
                  <c:v>NO Cardstruct Abnrml WITH DEF dx IE</c:v>
                </c:pt>
                <c:pt idx="2">
                  <c:v>Cardstruct Abnrml WITHOUT DEF dx IE</c:v>
                </c:pt>
                <c:pt idx="3">
                  <c:v>Cardstruct Abnrml WITH DEF dx IE</c:v>
                </c:pt>
              </c:strCache>
            </c:strRef>
          </c:cat>
          <c:val>
            <c:numRef>
              <c:f>'chisq analysis'!$DX$56:$DX$59</c:f>
              <c:numCache>
                <c:formatCode>General</c:formatCode>
                <c:ptCount val="4"/>
                <c:pt idx="0">
                  <c:v>78</c:v>
                </c:pt>
                <c:pt idx="1">
                  <c:v>2</c:v>
                </c:pt>
                <c:pt idx="2">
                  <c:v>43</c:v>
                </c:pt>
                <c:pt idx="3">
                  <c:v>11</c:v>
                </c:pt>
              </c:numCache>
            </c:numRef>
          </c:val>
          <c:extLst>
            <c:ext xmlns:c16="http://schemas.microsoft.com/office/drawing/2014/chart" uri="{C3380CC4-5D6E-409C-BE32-E72D297353CC}">
              <c16:uniqueId val="{00000003-16F7-47B4-8BE5-5517928FDB34}"/>
            </c:ext>
          </c:extLst>
        </c:ser>
        <c:dLbls>
          <c:showLegendKey val="0"/>
          <c:showVal val="0"/>
          <c:showCatName val="0"/>
          <c:showSerName val="0"/>
          <c:showPercent val="0"/>
          <c:showBubbleSize val="0"/>
        </c:dLbls>
        <c:gapWidth val="219"/>
        <c:overlap val="-27"/>
        <c:axId val="221533703"/>
        <c:axId val="560004103"/>
      </c:barChart>
      <c:catAx>
        <c:axId val="221533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0004103"/>
        <c:crosses val="autoZero"/>
        <c:auto val="1"/>
        <c:lblAlgn val="ctr"/>
        <c:lblOffset val="100"/>
        <c:noMultiLvlLbl val="0"/>
      </c:catAx>
      <c:valAx>
        <c:axId val="5600041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15337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analysis'!$EB$55</c:f>
              <c:strCache>
                <c:ptCount val="1"/>
                <c:pt idx="0">
                  <c:v>Expected</c:v>
                </c:pt>
              </c:strCache>
            </c:strRef>
          </c:tx>
          <c:spPr>
            <a:solidFill>
              <a:schemeClr val="accent1"/>
            </a:solidFill>
            <a:ln>
              <a:noFill/>
            </a:ln>
            <a:effectLst/>
          </c:spPr>
          <c:invertIfNegative val="0"/>
          <c:cat>
            <c:strRef>
              <c:f>'chisq analysis'!$EA$56:$EA$59</c:f>
              <c:strCache>
                <c:ptCount val="4"/>
                <c:pt idx="0">
                  <c:v>NO Previous IE WITHOUT DEF dx IE</c:v>
                </c:pt>
                <c:pt idx="1">
                  <c:v>NOPrevious IE WITH DEF dx IE</c:v>
                </c:pt>
                <c:pt idx="2">
                  <c:v>Previous IE WITHOUT DEF dx IE</c:v>
                </c:pt>
                <c:pt idx="3">
                  <c:v>Previous IE WITH DEF dx IE</c:v>
                </c:pt>
              </c:strCache>
            </c:strRef>
          </c:cat>
          <c:val>
            <c:numRef>
              <c:f>'chisq analysis'!$EB$56:$EB$59</c:f>
              <c:numCache>
                <c:formatCode>General</c:formatCode>
                <c:ptCount val="4"/>
                <c:pt idx="0">
                  <c:v>119.19402985074628</c:v>
                </c:pt>
                <c:pt idx="1">
                  <c:v>12.805970149253731</c:v>
                </c:pt>
                <c:pt idx="2">
                  <c:v>1.8059701492537314</c:v>
                </c:pt>
                <c:pt idx="3">
                  <c:v>0.19402985074626866</c:v>
                </c:pt>
              </c:numCache>
            </c:numRef>
          </c:val>
          <c:extLst>
            <c:ext xmlns:c16="http://schemas.microsoft.com/office/drawing/2014/chart" uri="{C3380CC4-5D6E-409C-BE32-E72D297353CC}">
              <c16:uniqueId val="{00000001-F45C-4221-8167-6DC858A6E20A}"/>
            </c:ext>
          </c:extLst>
        </c:ser>
        <c:ser>
          <c:idx val="1"/>
          <c:order val="1"/>
          <c:tx>
            <c:strRef>
              <c:f>'chisq analysis'!$EC$55</c:f>
              <c:strCache>
                <c:ptCount val="1"/>
                <c:pt idx="0">
                  <c:v>Actual</c:v>
                </c:pt>
              </c:strCache>
            </c:strRef>
          </c:tx>
          <c:spPr>
            <a:solidFill>
              <a:schemeClr val="accent2"/>
            </a:solidFill>
            <a:ln>
              <a:noFill/>
            </a:ln>
            <a:effectLst/>
          </c:spPr>
          <c:invertIfNegative val="0"/>
          <c:cat>
            <c:strRef>
              <c:f>'chisq analysis'!$EA$56:$EA$59</c:f>
              <c:strCache>
                <c:ptCount val="4"/>
                <c:pt idx="0">
                  <c:v>NO Previous IE WITHOUT DEF dx IE</c:v>
                </c:pt>
                <c:pt idx="1">
                  <c:v>NOPrevious IE WITH DEF dx IE</c:v>
                </c:pt>
                <c:pt idx="2">
                  <c:v>Previous IE WITHOUT DEF dx IE</c:v>
                </c:pt>
                <c:pt idx="3">
                  <c:v>Previous IE WITH DEF dx IE</c:v>
                </c:pt>
              </c:strCache>
            </c:strRef>
          </c:cat>
          <c:val>
            <c:numRef>
              <c:f>'chisq analysis'!$EC$56:$EC$59</c:f>
              <c:numCache>
                <c:formatCode>General</c:formatCode>
                <c:ptCount val="4"/>
                <c:pt idx="0">
                  <c:v>121</c:v>
                </c:pt>
                <c:pt idx="1">
                  <c:v>11</c:v>
                </c:pt>
                <c:pt idx="2">
                  <c:v>0</c:v>
                </c:pt>
                <c:pt idx="3">
                  <c:v>2</c:v>
                </c:pt>
              </c:numCache>
            </c:numRef>
          </c:val>
          <c:extLst>
            <c:ext xmlns:c16="http://schemas.microsoft.com/office/drawing/2014/chart" uri="{C3380CC4-5D6E-409C-BE32-E72D297353CC}">
              <c16:uniqueId val="{00000003-F45C-4221-8167-6DC858A6E20A}"/>
            </c:ext>
          </c:extLst>
        </c:ser>
        <c:dLbls>
          <c:showLegendKey val="0"/>
          <c:showVal val="0"/>
          <c:showCatName val="0"/>
          <c:showSerName val="0"/>
          <c:showPercent val="0"/>
          <c:showBubbleSize val="0"/>
        </c:dLbls>
        <c:gapWidth val="219"/>
        <c:overlap val="-27"/>
        <c:axId val="221569031"/>
        <c:axId val="221571079"/>
      </c:barChart>
      <c:catAx>
        <c:axId val="2215690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1571079"/>
        <c:crosses val="autoZero"/>
        <c:auto val="1"/>
        <c:lblAlgn val="ctr"/>
        <c:lblOffset val="100"/>
        <c:noMultiLvlLbl val="0"/>
      </c:catAx>
      <c:valAx>
        <c:axId val="22157107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1569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analysis'!$DW$93</c:f>
              <c:strCache>
                <c:ptCount val="1"/>
                <c:pt idx="0">
                  <c:v>Expected</c:v>
                </c:pt>
              </c:strCache>
            </c:strRef>
          </c:tx>
          <c:spPr>
            <a:solidFill>
              <a:schemeClr val="accent1"/>
            </a:solidFill>
            <a:ln>
              <a:noFill/>
            </a:ln>
            <a:effectLst/>
          </c:spPr>
          <c:invertIfNegative val="0"/>
          <c:cat>
            <c:strRef>
              <c:f>'chisq analysis'!$DV$94:$DV$97</c:f>
              <c:strCache>
                <c:ptCount val="4"/>
                <c:pt idx="0">
                  <c:v>NO Cardstruct Abnrml WITHOUT POSS dx IE</c:v>
                </c:pt>
                <c:pt idx="1">
                  <c:v>NO Cardstruct Abnrml  WITH POSS dx IE</c:v>
                </c:pt>
                <c:pt idx="2">
                  <c:v>Cardstruct Abnrml WITHOUT POSS dx IE</c:v>
                </c:pt>
                <c:pt idx="3">
                  <c:v>Cardstruct Abnrml WITH POSS dx IE</c:v>
                </c:pt>
              </c:strCache>
            </c:strRef>
          </c:cat>
          <c:val>
            <c:numRef>
              <c:f>'chisq analysis'!$DW$94:$DW$97</c:f>
              <c:numCache>
                <c:formatCode>General</c:formatCode>
                <c:ptCount val="4"/>
                <c:pt idx="0">
                  <c:v>44.776119402985074</c:v>
                </c:pt>
                <c:pt idx="1">
                  <c:v>35.223880597014926</c:v>
                </c:pt>
                <c:pt idx="2">
                  <c:v>30.223880597014926</c:v>
                </c:pt>
                <c:pt idx="3">
                  <c:v>23.776119402985074</c:v>
                </c:pt>
              </c:numCache>
            </c:numRef>
          </c:val>
          <c:extLst>
            <c:ext xmlns:c16="http://schemas.microsoft.com/office/drawing/2014/chart" uri="{C3380CC4-5D6E-409C-BE32-E72D297353CC}">
              <c16:uniqueId val="{00000001-4577-4507-9091-866E4D63F663}"/>
            </c:ext>
          </c:extLst>
        </c:ser>
        <c:ser>
          <c:idx val="1"/>
          <c:order val="1"/>
          <c:tx>
            <c:strRef>
              <c:f>'chisq analysis'!$DX$93</c:f>
              <c:strCache>
                <c:ptCount val="1"/>
                <c:pt idx="0">
                  <c:v>Actual</c:v>
                </c:pt>
              </c:strCache>
            </c:strRef>
          </c:tx>
          <c:spPr>
            <a:solidFill>
              <a:schemeClr val="accent2"/>
            </a:solidFill>
            <a:ln>
              <a:noFill/>
            </a:ln>
            <a:effectLst/>
          </c:spPr>
          <c:invertIfNegative val="0"/>
          <c:cat>
            <c:strRef>
              <c:f>'chisq analysis'!$DV$94:$DV$97</c:f>
              <c:strCache>
                <c:ptCount val="4"/>
                <c:pt idx="0">
                  <c:v>NO Cardstruct Abnrml WITHOUT POSS dx IE</c:v>
                </c:pt>
                <c:pt idx="1">
                  <c:v>NO Cardstruct Abnrml  WITH POSS dx IE</c:v>
                </c:pt>
                <c:pt idx="2">
                  <c:v>Cardstruct Abnrml WITHOUT POSS dx IE</c:v>
                </c:pt>
                <c:pt idx="3">
                  <c:v>Cardstruct Abnrml WITH POSS dx IE</c:v>
                </c:pt>
              </c:strCache>
            </c:strRef>
          </c:cat>
          <c:val>
            <c:numRef>
              <c:f>'chisq analysis'!$DX$94:$DX$97</c:f>
              <c:numCache>
                <c:formatCode>General</c:formatCode>
                <c:ptCount val="4"/>
                <c:pt idx="0">
                  <c:v>52</c:v>
                </c:pt>
                <c:pt idx="1">
                  <c:v>28</c:v>
                </c:pt>
                <c:pt idx="2">
                  <c:v>23</c:v>
                </c:pt>
                <c:pt idx="3">
                  <c:v>31</c:v>
                </c:pt>
              </c:numCache>
            </c:numRef>
          </c:val>
          <c:extLst>
            <c:ext xmlns:c16="http://schemas.microsoft.com/office/drawing/2014/chart" uri="{C3380CC4-5D6E-409C-BE32-E72D297353CC}">
              <c16:uniqueId val="{00000003-4577-4507-9091-866E4D63F663}"/>
            </c:ext>
          </c:extLst>
        </c:ser>
        <c:dLbls>
          <c:showLegendKey val="0"/>
          <c:showVal val="0"/>
          <c:showCatName val="0"/>
          <c:showSerName val="0"/>
          <c:showPercent val="0"/>
          <c:showBubbleSize val="0"/>
        </c:dLbls>
        <c:gapWidth val="219"/>
        <c:overlap val="-27"/>
        <c:axId val="412262407"/>
        <c:axId val="412264455"/>
      </c:barChart>
      <c:catAx>
        <c:axId val="412262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264455"/>
        <c:crosses val="autoZero"/>
        <c:auto val="1"/>
        <c:lblAlgn val="ctr"/>
        <c:lblOffset val="100"/>
        <c:noMultiLvlLbl val="0"/>
      </c:catAx>
      <c:valAx>
        <c:axId val="4122644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2624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'chisq analysis'!$EG$17</c:f>
              <c:strCache>
                <c:ptCount val="1"/>
                <c:pt idx="0">
                  <c:v>Expected</c:v>
                </c:pt>
              </c:strCache>
            </c:strRef>
          </c:tx>
          <c:spPr>
            <a:solidFill>
              <a:schemeClr val="accent1"/>
            </a:solidFill>
            <a:ln>
              <a:noFill/>
            </a:ln>
            <a:effectLst/>
          </c:spPr>
          <c:invertIfNegative val="0"/>
          <c:cat>
            <c:strRef>
              <c:f>'chisq analysis'!$EF$18:$EF$21</c:f>
              <c:strCache>
                <c:ptCount val="4"/>
                <c:pt idx="0">
                  <c:v>NO CoNS WITHOUT TEE use</c:v>
                </c:pt>
                <c:pt idx="1">
                  <c:v>NO CoNS WITH TEE use</c:v>
                </c:pt>
                <c:pt idx="2">
                  <c:v>CoNS WITHOUT TEE use</c:v>
                </c:pt>
                <c:pt idx="3">
                  <c:v>CoNS WITH TEE use</c:v>
                </c:pt>
              </c:strCache>
            </c:strRef>
          </c:cat>
          <c:val>
            <c:numRef>
              <c:f>'chisq analysis'!$EG$18:$EG$21</c:f>
              <c:numCache>
                <c:formatCode>General</c:formatCode>
                <c:ptCount val="4"/>
                <c:pt idx="0">
                  <c:v>17.5</c:v>
                </c:pt>
                <c:pt idx="1">
                  <c:v>49.5</c:v>
                </c:pt>
                <c:pt idx="2">
                  <c:v>17.5</c:v>
                </c:pt>
                <c:pt idx="3">
                  <c:v>49.5</c:v>
                </c:pt>
              </c:numCache>
            </c:numRef>
          </c:val>
          <c:extLst>
            <c:ext xmlns:c16="http://schemas.microsoft.com/office/drawing/2014/chart" uri="{C3380CC4-5D6E-409C-BE32-E72D297353CC}">
              <c16:uniqueId val="{00000001-36A7-4B65-9AF6-D4ECFD7768A3}"/>
            </c:ext>
          </c:extLst>
        </c:ser>
        <c:ser>
          <c:idx val="1"/>
          <c:order val="1"/>
          <c:tx>
            <c:strRef>
              <c:f>'chisq analysis'!$EH$17</c:f>
              <c:strCache>
                <c:ptCount val="1"/>
                <c:pt idx="0">
                  <c:v>Actual</c:v>
                </c:pt>
              </c:strCache>
            </c:strRef>
          </c:tx>
          <c:spPr>
            <a:solidFill>
              <a:schemeClr val="accent2"/>
            </a:solidFill>
            <a:ln>
              <a:noFill/>
            </a:ln>
            <a:effectLst/>
          </c:spPr>
          <c:invertIfNegative val="0"/>
          <c:cat>
            <c:strRef>
              <c:f>'chisq analysis'!$EF$18:$EF$21</c:f>
              <c:strCache>
                <c:ptCount val="4"/>
                <c:pt idx="0">
                  <c:v>NO CoNS WITHOUT TEE use</c:v>
                </c:pt>
                <c:pt idx="1">
                  <c:v>NO CoNS WITH TEE use</c:v>
                </c:pt>
                <c:pt idx="2">
                  <c:v>CoNS WITHOUT TEE use</c:v>
                </c:pt>
                <c:pt idx="3">
                  <c:v>CoNS WITH TEE use</c:v>
                </c:pt>
              </c:strCache>
            </c:strRef>
          </c:cat>
          <c:val>
            <c:numRef>
              <c:f>'chisq analysis'!$EH$18:$EH$21</c:f>
              <c:numCache>
                <c:formatCode>General</c:formatCode>
                <c:ptCount val="4"/>
                <c:pt idx="0">
                  <c:v>3</c:v>
                </c:pt>
                <c:pt idx="1">
                  <c:v>64</c:v>
                </c:pt>
                <c:pt idx="2">
                  <c:v>32</c:v>
                </c:pt>
                <c:pt idx="3">
                  <c:v>35</c:v>
                </c:pt>
              </c:numCache>
            </c:numRef>
          </c:val>
          <c:extLst>
            <c:ext xmlns:c16="http://schemas.microsoft.com/office/drawing/2014/chart" uri="{C3380CC4-5D6E-409C-BE32-E72D297353CC}">
              <c16:uniqueId val="{00000003-36A7-4B65-9AF6-D4ECFD7768A3}"/>
            </c:ext>
          </c:extLst>
        </c:ser>
        <c:dLbls>
          <c:showLegendKey val="0"/>
          <c:showVal val="0"/>
          <c:showCatName val="0"/>
          <c:showSerName val="0"/>
          <c:showPercent val="0"/>
          <c:showBubbleSize val="0"/>
        </c:dLbls>
        <c:gapWidth val="219"/>
        <c:overlap val="-27"/>
        <c:axId val="145181704"/>
        <c:axId val="1737135112"/>
      </c:barChart>
      <c:catAx>
        <c:axId val="145181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7135112"/>
        <c:crosses val="autoZero"/>
        <c:auto val="1"/>
        <c:lblAlgn val="ctr"/>
        <c:lblOffset val="100"/>
        <c:noMultiLvlLbl val="0"/>
      </c:catAx>
      <c:valAx>
        <c:axId val="17371351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181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analysis'!$AK$17</c:f>
              <c:strCache>
                <c:ptCount val="1"/>
                <c:pt idx="0">
                  <c:v>Expected</c:v>
                </c:pt>
              </c:strCache>
            </c:strRef>
          </c:tx>
          <c:spPr>
            <a:solidFill>
              <a:schemeClr val="accent1"/>
            </a:solidFill>
            <a:ln>
              <a:noFill/>
            </a:ln>
            <a:effectLst/>
          </c:spPr>
          <c:invertIfNegative val="0"/>
          <c:cat>
            <c:strRef>
              <c:f>'chisq analysis'!$AJ$18:$AJ$21</c:f>
              <c:strCache>
                <c:ptCount val="4"/>
                <c:pt idx="0">
                  <c:v>NO Repeat +bcx WITHOUT TEE use</c:v>
                </c:pt>
                <c:pt idx="1">
                  <c:v>NO Repeat +bcx WITH TEE use</c:v>
                </c:pt>
                <c:pt idx="2">
                  <c:v>Repeat +bcx WITHOUT TEE use</c:v>
                </c:pt>
                <c:pt idx="3">
                  <c:v>Repeat +bcx WITH TEE use</c:v>
                </c:pt>
              </c:strCache>
            </c:strRef>
          </c:cat>
          <c:val>
            <c:numRef>
              <c:f>'chisq analysis'!$AK$18:$AK$21</c:f>
              <c:numCache>
                <c:formatCode>General</c:formatCode>
                <c:ptCount val="4"/>
                <c:pt idx="0">
                  <c:v>72.522388059701498</c:v>
                </c:pt>
                <c:pt idx="1">
                  <c:v>13.477611940298507</c:v>
                </c:pt>
                <c:pt idx="2">
                  <c:v>40.477611940298509</c:v>
                </c:pt>
                <c:pt idx="3">
                  <c:v>7.5223880597014929</c:v>
                </c:pt>
              </c:numCache>
            </c:numRef>
          </c:val>
          <c:extLst>
            <c:ext xmlns:c16="http://schemas.microsoft.com/office/drawing/2014/chart" uri="{C3380CC4-5D6E-409C-BE32-E72D297353CC}">
              <c16:uniqueId val="{00000001-3F3E-4D8E-953E-144E67C34B03}"/>
            </c:ext>
          </c:extLst>
        </c:ser>
        <c:ser>
          <c:idx val="1"/>
          <c:order val="1"/>
          <c:tx>
            <c:strRef>
              <c:f>'chisq analysis'!$AL$17</c:f>
              <c:strCache>
                <c:ptCount val="1"/>
                <c:pt idx="0">
                  <c:v>Actual</c:v>
                </c:pt>
              </c:strCache>
            </c:strRef>
          </c:tx>
          <c:spPr>
            <a:solidFill>
              <a:schemeClr val="accent2"/>
            </a:solidFill>
            <a:ln>
              <a:noFill/>
            </a:ln>
            <a:effectLst/>
          </c:spPr>
          <c:invertIfNegative val="0"/>
          <c:cat>
            <c:strRef>
              <c:f>'chisq analysis'!$AJ$18:$AJ$21</c:f>
              <c:strCache>
                <c:ptCount val="4"/>
                <c:pt idx="0">
                  <c:v>NO Repeat +bcx WITHOUT TEE use</c:v>
                </c:pt>
                <c:pt idx="1">
                  <c:v>NO Repeat +bcx WITH TEE use</c:v>
                </c:pt>
                <c:pt idx="2">
                  <c:v>Repeat +bcx WITHOUT TEE use</c:v>
                </c:pt>
                <c:pt idx="3">
                  <c:v>Repeat +bcx WITH TEE use</c:v>
                </c:pt>
              </c:strCache>
            </c:strRef>
          </c:cat>
          <c:val>
            <c:numRef>
              <c:f>'chisq analysis'!$AL$18:$AL$21</c:f>
              <c:numCache>
                <c:formatCode>General</c:formatCode>
                <c:ptCount val="4"/>
                <c:pt idx="0">
                  <c:v>80</c:v>
                </c:pt>
                <c:pt idx="1">
                  <c:v>6</c:v>
                </c:pt>
                <c:pt idx="2">
                  <c:v>33</c:v>
                </c:pt>
                <c:pt idx="3">
                  <c:v>15</c:v>
                </c:pt>
              </c:numCache>
            </c:numRef>
          </c:val>
          <c:extLst>
            <c:ext xmlns:c16="http://schemas.microsoft.com/office/drawing/2014/chart" uri="{C3380CC4-5D6E-409C-BE32-E72D297353CC}">
              <c16:uniqueId val="{00000003-3F3E-4D8E-953E-144E67C34B03}"/>
            </c:ext>
          </c:extLst>
        </c:ser>
        <c:dLbls>
          <c:showLegendKey val="0"/>
          <c:showVal val="0"/>
          <c:showCatName val="0"/>
          <c:showSerName val="0"/>
          <c:showPercent val="0"/>
          <c:showBubbleSize val="0"/>
        </c:dLbls>
        <c:gapWidth val="219"/>
        <c:overlap val="-27"/>
        <c:axId val="194030088"/>
        <c:axId val="1259148296"/>
      </c:barChart>
      <c:catAx>
        <c:axId val="194030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9148296"/>
        <c:crosses val="autoZero"/>
        <c:auto val="1"/>
        <c:lblAlgn val="ctr"/>
        <c:lblOffset val="100"/>
        <c:noMultiLvlLbl val="0"/>
      </c:catAx>
      <c:valAx>
        <c:axId val="12591482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030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analysis'!$AU$17</c:f>
              <c:strCache>
                <c:ptCount val="1"/>
                <c:pt idx="0">
                  <c:v>Expected</c:v>
                </c:pt>
              </c:strCache>
            </c:strRef>
          </c:tx>
          <c:spPr>
            <a:solidFill>
              <a:schemeClr val="accent1"/>
            </a:solidFill>
            <a:ln>
              <a:noFill/>
            </a:ln>
            <a:effectLst/>
          </c:spPr>
          <c:invertIfNegative val="0"/>
          <c:cat>
            <c:strRef>
              <c:f>'chisq analysis'!$AT$18:$AT$21</c:f>
              <c:strCache>
                <c:ptCount val="4"/>
                <c:pt idx="0">
                  <c:v>NO fever WITHOUT TEE use</c:v>
                </c:pt>
                <c:pt idx="1">
                  <c:v>NO fever WITH TEE use</c:v>
                </c:pt>
                <c:pt idx="2">
                  <c:v>fever WITHOUT TEE use</c:v>
                </c:pt>
                <c:pt idx="3">
                  <c:v>fever WITH TEE use</c:v>
                </c:pt>
              </c:strCache>
            </c:strRef>
          </c:cat>
          <c:val>
            <c:numRef>
              <c:f>'chisq analysis'!$AU$18:$AU$21</c:f>
              <c:numCache>
                <c:formatCode>General</c:formatCode>
                <c:ptCount val="4"/>
                <c:pt idx="0">
                  <c:v>51.440298507462686</c:v>
                </c:pt>
                <c:pt idx="1">
                  <c:v>9.5597014925373127</c:v>
                </c:pt>
                <c:pt idx="2">
                  <c:v>61.559701492537314</c:v>
                </c:pt>
                <c:pt idx="3">
                  <c:v>11.440298507462687</c:v>
                </c:pt>
              </c:numCache>
            </c:numRef>
          </c:val>
          <c:extLst>
            <c:ext xmlns:c16="http://schemas.microsoft.com/office/drawing/2014/chart" uri="{C3380CC4-5D6E-409C-BE32-E72D297353CC}">
              <c16:uniqueId val="{00000001-211E-4304-9A33-FA80AE017357}"/>
            </c:ext>
          </c:extLst>
        </c:ser>
        <c:ser>
          <c:idx val="1"/>
          <c:order val="1"/>
          <c:tx>
            <c:strRef>
              <c:f>'chisq analysis'!$AV$17</c:f>
              <c:strCache>
                <c:ptCount val="1"/>
                <c:pt idx="0">
                  <c:v>Actual</c:v>
                </c:pt>
              </c:strCache>
            </c:strRef>
          </c:tx>
          <c:spPr>
            <a:solidFill>
              <a:schemeClr val="accent2"/>
            </a:solidFill>
            <a:ln>
              <a:noFill/>
            </a:ln>
            <a:effectLst/>
          </c:spPr>
          <c:invertIfNegative val="0"/>
          <c:cat>
            <c:strRef>
              <c:f>'chisq analysis'!$AT$18:$AT$21</c:f>
              <c:strCache>
                <c:ptCount val="4"/>
                <c:pt idx="0">
                  <c:v>NO fever WITHOUT TEE use</c:v>
                </c:pt>
                <c:pt idx="1">
                  <c:v>NO fever WITH TEE use</c:v>
                </c:pt>
                <c:pt idx="2">
                  <c:v>fever WITHOUT TEE use</c:v>
                </c:pt>
                <c:pt idx="3">
                  <c:v>fever WITH TEE use</c:v>
                </c:pt>
              </c:strCache>
            </c:strRef>
          </c:cat>
          <c:val>
            <c:numRef>
              <c:f>'chisq analysis'!$AV$18:$AV$21</c:f>
              <c:numCache>
                <c:formatCode>General</c:formatCode>
                <c:ptCount val="4"/>
                <c:pt idx="0">
                  <c:v>58</c:v>
                </c:pt>
                <c:pt idx="1">
                  <c:v>3</c:v>
                </c:pt>
                <c:pt idx="2">
                  <c:v>55</c:v>
                </c:pt>
                <c:pt idx="3">
                  <c:v>18</c:v>
                </c:pt>
              </c:numCache>
            </c:numRef>
          </c:val>
          <c:extLst>
            <c:ext xmlns:c16="http://schemas.microsoft.com/office/drawing/2014/chart" uri="{C3380CC4-5D6E-409C-BE32-E72D297353CC}">
              <c16:uniqueId val="{00000003-211E-4304-9A33-FA80AE017357}"/>
            </c:ext>
          </c:extLst>
        </c:ser>
        <c:dLbls>
          <c:showLegendKey val="0"/>
          <c:showVal val="0"/>
          <c:showCatName val="0"/>
          <c:showSerName val="0"/>
          <c:showPercent val="0"/>
          <c:showBubbleSize val="0"/>
        </c:dLbls>
        <c:gapWidth val="219"/>
        <c:overlap val="-27"/>
        <c:axId val="376449543"/>
        <c:axId val="376476167"/>
      </c:barChart>
      <c:catAx>
        <c:axId val="3764495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6476167"/>
        <c:crosses val="autoZero"/>
        <c:auto val="1"/>
        <c:lblAlgn val="ctr"/>
        <c:lblOffset val="100"/>
        <c:noMultiLvlLbl val="0"/>
      </c:catAx>
      <c:valAx>
        <c:axId val="37647616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64495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analysis'!$AZ$17</c:f>
              <c:strCache>
                <c:ptCount val="1"/>
                <c:pt idx="0">
                  <c:v>Expected</c:v>
                </c:pt>
              </c:strCache>
            </c:strRef>
          </c:tx>
          <c:spPr>
            <a:solidFill>
              <a:schemeClr val="accent1"/>
            </a:solidFill>
            <a:ln>
              <a:noFill/>
            </a:ln>
            <a:effectLst/>
          </c:spPr>
          <c:invertIfNegative val="0"/>
          <c:cat>
            <c:strRef>
              <c:f>'chisq analysis'!$AY$18:$AY$21</c:f>
              <c:strCache>
                <c:ptCount val="4"/>
                <c:pt idx="0">
                  <c:v>NO predis WITHOUT TEE use</c:v>
                </c:pt>
                <c:pt idx="1">
                  <c:v>NO predispos WITH TEE use</c:v>
                </c:pt>
                <c:pt idx="2">
                  <c:v>predispos WITHOUT TEE use</c:v>
                </c:pt>
                <c:pt idx="3">
                  <c:v>predispos WITH TEE use</c:v>
                </c:pt>
              </c:strCache>
            </c:strRef>
          </c:cat>
          <c:val>
            <c:numRef>
              <c:f>'chisq analysis'!$AZ$18:$AZ$21</c:f>
              <c:numCache>
                <c:formatCode>General</c:formatCode>
                <c:ptCount val="4"/>
                <c:pt idx="0">
                  <c:v>95.291044776119406</c:v>
                </c:pt>
                <c:pt idx="1">
                  <c:v>17.708955223880597</c:v>
                </c:pt>
                <c:pt idx="2">
                  <c:v>17.708955223880597</c:v>
                </c:pt>
                <c:pt idx="3">
                  <c:v>3.2910447761194028</c:v>
                </c:pt>
              </c:numCache>
            </c:numRef>
          </c:val>
          <c:extLst>
            <c:ext xmlns:c16="http://schemas.microsoft.com/office/drawing/2014/chart" uri="{C3380CC4-5D6E-409C-BE32-E72D297353CC}">
              <c16:uniqueId val="{00000001-B49B-49F7-B453-EF57B993EE63}"/>
            </c:ext>
          </c:extLst>
        </c:ser>
        <c:ser>
          <c:idx val="1"/>
          <c:order val="1"/>
          <c:tx>
            <c:strRef>
              <c:f>'chisq analysis'!$BA$17</c:f>
              <c:strCache>
                <c:ptCount val="1"/>
                <c:pt idx="0">
                  <c:v>Actual</c:v>
                </c:pt>
              </c:strCache>
            </c:strRef>
          </c:tx>
          <c:spPr>
            <a:solidFill>
              <a:schemeClr val="accent2"/>
            </a:solidFill>
            <a:ln>
              <a:noFill/>
            </a:ln>
            <a:effectLst/>
          </c:spPr>
          <c:invertIfNegative val="0"/>
          <c:cat>
            <c:strRef>
              <c:f>'chisq analysis'!$AY$18:$AY$21</c:f>
              <c:strCache>
                <c:ptCount val="4"/>
                <c:pt idx="0">
                  <c:v>NO predis WITHOUT TEE use</c:v>
                </c:pt>
                <c:pt idx="1">
                  <c:v>NO predispos WITH TEE use</c:v>
                </c:pt>
                <c:pt idx="2">
                  <c:v>predispos WITHOUT TEE use</c:v>
                </c:pt>
                <c:pt idx="3">
                  <c:v>predispos WITH TEE use</c:v>
                </c:pt>
              </c:strCache>
            </c:strRef>
          </c:cat>
          <c:val>
            <c:numRef>
              <c:f>'chisq analysis'!$BA$18:$BA$21</c:f>
              <c:numCache>
                <c:formatCode>General</c:formatCode>
                <c:ptCount val="4"/>
                <c:pt idx="0">
                  <c:v>101</c:v>
                </c:pt>
                <c:pt idx="1">
                  <c:v>12</c:v>
                </c:pt>
                <c:pt idx="2">
                  <c:v>12</c:v>
                </c:pt>
                <c:pt idx="3">
                  <c:v>9</c:v>
                </c:pt>
              </c:numCache>
            </c:numRef>
          </c:val>
          <c:extLst>
            <c:ext xmlns:c16="http://schemas.microsoft.com/office/drawing/2014/chart" uri="{C3380CC4-5D6E-409C-BE32-E72D297353CC}">
              <c16:uniqueId val="{00000003-B49B-49F7-B453-EF57B993EE63}"/>
            </c:ext>
          </c:extLst>
        </c:ser>
        <c:dLbls>
          <c:showLegendKey val="0"/>
          <c:showVal val="0"/>
          <c:showCatName val="0"/>
          <c:showSerName val="0"/>
          <c:showPercent val="0"/>
          <c:showBubbleSize val="0"/>
        </c:dLbls>
        <c:gapWidth val="219"/>
        <c:overlap val="-27"/>
        <c:axId val="466067975"/>
        <c:axId val="466070023"/>
      </c:barChart>
      <c:catAx>
        <c:axId val="4660679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6070023"/>
        <c:crosses val="autoZero"/>
        <c:auto val="1"/>
        <c:lblAlgn val="ctr"/>
        <c:lblOffset val="100"/>
        <c:noMultiLvlLbl val="0"/>
      </c:catAx>
      <c:valAx>
        <c:axId val="4660700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60679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analysis'!$BJ$17</c:f>
              <c:strCache>
                <c:ptCount val="1"/>
                <c:pt idx="0">
                  <c:v>Expected</c:v>
                </c:pt>
              </c:strCache>
            </c:strRef>
          </c:tx>
          <c:spPr>
            <a:solidFill>
              <a:schemeClr val="accent1"/>
            </a:solidFill>
            <a:ln>
              <a:noFill/>
            </a:ln>
            <a:effectLst/>
          </c:spPr>
          <c:invertIfNegative val="0"/>
          <c:cat>
            <c:strRef>
              <c:f>'chisq analysis'!$BI$18:$BI$21</c:f>
              <c:strCache>
                <c:ptCount val="4"/>
                <c:pt idx="0">
                  <c:v>NO poss dx IE WITHOUT TEE use</c:v>
                </c:pt>
                <c:pt idx="1">
                  <c:v>NO poss dx IE WITH TEE use</c:v>
                </c:pt>
                <c:pt idx="2">
                  <c:v>poss dx IE WITHOUT TEE use</c:v>
                </c:pt>
                <c:pt idx="3">
                  <c:v>poss dx IE WITH TEE use</c:v>
                </c:pt>
              </c:strCache>
            </c:strRef>
          </c:cat>
          <c:val>
            <c:numRef>
              <c:f>'chisq analysis'!$BJ$18:$BJ$21</c:f>
              <c:numCache>
                <c:formatCode>General</c:formatCode>
                <c:ptCount val="4"/>
                <c:pt idx="0">
                  <c:v>63.246268656716417</c:v>
                </c:pt>
                <c:pt idx="1">
                  <c:v>11.753731343283581</c:v>
                </c:pt>
                <c:pt idx="2">
                  <c:v>49.753731343283583</c:v>
                </c:pt>
                <c:pt idx="3">
                  <c:v>9.2462686567164187</c:v>
                </c:pt>
              </c:numCache>
            </c:numRef>
          </c:val>
          <c:extLst>
            <c:ext xmlns:c16="http://schemas.microsoft.com/office/drawing/2014/chart" uri="{C3380CC4-5D6E-409C-BE32-E72D297353CC}">
              <c16:uniqueId val="{00000001-2EB3-4F30-94F3-7F82139C7878}"/>
            </c:ext>
          </c:extLst>
        </c:ser>
        <c:ser>
          <c:idx val="1"/>
          <c:order val="1"/>
          <c:tx>
            <c:strRef>
              <c:f>'chisq analysis'!$BK$17</c:f>
              <c:strCache>
                <c:ptCount val="1"/>
                <c:pt idx="0">
                  <c:v>Actual</c:v>
                </c:pt>
              </c:strCache>
            </c:strRef>
          </c:tx>
          <c:spPr>
            <a:solidFill>
              <a:schemeClr val="accent2"/>
            </a:solidFill>
            <a:ln>
              <a:noFill/>
            </a:ln>
            <a:effectLst/>
          </c:spPr>
          <c:invertIfNegative val="0"/>
          <c:cat>
            <c:strRef>
              <c:f>'chisq analysis'!$BI$18:$BI$21</c:f>
              <c:strCache>
                <c:ptCount val="4"/>
                <c:pt idx="0">
                  <c:v>NO poss dx IE WITHOUT TEE use</c:v>
                </c:pt>
                <c:pt idx="1">
                  <c:v>NO poss dx IE WITH TEE use</c:v>
                </c:pt>
                <c:pt idx="2">
                  <c:v>poss dx IE WITHOUT TEE use</c:v>
                </c:pt>
                <c:pt idx="3">
                  <c:v>poss dx IE WITH TEE use</c:v>
                </c:pt>
              </c:strCache>
            </c:strRef>
          </c:cat>
          <c:val>
            <c:numRef>
              <c:f>'chisq analysis'!$BK$18:$BK$21</c:f>
              <c:numCache>
                <c:formatCode>General</c:formatCode>
                <c:ptCount val="4"/>
                <c:pt idx="0">
                  <c:v>74</c:v>
                </c:pt>
                <c:pt idx="1">
                  <c:v>1</c:v>
                </c:pt>
                <c:pt idx="2">
                  <c:v>39</c:v>
                </c:pt>
                <c:pt idx="3">
                  <c:v>20</c:v>
                </c:pt>
              </c:numCache>
            </c:numRef>
          </c:val>
          <c:extLst>
            <c:ext xmlns:c16="http://schemas.microsoft.com/office/drawing/2014/chart" uri="{C3380CC4-5D6E-409C-BE32-E72D297353CC}">
              <c16:uniqueId val="{00000003-2EB3-4F30-94F3-7F82139C7878}"/>
            </c:ext>
          </c:extLst>
        </c:ser>
        <c:dLbls>
          <c:showLegendKey val="0"/>
          <c:showVal val="0"/>
          <c:showCatName val="0"/>
          <c:showSerName val="0"/>
          <c:showPercent val="0"/>
          <c:showBubbleSize val="0"/>
        </c:dLbls>
        <c:gapWidth val="219"/>
        <c:overlap val="-27"/>
        <c:axId val="1308164616"/>
        <c:axId val="2023166471"/>
      </c:barChart>
      <c:catAx>
        <c:axId val="1308164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3166471"/>
        <c:crosses val="autoZero"/>
        <c:auto val="1"/>
        <c:lblAlgn val="ctr"/>
        <c:lblOffset val="100"/>
        <c:noMultiLvlLbl val="0"/>
      </c:catAx>
      <c:valAx>
        <c:axId val="20231664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08164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'chisq analysis'!$B$55</c:f>
              <c:strCache>
                <c:ptCount val="1"/>
                <c:pt idx="0">
                  <c:v>Expected</c:v>
                </c:pt>
              </c:strCache>
            </c:strRef>
          </c:tx>
          <c:spPr>
            <a:solidFill>
              <a:schemeClr val="accent1"/>
            </a:solidFill>
            <a:ln>
              <a:noFill/>
            </a:ln>
            <a:effectLst/>
          </c:spPr>
          <c:invertIfNegative val="0"/>
          <c:cat>
            <c:strRef>
              <c:f>'chisq analysis'!$A$56:$A$59</c:f>
              <c:strCache>
                <c:ptCount val="4"/>
                <c:pt idx="0">
                  <c:v>NO comorbidity WITHOUT DEF dx IE</c:v>
                </c:pt>
                <c:pt idx="1">
                  <c:v>NO comorbidity WITH DEF dx IE</c:v>
                </c:pt>
                <c:pt idx="2">
                  <c:v>comorbidity WITHOUT DEF dx IE</c:v>
                </c:pt>
                <c:pt idx="3">
                  <c:v>comorbidity WITH DEF dx IE</c:v>
                </c:pt>
              </c:strCache>
            </c:strRef>
          </c:cat>
          <c:val>
            <c:numRef>
              <c:f>'chisq analysis'!$B$56:$B$59</c:f>
              <c:numCache>
                <c:formatCode>General</c:formatCode>
                <c:ptCount val="4"/>
                <c:pt idx="0">
                  <c:v>60.5</c:v>
                </c:pt>
                <c:pt idx="1">
                  <c:v>6.5</c:v>
                </c:pt>
                <c:pt idx="2">
                  <c:v>60.5</c:v>
                </c:pt>
                <c:pt idx="3">
                  <c:v>6.5</c:v>
                </c:pt>
              </c:numCache>
            </c:numRef>
          </c:val>
          <c:extLst>
            <c:ext xmlns:c16="http://schemas.microsoft.com/office/drawing/2014/chart" uri="{C3380CC4-5D6E-409C-BE32-E72D297353CC}">
              <c16:uniqueId val="{00000001-FC69-4910-8CDC-585081F76BF2}"/>
            </c:ext>
          </c:extLst>
        </c:ser>
        <c:ser>
          <c:idx val="1"/>
          <c:order val="1"/>
          <c:tx>
            <c:strRef>
              <c:f>'chisq analysis'!$C$55</c:f>
              <c:strCache>
                <c:ptCount val="1"/>
                <c:pt idx="0">
                  <c:v>Actual</c:v>
                </c:pt>
              </c:strCache>
            </c:strRef>
          </c:tx>
          <c:spPr>
            <a:solidFill>
              <a:schemeClr val="accent2"/>
            </a:solidFill>
            <a:ln>
              <a:noFill/>
            </a:ln>
            <a:effectLst/>
          </c:spPr>
          <c:invertIfNegative val="0"/>
          <c:cat>
            <c:strRef>
              <c:f>'chisq analysis'!$A$56:$A$59</c:f>
              <c:strCache>
                <c:ptCount val="4"/>
                <c:pt idx="0">
                  <c:v>NO comorbidity WITHOUT DEF dx IE</c:v>
                </c:pt>
                <c:pt idx="1">
                  <c:v>NO comorbidity WITH DEF dx IE</c:v>
                </c:pt>
                <c:pt idx="2">
                  <c:v>comorbidity WITHOUT DEF dx IE</c:v>
                </c:pt>
                <c:pt idx="3">
                  <c:v>comorbidity WITH DEF dx IE</c:v>
                </c:pt>
              </c:strCache>
            </c:strRef>
          </c:cat>
          <c:val>
            <c:numRef>
              <c:f>'chisq analysis'!$C$56:$C$59</c:f>
              <c:numCache>
                <c:formatCode>General</c:formatCode>
                <c:ptCount val="4"/>
                <c:pt idx="0">
                  <c:v>65</c:v>
                </c:pt>
                <c:pt idx="1">
                  <c:v>2</c:v>
                </c:pt>
                <c:pt idx="2">
                  <c:v>56</c:v>
                </c:pt>
                <c:pt idx="3">
                  <c:v>11</c:v>
                </c:pt>
              </c:numCache>
            </c:numRef>
          </c:val>
          <c:extLst>
            <c:ext xmlns:c16="http://schemas.microsoft.com/office/drawing/2014/chart" uri="{C3380CC4-5D6E-409C-BE32-E72D297353CC}">
              <c16:uniqueId val="{00000003-FC69-4910-8CDC-585081F76BF2}"/>
            </c:ext>
          </c:extLst>
        </c:ser>
        <c:dLbls>
          <c:showLegendKey val="0"/>
          <c:showVal val="0"/>
          <c:showCatName val="0"/>
          <c:showSerName val="0"/>
          <c:showPercent val="0"/>
          <c:showBubbleSize val="0"/>
        </c:dLbls>
        <c:gapWidth val="219"/>
        <c:overlap val="-27"/>
        <c:axId val="2023199239"/>
        <c:axId val="2023201287"/>
      </c:barChart>
      <c:catAx>
        <c:axId val="2023199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3201287"/>
        <c:crosses val="autoZero"/>
        <c:auto val="1"/>
        <c:lblAlgn val="ctr"/>
        <c:lblOffset val="100"/>
        <c:noMultiLvlLbl val="0"/>
      </c:catAx>
      <c:valAx>
        <c:axId val="20232012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231992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3" Type="http://schemas.openxmlformats.org/officeDocument/2006/relationships/chart" Target="../charts/chart15.xml"/><Relationship Id="rId18" Type="http://schemas.openxmlformats.org/officeDocument/2006/relationships/chart" Target="../charts/chart20.xml"/><Relationship Id="rId26" Type="http://schemas.openxmlformats.org/officeDocument/2006/relationships/chart" Target="../charts/chart28.xml"/><Relationship Id="rId39" Type="http://schemas.openxmlformats.org/officeDocument/2006/relationships/chart" Target="../charts/chart41.xml"/><Relationship Id="rId21" Type="http://schemas.openxmlformats.org/officeDocument/2006/relationships/chart" Target="../charts/chart23.xml"/><Relationship Id="rId34" Type="http://schemas.openxmlformats.org/officeDocument/2006/relationships/chart" Target="../charts/chart36.xml"/><Relationship Id="rId42" Type="http://schemas.openxmlformats.org/officeDocument/2006/relationships/chart" Target="../charts/chart44.xml"/><Relationship Id="rId47" Type="http://schemas.openxmlformats.org/officeDocument/2006/relationships/chart" Target="../charts/chart49.xml"/><Relationship Id="rId7" Type="http://schemas.openxmlformats.org/officeDocument/2006/relationships/chart" Target="../charts/chart9.xml"/><Relationship Id="rId2" Type="http://schemas.openxmlformats.org/officeDocument/2006/relationships/chart" Target="../charts/chart4.xml"/><Relationship Id="rId16" Type="http://schemas.openxmlformats.org/officeDocument/2006/relationships/chart" Target="../charts/chart18.xml"/><Relationship Id="rId29" Type="http://schemas.openxmlformats.org/officeDocument/2006/relationships/chart" Target="../charts/chart31.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24" Type="http://schemas.openxmlformats.org/officeDocument/2006/relationships/chart" Target="../charts/chart26.xml"/><Relationship Id="rId32" Type="http://schemas.openxmlformats.org/officeDocument/2006/relationships/chart" Target="../charts/chart34.xml"/><Relationship Id="rId37" Type="http://schemas.openxmlformats.org/officeDocument/2006/relationships/chart" Target="../charts/chart39.xml"/><Relationship Id="rId40" Type="http://schemas.openxmlformats.org/officeDocument/2006/relationships/chart" Target="../charts/chart42.xml"/><Relationship Id="rId45" Type="http://schemas.openxmlformats.org/officeDocument/2006/relationships/chart" Target="../charts/chart47.xml"/><Relationship Id="rId5" Type="http://schemas.openxmlformats.org/officeDocument/2006/relationships/chart" Target="../charts/chart7.xml"/><Relationship Id="rId15" Type="http://schemas.openxmlformats.org/officeDocument/2006/relationships/chart" Target="../charts/chart17.xml"/><Relationship Id="rId23" Type="http://schemas.openxmlformats.org/officeDocument/2006/relationships/chart" Target="../charts/chart25.xml"/><Relationship Id="rId28" Type="http://schemas.openxmlformats.org/officeDocument/2006/relationships/chart" Target="../charts/chart30.xml"/><Relationship Id="rId36" Type="http://schemas.openxmlformats.org/officeDocument/2006/relationships/chart" Target="../charts/chart38.xml"/><Relationship Id="rId10" Type="http://schemas.openxmlformats.org/officeDocument/2006/relationships/chart" Target="../charts/chart12.xml"/><Relationship Id="rId19" Type="http://schemas.openxmlformats.org/officeDocument/2006/relationships/chart" Target="../charts/chart21.xml"/><Relationship Id="rId31" Type="http://schemas.openxmlformats.org/officeDocument/2006/relationships/chart" Target="../charts/chart33.xml"/><Relationship Id="rId44" Type="http://schemas.openxmlformats.org/officeDocument/2006/relationships/chart" Target="../charts/chart46.xml"/><Relationship Id="rId4" Type="http://schemas.openxmlformats.org/officeDocument/2006/relationships/chart" Target="../charts/chart6.xml"/><Relationship Id="rId9" Type="http://schemas.openxmlformats.org/officeDocument/2006/relationships/chart" Target="../charts/chart11.xml"/><Relationship Id="rId14" Type="http://schemas.openxmlformats.org/officeDocument/2006/relationships/chart" Target="../charts/chart16.xml"/><Relationship Id="rId22" Type="http://schemas.openxmlformats.org/officeDocument/2006/relationships/chart" Target="../charts/chart24.xml"/><Relationship Id="rId27" Type="http://schemas.openxmlformats.org/officeDocument/2006/relationships/chart" Target="../charts/chart29.xml"/><Relationship Id="rId30" Type="http://schemas.openxmlformats.org/officeDocument/2006/relationships/chart" Target="../charts/chart32.xml"/><Relationship Id="rId35" Type="http://schemas.openxmlformats.org/officeDocument/2006/relationships/chart" Target="../charts/chart37.xml"/><Relationship Id="rId43" Type="http://schemas.openxmlformats.org/officeDocument/2006/relationships/chart" Target="../charts/chart45.xml"/><Relationship Id="rId8" Type="http://schemas.openxmlformats.org/officeDocument/2006/relationships/chart" Target="../charts/chart10.xml"/><Relationship Id="rId3" Type="http://schemas.openxmlformats.org/officeDocument/2006/relationships/chart" Target="../charts/chart5.xml"/><Relationship Id="rId12" Type="http://schemas.openxmlformats.org/officeDocument/2006/relationships/chart" Target="../charts/chart14.xml"/><Relationship Id="rId17" Type="http://schemas.openxmlformats.org/officeDocument/2006/relationships/chart" Target="../charts/chart19.xml"/><Relationship Id="rId25" Type="http://schemas.openxmlformats.org/officeDocument/2006/relationships/chart" Target="../charts/chart27.xml"/><Relationship Id="rId33" Type="http://schemas.openxmlformats.org/officeDocument/2006/relationships/chart" Target="../charts/chart35.xml"/><Relationship Id="rId38" Type="http://schemas.openxmlformats.org/officeDocument/2006/relationships/chart" Target="../charts/chart40.xml"/><Relationship Id="rId46" Type="http://schemas.openxmlformats.org/officeDocument/2006/relationships/chart" Target="../charts/chart48.xml"/><Relationship Id="rId20" Type="http://schemas.openxmlformats.org/officeDocument/2006/relationships/chart" Target="../charts/chart22.xml"/><Relationship Id="rId41" Type="http://schemas.openxmlformats.org/officeDocument/2006/relationships/chart" Target="../charts/chart43.xml"/></Relationships>
</file>

<file path=xl/drawings/drawing1.xml><?xml version="1.0" encoding="utf-8"?>
<xdr:wsDr xmlns:xdr="http://schemas.openxmlformats.org/drawingml/2006/spreadsheetDrawing" xmlns:a="http://schemas.openxmlformats.org/drawingml/2006/main">
  <xdr:twoCellAnchor>
    <xdr:from>
      <xdr:col>83</xdr:col>
      <xdr:colOff>304800</xdr:colOff>
      <xdr:row>23</xdr:row>
      <xdr:rowOff>161925</xdr:rowOff>
    </xdr:from>
    <xdr:to>
      <xdr:col>88</xdr:col>
      <xdr:colOff>381000</xdr:colOff>
      <xdr:row>36</xdr:row>
      <xdr:rowOff>57150</xdr:rowOff>
    </xdr:to>
    <xdr:graphicFrame macro="">
      <xdr:nvGraphicFramePr>
        <xdr:cNvPr id="2" name="Chart 1">
          <a:extLst>
            <a:ext uri="{FF2B5EF4-FFF2-40B4-BE49-F238E27FC236}">
              <a16:creationId xmlns:a16="http://schemas.microsoft.com/office/drawing/2014/main" id="{D68181AC-0957-97A6-A0E7-59BCA37A0B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857250</xdr:colOff>
      <xdr:row>78</xdr:row>
      <xdr:rowOff>180975</xdr:rowOff>
    </xdr:from>
    <xdr:to>
      <xdr:col>13</xdr:col>
      <xdr:colOff>590550</xdr:colOff>
      <xdr:row>93</xdr:row>
      <xdr:rowOff>66675</xdr:rowOff>
    </xdr:to>
    <xdr:graphicFrame macro="">
      <xdr:nvGraphicFramePr>
        <xdr:cNvPr id="6" name="Chart 5">
          <a:extLst>
            <a:ext uri="{FF2B5EF4-FFF2-40B4-BE49-F238E27FC236}">
              <a16:creationId xmlns:a16="http://schemas.microsoft.com/office/drawing/2014/main" id="{5A230BF8-6EE2-1A02-9EC2-3D40378873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485775</xdr:colOff>
      <xdr:row>18</xdr:row>
      <xdr:rowOff>133350</xdr:rowOff>
    </xdr:from>
    <xdr:to>
      <xdr:col>21</xdr:col>
      <xdr:colOff>381000</xdr:colOff>
      <xdr:row>35</xdr:row>
      <xdr:rowOff>0</xdr:rowOff>
    </xdr:to>
    <xdr:graphicFrame macro="">
      <xdr:nvGraphicFramePr>
        <xdr:cNvPr id="4" name="Chart 3">
          <a:extLst>
            <a:ext uri="{FF2B5EF4-FFF2-40B4-BE49-F238E27FC236}">
              <a16:creationId xmlns:a16="http://schemas.microsoft.com/office/drawing/2014/main" id="{736ADBF3-0989-24D8-E81D-59BEFAA3CD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390525</xdr:colOff>
      <xdr:row>22</xdr:row>
      <xdr:rowOff>9525</xdr:rowOff>
    </xdr:from>
    <xdr:to>
      <xdr:col>32</xdr:col>
      <xdr:colOff>95250</xdr:colOff>
      <xdr:row>36</xdr:row>
      <xdr:rowOff>47625</xdr:rowOff>
    </xdr:to>
    <xdr:graphicFrame macro="">
      <xdr:nvGraphicFramePr>
        <xdr:cNvPr id="5" name="Chart 4">
          <a:extLst>
            <a:ext uri="{FF2B5EF4-FFF2-40B4-BE49-F238E27FC236}">
              <a16:creationId xmlns:a16="http://schemas.microsoft.com/office/drawing/2014/main" id="{35C9B3E3-77DB-B1A7-6C8F-D0B692333EE0}"/>
            </a:ext>
            <a:ext uri="{147F2762-F138-4A5C-976F-8EAC2B608ADB}">
              <a16:predDERef xmlns:a16="http://schemas.microsoft.com/office/drawing/2014/main" pred="{736ADBF3-0989-24D8-E81D-59BEFAA3CD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200025</xdr:colOff>
      <xdr:row>21</xdr:row>
      <xdr:rowOff>171450</xdr:rowOff>
    </xdr:from>
    <xdr:to>
      <xdr:col>40</xdr:col>
      <xdr:colOff>238125</xdr:colOff>
      <xdr:row>36</xdr:row>
      <xdr:rowOff>47625</xdr:rowOff>
    </xdr:to>
    <xdr:graphicFrame macro="">
      <xdr:nvGraphicFramePr>
        <xdr:cNvPr id="6" name="Chart 5">
          <a:extLst>
            <a:ext uri="{FF2B5EF4-FFF2-40B4-BE49-F238E27FC236}">
              <a16:creationId xmlns:a16="http://schemas.microsoft.com/office/drawing/2014/main" id="{B805BAD9-AA95-44E3-BFD2-0BFB13B5D3A1}"/>
            </a:ext>
            <a:ext uri="{147F2762-F138-4A5C-976F-8EAC2B608ADB}">
              <a16:predDERef xmlns:a16="http://schemas.microsoft.com/office/drawing/2014/main" pred="{35C9B3E3-77DB-B1A7-6C8F-D0B692333E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42</xdr:col>
      <xdr:colOff>209550</xdr:colOff>
      <xdr:row>21</xdr:row>
      <xdr:rowOff>171450</xdr:rowOff>
    </xdr:from>
    <xdr:to>
      <xdr:col>48</xdr:col>
      <xdr:colOff>447675</xdr:colOff>
      <xdr:row>35</xdr:row>
      <xdr:rowOff>85725</xdr:rowOff>
    </xdr:to>
    <xdr:graphicFrame macro="">
      <xdr:nvGraphicFramePr>
        <xdr:cNvPr id="7" name="Chart 6">
          <a:extLst>
            <a:ext uri="{FF2B5EF4-FFF2-40B4-BE49-F238E27FC236}">
              <a16:creationId xmlns:a16="http://schemas.microsoft.com/office/drawing/2014/main" id="{10ACC0D6-A93A-8FCF-8C8B-5F7BAABD1FAE}"/>
            </a:ext>
            <a:ext uri="{147F2762-F138-4A5C-976F-8EAC2B608ADB}">
              <a16:predDERef xmlns:a16="http://schemas.microsoft.com/office/drawing/2014/main" pred="{B805BAD9-AA95-44E3-BFD2-0BFB13B5D3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48</xdr:col>
      <xdr:colOff>752475</xdr:colOff>
      <xdr:row>21</xdr:row>
      <xdr:rowOff>161925</xdr:rowOff>
    </xdr:from>
    <xdr:to>
      <xdr:col>54</xdr:col>
      <xdr:colOff>361950</xdr:colOff>
      <xdr:row>36</xdr:row>
      <xdr:rowOff>66675</xdr:rowOff>
    </xdr:to>
    <xdr:graphicFrame macro="">
      <xdr:nvGraphicFramePr>
        <xdr:cNvPr id="2" name="Chart 1">
          <a:extLst>
            <a:ext uri="{FF2B5EF4-FFF2-40B4-BE49-F238E27FC236}">
              <a16:creationId xmlns:a16="http://schemas.microsoft.com/office/drawing/2014/main" id="{B3D994DC-1825-5BB9-B903-BD7C84C283F3}"/>
            </a:ext>
            <a:ext uri="{147F2762-F138-4A5C-976F-8EAC2B608ADB}">
              <a16:predDERef xmlns:a16="http://schemas.microsoft.com/office/drawing/2014/main" pred="{10ACC0D6-A93A-8FCF-8C8B-5F7BAABD1F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56</xdr:col>
      <xdr:colOff>152400</xdr:colOff>
      <xdr:row>22</xdr:row>
      <xdr:rowOff>66675</xdr:rowOff>
    </xdr:from>
    <xdr:to>
      <xdr:col>61</xdr:col>
      <xdr:colOff>704850</xdr:colOff>
      <xdr:row>35</xdr:row>
      <xdr:rowOff>76200</xdr:rowOff>
    </xdr:to>
    <xdr:graphicFrame macro="">
      <xdr:nvGraphicFramePr>
        <xdr:cNvPr id="3" name="Chart 2">
          <a:extLst>
            <a:ext uri="{FF2B5EF4-FFF2-40B4-BE49-F238E27FC236}">
              <a16:creationId xmlns:a16="http://schemas.microsoft.com/office/drawing/2014/main" id="{1E6A174F-330F-D000-9788-42C0D0426800}"/>
            </a:ext>
            <a:ext uri="{147F2762-F138-4A5C-976F-8EAC2B608ADB}">
              <a16:predDERef xmlns:a16="http://schemas.microsoft.com/office/drawing/2014/main" pred="{B3D994DC-1825-5BB9-B903-BD7C84C283F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76200</xdr:colOff>
      <xdr:row>59</xdr:row>
      <xdr:rowOff>180975</xdr:rowOff>
    </xdr:from>
    <xdr:to>
      <xdr:col>6</xdr:col>
      <xdr:colOff>257175</xdr:colOff>
      <xdr:row>72</xdr:row>
      <xdr:rowOff>133350</xdr:rowOff>
    </xdr:to>
    <xdr:graphicFrame macro="">
      <xdr:nvGraphicFramePr>
        <xdr:cNvPr id="8" name="Chart 7">
          <a:extLst>
            <a:ext uri="{FF2B5EF4-FFF2-40B4-BE49-F238E27FC236}">
              <a16:creationId xmlns:a16="http://schemas.microsoft.com/office/drawing/2014/main" id="{5EF1EAE6-FECE-C2C6-5F6D-343CACDC188E}"/>
            </a:ext>
            <a:ext uri="{147F2762-F138-4A5C-976F-8EAC2B608ADB}">
              <a16:predDERef xmlns:a16="http://schemas.microsoft.com/office/drawing/2014/main" pred="{1E6A174F-330F-D000-9788-42C0D04268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47625</xdr:colOff>
      <xdr:row>54</xdr:row>
      <xdr:rowOff>28575</xdr:rowOff>
    </xdr:from>
    <xdr:to>
      <xdr:col>29</xdr:col>
      <xdr:colOff>333375</xdr:colOff>
      <xdr:row>67</xdr:row>
      <xdr:rowOff>133350</xdr:rowOff>
    </xdr:to>
    <xdr:graphicFrame macro="">
      <xdr:nvGraphicFramePr>
        <xdr:cNvPr id="9" name="Chart 8">
          <a:extLst>
            <a:ext uri="{FF2B5EF4-FFF2-40B4-BE49-F238E27FC236}">
              <a16:creationId xmlns:a16="http://schemas.microsoft.com/office/drawing/2014/main" id="{5CE7CB04-6579-AB30-9593-93E0E332B86B}"/>
            </a:ext>
            <a:ext uri="{147F2762-F138-4A5C-976F-8EAC2B608ADB}">
              <a16:predDERef xmlns:a16="http://schemas.microsoft.com/office/drawing/2014/main" pred="{5EF1EAE6-FECE-C2C6-5F6D-343CACDC18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31</xdr:col>
      <xdr:colOff>85725</xdr:colOff>
      <xdr:row>59</xdr:row>
      <xdr:rowOff>161925</xdr:rowOff>
    </xdr:from>
    <xdr:to>
      <xdr:col>39</xdr:col>
      <xdr:colOff>123825</xdr:colOff>
      <xdr:row>74</xdr:row>
      <xdr:rowOff>47625</xdr:rowOff>
    </xdr:to>
    <xdr:graphicFrame macro="">
      <xdr:nvGraphicFramePr>
        <xdr:cNvPr id="10" name="Chart 9">
          <a:extLst>
            <a:ext uri="{FF2B5EF4-FFF2-40B4-BE49-F238E27FC236}">
              <a16:creationId xmlns:a16="http://schemas.microsoft.com/office/drawing/2014/main" id="{C3F29894-9305-315C-A4E7-4004F062013B}"/>
            </a:ext>
            <a:ext uri="{147F2762-F138-4A5C-976F-8EAC2B608ADB}">
              <a16:predDERef xmlns:a16="http://schemas.microsoft.com/office/drawing/2014/main" pred="{5CE7CB04-6579-AB30-9593-93E0E332B8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40</xdr:col>
      <xdr:colOff>514350</xdr:colOff>
      <xdr:row>59</xdr:row>
      <xdr:rowOff>123825</xdr:rowOff>
    </xdr:from>
    <xdr:to>
      <xdr:col>49</xdr:col>
      <xdr:colOff>66675</xdr:colOff>
      <xdr:row>74</xdr:row>
      <xdr:rowOff>9525</xdr:rowOff>
    </xdr:to>
    <xdr:graphicFrame macro="">
      <xdr:nvGraphicFramePr>
        <xdr:cNvPr id="11" name="Chart 10">
          <a:extLst>
            <a:ext uri="{FF2B5EF4-FFF2-40B4-BE49-F238E27FC236}">
              <a16:creationId xmlns:a16="http://schemas.microsoft.com/office/drawing/2014/main" id="{3B60B572-5C20-22FC-E988-4FD5119D5755}"/>
            </a:ext>
            <a:ext uri="{147F2762-F138-4A5C-976F-8EAC2B608ADB}">
              <a16:predDERef xmlns:a16="http://schemas.microsoft.com/office/drawing/2014/main" pred="{C3F29894-9305-315C-A4E7-4004F06201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49</xdr:col>
      <xdr:colOff>523875</xdr:colOff>
      <xdr:row>59</xdr:row>
      <xdr:rowOff>133350</xdr:rowOff>
    </xdr:from>
    <xdr:to>
      <xdr:col>57</xdr:col>
      <xdr:colOff>0</xdr:colOff>
      <xdr:row>74</xdr:row>
      <xdr:rowOff>19050</xdr:rowOff>
    </xdr:to>
    <xdr:graphicFrame macro="">
      <xdr:nvGraphicFramePr>
        <xdr:cNvPr id="12" name="Chart 11">
          <a:extLst>
            <a:ext uri="{FF2B5EF4-FFF2-40B4-BE49-F238E27FC236}">
              <a16:creationId xmlns:a16="http://schemas.microsoft.com/office/drawing/2014/main" id="{20AD0B56-D97A-EC9F-EF63-F5F4FBAC6545}"/>
            </a:ext>
            <a:ext uri="{147F2762-F138-4A5C-976F-8EAC2B608ADB}">
              <a16:predDERef xmlns:a16="http://schemas.microsoft.com/office/drawing/2014/main" pred="{3B60B572-5C20-22FC-E988-4FD5119D57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76200</xdr:colOff>
      <xdr:row>97</xdr:row>
      <xdr:rowOff>142875</xdr:rowOff>
    </xdr:from>
    <xdr:to>
      <xdr:col>5</xdr:col>
      <xdr:colOff>571500</xdr:colOff>
      <xdr:row>112</xdr:row>
      <xdr:rowOff>0</xdr:rowOff>
    </xdr:to>
    <xdr:graphicFrame macro="">
      <xdr:nvGraphicFramePr>
        <xdr:cNvPr id="13" name="Chart 12">
          <a:extLst>
            <a:ext uri="{FF2B5EF4-FFF2-40B4-BE49-F238E27FC236}">
              <a16:creationId xmlns:a16="http://schemas.microsoft.com/office/drawing/2014/main" id="{56882C4A-FD49-A67D-78AC-7AD5E606DD4C}"/>
            </a:ext>
            <a:ext uri="{147F2762-F138-4A5C-976F-8EAC2B608ADB}">
              <a16:predDERef xmlns:a16="http://schemas.microsoft.com/office/drawing/2014/main" pred="{20AD0B56-D97A-EC9F-EF63-F5F4FBAC65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57150</xdr:colOff>
      <xdr:row>98</xdr:row>
      <xdr:rowOff>95250</xdr:rowOff>
    </xdr:from>
    <xdr:to>
      <xdr:col>11</xdr:col>
      <xdr:colOff>495300</xdr:colOff>
      <xdr:row>111</xdr:row>
      <xdr:rowOff>161925</xdr:rowOff>
    </xdr:to>
    <xdr:graphicFrame macro="">
      <xdr:nvGraphicFramePr>
        <xdr:cNvPr id="14" name="Chart 13">
          <a:extLst>
            <a:ext uri="{FF2B5EF4-FFF2-40B4-BE49-F238E27FC236}">
              <a16:creationId xmlns:a16="http://schemas.microsoft.com/office/drawing/2014/main" id="{A7FD2C04-BBE6-1112-535F-FA665A2AC76E}"/>
            </a:ext>
            <a:ext uri="{147F2762-F138-4A5C-976F-8EAC2B608ADB}">
              <a16:predDERef xmlns:a16="http://schemas.microsoft.com/office/drawing/2014/main" pred="{56882C4A-FD49-A67D-78AC-7AD5E606DD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13</xdr:col>
      <xdr:colOff>104775</xdr:colOff>
      <xdr:row>98</xdr:row>
      <xdr:rowOff>47625</xdr:rowOff>
    </xdr:from>
    <xdr:to>
      <xdr:col>20</xdr:col>
      <xdr:colOff>38100</xdr:colOff>
      <xdr:row>111</xdr:row>
      <xdr:rowOff>123825</xdr:rowOff>
    </xdr:to>
    <xdr:graphicFrame macro="">
      <xdr:nvGraphicFramePr>
        <xdr:cNvPr id="15" name="Chart 14">
          <a:extLst>
            <a:ext uri="{FF2B5EF4-FFF2-40B4-BE49-F238E27FC236}">
              <a16:creationId xmlns:a16="http://schemas.microsoft.com/office/drawing/2014/main" id="{631B7B4D-3529-86CF-83D0-5B2EEB87A85F}"/>
            </a:ext>
            <a:ext uri="{147F2762-F138-4A5C-976F-8EAC2B608ADB}">
              <a16:predDERef xmlns:a16="http://schemas.microsoft.com/office/drawing/2014/main" pred="{A7FD2C04-BBE6-1112-535F-FA665A2AC7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20</xdr:col>
      <xdr:colOff>600075</xdr:colOff>
      <xdr:row>98</xdr:row>
      <xdr:rowOff>28575</xdr:rowOff>
    </xdr:from>
    <xdr:to>
      <xdr:col>26</xdr:col>
      <xdr:colOff>66675</xdr:colOff>
      <xdr:row>111</xdr:row>
      <xdr:rowOff>85725</xdr:rowOff>
    </xdr:to>
    <xdr:graphicFrame macro="">
      <xdr:nvGraphicFramePr>
        <xdr:cNvPr id="16" name="Chart 15">
          <a:extLst>
            <a:ext uri="{FF2B5EF4-FFF2-40B4-BE49-F238E27FC236}">
              <a16:creationId xmlns:a16="http://schemas.microsoft.com/office/drawing/2014/main" id="{3A7AFA06-4BB9-9C29-1730-B17F67929344}"/>
            </a:ext>
            <a:ext uri="{147F2762-F138-4A5C-976F-8EAC2B608ADB}">
              <a16:predDERef xmlns:a16="http://schemas.microsoft.com/office/drawing/2014/main" pred="{631B7B4D-3529-86CF-83D0-5B2EEB87A8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26</xdr:col>
      <xdr:colOff>238125</xdr:colOff>
      <xdr:row>98</xdr:row>
      <xdr:rowOff>123825</xdr:rowOff>
    </xdr:from>
    <xdr:to>
      <xdr:col>31</xdr:col>
      <xdr:colOff>514350</xdr:colOff>
      <xdr:row>111</xdr:row>
      <xdr:rowOff>19050</xdr:rowOff>
    </xdr:to>
    <xdr:graphicFrame macro="">
      <xdr:nvGraphicFramePr>
        <xdr:cNvPr id="17" name="Chart 16">
          <a:extLst>
            <a:ext uri="{FF2B5EF4-FFF2-40B4-BE49-F238E27FC236}">
              <a16:creationId xmlns:a16="http://schemas.microsoft.com/office/drawing/2014/main" id="{CFFAB4B3-C392-9A55-FE9C-93B97D6BF27F}"/>
            </a:ext>
            <a:ext uri="{147F2762-F138-4A5C-976F-8EAC2B608ADB}">
              <a16:predDERef xmlns:a16="http://schemas.microsoft.com/office/drawing/2014/main" pred="{3A7AFA06-4BB9-9C29-1730-B17F679293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31</xdr:col>
      <xdr:colOff>752475</xdr:colOff>
      <xdr:row>98</xdr:row>
      <xdr:rowOff>19050</xdr:rowOff>
    </xdr:from>
    <xdr:to>
      <xdr:col>38</xdr:col>
      <xdr:colOff>390525</xdr:colOff>
      <xdr:row>110</xdr:row>
      <xdr:rowOff>152400</xdr:rowOff>
    </xdr:to>
    <xdr:graphicFrame macro="">
      <xdr:nvGraphicFramePr>
        <xdr:cNvPr id="18" name="Chart 17">
          <a:extLst>
            <a:ext uri="{FF2B5EF4-FFF2-40B4-BE49-F238E27FC236}">
              <a16:creationId xmlns:a16="http://schemas.microsoft.com/office/drawing/2014/main" id="{576DFCCE-372A-E555-8303-168B417F6140}"/>
            </a:ext>
            <a:ext uri="{147F2762-F138-4A5C-976F-8EAC2B608ADB}">
              <a16:predDERef xmlns:a16="http://schemas.microsoft.com/office/drawing/2014/main" pred="{CFFAB4B3-C392-9A55-FE9C-93B97D6BF2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39</xdr:col>
      <xdr:colOff>76200</xdr:colOff>
      <xdr:row>98</xdr:row>
      <xdr:rowOff>66675</xdr:rowOff>
    </xdr:from>
    <xdr:to>
      <xdr:col>44</xdr:col>
      <xdr:colOff>390525</xdr:colOff>
      <xdr:row>111</xdr:row>
      <xdr:rowOff>19050</xdr:rowOff>
    </xdr:to>
    <xdr:graphicFrame macro="">
      <xdr:nvGraphicFramePr>
        <xdr:cNvPr id="19" name="Chart 18">
          <a:extLst>
            <a:ext uri="{FF2B5EF4-FFF2-40B4-BE49-F238E27FC236}">
              <a16:creationId xmlns:a16="http://schemas.microsoft.com/office/drawing/2014/main" id="{B87CF4BA-28B8-5829-0831-7B3A4261583E}"/>
            </a:ext>
            <a:ext uri="{147F2762-F138-4A5C-976F-8EAC2B608ADB}">
              <a16:predDERef xmlns:a16="http://schemas.microsoft.com/office/drawing/2014/main" pred="{576DFCCE-372A-E555-8303-168B417F61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44</xdr:col>
      <xdr:colOff>590550</xdr:colOff>
      <xdr:row>98</xdr:row>
      <xdr:rowOff>76200</xdr:rowOff>
    </xdr:from>
    <xdr:to>
      <xdr:col>51</xdr:col>
      <xdr:colOff>47625</xdr:colOff>
      <xdr:row>110</xdr:row>
      <xdr:rowOff>123825</xdr:rowOff>
    </xdr:to>
    <xdr:graphicFrame macro="">
      <xdr:nvGraphicFramePr>
        <xdr:cNvPr id="20" name="Chart 19">
          <a:extLst>
            <a:ext uri="{FF2B5EF4-FFF2-40B4-BE49-F238E27FC236}">
              <a16:creationId xmlns:a16="http://schemas.microsoft.com/office/drawing/2014/main" id="{951BFE37-CDAB-9491-9ADF-065877096189}"/>
            </a:ext>
            <a:ext uri="{147F2762-F138-4A5C-976F-8EAC2B608ADB}">
              <a16:predDERef xmlns:a16="http://schemas.microsoft.com/office/drawing/2014/main" pred="{B87CF4BA-28B8-5829-0831-7B3A426158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51</xdr:col>
      <xdr:colOff>314325</xdr:colOff>
      <xdr:row>98</xdr:row>
      <xdr:rowOff>0</xdr:rowOff>
    </xdr:from>
    <xdr:to>
      <xdr:col>56</xdr:col>
      <xdr:colOff>28575</xdr:colOff>
      <xdr:row>110</xdr:row>
      <xdr:rowOff>66675</xdr:rowOff>
    </xdr:to>
    <xdr:graphicFrame macro="">
      <xdr:nvGraphicFramePr>
        <xdr:cNvPr id="21" name="Chart 20">
          <a:extLst>
            <a:ext uri="{FF2B5EF4-FFF2-40B4-BE49-F238E27FC236}">
              <a16:creationId xmlns:a16="http://schemas.microsoft.com/office/drawing/2014/main" id="{4E8F3C7B-B8AF-BA05-0EEC-17042B1FA0E6}"/>
            </a:ext>
            <a:ext uri="{147F2762-F138-4A5C-976F-8EAC2B608ADB}">
              <a16:predDERef xmlns:a16="http://schemas.microsoft.com/office/drawing/2014/main" pred="{951BFE37-CDAB-9491-9ADF-0658770961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56</xdr:col>
      <xdr:colOff>333375</xdr:colOff>
      <xdr:row>97</xdr:row>
      <xdr:rowOff>161925</xdr:rowOff>
    </xdr:from>
    <xdr:to>
      <xdr:col>61</xdr:col>
      <xdr:colOff>76200</xdr:colOff>
      <xdr:row>109</xdr:row>
      <xdr:rowOff>114300</xdr:rowOff>
    </xdr:to>
    <xdr:graphicFrame macro="">
      <xdr:nvGraphicFramePr>
        <xdr:cNvPr id="22" name="Chart 21">
          <a:extLst>
            <a:ext uri="{FF2B5EF4-FFF2-40B4-BE49-F238E27FC236}">
              <a16:creationId xmlns:a16="http://schemas.microsoft.com/office/drawing/2014/main" id="{02385F3F-E5B6-8FF2-AFDA-108062E4CED5}"/>
            </a:ext>
            <a:ext uri="{147F2762-F138-4A5C-976F-8EAC2B608ADB}">
              <a16:predDERef xmlns:a16="http://schemas.microsoft.com/office/drawing/2014/main" pred="{4E8F3C7B-B8AF-BA05-0EEC-17042B1FA0E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61</xdr:col>
      <xdr:colOff>361950</xdr:colOff>
      <xdr:row>98</xdr:row>
      <xdr:rowOff>47625</xdr:rowOff>
    </xdr:from>
    <xdr:to>
      <xdr:col>66</xdr:col>
      <xdr:colOff>323850</xdr:colOff>
      <xdr:row>109</xdr:row>
      <xdr:rowOff>123825</xdr:rowOff>
    </xdr:to>
    <xdr:graphicFrame macro="">
      <xdr:nvGraphicFramePr>
        <xdr:cNvPr id="23" name="Chart 22">
          <a:extLst>
            <a:ext uri="{FF2B5EF4-FFF2-40B4-BE49-F238E27FC236}">
              <a16:creationId xmlns:a16="http://schemas.microsoft.com/office/drawing/2014/main" id="{4086395E-4935-B581-2D8E-DEC95C4DCD0B}"/>
            </a:ext>
            <a:ext uri="{147F2762-F138-4A5C-976F-8EAC2B608ADB}">
              <a16:predDERef xmlns:a16="http://schemas.microsoft.com/office/drawing/2014/main" pred="{02385F3F-E5B6-8FF2-AFDA-108062E4CE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66</xdr:col>
      <xdr:colOff>9525</xdr:colOff>
      <xdr:row>21</xdr:row>
      <xdr:rowOff>171450</xdr:rowOff>
    </xdr:from>
    <xdr:to>
      <xdr:col>71</xdr:col>
      <xdr:colOff>533400</xdr:colOff>
      <xdr:row>35</xdr:row>
      <xdr:rowOff>47625</xdr:rowOff>
    </xdr:to>
    <xdr:graphicFrame macro="">
      <xdr:nvGraphicFramePr>
        <xdr:cNvPr id="26" name="Chart 25">
          <a:extLst>
            <a:ext uri="{FF2B5EF4-FFF2-40B4-BE49-F238E27FC236}">
              <a16:creationId xmlns:a16="http://schemas.microsoft.com/office/drawing/2014/main" id="{E0B2DFC2-6B40-5C3F-1D6E-702EACCF60EE}"/>
            </a:ext>
            <a:ext uri="{147F2762-F138-4A5C-976F-8EAC2B608ADB}">
              <a16:predDERef xmlns:a16="http://schemas.microsoft.com/office/drawing/2014/main" pred="{4086395E-4935-B581-2D8E-DEC95C4DCD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61</xdr:col>
      <xdr:colOff>400050</xdr:colOff>
      <xdr:row>59</xdr:row>
      <xdr:rowOff>104775</xdr:rowOff>
    </xdr:from>
    <xdr:to>
      <xdr:col>70</xdr:col>
      <xdr:colOff>304800</xdr:colOff>
      <xdr:row>73</xdr:row>
      <xdr:rowOff>152400</xdr:rowOff>
    </xdr:to>
    <xdr:graphicFrame macro="">
      <xdr:nvGraphicFramePr>
        <xdr:cNvPr id="27" name="Chart 26">
          <a:extLst>
            <a:ext uri="{FF2B5EF4-FFF2-40B4-BE49-F238E27FC236}">
              <a16:creationId xmlns:a16="http://schemas.microsoft.com/office/drawing/2014/main" id="{409EBDD1-FA80-9CFA-4215-BFD8A0B51899}"/>
            </a:ext>
            <a:ext uri="{147F2762-F138-4A5C-976F-8EAC2B608ADB}">
              <a16:predDERef xmlns:a16="http://schemas.microsoft.com/office/drawing/2014/main" pred="{E0B2DFC2-6B40-5C3F-1D6E-702EACCF60E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66</xdr:col>
      <xdr:colOff>552450</xdr:colOff>
      <xdr:row>97</xdr:row>
      <xdr:rowOff>180975</xdr:rowOff>
    </xdr:from>
    <xdr:to>
      <xdr:col>71</xdr:col>
      <xdr:colOff>314325</xdr:colOff>
      <xdr:row>109</xdr:row>
      <xdr:rowOff>66675</xdr:rowOff>
    </xdr:to>
    <xdr:graphicFrame macro="">
      <xdr:nvGraphicFramePr>
        <xdr:cNvPr id="28" name="Chart 27">
          <a:extLst>
            <a:ext uri="{FF2B5EF4-FFF2-40B4-BE49-F238E27FC236}">
              <a16:creationId xmlns:a16="http://schemas.microsoft.com/office/drawing/2014/main" id="{675A2E1D-5B81-FED4-1A3D-A621B650C252}"/>
            </a:ext>
            <a:ext uri="{147F2762-F138-4A5C-976F-8EAC2B608ADB}">
              <a16:predDERef xmlns:a16="http://schemas.microsoft.com/office/drawing/2014/main" pred="{409EBDD1-FA80-9CFA-4215-BFD8A0B518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72</xdr:col>
      <xdr:colOff>0</xdr:colOff>
      <xdr:row>98</xdr:row>
      <xdr:rowOff>19050</xdr:rowOff>
    </xdr:from>
    <xdr:to>
      <xdr:col>76</xdr:col>
      <xdr:colOff>571500</xdr:colOff>
      <xdr:row>109</xdr:row>
      <xdr:rowOff>142875</xdr:rowOff>
    </xdr:to>
    <xdr:graphicFrame macro="">
      <xdr:nvGraphicFramePr>
        <xdr:cNvPr id="29" name="Chart 28">
          <a:extLst>
            <a:ext uri="{FF2B5EF4-FFF2-40B4-BE49-F238E27FC236}">
              <a16:creationId xmlns:a16="http://schemas.microsoft.com/office/drawing/2014/main" id="{B721F66C-2C30-D06C-5AF0-0FC032009BFC}"/>
            </a:ext>
            <a:ext uri="{147F2762-F138-4A5C-976F-8EAC2B608ADB}">
              <a16:predDERef xmlns:a16="http://schemas.microsoft.com/office/drawing/2014/main" pred="{675A2E1D-5B81-FED4-1A3D-A621B650C2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73</xdr:col>
      <xdr:colOff>485775</xdr:colOff>
      <xdr:row>21</xdr:row>
      <xdr:rowOff>104775</xdr:rowOff>
    </xdr:from>
    <xdr:to>
      <xdr:col>79</xdr:col>
      <xdr:colOff>95250</xdr:colOff>
      <xdr:row>35</xdr:row>
      <xdr:rowOff>57150</xdr:rowOff>
    </xdr:to>
    <xdr:graphicFrame macro="">
      <xdr:nvGraphicFramePr>
        <xdr:cNvPr id="24" name="Chart 23">
          <a:extLst>
            <a:ext uri="{FF2B5EF4-FFF2-40B4-BE49-F238E27FC236}">
              <a16:creationId xmlns:a16="http://schemas.microsoft.com/office/drawing/2014/main" id="{369E0835-9594-DB35-4CB7-84C4A3180862}"/>
            </a:ext>
            <a:ext uri="{147F2762-F138-4A5C-976F-8EAC2B608ADB}">
              <a16:predDERef xmlns:a16="http://schemas.microsoft.com/office/drawing/2014/main" pred="{B721F66C-2C30-D06C-5AF0-0FC032009B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89</xdr:col>
      <xdr:colOff>590550</xdr:colOff>
      <xdr:row>21</xdr:row>
      <xdr:rowOff>85725</xdr:rowOff>
    </xdr:from>
    <xdr:to>
      <xdr:col>94</xdr:col>
      <xdr:colOff>342900</xdr:colOff>
      <xdr:row>33</xdr:row>
      <xdr:rowOff>104775</xdr:rowOff>
    </xdr:to>
    <xdr:graphicFrame macro="">
      <xdr:nvGraphicFramePr>
        <xdr:cNvPr id="25" name="Chart 24">
          <a:extLst>
            <a:ext uri="{FF2B5EF4-FFF2-40B4-BE49-F238E27FC236}">
              <a16:creationId xmlns:a16="http://schemas.microsoft.com/office/drawing/2014/main" id="{6682D5D7-AB1D-2D40-2ADD-30165FC2C5BE}"/>
            </a:ext>
            <a:ext uri="{147F2762-F138-4A5C-976F-8EAC2B608ADB}">
              <a16:predDERef xmlns:a16="http://schemas.microsoft.com/office/drawing/2014/main" pred="{369E0835-9594-DB35-4CB7-84C4A31808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73</xdr:col>
      <xdr:colOff>104775</xdr:colOff>
      <xdr:row>59</xdr:row>
      <xdr:rowOff>114300</xdr:rowOff>
    </xdr:from>
    <xdr:to>
      <xdr:col>78</xdr:col>
      <xdr:colOff>47625</xdr:colOff>
      <xdr:row>72</xdr:row>
      <xdr:rowOff>95250</xdr:rowOff>
    </xdr:to>
    <xdr:graphicFrame macro="">
      <xdr:nvGraphicFramePr>
        <xdr:cNvPr id="30" name="Chart 29">
          <a:extLst>
            <a:ext uri="{FF2B5EF4-FFF2-40B4-BE49-F238E27FC236}">
              <a16:creationId xmlns:a16="http://schemas.microsoft.com/office/drawing/2014/main" id="{EB43C1E8-D969-8A27-BC05-0470A6D567F0}"/>
            </a:ext>
            <a:ext uri="{147F2762-F138-4A5C-976F-8EAC2B608ADB}">
              <a16:predDERef xmlns:a16="http://schemas.microsoft.com/office/drawing/2014/main" pred="{6682D5D7-AB1D-2D40-2ADD-30165FC2C5B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89</xdr:col>
      <xdr:colOff>342900</xdr:colOff>
      <xdr:row>59</xdr:row>
      <xdr:rowOff>95250</xdr:rowOff>
    </xdr:from>
    <xdr:to>
      <xdr:col>94</xdr:col>
      <xdr:colOff>476250</xdr:colOff>
      <xdr:row>72</xdr:row>
      <xdr:rowOff>85725</xdr:rowOff>
    </xdr:to>
    <xdr:graphicFrame macro="">
      <xdr:nvGraphicFramePr>
        <xdr:cNvPr id="31" name="Chart 30">
          <a:extLst>
            <a:ext uri="{FF2B5EF4-FFF2-40B4-BE49-F238E27FC236}">
              <a16:creationId xmlns:a16="http://schemas.microsoft.com/office/drawing/2014/main" id="{7F134B70-2159-3C27-D900-772578875213}"/>
            </a:ext>
            <a:ext uri="{147F2762-F138-4A5C-976F-8EAC2B608ADB}">
              <a16:predDERef xmlns:a16="http://schemas.microsoft.com/office/drawing/2014/main" pred="{EB43C1E8-D969-8A27-BC05-0470A6D567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78</xdr:col>
      <xdr:colOff>28575</xdr:colOff>
      <xdr:row>97</xdr:row>
      <xdr:rowOff>85725</xdr:rowOff>
    </xdr:from>
    <xdr:to>
      <xdr:col>83</xdr:col>
      <xdr:colOff>9525</xdr:colOff>
      <xdr:row>109</xdr:row>
      <xdr:rowOff>85725</xdr:rowOff>
    </xdr:to>
    <xdr:graphicFrame macro="">
      <xdr:nvGraphicFramePr>
        <xdr:cNvPr id="32" name="Chart 31">
          <a:extLst>
            <a:ext uri="{FF2B5EF4-FFF2-40B4-BE49-F238E27FC236}">
              <a16:creationId xmlns:a16="http://schemas.microsoft.com/office/drawing/2014/main" id="{5FEB8A47-EAB8-99E8-376B-CB225885FB8D}"/>
            </a:ext>
            <a:ext uri="{147F2762-F138-4A5C-976F-8EAC2B608ADB}">
              <a16:predDERef xmlns:a16="http://schemas.microsoft.com/office/drawing/2014/main" pred="{7F134B70-2159-3C27-D900-7725788752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83</xdr:col>
      <xdr:colOff>276225</xdr:colOff>
      <xdr:row>97</xdr:row>
      <xdr:rowOff>66675</xdr:rowOff>
    </xdr:from>
    <xdr:to>
      <xdr:col>88</xdr:col>
      <xdr:colOff>485775</xdr:colOff>
      <xdr:row>109</xdr:row>
      <xdr:rowOff>180975</xdr:rowOff>
    </xdr:to>
    <xdr:graphicFrame macro="">
      <xdr:nvGraphicFramePr>
        <xdr:cNvPr id="33" name="Chart 32">
          <a:extLst>
            <a:ext uri="{FF2B5EF4-FFF2-40B4-BE49-F238E27FC236}">
              <a16:creationId xmlns:a16="http://schemas.microsoft.com/office/drawing/2014/main" id="{84B8B614-E185-C805-490E-F48CFB71FF4D}"/>
            </a:ext>
            <a:ext uri="{147F2762-F138-4A5C-976F-8EAC2B608ADB}">
              <a16:predDERef xmlns:a16="http://schemas.microsoft.com/office/drawing/2014/main" pred="{5FEB8A47-EAB8-99E8-376B-CB225885FB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88</xdr:col>
      <xdr:colOff>657225</xdr:colOff>
      <xdr:row>97</xdr:row>
      <xdr:rowOff>133350</xdr:rowOff>
    </xdr:from>
    <xdr:to>
      <xdr:col>94</xdr:col>
      <xdr:colOff>57150</xdr:colOff>
      <xdr:row>110</xdr:row>
      <xdr:rowOff>47625</xdr:rowOff>
    </xdr:to>
    <xdr:graphicFrame macro="">
      <xdr:nvGraphicFramePr>
        <xdr:cNvPr id="34" name="Chart 33">
          <a:extLst>
            <a:ext uri="{FF2B5EF4-FFF2-40B4-BE49-F238E27FC236}">
              <a16:creationId xmlns:a16="http://schemas.microsoft.com/office/drawing/2014/main" id="{98BAA752-E8F7-D13A-A4A7-D6CAA714D350}"/>
            </a:ext>
            <a:ext uri="{147F2762-F138-4A5C-976F-8EAC2B608ADB}">
              <a16:predDERef xmlns:a16="http://schemas.microsoft.com/office/drawing/2014/main" pred="{84B8B614-E185-C805-490E-F48CFB71FF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12</xdr:col>
      <xdr:colOff>85725</xdr:colOff>
      <xdr:row>135</xdr:row>
      <xdr:rowOff>142875</xdr:rowOff>
    </xdr:from>
    <xdr:to>
      <xdr:col>18</xdr:col>
      <xdr:colOff>647700</xdr:colOff>
      <xdr:row>147</xdr:row>
      <xdr:rowOff>123825</xdr:rowOff>
    </xdr:to>
    <xdr:graphicFrame macro="">
      <xdr:nvGraphicFramePr>
        <xdr:cNvPr id="35" name="Chart 34">
          <a:extLst>
            <a:ext uri="{FF2B5EF4-FFF2-40B4-BE49-F238E27FC236}">
              <a16:creationId xmlns:a16="http://schemas.microsoft.com/office/drawing/2014/main" id="{75C9AD1E-7525-ECB1-D94B-19DA12FA968F}"/>
            </a:ext>
            <a:ext uri="{147F2762-F138-4A5C-976F-8EAC2B608ADB}">
              <a16:predDERef xmlns:a16="http://schemas.microsoft.com/office/drawing/2014/main" pred="{98BAA752-E8F7-D13A-A4A7-D6CAA714D3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26</xdr:col>
      <xdr:colOff>295275</xdr:colOff>
      <xdr:row>135</xdr:row>
      <xdr:rowOff>95250</xdr:rowOff>
    </xdr:from>
    <xdr:to>
      <xdr:col>31</xdr:col>
      <xdr:colOff>723900</xdr:colOff>
      <xdr:row>148</xdr:row>
      <xdr:rowOff>9525</xdr:rowOff>
    </xdr:to>
    <xdr:graphicFrame macro="">
      <xdr:nvGraphicFramePr>
        <xdr:cNvPr id="36" name="Chart 35">
          <a:extLst>
            <a:ext uri="{FF2B5EF4-FFF2-40B4-BE49-F238E27FC236}">
              <a16:creationId xmlns:a16="http://schemas.microsoft.com/office/drawing/2014/main" id="{F87FF282-653A-DEB2-7CB0-78DDB63DB021}"/>
            </a:ext>
            <a:ext uri="{147F2762-F138-4A5C-976F-8EAC2B608ADB}">
              <a16:predDERef xmlns:a16="http://schemas.microsoft.com/office/drawing/2014/main" pred="{75C9AD1E-7525-ECB1-D94B-19DA12FA96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51</xdr:col>
      <xdr:colOff>685800</xdr:colOff>
      <xdr:row>135</xdr:row>
      <xdr:rowOff>76200</xdr:rowOff>
    </xdr:from>
    <xdr:to>
      <xdr:col>58</xdr:col>
      <xdr:colOff>76200</xdr:colOff>
      <xdr:row>147</xdr:row>
      <xdr:rowOff>180975</xdr:rowOff>
    </xdr:to>
    <xdr:graphicFrame macro="">
      <xdr:nvGraphicFramePr>
        <xdr:cNvPr id="37" name="Chart 36">
          <a:extLst>
            <a:ext uri="{FF2B5EF4-FFF2-40B4-BE49-F238E27FC236}">
              <a16:creationId xmlns:a16="http://schemas.microsoft.com/office/drawing/2014/main" id="{CF5E4A28-9D03-411E-F906-D7FAF8CFD329}"/>
            </a:ext>
            <a:ext uri="{147F2762-F138-4A5C-976F-8EAC2B608ADB}">
              <a16:predDERef xmlns:a16="http://schemas.microsoft.com/office/drawing/2014/main" pred="{F87FF282-653A-DEB2-7CB0-78DDB63DB0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66</xdr:col>
      <xdr:colOff>295275</xdr:colOff>
      <xdr:row>135</xdr:row>
      <xdr:rowOff>47625</xdr:rowOff>
    </xdr:from>
    <xdr:to>
      <xdr:col>72</xdr:col>
      <xdr:colOff>76200</xdr:colOff>
      <xdr:row>148</xdr:row>
      <xdr:rowOff>57150</xdr:rowOff>
    </xdr:to>
    <xdr:graphicFrame macro="">
      <xdr:nvGraphicFramePr>
        <xdr:cNvPr id="38" name="Chart 37">
          <a:extLst>
            <a:ext uri="{FF2B5EF4-FFF2-40B4-BE49-F238E27FC236}">
              <a16:creationId xmlns:a16="http://schemas.microsoft.com/office/drawing/2014/main" id="{F522AD78-06B5-09F9-033A-AA10A382CCD1}"/>
            </a:ext>
            <a:ext uri="{147F2762-F138-4A5C-976F-8EAC2B608ADB}">
              <a16:predDERef xmlns:a16="http://schemas.microsoft.com/office/drawing/2014/main" pred="{CF5E4A28-9D03-411E-F906-D7FAF8CFD3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103</xdr:col>
      <xdr:colOff>95250</xdr:colOff>
      <xdr:row>21</xdr:row>
      <xdr:rowOff>28575</xdr:rowOff>
    </xdr:from>
    <xdr:to>
      <xdr:col>108</xdr:col>
      <xdr:colOff>495300</xdr:colOff>
      <xdr:row>35</xdr:row>
      <xdr:rowOff>133350</xdr:rowOff>
    </xdr:to>
    <xdr:graphicFrame macro="">
      <xdr:nvGraphicFramePr>
        <xdr:cNvPr id="39" name="Chart 38">
          <a:extLst>
            <a:ext uri="{FF2B5EF4-FFF2-40B4-BE49-F238E27FC236}">
              <a16:creationId xmlns:a16="http://schemas.microsoft.com/office/drawing/2014/main" id="{069045B5-861D-8EED-1D80-4CEB4C770F2F}"/>
            </a:ext>
            <a:ext uri="{147F2762-F138-4A5C-976F-8EAC2B608ADB}">
              <a16:predDERef xmlns:a16="http://schemas.microsoft.com/office/drawing/2014/main" pred="{F522AD78-06B5-09F9-033A-AA10A382CC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109</xdr:col>
      <xdr:colOff>228600</xdr:colOff>
      <xdr:row>21</xdr:row>
      <xdr:rowOff>66675</xdr:rowOff>
    </xdr:from>
    <xdr:to>
      <xdr:col>114</xdr:col>
      <xdr:colOff>209550</xdr:colOff>
      <xdr:row>35</xdr:row>
      <xdr:rowOff>38100</xdr:rowOff>
    </xdr:to>
    <xdr:graphicFrame macro="">
      <xdr:nvGraphicFramePr>
        <xdr:cNvPr id="40" name="Chart 39">
          <a:extLst>
            <a:ext uri="{FF2B5EF4-FFF2-40B4-BE49-F238E27FC236}">
              <a16:creationId xmlns:a16="http://schemas.microsoft.com/office/drawing/2014/main" id="{8CA65B8A-0534-C5F3-AC68-2154551D6336}"/>
            </a:ext>
            <a:ext uri="{147F2762-F138-4A5C-976F-8EAC2B608ADB}">
              <a16:predDERef xmlns:a16="http://schemas.microsoft.com/office/drawing/2014/main" pred="{069045B5-861D-8EED-1D80-4CEB4C770F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114</xdr:col>
      <xdr:colOff>428625</xdr:colOff>
      <xdr:row>21</xdr:row>
      <xdr:rowOff>104775</xdr:rowOff>
    </xdr:from>
    <xdr:to>
      <xdr:col>120</xdr:col>
      <xdr:colOff>228600</xdr:colOff>
      <xdr:row>35</xdr:row>
      <xdr:rowOff>180975</xdr:rowOff>
    </xdr:to>
    <xdr:graphicFrame macro="">
      <xdr:nvGraphicFramePr>
        <xdr:cNvPr id="41" name="Chart 40">
          <a:extLst>
            <a:ext uri="{FF2B5EF4-FFF2-40B4-BE49-F238E27FC236}">
              <a16:creationId xmlns:a16="http://schemas.microsoft.com/office/drawing/2014/main" id="{67D18D6F-88B5-FE96-F9D0-F4903BD276A3}"/>
            </a:ext>
            <a:ext uri="{147F2762-F138-4A5C-976F-8EAC2B608ADB}">
              <a16:predDERef xmlns:a16="http://schemas.microsoft.com/office/drawing/2014/main" pred="{8CA65B8A-0534-C5F3-AC68-2154551D63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108</xdr:col>
      <xdr:colOff>95250</xdr:colOff>
      <xdr:row>59</xdr:row>
      <xdr:rowOff>9525</xdr:rowOff>
    </xdr:from>
    <xdr:to>
      <xdr:col>113</xdr:col>
      <xdr:colOff>304800</xdr:colOff>
      <xdr:row>73</xdr:row>
      <xdr:rowOff>85725</xdr:rowOff>
    </xdr:to>
    <xdr:graphicFrame macro="">
      <xdr:nvGraphicFramePr>
        <xdr:cNvPr id="42" name="Chart 41">
          <a:extLst>
            <a:ext uri="{FF2B5EF4-FFF2-40B4-BE49-F238E27FC236}">
              <a16:creationId xmlns:a16="http://schemas.microsoft.com/office/drawing/2014/main" id="{627DAAB0-BFFB-A55A-E8AA-C1F0F8639066}"/>
            </a:ext>
            <a:ext uri="{147F2762-F138-4A5C-976F-8EAC2B608ADB}">
              <a16:predDERef xmlns:a16="http://schemas.microsoft.com/office/drawing/2014/main" pred="{67D18D6F-88B5-FE96-F9D0-F4903BD276A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114</xdr:col>
      <xdr:colOff>428625</xdr:colOff>
      <xdr:row>59</xdr:row>
      <xdr:rowOff>152400</xdr:rowOff>
    </xdr:from>
    <xdr:to>
      <xdr:col>119</xdr:col>
      <xdr:colOff>361950</xdr:colOff>
      <xdr:row>72</xdr:row>
      <xdr:rowOff>38100</xdr:rowOff>
    </xdr:to>
    <xdr:graphicFrame macro="">
      <xdr:nvGraphicFramePr>
        <xdr:cNvPr id="43" name="Chart 42">
          <a:extLst>
            <a:ext uri="{FF2B5EF4-FFF2-40B4-BE49-F238E27FC236}">
              <a16:creationId xmlns:a16="http://schemas.microsoft.com/office/drawing/2014/main" id="{CA188983-4109-1A40-E4A9-65A20F5CF4BD}"/>
            </a:ext>
            <a:ext uri="{147F2762-F138-4A5C-976F-8EAC2B608ADB}">
              <a16:predDERef xmlns:a16="http://schemas.microsoft.com/office/drawing/2014/main" pred="{627DAAB0-BFFB-A55A-E8AA-C1F0F86390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108</xdr:col>
      <xdr:colOff>742950</xdr:colOff>
      <xdr:row>97</xdr:row>
      <xdr:rowOff>57150</xdr:rowOff>
    </xdr:from>
    <xdr:to>
      <xdr:col>114</xdr:col>
      <xdr:colOff>361950</xdr:colOff>
      <xdr:row>111</xdr:row>
      <xdr:rowOff>9525</xdr:rowOff>
    </xdr:to>
    <xdr:graphicFrame macro="">
      <xdr:nvGraphicFramePr>
        <xdr:cNvPr id="44" name="Chart 43">
          <a:extLst>
            <a:ext uri="{FF2B5EF4-FFF2-40B4-BE49-F238E27FC236}">
              <a16:creationId xmlns:a16="http://schemas.microsoft.com/office/drawing/2014/main" id="{3172E043-0D54-D486-DDE3-57CBCB8D43FF}"/>
            </a:ext>
            <a:ext uri="{147F2762-F138-4A5C-976F-8EAC2B608ADB}">
              <a16:predDERef xmlns:a16="http://schemas.microsoft.com/office/drawing/2014/main" pred="{CA188983-4109-1A40-E4A9-65A20F5CF4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123</xdr:col>
      <xdr:colOff>95250</xdr:colOff>
      <xdr:row>59</xdr:row>
      <xdr:rowOff>152400</xdr:rowOff>
    </xdr:from>
    <xdr:to>
      <xdr:col>128</xdr:col>
      <xdr:colOff>161925</xdr:colOff>
      <xdr:row>73</xdr:row>
      <xdr:rowOff>57150</xdr:rowOff>
    </xdr:to>
    <xdr:graphicFrame macro="">
      <xdr:nvGraphicFramePr>
        <xdr:cNvPr id="45" name="Chart 44">
          <a:extLst>
            <a:ext uri="{FF2B5EF4-FFF2-40B4-BE49-F238E27FC236}">
              <a16:creationId xmlns:a16="http://schemas.microsoft.com/office/drawing/2014/main" id="{75DFE2D2-F98B-577A-0A3A-6C219B064E9D}"/>
            </a:ext>
            <a:ext uri="{147F2762-F138-4A5C-976F-8EAC2B608ADB}">
              <a16:predDERef xmlns:a16="http://schemas.microsoft.com/office/drawing/2014/main" pred="{3172E043-0D54-D486-DDE3-57CBCB8D43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129</xdr:col>
      <xdr:colOff>133350</xdr:colOff>
      <xdr:row>59</xdr:row>
      <xdr:rowOff>114300</xdr:rowOff>
    </xdr:from>
    <xdr:to>
      <xdr:col>135</xdr:col>
      <xdr:colOff>0</xdr:colOff>
      <xdr:row>74</xdr:row>
      <xdr:rowOff>0</xdr:rowOff>
    </xdr:to>
    <xdr:graphicFrame macro="">
      <xdr:nvGraphicFramePr>
        <xdr:cNvPr id="46" name="Chart 45">
          <a:extLst>
            <a:ext uri="{FF2B5EF4-FFF2-40B4-BE49-F238E27FC236}">
              <a16:creationId xmlns:a16="http://schemas.microsoft.com/office/drawing/2014/main" id="{A5E0D377-E5BA-747A-18DD-0DF991E7FF93}"/>
            </a:ext>
            <a:ext uri="{147F2762-F138-4A5C-976F-8EAC2B608ADB}">
              <a16:predDERef xmlns:a16="http://schemas.microsoft.com/office/drawing/2014/main" pred="{75DFE2D2-F98B-577A-0A3A-6C219B064E9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123</xdr:col>
      <xdr:colOff>295275</xdr:colOff>
      <xdr:row>97</xdr:row>
      <xdr:rowOff>9525</xdr:rowOff>
    </xdr:from>
    <xdr:to>
      <xdr:col>129</xdr:col>
      <xdr:colOff>390525</xdr:colOff>
      <xdr:row>111</xdr:row>
      <xdr:rowOff>85725</xdr:rowOff>
    </xdr:to>
    <xdr:graphicFrame macro="">
      <xdr:nvGraphicFramePr>
        <xdr:cNvPr id="47" name="Chart 46">
          <a:extLst>
            <a:ext uri="{FF2B5EF4-FFF2-40B4-BE49-F238E27FC236}">
              <a16:creationId xmlns:a16="http://schemas.microsoft.com/office/drawing/2014/main" id="{5F82CB6E-9093-C27A-46EE-EB2FA2A6D7C7}"/>
            </a:ext>
            <a:ext uri="{147F2762-F138-4A5C-976F-8EAC2B608ADB}">
              <a16:predDERef xmlns:a16="http://schemas.microsoft.com/office/drawing/2014/main" pred="{A5E0D377-E5BA-747A-18DD-0DF991E7FF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126</xdr:col>
      <xdr:colOff>381000</xdr:colOff>
      <xdr:row>15</xdr:row>
      <xdr:rowOff>114300</xdr:rowOff>
    </xdr:from>
    <xdr:to>
      <xdr:col>134</xdr:col>
      <xdr:colOff>76200</xdr:colOff>
      <xdr:row>30</xdr:row>
      <xdr:rowOff>0</xdr:rowOff>
    </xdr:to>
    <xdr:graphicFrame macro="">
      <xdr:nvGraphicFramePr>
        <xdr:cNvPr id="49" name="Chart 47">
          <a:extLst>
            <a:ext uri="{FF2B5EF4-FFF2-40B4-BE49-F238E27FC236}">
              <a16:creationId xmlns:a16="http://schemas.microsoft.com/office/drawing/2014/main" id="{6F1C800F-AB6D-0B0A-CCB7-A823C3A17B58}"/>
            </a:ext>
            <a:ext uri="{147F2762-F138-4A5C-976F-8EAC2B608ADB}">
              <a16:predDERef xmlns:a16="http://schemas.microsoft.com/office/drawing/2014/main" pred="{5F82CB6E-9093-C27A-46EE-EB2FA2A6D7C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63.80730601852" createdVersion="8" refreshedVersion="8" minRefreshableVersion="3" recordCount="134" xr:uid="{41AD4FCD-9BF7-4548-988C-CBE2C1A84A34}">
  <cacheSource type="worksheet">
    <worksheetSource name="Table2"/>
  </cacheSource>
  <cacheFields count="61">
    <cacheField name="Subject #" numFmtId="0">
      <sharedItems containsSemiMixedTypes="0" containsString="0" containsNumber="1" containsInteger="1" minValue="1" maxValue="134"/>
    </cacheField>
    <cacheField name="MRN" numFmtId="0">
      <sharedItems containsMixedTypes="1" containsNumber="1" containsInteger="1" minValue="404684974" maxValue="404684974"/>
    </cacheField>
    <cacheField name="Admission Date" numFmtId="14">
      <sharedItems containsSemiMixedTypes="0" containsNonDate="0" containsDate="1" containsString="0" minDate="2024-02-21T00:00:00" maxDate="2024-07-01T00:00:00"/>
    </cacheField>
    <cacheField name="Discharge Date" numFmtId="0">
      <sharedItems containsNonDate="0" containsDate="1" containsString="0" containsBlank="1" minDate="2024-03-07T00:00:00" maxDate="2024-07-29T00:00:00"/>
    </cacheField>
    <cacheField name="LOS" numFmtId="0">
      <sharedItems containsString="0" containsBlank="1" containsNumber="1" containsInteger="1" minValue="1" maxValue="107"/>
    </cacheField>
    <cacheField name="Age" numFmtId="0">
      <sharedItems containsSemiMixedTypes="0" containsString="0" containsNumber="1" containsInteger="1" minValue="23" maxValue="96"/>
    </cacheField>
    <cacheField name="Sex" numFmtId="0">
      <sharedItems containsSemiMixedTypes="0" containsString="0" containsNumber="1" containsInteger="1" minValue="1" maxValue="2" count="2">
        <n v="1"/>
        <n v="2"/>
      </sharedItems>
    </cacheField>
    <cacheField name="Race" numFmtId="0">
      <sharedItems containsSemiMixedTypes="0" containsString="0" containsNumber="1" containsInteger="1" minValue="2" maxValue="5" count="4">
        <n v="2"/>
        <n v="3"/>
        <n v="5"/>
        <n v="4"/>
      </sharedItems>
    </cacheField>
    <cacheField name="Comorbidity present (at least 1)?" numFmtId="0">
      <sharedItems containsSemiMixedTypes="0" containsString="0" containsNumber="1" containsInteger="1" minValue="0" maxValue="1" count="2">
        <n v="1"/>
        <n v="0"/>
      </sharedItems>
    </cacheField>
    <cacheField name="IVDU" numFmtId="0">
      <sharedItems containsSemiMixedTypes="0" containsString="0" containsNumber="1" containsInteger="1" minValue="0" maxValue="1" count="2">
        <n v="0"/>
        <n v="1"/>
      </sharedItems>
    </cacheField>
    <cacheField name="Prosthetic Valve" numFmtId="0">
      <sharedItems containsSemiMixedTypes="0" containsString="0" containsNumber="1" containsInteger="1" minValue="0" maxValue="1" count="2">
        <n v="1"/>
        <n v="0"/>
      </sharedItems>
    </cacheField>
    <cacheField name="Intracardiac device" numFmtId="0">
      <sharedItems containsSemiMixedTypes="0" containsString="0" containsNumber="1" containsInteger="1" minValue="0" maxValue="1" count="2">
        <n v="1"/>
        <n v="0"/>
      </sharedItems>
    </cacheField>
    <cacheField name="Chronic in-line cath" numFmtId="0">
      <sharedItems containsSemiMixedTypes="0" containsString="0" containsNumber="1" containsInteger="1" minValue="0" maxValue="1" count="2">
        <n v="0"/>
        <n v="1"/>
      </sharedItems>
    </cacheField>
    <cacheField name="Previous IE" numFmtId="0">
      <sharedItems containsSemiMixedTypes="0" containsString="0" containsNumber="1" containsInteger="1" minValue="0" maxValue="1" count="2">
        <n v="0"/>
        <n v="1"/>
      </sharedItems>
    </cacheField>
    <cacheField name="Cardio-structural abnormality" numFmtId="0">
      <sharedItems containsSemiMixedTypes="0" containsString="0" containsNumber="1" containsInteger="1" minValue="0" maxValue="1" count="2">
        <n v="1"/>
        <n v="0"/>
      </sharedItems>
    </cacheField>
    <cacheField name="Type of abnormality" numFmtId="0">
      <sharedItems containsBlank="1"/>
    </cacheField>
    <cacheField name="Bcx initial" numFmtId="0">
      <sharedItems/>
    </cacheField>
    <cacheField name="Staph aureus" numFmtId="0">
      <sharedItems containsSemiMixedTypes="0" containsString="0" containsNumber="1" containsInteger="1" minValue="0" maxValue="1" count="2">
        <n v="1"/>
        <n v="0"/>
      </sharedItems>
    </cacheField>
    <cacheField name="Viridans" numFmtId="0">
      <sharedItems containsSemiMixedTypes="0" containsString="0" containsNumber="1" containsInteger="1" minValue="0" maxValue="1" count="2">
        <n v="0"/>
        <n v="1"/>
      </sharedItems>
    </cacheField>
    <cacheField name="Enterococcus" numFmtId="0">
      <sharedItems containsSemiMixedTypes="0" containsString="0" containsNumber="1" containsInteger="1" minValue="0" maxValue="1" count="2">
        <n v="0"/>
        <n v="1"/>
      </sharedItems>
    </cacheField>
    <cacheField name="CoNS" numFmtId="0">
      <sharedItems containsSemiMixedTypes="0" containsString="0" containsNumber="1" containsInteger="1" minValue="0" maxValue="1" count="2">
        <n v="0"/>
        <n v="1"/>
      </sharedItems>
    </cacheField>
    <cacheField name="Bcx repeat positive?" numFmtId="0">
      <sharedItems containsSemiMixedTypes="0" containsString="0" containsNumber="1" containsInteger="1" minValue="0" maxValue="1" count="2">
        <n v="1"/>
        <n v="0"/>
      </sharedItems>
    </cacheField>
    <cacheField name="Total sets of positive Bcx" numFmtId="0">
      <sharedItems containsSemiMixedTypes="0" containsString="0" containsNumber="1" containsInteger="1" minValue="1" maxValue="11"/>
    </cacheField>
    <cacheField name="Date initial positive Bcx" numFmtId="14">
      <sharedItems containsSemiMixedTypes="0" containsNonDate="0" containsDate="1" containsString="0" minDate="2024-02-29T00:00:00" maxDate="2024-07-01T00:00:00"/>
    </cacheField>
    <cacheField name="Date last positive Bcx" numFmtId="14">
      <sharedItems containsSemiMixedTypes="0" containsNonDate="0" containsDate="1" containsString="0" minDate="2024-03-01T00:00:00" maxDate="2024-07-01T00:00:00"/>
    </cacheField>
    <cacheField name="Days Bcx positive" numFmtId="1">
      <sharedItems containsSemiMixedTypes="0" containsString="0" containsNumber="1" containsInteger="1" minValue="0" maxValue="13"/>
    </cacheField>
    <cacheField name="Alternative source of infx?" numFmtId="0">
      <sharedItems containsSemiMixedTypes="0" containsString="0" containsNumber="1" containsInteger="1" minValue="0" maxValue="1" count="2">
        <n v="0"/>
        <n v="1"/>
      </sharedItems>
    </cacheField>
    <cacheField name="OM?" numFmtId="0">
      <sharedItems containsSemiMixedTypes="0" containsString="0" containsNumber="1" containsInteger="1" minValue="0" maxValue="1"/>
    </cacheField>
    <cacheField name="Cellulitis or open wound?" numFmtId="0">
      <sharedItems containsSemiMixedTypes="0" containsString="0" containsNumber="1" containsInteger="1" minValue="0" maxValue="1"/>
    </cacheField>
    <cacheField name="Line related?" numFmtId="0">
      <sharedItems containsSemiMixedTypes="0" containsString="0" containsNumber="1" containsInteger="1" minValue="0" maxValue="1"/>
    </cacheField>
    <cacheField name="Abscess?" numFmtId="0">
      <sharedItems containsSemiMixedTypes="0" containsString="0" containsNumber="1" containsInteger="1" minValue="0" maxValue="1"/>
    </cacheField>
    <cacheField name="Intra-abdominal?" numFmtId="0">
      <sharedItems containsSemiMixedTypes="0" containsString="0" containsNumber="1" containsInteger="1" minValue="0" maxValue="1"/>
    </cacheField>
    <cacheField name="PNA?" numFmtId="0">
      <sharedItems containsSemiMixedTypes="0" containsString="0" containsNumber="1" containsInteger="1" minValue="0" maxValue="1"/>
    </cacheField>
    <cacheField name="UTI?" numFmtId="0">
      <sharedItems containsSemiMixedTypes="0" containsString="0" containsNumber="1" containsInteger="1" minValue="0" maxValue="1"/>
    </cacheField>
    <cacheField name="Other" numFmtId="0">
      <sharedItems containsSemiMixedTypes="0" containsString="0" containsNumber="1" containsInteger="1" minValue="0" maxValue="1"/>
    </cacheField>
    <cacheField name="Abx used?" numFmtId="0">
      <sharedItems containsSemiMixedTypes="0" containsString="0" containsNumber="1" containsInteger="1" minValue="0" maxValue="1"/>
    </cacheField>
    <cacheField name="Abx tx? (ended w/)" numFmtId="0">
      <sharedItems containsBlank="1"/>
    </cacheField>
    <cacheField name="Planned longterm abx tx (~4-6wks) +/- PICC?" numFmtId="0">
      <sharedItems containsSemiMixedTypes="0" containsString="0" containsNumber="1" containsInteger="1" minValue="0" maxValue="1" count="2">
        <n v="1"/>
        <n v="0"/>
      </sharedItems>
    </cacheField>
    <cacheField name="fever?" numFmtId="0">
      <sharedItems containsSemiMixedTypes="0" containsString="0" containsNumber="1" containsInteger="1" minValue="0" maxValue="1" count="2">
        <n v="0"/>
        <n v="1"/>
      </sharedItems>
    </cacheField>
    <cacheField name="&lt; 3 days defervescence or remained afebrile?" numFmtId="0">
      <sharedItems containsSemiMixedTypes="0" containsString="0" containsNumber="1" containsInteger="1" minValue="0" maxValue="1" count="2">
        <n v="1"/>
        <n v="0"/>
      </sharedItems>
    </cacheField>
    <cacheField name="defervesced" numFmtId="0">
      <sharedItems containsSemiMixedTypes="0" containsString="0" containsNumber="1" containsInteger="1" minValue="0" maxValue="1" count="2">
        <n v="0"/>
        <n v="1"/>
      </sharedItems>
    </cacheField>
    <cacheField name="not defervesced" numFmtId="0">
      <sharedItems containsSemiMixedTypes="0" containsString="0" containsNumber="1" containsInteger="1" minValue="0" maxValue="1" count="2">
        <n v="0"/>
        <n v="1"/>
      </sharedItems>
    </cacheField>
    <cacheField name="remained afebrile" numFmtId="0">
      <sharedItems containsSemiMixedTypes="0" containsString="0" containsNumber="1" containsInteger="1" minValue="0" maxValue="1"/>
    </cacheField>
    <cacheField name="WBC downtrend or remained nrml?" numFmtId="0">
      <sharedItems containsSemiMixedTypes="0" containsString="0" containsNumber="1" containsInteger="1" minValue="0" maxValue="1" count="2">
        <n v="1"/>
        <n v="0"/>
      </sharedItems>
    </cacheField>
    <cacheField name="TTE used?" numFmtId="0">
      <sharedItems containsSemiMixedTypes="0" containsString="0" containsNumber="1" containsInteger="1" minValue="0" maxValue="1" count="2">
        <n v="1"/>
        <n v="0"/>
      </sharedItems>
    </cacheField>
    <cacheField name="TTE date" numFmtId="0">
      <sharedItems containsNonDate="0" containsDate="1" containsString="0" containsBlank="1" minDate="2024-03-01T00:00:00" maxDate="2024-07-13T00:00:00"/>
    </cacheField>
    <cacheField name="TTE new valvular veg?" numFmtId="0">
      <sharedItems containsString="0" containsBlank="1" containsNumber="1" containsInteger="1" minValue="0" maxValue="1" count="3">
        <n v="0"/>
        <n v="1"/>
        <m/>
      </sharedItems>
    </cacheField>
    <cacheField name="TTE new worsened fxnl findings from previous TTEs?" numFmtId="0">
      <sharedItems containsString="0" containsBlank="1" containsNumber="1" containsInteger="1" minValue="0" maxValue="1" count="3">
        <n v="0"/>
        <n v="1"/>
        <m/>
      </sharedItems>
    </cacheField>
    <cacheField name="Time to TTE" numFmtId="0">
      <sharedItems containsString="0" containsBlank="1" containsNumber="1" containsInteger="1" minValue="0" maxValue="16"/>
    </cacheField>
    <cacheField name="TEE used?" numFmtId="0">
      <sharedItems containsSemiMixedTypes="0" containsString="0" containsNumber="1" containsInteger="1" minValue="0" maxValue="1" count="2">
        <n v="1"/>
        <n v="0"/>
      </sharedItems>
    </cacheField>
    <cacheField name="TEE date" numFmtId="0">
      <sharedItems containsNonDate="0" containsDate="1" containsString="0" containsBlank="1" minDate="2024-03-08T00:00:00" maxDate="2024-06-21T00:00:00"/>
    </cacheField>
    <cacheField name="TEE new valvular veg?" numFmtId="0">
      <sharedItems containsString="0" containsBlank="1" containsNumber="1" containsInteger="1" minValue="0" maxValue="1"/>
    </cacheField>
    <cacheField name="TEE new anatomical/fxnl findings?" numFmtId="0">
      <sharedItems containsString="0" containsBlank="1" containsNumber="1" containsInteger="1" minValue="0" maxValue="1"/>
    </cacheField>
    <cacheField name="Abx/tx changed based off TEE?" numFmtId="0">
      <sharedItems containsSemiMixedTypes="0" containsString="0" containsNumber="1" containsInteger="1" minValue="0" maxValue="1" count="2">
        <n v="0"/>
        <n v="1"/>
      </sharedItems>
    </cacheField>
    <cacheField name="Time to TEE" numFmtId="0">
      <sharedItems containsString="0" containsBlank="1" containsNumber="1" containsInteger="1" minValue="2" maxValue="14"/>
    </cacheField>
    <cacheField name="Pt required ICU level of care?" numFmtId="0">
      <sharedItems containsSemiMixedTypes="0" containsString="0" containsNumber="1" containsInteger="1" minValue="0" maxValue="1" count="2">
        <n v="0"/>
        <n v="1"/>
      </sharedItems>
    </cacheField>
    <cacheField name="No comorbid, Alt source infxn, Abx used, Defervesced, WBC resolve/nrml" numFmtId="0">
      <sharedItems containsSemiMixedTypes="0" containsString="0" containsNumber="1" containsInteger="1" minValue="0" maxValue="1" count="2">
        <n v="0"/>
        <n v="1"/>
      </sharedItems>
    </cacheField>
    <cacheField name="Defervesced, WBC resolve/nrml" numFmtId="0">
      <sharedItems containsSemiMixedTypes="0" containsString="0" containsNumber="1" containsInteger="1" minValue="0" maxValue="1" count="2">
        <n v="1"/>
        <n v="0"/>
      </sharedItems>
    </cacheField>
    <cacheField name="DEFINITE IE dx made (Dukes criteria 2 maj or 1 maj + 3 minor)" numFmtId="0">
      <sharedItems containsSemiMixedTypes="0" containsString="0" containsNumber="1" containsInteger="1" minValue="0" maxValue="1" count="2">
        <n v="0"/>
        <n v="1"/>
      </sharedItems>
    </cacheField>
    <cacheField name="POSS IE Dukes cirteria (1 maj + 1 minor or 3 minor)" numFmtId="0">
      <sharedItems containsSemiMixedTypes="0" containsString="0" containsNumber="1" containsInteger="1" minValue="0" maxValue="1" count="2">
        <n v="1"/>
        <n v="0"/>
      </sharedItems>
    </cacheField>
    <cacheField name="cardiac predisposition per Dukes" numFmtId="0">
      <sharedItems containsSemiMixedTypes="0" containsString="0" containsNumber="1" containsInteger="1" minValue="0" maxValue="1" count="2">
        <n v="1"/>
        <n v="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63.807306249997" createdVersion="8" refreshedVersion="8" minRefreshableVersion="3" recordCount="21" xr:uid="{9E8C665A-3308-4D16-9E5A-054C505C1047}">
  <cacheSource type="worksheet">
    <worksheetSource ref="A1:BH22" sheet="TEE specific data"/>
  </cacheSource>
  <cacheFields count="61">
    <cacheField name="Subject #" numFmtId="0">
      <sharedItems containsSemiMixedTypes="0" containsString="0" containsNumber="1" containsInteger="1" minValue="1" maxValue="108"/>
    </cacheField>
    <cacheField name="MRN" numFmtId="0">
      <sharedItems/>
    </cacheField>
    <cacheField name="Admission Date" numFmtId="14">
      <sharedItems containsSemiMixedTypes="0" containsNonDate="0" containsDate="1" containsString="0" minDate="2024-02-29T00:00:00" maxDate="2024-06-18T00:00:00"/>
    </cacheField>
    <cacheField name="Discharge Date" numFmtId="14">
      <sharedItems containsSemiMixedTypes="0" containsNonDate="0" containsDate="1" containsString="0" minDate="2024-03-15T00:00:00" maxDate="2024-07-03T00:00:00"/>
    </cacheField>
    <cacheField name="LOS" numFmtId="0">
      <sharedItems containsSemiMixedTypes="0" containsString="0" containsNumber="1" containsInteger="1" minValue="5" maxValue="46"/>
    </cacheField>
    <cacheField name="Age" numFmtId="0">
      <sharedItems containsSemiMixedTypes="0" containsString="0" containsNumber="1" containsInteger="1" minValue="28" maxValue="87"/>
    </cacheField>
    <cacheField name="Sex" numFmtId="0">
      <sharedItems containsSemiMixedTypes="0" containsString="0" containsNumber="1" containsInteger="1" minValue="1" maxValue="2"/>
    </cacheField>
    <cacheField name="Race" numFmtId="0">
      <sharedItems containsSemiMixedTypes="0" containsString="0" containsNumber="1" containsInteger="1" minValue="2" maxValue="4"/>
    </cacheField>
    <cacheField name="Comorbidity present (at least 1)?" numFmtId="0">
      <sharedItems containsSemiMixedTypes="0" containsString="0" containsNumber="1" containsInteger="1" minValue="0" maxValue="1" count="2">
        <n v="1"/>
        <n v="0"/>
      </sharedItems>
    </cacheField>
    <cacheField name="IVDU" numFmtId="0">
      <sharedItems containsSemiMixedTypes="0" containsString="0" containsNumber="1" containsInteger="1" minValue="0" maxValue="1"/>
    </cacheField>
    <cacheField name="Prosthetic Valve" numFmtId="0">
      <sharedItems containsSemiMixedTypes="0" containsString="0" containsNumber="1" containsInteger="1" minValue="0" maxValue="1"/>
    </cacheField>
    <cacheField name="Intracardiac device" numFmtId="0">
      <sharedItems containsSemiMixedTypes="0" containsString="0" containsNumber="1" containsInteger="1" minValue="0" maxValue="1"/>
    </cacheField>
    <cacheField name="Chronic in-line cath" numFmtId="0">
      <sharedItems containsSemiMixedTypes="0" containsString="0" containsNumber="1" containsInteger="1" minValue="0" maxValue="1"/>
    </cacheField>
    <cacheField name="Previous IE" numFmtId="0">
      <sharedItems containsSemiMixedTypes="0" containsString="0" containsNumber="1" containsInteger="1" minValue="0" maxValue="0"/>
    </cacheField>
    <cacheField name="Cardio-structural abnormality" numFmtId="0">
      <sharedItems containsSemiMixedTypes="0" containsString="0" containsNumber="1" containsInteger="1" minValue="0" maxValue="1"/>
    </cacheField>
    <cacheField name="Type of abnormality" numFmtId="0">
      <sharedItems containsBlank="1"/>
    </cacheField>
    <cacheField name="Bcx initial" numFmtId="0">
      <sharedItems/>
    </cacheField>
    <cacheField name="Staph aureus" numFmtId="0">
      <sharedItems containsSemiMixedTypes="0" containsString="0" containsNumber="1" containsInteger="1" minValue="0" maxValue="1"/>
    </cacheField>
    <cacheField name="Viridans" numFmtId="0">
      <sharedItems containsSemiMixedTypes="0" containsString="0" containsNumber="1" containsInteger="1" minValue="0" maxValue="1"/>
    </cacheField>
    <cacheField name="Enterococcus" numFmtId="0">
      <sharedItems containsSemiMixedTypes="0" containsString="0" containsNumber="1" containsInteger="1" minValue="0" maxValue="1"/>
    </cacheField>
    <cacheField name="CoNS" numFmtId="0">
      <sharedItems containsSemiMixedTypes="0" containsString="0" containsNumber="1" containsInteger="1" minValue="0" maxValue="1"/>
    </cacheField>
    <cacheField name="Bcx repeat positive?" numFmtId="0">
      <sharedItems containsSemiMixedTypes="0" containsString="0" containsNumber="1" containsInteger="1" minValue="0" maxValue="1"/>
    </cacheField>
    <cacheField name="Total sets of positive Bcx" numFmtId="0">
      <sharedItems containsSemiMixedTypes="0" containsString="0" containsNumber="1" containsInteger="1" minValue="1" maxValue="11"/>
    </cacheField>
    <cacheField name="Date initial positive Bcx" numFmtId="14">
      <sharedItems containsSemiMixedTypes="0" containsNonDate="0" containsDate="1" containsString="0" minDate="2024-02-29T00:00:00" maxDate="2024-06-18T00:00:00"/>
    </cacheField>
    <cacheField name="Date last positive Bcx" numFmtId="14">
      <sharedItems containsSemiMixedTypes="0" containsNonDate="0" containsDate="1" containsString="0" minDate="2024-03-02T00:00:00" maxDate="2024-06-18T00:00:00"/>
    </cacheField>
    <cacheField name="Days Bcx positive" numFmtId="1">
      <sharedItems containsSemiMixedTypes="0" containsString="0" containsNumber="1" containsInteger="1" minValue="0" maxValue="13"/>
    </cacheField>
    <cacheField name="Alternative source of infx?" numFmtId="0">
      <sharedItems containsSemiMixedTypes="0" containsString="0" containsNumber="1" containsInteger="1" minValue="0" maxValue="1" count="2">
        <n v="0"/>
        <n v="1"/>
      </sharedItems>
    </cacheField>
    <cacheField name="OM?" numFmtId="0">
      <sharedItems containsSemiMixedTypes="0" containsString="0" containsNumber="1" containsInteger="1" minValue="0" maxValue="1"/>
    </cacheField>
    <cacheField name="Cellulitis or open wound?" numFmtId="0">
      <sharedItems containsSemiMixedTypes="0" containsString="0" containsNumber="1" containsInteger="1" minValue="0" maxValue="1"/>
    </cacheField>
    <cacheField name="Line related?" numFmtId="0">
      <sharedItems containsSemiMixedTypes="0" containsString="0" containsNumber="1" containsInteger="1" minValue="0" maxValue="1"/>
    </cacheField>
    <cacheField name="Abscess?" numFmtId="0">
      <sharedItems containsSemiMixedTypes="0" containsString="0" containsNumber="1" containsInteger="1" minValue="0" maxValue="1"/>
    </cacheField>
    <cacheField name="Intra-abdominal?" numFmtId="0">
      <sharedItems containsSemiMixedTypes="0" containsString="0" containsNumber="1" containsInteger="1" minValue="0" maxValue="0"/>
    </cacheField>
    <cacheField name="PNA?" numFmtId="0">
      <sharedItems containsSemiMixedTypes="0" containsString="0" containsNumber="1" containsInteger="1" minValue="0" maxValue="1"/>
    </cacheField>
    <cacheField name="UTI?" numFmtId="0">
      <sharedItems containsSemiMixedTypes="0" containsString="0" containsNumber="1" containsInteger="1" minValue="0" maxValue="1"/>
    </cacheField>
    <cacheField name="Other" numFmtId="0">
      <sharedItems containsSemiMixedTypes="0" containsString="0" containsNumber="1" containsInteger="1" minValue="0" maxValue="1"/>
    </cacheField>
    <cacheField name="Abx used?" numFmtId="0">
      <sharedItems containsSemiMixedTypes="0" containsString="0" containsNumber="1" containsInteger="1" minValue="1" maxValue="1"/>
    </cacheField>
    <cacheField name="Abx tx? (ended w/)" numFmtId="0">
      <sharedItems/>
    </cacheField>
    <cacheField name="Planned longterm abx tx (~4-6wks) +/- PICC?" numFmtId="0">
      <sharedItems containsSemiMixedTypes="0" containsString="0" containsNumber="1" containsInteger="1" minValue="0" maxValue="1" count="2">
        <n v="1"/>
        <n v="0"/>
      </sharedItems>
    </cacheField>
    <cacheField name="fever?" numFmtId="0">
      <sharedItems containsSemiMixedTypes="0" containsString="0" containsNumber="1" containsInteger="1" minValue="0" maxValue="1" count="2">
        <n v="0"/>
        <n v="1"/>
      </sharedItems>
    </cacheField>
    <cacheField name="defervesced" numFmtId="0">
      <sharedItems containsSemiMixedTypes="0" containsString="0" containsNumber="1" containsInteger="1" minValue="0" maxValue="1"/>
    </cacheField>
    <cacheField name="not defervesced" numFmtId="0">
      <sharedItems containsSemiMixedTypes="0" containsString="0" containsNumber="1" containsInteger="1" minValue="0" maxValue="1"/>
    </cacheField>
    <cacheField name="remained afebrile" numFmtId="0">
      <sharedItems containsSemiMixedTypes="0" containsString="0" containsNumber="1" containsInteger="1" minValue="0" maxValue="1"/>
    </cacheField>
    <cacheField name="&lt; 3 days defervescence or remained afebrile?" numFmtId="0">
      <sharedItems containsSemiMixedTypes="0" containsString="0" containsNumber="1" containsInteger="1" minValue="0" maxValue="1" count="2">
        <n v="1"/>
        <n v="0"/>
      </sharedItems>
    </cacheField>
    <cacheField name="WBC downtrend or remained nrml?" numFmtId="0">
      <sharedItems containsSemiMixedTypes="0" containsString="0" containsNumber="1" containsInteger="1" minValue="0" maxValue="1" count="2">
        <n v="1"/>
        <n v="0"/>
      </sharedItems>
    </cacheField>
    <cacheField name="TTE used?" numFmtId="0">
      <sharedItems containsSemiMixedTypes="0" containsString="0" containsNumber="1" containsInteger="1" minValue="0" maxValue="1"/>
    </cacheField>
    <cacheField name="TTE date" numFmtId="0">
      <sharedItems containsNonDate="0" containsDate="1" containsString="0" containsBlank="1" minDate="2024-03-01T00:00:00" maxDate="2024-06-19T00:00:00"/>
    </cacheField>
    <cacheField name="TTE new valvular veg?" numFmtId="0">
      <sharedItems containsString="0" containsBlank="1" containsNumber="1" containsInteger="1" minValue="0" maxValue="1"/>
    </cacheField>
    <cacheField name="TTE new worsened fxnl findings from previous TTEs?" numFmtId="0">
      <sharedItems containsString="0" containsBlank="1" containsNumber="1" containsInteger="1" minValue="0" maxValue="1"/>
    </cacheField>
    <cacheField name="Time to TTE" numFmtId="0">
      <sharedItems containsString="0" containsBlank="1" containsNumber="1" containsInteger="1" minValue="0" maxValue="6"/>
    </cacheField>
    <cacheField name="TEE used?" numFmtId="0">
      <sharedItems containsSemiMixedTypes="0" containsString="0" containsNumber="1" containsInteger="1" minValue="1" maxValue="1" count="1">
        <n v="1"/>
      </sharedItems>
    </cacheField>
    <cacheField name="TEE date" numFmtId="14">
      <sharedItems containsSemiMixedTypes="0" containsNonDate="0" containsDate="1" containsString="0" minDate="2024-03-08T00:00:00" maxDate="2024-06-21T00:00:00"/>
    </cacheField>
    <cacheField name="TEE new valvular veg?" numFmtId="0">
      <sharedItems containsSemiMixedTypes="0" containsString="0" containsNumber="1" containsInteger="1" minValue="0" maxValue="1" count="2">
        <n v="0"/>
        <n v="1"/>
      </sharedItems>
    </cacheField>
    <cacheField name="TEE new anatomical/fxnl findings?" numFmtId="0">
      <sharedItems containsSemiMixedTypes="0" containsString="0" containsNumber="1" containsInteger="1" minValue="0" maxValue="1" count="2">
        <n v="0"/>
        <n v="1"/>
      </sharedItems>
    </cacheField>
    <cacheField name="Abx/tx changed based off TEE?" numFmtId="0">
      <sharedItems containsSemiMixedTypes="0" containsString="0" containsNumber="1" containsInteger="1" minValue="0" maxValue="1" count="2">
        <n v="0"/>
        <n v="1"/>
      </sharedItems>
    </cacheField>
    <cacheField name="Time to TEE" numFmtId="0">
      <sharedItems containsSemiMixedTypes="0" containsString="0" containsNumber="1" containsInteger="1" minValue="2" maxValue="14"/>
    </cacheField>
    <cacheField name="Pt required ICU level of care?" numFmtId="0">
      <sharedItems containsSemiMixedTypes="0" containsString="0" containsNumber="1" containsInteger="1" minValue="0" maxValue="1"/>
    </cacheField>
    <cacheField name="No comorbid, Alt source infxn, Abx used, Defervesced, WBC resolve/nrml" numFmtId="0">
      <sharedItems containsSemiMixedTypes="0" containsString="0" containsNumber="1" containsInteger="1" minValue="0" maxValue="1" count="2">
        <n v="0"/>
        <n v="1"/>
      </sharedItems>
    </cacheField>
    <cacheField name="Defervesced, WBC resolve/nrml" numFmtId="0">
      <sharedItems containsSemiMixedTypes="0" containsString="0" containsNumber="1" containsInteger="1" minValue="0" maxValue="1" count="2">
        <n v="1"/>
        <n v="0"/>
      </sharedItems>
    </cacheField>
    <cacheField name="DEFINITE IE dx made (Dukes criteria 2 maj or 1 maj + 3 minor)" numFmtId="0">
      <sharedItems containsSemiMixedTypes="0" containsString="0" containsNumber="1" containsInteger="1" minValue="0" maxValue="1" count="2">
        <n v="0"/>
        <n v="1"/>
      </sharedItems>
    </cacheField>
    <cacheField name="POSS IE Dukescirteria (1 maj + 1 minor or 3 minor)" numFmtId="0">
      <sharedItems containsSemiMixedTypes="0" containsString="0" containsNumber="1" containsInteger="1" minValue="0" maxValue="1" count="2">
        <n v="1"/>
        <n v="0"/>
      </sharedItems>
    </cacheField>
    <cacheField name="cardiac predisposition per Dukes"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63.807306249997" createdVersion="8" refreshedVersion="8" minRefreshableVersion="3" recordCount="99" xr:uid="{7C5AADBB-97F8-443D-893B-223C18998FD3}">
  <cacheSource type="worksheet">
    <worksheetSource ref="A1:BB100" sheet="TTE specific data"/>
  </cacheSource>
  <cacheFields count="55">
    <cacheField name="Subject #" numFmtId="0">
      <sharedItems containsSemiMixedTypes="0" containsString="0" containsNumber="1" containsInteger="1" minValue="1" maxValue="132"/>
    </cacheField>
    <cacheField name="MRN" numFmtId="0">
      <sharedItems containsMixedTypes="1" containsNumber="1" containsInteger="1" minValue="404684974" maxValue="404684974"/>
    </cacheField>
    <cacheField name="Admission Date" numFmtId="0">
      <sharedItems containsSemiMixedTypes="0" containsString="0" containsNumber="1" containsInteger="1" minValue="45343" maxValue="45473"/>
    </cacheField>
    <cacheField name="Discharge Date" numFmtId="0">
      <sharedItems containsString="0" containsBlank="1" containsNumber="1" containsInteger="1" minValue="45358" maxValue="45501"/>
    </cacheField>
    <cacheField name="LOS" numFmtId="0">
      <sharedItems containsString="0" containsBlank="1" containsNumber="1" containsInteger="1" minValue="2" maxValue="107"/>
    </cacheField>
    <cacheField name="Age" numFmtId="0">
      <sharedItems containsSemiMixedTypes="0" containsString="0" containsNumber="1" containsInteger="1" minValue="23" maxValue="95"/>
    </cacheField>
    <cacheField name="Sex" numFmtId="0">
      <sharedItems containsSemiMixedTypes="0" containsString="0" containsNumber="1" containsInteger="1" minValue="1" maxValue="2"/>
    </cacheField>
    <cacheField name="Race" numFmtId="0">
      <sharedItems containsSemiMixedTypes="0" containsString="0" containsNumber="1" containsInteger="1" minValue="2" maxValue="5"/>
    </cacheField>
    <cacheField name="Comorbidity present (at least 1)?" numFmtId="0">
      <sharedItems containsSemiMixedTypes="0" containsString="0" containsNumber="1" containsInteger="1" minValue="0" maxValue="1"/>
    </cacheField>
    <cacheField name="IVDU" numFmtId="0">
      <sharedItems containsSemiMixedTypes="0" containsString="0" containsNumber="1" containsInteger="1" minValue="0" maxValue="1"/>
    </cacheField>
    <cacheField name="Prosthetic Valve" numFmtId="0">
      <sharedItems containsSemiMixedTypes="0" containsString="0" containsNumber="1" containsInteger="1" minValue="0" maxValue="1"/>
    </cacheField>
    <cacheField name="Intracardiac device" numFmtId="0">
      <sharedItems containsSemiMixedTypes="0" containsString="0" containsNumber="1" containsInteger="1" minValue="0" maxValue="1"/>
    </cacheField>
    <cacheField name="Chronic in-line cath" numFmtId="0">
      <sharedItems containsSemiMixedTypes="0" containsString="0" containsNumber="1" containsInteger="1" minValue="0" maxValue="1"/>
    </cacheField>
    <cacheField name="Previous IE" numFmtId="0">
      <sharedItems containsSemiMixedTypes="0" containsString="0" containsNumber="1" containsInteger="1" minValue="0" maxValue="1"/>
    </cacheField>
    <cacheField name="Cardio-structural abnormality" numFmtId="0">
      <sharedItems containsSemiMixedTypes="0" containsString="0" containsNumber="1" containsInteger="1" minValue="0" maxValue="1"/>
    </cacheField>
    <cacheField name="Type of abnormality" numFmtId="0">
      <sharedItems containsBlank="1"/>
    </cacheField>
    <cacheField name="Bcx initial" numFmtId="0">
      <sharedItems/>
    </cacheField>
    <cacheField name="Bcx repeat positive?" numFmtId="0">
      <sharedItems containsSemiMixedTypes="0" containsString="0" containsNumber="1" containsInteger="1" minValue="0" maxValue="1"/>
    </cacheField>
    <cacheField name="Total sets of positive Bcx" numFmtId="0">
      <sharedItems containsSemiMixedTypes="0" containsString="0" containsNumber="1" containsInteger="1" minValue="1" maxValue="11"/>
    </cacheField>
    <cacheField name="Date initial positive Bcx" numFmtId="0">
      <sharedItems containsSemiMixedTypes="0" containsString="0" containsNumber="1" containsInteger="1" minValue="45351" maxValue="45473"/>
    </cacheField>
    <cacheField name="Date last positive Bcx" numFmtId="0">
      <sharedItems containsSemiMixedTypes="0" containsString="0" containsNumber="1" containsInteger="1" minValue="45352" maxValue="45473"/>
    </cacheField>
    <cacheField name="Days bcx positive" numFmtId="0">
      <sharedItems containsSemiMixedTypes="0" containsString="0" containsNumber="1" containsInteger="1" minValue="0" maxValue="13"/>
    </cacheField>
    <cacheField name="Alternative source of infx?" numFmtId="0">
      <sharedItems containsSemiMixedTypes="0" containsString="0" containsNumber="1" containsInteger="1" minValue="0" maxValue="1"/>
    </cacheField>
    <cacheField name="OM?" numFmtId="0">
      <sharedItems containsSemiMixedTypes="0" containsString="0" containsNumber="1" containsInteger="1" minValue="0" maxValue="1"/>
    </cacheField>
    <cacheField name="Cellulitis or open wound?" numFmtId="0">
      <sharedItems containsSemiMixedTypes="0" containsString="0" containsNumber="1" containsInteger="1" minValue="0" maxValue="1"/>
    </cacheField>
    <cacheField name="Line related?" numFmtId="0">
      <sharedItems containsSemiMixedTypes="0" containsString="0" containsNumber="1" containsInteger="1" minValue="0" maxValue="1"/>
    </cacheField>
    <cacheField name="Abscess?" numFmtId="0">
      <sharedItems containsSemiMixedTypes="0" containsString="0" containsNumber="1" containsInteger="1" minValue="0" maxValue="1"/>
    </cacheField>
    <cacheField name="Intra-abdominal?" numFmtId="0">
      <sharedItems containsSemiMixedTypes="0" containsString="0" containsNumber="1" containsInteger="1" minValue="0" maxValue="1"/>
    </cacheField>
    <cacheField name="PNA?" numFmtId="0">
      <sharedItems containsSemiMixedTypes="0" containsString="0" containsNumber="1" containsInteger="1" minValue="0" maxValue="1"/>
    </cacheField>
    <cacheField name="UTI?" numFmtId="0">
      <sharedItems containsSemiMixedTypes="0" containsString="0" containsNumber="1" containsInteger="1" minValue="0" maxValue="1"/>
    </cacheField>
    <cacheField name="Other" numFmtId="0">
      <sharedItems containsSemiMixedTypes="0" containsString="0" containsNumber="1" containsInteger="1" minValue="0" maxValue="1"/>
    </cacheField>
    <cacheField name="Abx used?" numFmtId="0">
      <sharedItems containsSemiMixedTypes="0" containsString="0" containsNumber="1" containsInteger="1" minValue="0" maxValue="1"/>
    </cacheField>
    <cacheField name="Abx tx? (ended w/)" numFmtId="0">
      <sharedItems containsBlank="1"/>
    </cacheField>
    <cacheField name="Planned longterm abx tx (~4-6wks) +/- PICC?" numFmtId="0">
      <sharedItems containsSemiMixedTypes="0" containsString="0" containsNumber="1" containsInteger="1" minValue="0" maxValue="1"/>
    </cacheField>
    <cacheField name="fever?" numFmtId="0">
      <sharedItems containsSemiMixedTypes="0" containsString="0" containsNumber="1" containsInteger="1" minValue="0" maxValue="1"/>
    </cacheField>
    <cacheField name="&lt; 3 days defervescence or remained afebrile?" numFmtId="0">
      <sharedItems containsSemiMixedTypes="0" containsString="0" containsNumber="1" containsInteger="1" minValue="0" maxValue="1"/>
    </cacheField>
    <cacheField name="defervesced" numFmtId="0">
      <sharedItems containsSemiMixedTypes="0" containsString="0" containsNumber="1" containsInteger="1" minValue="0" maxValue="1"/>
    </cacheField>
    <cacheField name="not defervesced" numFmtId="0">
      <sharedItems containsSemiMixedTypes="0" containsString="0" containsNumber="1" containsInteger="1" minValue="0" maxValue="1"/>
    </cacheField>
    <cacheField name="remained afebrile" numFmtId="0">
      <sharedItems containsSemiMixedTypes="0" containsString="0" containsNumber="1" containsInteger="1" minValue="0" maxValue="1"/>
    </cacheField>
    <cacheField name="WBC downtrend or remained nrml?" numFmtId="0">
      <sharedItems containsSemiMixedTypes="0" containsString="0" containsNumber="1" containsInteger="1" minValue="0" maxValue="1"/>
    </cacheField>
    <cacheField name="TTE used?" numFmtId="0">
      <sharedItems containsSemiMixedTypes="0" containsString="0" containsNumber="1" containsInteger="1" minValue="1" maxValue="1"/>
    </cacheField>
    <cacheField name="TTE date" numFmtId="0">
      <sharedItems containsSemiMixedTypes="0" containsString="0" containsNumber="1" containsInteger="1" minValue="45352" maxValue="45485"/>
    </cacheField>
    <cacheField name="TTE new valvular veg?" numFmtId="0">
      <sharedItems containsSemiMixedTypes="0" containsString="0" containsNumber="1" containsInteger="1" minValue="0" maxValue="1"/>
    </cacheField>
    <cacheField name="TTE new worsened fxnl findings from previous TTEs?" numFmtId="0">
      <sharedItems containsSemiMixedTypes="0" containsString="0" containsNumber="1" containsInteger="1" minValue="0" maxValue="1" count="2">
        <n v="0"/>
        <n v="1"/>
      </sharedItems>
    </cacheField>
    <cacheField name="Time to TTE" numFmtId="0">
      <sharedItems containsSemiMixedTypes="0" containsString="0" containsNumber="1" containsInteger="1" minValue="0" maxValue="64"/>
    </cacheField>
    <cacheField name="TEE used?" numFmtId="0">
      <sharedItems containsSemiMixedTypes="0" containsString="0" containsNumber="1" containsInteger="1" minValue="0" maxValue="1" count="2">
        <n v="1"/>
        <n v="0"/>
      </sharedItems>
    </cacheField>
    <cacheField name="TEE date" numFmtId="0">
      <sharedItems containsString="0" containsBlank="1" containsNumber="1" containsInteger="1" minValue="45359" maxValue="45463"/>
    </cacheField>
    <cacheField name="TEE new valvular veg?" numFmtId="0">
      <sharedItems containsString="0" containsBlank="1" containsNumber="1" containsInteger="1" minValue="0" maxValue="1"/>
    </cacheField>
    <cacheField name="TEE new anatomical/fxnl findings?" numFmtId="0">
      <sharedItems containsString="0" containsBlank="1" containsNumber="1" containsInteger="1" minValue="0" maxValue="1"/>
    </cacheField>
    <cacheField name="Abx/tx changed based off TEE?" numFmtId="0">
      <sharedItems containsString="0" containsBlank="1" containsNumber="1" containsInteger="1" minValue="0" maxValue="1"/>
    </cacheField>
    <cacheField name="DEFINITE IE dx made (Dukes criteria 2 maj or 1 maj + 3 minor)" numFmtId="0">
      <sharedItems containsSemiMixedTypes="0" containsString="0" containsNumber="1" containsInteger="1" minValue="0" maxValue="1" count="2">
        <n v="0"/>
        <n v="1"/>
      </sharedItems>
    </cacheField>
    <cacheField name="POSS IE Dukescirteria (1 maj + 1 minor or 3 minor)" numFmtId="0">
      <sharedItems containsSemiMixedTypes="0" containsString="0" containsNumber="1" containsInteger="1" minValue="0" maxValue="1" count="2">
        <n v="1"/>
        <n v="0"/>
      </sharedItems>
    </cacheField>
    <cacheField name="cardiac predisposition per Dukes" numFmtId="0">
      <sharedItems containsSemiMixedTypes="0" containsString="0" containsNumber="1" containsInteger="1" minValue="0" maxValue="1"/>
    </cacheField>
    <cacheField name="Pt required ICU level of care?" numFmtId="0">
      <sharedItems containsSemiMixedTypes="0" containsString="0" containsNumber="1" containsInteger="1" minValue="0" maxValue="1"/>
    </cacheField>
    <cacheField name="Both TTE and TEE"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710.808860763886" createdVersion="8" refreshedVersion="8" minRefreshableVersion="3" recordCount="55" xr:uid="{0721D9AC-8674-445B-931C-1F47F85EA359}">
  <cacheSource type="worksheet">
    <worksheetSource ref="A1:BF56" sheet="Predeterm Abx specific data"/>
  </cacheSource>
  <cacheFields count="59">
    <cacheField name="Subject #" numFmtId="0">
      <sharedItems containsSemiMixedTypes="0" containsString="0" containsNumber="1" containsInteger="1" minValue="1" maxValue="132"/>
    </cacheField>
    <cacheField name="MRN" numFmtId="0">
      <sharedItems containsMixedTypes="1" containsNumber="1" containsInteger="1" minValue="404684974" maxValue="404684974"/>
    </cacheField>
    <cacheField name="Admission Date" numFmtId="14">
      <sharedItems containsSemiMixedTypes="0" containsNonDate="0" containsDate="1" containsString="0" minDate="2024-02-21T00:00:00" maxDate="2024-06-26T00:00:00"/>
    </cacheField>
    <cacheField name="Discharge Date" numFmtId="0">
      <sharedItems containsNonDate="0" containsDate="1" containsString="0" containsBlank="1" minDate="2024-03-15T00:00:00" maxDate="2024-07-13T00:00:00"/>
    </cacheField>
    <cacheField name="LOS" numFmtId="0">
      <sharedItems containsString="0" containsBlank="1" containsNumber="1" containsInteger="1" minValue="2" maxValue="107"/>
    </cacheField>
    <cacheField name="Age" numFmtId="0">
      <sharedItems containsSemiMixedTypes="0" containsString="0" containsNumber="1" containsInteger="1" minValue="28" maxValue="95"/>
    </cacheField>
    <cacheField name="Sex" numFmtId="0">
      <sharedItems containsSemiMixedTypes="0" containsString="0" containsNumber="1" containsInteger="1" minValue="1" maxValue="2"/>
    </cacheField>
    <cacheField name="Race" numFmtId="0">
      <sharedItems containsSemiMixedTypes="0" containsString="0" containsNumber="1" containsInteger="1" minValue="2" maxValue="5"/>
    </cacheField>
    <cacheField name="Comorbidity present (at least 1)?" numFmtId="0">
      <sharedItems containsSemiMixedTypes="0" containsString="0" containsNumber="1" containsInteger="1" minValue="0" maxValue="1"/>
    </cacheField>
    <cacheField name="IVDU" numFmtId="0">
      <sharedItems containsSemiMixedTypes="0" containsString="0" containsNumber="1" containsInteger="1" minValue="0" maxValue="1"/>
    </cacheField>
    <cacheField name="Prosthetic Valve" numFmtId="0">
      <sharedItems containsSemiMixedTypes="0" containsString="0" containsNumber="1" containsInteger="1" minValue="0" maxValue="1"/>
    </cacheField>
    <cacheField name="Intracardiac device" numFmtId="0">
      <sharedItems containsSemiMixedTypes="0" containsString="0" containsNumber="1" containsInteger="1" minValue="0" maxValue="1"/>
    </cacheField>
    <cacheField name="Chronic in-line cath" numFmtId="0">
      <sharedItems containsSemiMixedTypes="0" containsString="0" containsNumber="1" containsInteger="1" minValue="0" maxValue="1"/>
    </cacheField>
    <cacheField name="Previous IE" numFmtId="0">
      <sharedItems containsSemiMixedTypes="0" containsString="0" containsNumber="1" containsInteger="1" minValue="0" maxValue="1"/>
    </cacheField>
    <cacheField name="Cardio-structural abnormality" numFmtId="0">
      <sharedItems containsSemiMixedTypes="0" containsString="0" containsNumber="1" containsInteger="1" minValue="0" maxValue="1"/>
    </cacheField>
    <cacheField name="Type of abnormality" numFmtId="0">
      <sharedItems containsBlank="1"/>
    </cacheField>
    <cacheField name="Bcx initial" numFmtId="0">
      <sharedItems/>
    </cacheField>
    <cacheField name="Staph aureus" numFmtId="0">
      <sharedItems containsSemiMixedTypes="0" containsString="0" containsNumber="1" containsInteger="1" minValue="0" maxValue="1"/>
    </cacheField>
    <cacheField name="Viridans" numFmtId="0">
      <sharedItems containsSemiMixedTypes="0" containsString="0" containsNumber="1" containsInteger="1" minValue="0" maxValue="1"/>
    </cacheField>
    <cacheField name="Enterococcus" numFmtId="0">
      <sharedItems containsSemiMixedTypes="0" containsString="0" containsNumber="1" containsInteger="1" minValue="0" maxValue="1"/>
    </cacheField>
    <cacheField name="CoNS" numFmtId="0">
      <sharedItems containsSemiMixedTypes="0" containsString="0" containsNumber="1" containsInteger="1" minValue="0" maxValue="1"/>
    </cacheField>
    <cacheField name="Bcx repeat positive?" numFmtId="0">
      <sharedItems containsSemiMixedTypes="0" containsString="0" containsNumber="1" containsInteger="1" minValue="0" maxValue="1"/>
    </cacheField>
    <cacheField name="Total sets of positive Bcx" numFmtId="0">
      <sharedItems containsSemiMixedTypes="0" containsString="0" containsNumber="1" containsInteger="1" minValue="1" maxValue="11"/>
    </cacheField>
    <cacheField name="Date initial positive Bcx" numFmtId="14">
      <sharedItems containsSemiMixedTypes="0" containsNonDate="0" containsDate="1" containsString="0" minDate="2024-02-29T00:00:00" maxDate="2024-06-27T00:00:00"/>
    </cacheField>
    <cacheField name="Date last positive Bcx" numFmtId="14">
      <sharedItems containsSemiMixedTypes="0" containsNonDate="0" containsDate="1" containsString="0" minDate="2024-03-01T00:00:00" maxDate="2024-07-01T00:00:00"/>
    </cacheField>
    <cacheField name="Days bcx positive" numFmtId="1">
      <sharedItems containsSemiMixedTypes="0" containsString="0" containsNumber="1" containsInteger="1" minValue="0" maxValue="13"/>
    </cacheField>
    <cacheField name="Alternative source of infx?" numFmtId="0">
      <sharedItems containsSemiMixedTypes="0" containsString="0" containsNumber="1" containsInteger="1" minValue="0" maxValue="1"/>
    </cacheField>
    <cacheField name="OM?" numFmtId="0">
      <sharedItems containsSemiMixedTypes="0" containsString="0" containsNumber="1" containsInteger="1" minValue="0" maxValue="1"/>
    </cacheField>
    <cacheField name="Cellulitis or open wound?" numFmtId="0">
      <sharedItems containsSemiMixedTypes="0" containsString="0" containsNumber="1" containsInteger="1" minValue="0" maxValue="1"/>
    </cacheField>
    <cacheField name="Line related?" numFmtId="0">
      <sharedItems containsSemiMixedTypes="0" containsString="0" containsNumber="1" containsInteger="1" minValue="0" maxValue="1"/>
    </cacheField>
    <cacheField name="Abscess?" numFmtId="0">
      <sharedItems containsSemiMixedTypes="0" containsString="0" containsNumber="1" containsInteger="1" minValue="0" maxValue="1"/>
    </cacheField>
    <cacheField name="Intra-abdominal?" numFmtId="0">
      <sharedItems containsSemiMixedTypes="0" containsString="0" containsNumber="1" containsInteger="1" minValue="0" maxValue="1"/>
    </cacheField>
    <cacheField name="PNA?" numFmtId="0">
      <sharedItems containsSemiMixedTypes="0" containsString="0" containsNumber="1" containsInteger="1" minValue="0" maxValue="1"/>
    </cacheField>
    <cacheField name="UTI?" numFmtId="0">
      <sharedItems containsSemiMixedTypes="0" containsString="0" containsNumber="1" containsInteger="1" minValue="0" maxValue="1"/>
    </cacheField>
    <cacheField name="Other" numFmtId="0">
      <sharedItems containsSemiMixedTypes="0" containsString="0" containsNumber="1" containsInteger="1" minValue="0" maxValue="1"/>
    </cacheField>
    <cacheField name="Abx used?" numFmtId="0">
      <sharedItems containsSemiMixedTypes="0" containsString="0" containsNumber="1" containsInteger="1" minValue="1" maxValue="1"/>
    </cacheField>
    <cacheField name="Abx tx? (ended w/)" numFmtId="0">
      <sharedItems/>
    </cacheField>
    <cacheField name="Planned longterm abx tx (~4-6wks) +/- PICC?" numFmtId="0">
      <sharedItems containsSemiMixedTypes="0" containsString="0" containsNumber="1" containsInteger="1" minValue="1" maxValue="1"/>
    </cacheField>
    <cacheField name="fever?" numFmtId="0">
      <sharedItems containsSemiMixedTypes="0" containsString="0" containsNumber="1" containsInteger="1" minValue="0" maxValue="1"/>
    </cacheField>
    <cacheField name="&lt; 3 days defervescence or remained afebrile?" numFmtId="0">
      <sharedItems containsSemiMixedTypes="0" containsString="0" containsNumber="1" containsInteger="1" minValue="0" maxValue="1"/>
    </cacheField>
    <cacheField name="defervesced" numFmtId="0">
      <sharedItems containsSemiMixedTypes="0" containsString="0" containsNumber="1" containsInteger="1" minValue="0" maxValue="1"/>
    </cacheField>
    <cacheField name="not defervesced" numFmtId="0">
      <sharedItems containsSemiMixedTypes="0" containsString="0" containsNumber="1" containsInteger="1" minValue="0" maxValue="1"/>
    </cacheField>
    <cacheField name="remained afebrile" numFmtId="0">
      <sharedItems containsSemiMixedTypes="0" containsString="0" containsNumber="1" containsInteger="1" minValue="0" maxValue="1"/>
    </cacheField>
    <cacheField name="WBC downtrend or remained nrml?" numFmtId="0">
      <sharedItems containsSemiMixedTypes="0" containsString="0" containsNumber="1" containsInteger="1" minValue="0" maxValue="1"/>
    </cacheField>
    <cacheField name="TTE used?" numFmtId="0">
      <sharedItems containsSemiMixedTypes="0" containsString="0" containsNumber="1" containsInteger="1" minValue="0" maxValue="1"/>
    </cacheField>
    <cacheField name="TTE date" numFmtId="0">
      <sharedItems containsNonDate="0" containsDate="1" containsString="0" containsBlank="1" minDate="2024-03-01T00:00:00" maxDate="2024-07-13T00:00:00"/>
    </cacheField>
    <cacheField name="TTE new valvular veg?" numFmtId="0">
      <sharedItems containsString="0" containsBlank="1" containsNumber="1" containsInteger="1" minValue="0" maxValue="1"/>
    </cacheField>
    <cacheField name="TTE new worsened fxnl findings from previous TTEs?" numFmtId="0">
      <sharedItems containsString="0" containsBlank="1" containsNumber="1" containsInteger="1" minValue="0" maxValue="1"/>
    </cacheField>
    <cacheField name="Time to TTE" numFmtId="0">
      <sharedItems containsString="0" containsBlank="1" containsNumber="1" containsInteger="1" minValue="0" maxValue="64"/>
    </cacheField>
    <cacheField name="TEE used?" numFmtId="0">
      <sharedItems containsSemiMixedTypes="0" containsString="0" containsNumber="1" containsInteger="1" minValue="0" maxValue="1" count="2">
        <n v="1"/>
        <n v="0"/>
      </sharedItems>
    </cacheField>
    <cacheField name="TEE date" numFmtId="0">
      <sharedItems containsNonDate="0" containsDate="1" containsString="0" containsBlank="1" minDate="2024-03-08T00:00:00" maxDate="2024-06-21T00:00:00"/>
    </cacheField>
    <cacheField name="TEE new valvular veg?" numFmtId="0">
      <sharedItems containsString="0" containsBlank="1" containsNumber="1" containsInteger="1" minValue="0" maxValue="1"/>
    </cacheField>
    <cacheField name="TEE new anatomical/fxnl findings?" numFmtId="0">
      <sharedItems containsString="0" containsBlank="1" containsNumber="1" containsInteger="1" minValue="0" maxValue="1"/>
    </cacheField>
    <cacheField name="Abx/tx changed based off TEE?" numFmtId="0">
      <sharedItems containsSemiMixedTypes="0" containsString="0" containsNumber="1" containsInteger="1" minValue="0" maxValue="1" count="2">
        <n v="0"/>
        <n v="1"/>
      </sharedItems>
    </cacheField>
    <cacheField name="DEFINITE IE dx made (Dukes criteria 2 maj or 1 maj + 3 minor)" numFmtId="0">
      <sharedItems containsSemiMixedTypes="0" containsString="0" containsNumber="1" containsInteger="1" minValue="0" maxValue="1"/>
    </cacheField>
    <cacheField name="POSS IE Dukescirteria (1 maj + 1 minor or 3 minor)" numFmtId="0">
      <sharedItems containsSemiMixedTypes="0" containsString="0" containsNumber="1" containsInteger="1" minValue="0" maxValue="1"/>
    </cacheField>
    <cacheField name="cardiac predisposition per Dukes" numFmtId="0">
      <sharedItems containsSemiMixedTypes="0" containsString="0" containsNumber="1" containsInteger="1" minValue="0" maxValue="1"/>
    </cacheField>
    <cacheField name="Pt required ICU level of care?" numFmtId="0">
      <sharedItems containsSemiMixedTypes="0" containsString="0" containsNumber="1" containsInteger="1" minValue="0" maxValue="1"/>
    </cacheField>
    <cacheField name="Both TTE and TEE"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713.790472106484" createdVersion="8" refreshedVersion="8" minRefreshableVersion="3" recordCount="39" xr:uid="{073DE778-C883-4F10-BF16-6FB766B1D346}">
  <cacheSource type="worksheet">
    <worksheetSource ref="A1:BF40" sheet="PAB and clinc improve"/>
  </cacheSource>
  <cacheFields count="59">
    <cacheField name="Subject #" numFmtId="0">
      <sharedItems containsSemiMixedTypes="0" containsString="0" containsNumber="1" containsInteger="1" minValue="1" maxValue="132"/>
    </cacheField>
    <cacheField name="MRN" numFmtId="0">
      <sharedItems containsMixedTypes="1" containsNumber="1" containsInteger="1" minValue="404684974" maxValue="404684974"/>
    </cacheField>
    <cacheField name="Admission Date" numFmtId="14">
      <sharedItems containsSemiMixedTypes="0" containsNonDate="0" containsDate="1" containsString="0" minDate="2024-03-04T00:00:00" maxDate="2024-06-26T00:00:00"/>
    </cacheField>
    <cacheField name="Discharge Date" numFmtId="0">
      <sharedItems containsNonDate="0" containsDate="1" containsString="0" containsBlank="1" minDate="2024-03-15T00:00:00" maxDate="2024-07-13T00:00:00"/>
    </cacheField>
    <cacheField name="LOS" numFmtId="0">
      <sharedItems containsString="0" containsBlank="1" containsNumber="1" containsInteger="1" minValue="5" maxValue="46"/>
    </cacheField>
    <cacheField name="Age" numFmtId="0">
      <sharedItems containsSemiMixedTypes="0" containsString="0" containsNumber="1" containsInteger="1" minValue="37" maxValue="95"/>
    </cacheField>
    <cacheField name="Sex" numFmtId="0">
      <sharedItems containsSemiMixedTypes="0" containsString="0" containsNumber="1" containsInteger="1" minValue="1" maxValue="2"/>
    </cacheField>
    <cacheField name="Race" numFmtId="0">
      <sharedItems containsSemiMixedTypes="0" containsString="0" containsNumber="1" containsInteger="1" minValue="2" maxValue="5"/>
    </cacheField>
    <cacheField name="Comorbidity present (at least 1)?" numFmtId="0">
      <sharedItems containsSemiMixedTypes="0" containsString="0" containsNumber="1" containsInteger="1" minValue="0" maxValue="1"/>
    </cacheField>
    <cacheField name="IVDU" numFmtId="0">
      <sharedItems containsSemiMixedTypes="0" containsString="0" containsNumber="1" containsInteger="1" minValue="0" maxValue="1"/>
    </cacheField>
    <cacheField name="Prosthetic Valve" numFmtId="0">
      <sharedItems containsSemiMixedTypes="0" containsString="0" containsNumber="1" containsInteger="1" minValue="0" maxValue="1"/>
    </cacheField>
    <cacheField name="Intracardiac device" numFmtId="0">
      <sharedItems containsSemiMixedTypes="0" containsString="0" containsNumber="1" containsInteger="1" minValue="0" maxValue="1"/>
    </cacheField>
    <cacheField name="Chronic in-line cath" numFmtId="0">
      <sharedItems containsSemiMixedTypes="0" containsString="0" containsNumber="1" containsInteger="1" minValue="0" maxValue="1"/>
    </cacheField>
    <cacheField name="Previous IE" numFmtId="0">
      <sharedItems containsSemiMixedTypes="0" containsString="0" containsNumber="1" containsInteger="1" minValue="0" maxValue="1"/>
    </cacheField>
    <cacheField name="Cardio-structural abnormality" numFmtId="0">
      <sharedItems containsSemiMixedTypes="0" containsString="0" containsNumber="1" containsInteger="1" minValue="0" maxValue="1"/>
    </cacheField>
    <cacheField name="Type of abnormality" numFmtId="0">
      <sharedItems containsBlank="1"/>
    </cacheField>
    <cacheField name="Bcx initial" numFmtId="0">
      <sharedItems/>
    </cacheField>
    <cacheField name="Staph aureus" numFmtId="0">
      <sharedItems containsSemiMixedTypes="0" containsString="0" containsNumber="1" containsInteger="1" minValue="0" maxValue="1"/>
    </cacheField>
    <cacheField name="Viridans" numFmtId="0">
      <sharedItems containsSemiMixedTypes="0" containsString="0" containsNumber="1" containsInteger="1" minValue="0" maxValue="1"/>
    </cacheField>
    <cacheField name="Enterococcus" numFmtId="0">
      <sharedItems containsSemiMixedTypes="0" containsString="0" containsNumber="1" containsInteger="1" minValue="0" maxValue="1"/>
    </cacheField>
    <cacheField name="CoNS" numFmtId="0">
      <sharedItems containsSemiMixedTypes="0" containsString="0" containsNumber="1" containsInteger="1" minValue="0" maxValue="1"/>
    </cacheField>
    <cacheField name="Bcx repeat positive?" numFmtId="0">
      <sharedItems containsSemiMixedTypes="0" containsString="0" containsNumber="1" containsInteger="1" minValue="0" maxValue="1"/>
    </cacheField>
    <cacheField name="Total sets of positive Bcx" numFmtId="0">
      <sharedItems containsSemiMixedTypes="0" containsString="0" containsNumber="1" containsInteger="1" minValue="1" maxValue="11"/>
    </cacheField>
    <cacheField name="Date initial positive Bcx" numFmtId="14">
      <sharedItems containsSemiMixedTypes="0" containsNonDate="0" containsDate="1" containsString="0" minDate="2024-03-04T00:00:00" maxDate="2024-06-27T00:00:00"/>
    </cacheField>
    <cacheField name="Date last positive Bcx" numFmtId="14">
      <sharedItems containsSemiMixedTypes="0" containsNonDate="0" containsDate="1" containsString="0" minDate="2024-03-06T00:00:00" maxDate="2024-07-01T00:00:00"/>
    </cacheField>
    <cacheField name="Days bcx positive" numFmtId="1">
      <sharedItems containsSemiMixedTypes="0" containsString="0" containsNumber="1" containsInteger="1" minValue="0" maxValue="13"/>
    </cacheField>
    <cacheField name="Alternative source of infx?" numFmtId="0">
      <sharedItems containsSemiMixedTypes="0" containsString="0" containsNumber="1" containsInteger="1" minValue="0" maxValue="1"/>
    </cacheField>
    <cacheField name="OM?" numFmtId="0">
      <sharedItems containsSemiMixedTypes="0" containsString="0" containsNumber="1" containsInteger="1" minValue="0" maxValue="1"/>
    </cacheField>
    <cacheField name="Cellulitis or open wound?" numFmtId="0">
      <sharedItems containsSemiMixedTypes="0" containsString="0" containsNumber="1" containsInteger="1" minValue="0" maxValue="1"/>
    </cacheField>
    <cacheField name="Line related?" numFmtId="0">
      <sharedItems containsSemiMixedTypes="0" containsString="0" containsNumber="1" containsInteger="1" minValue="0" maxValue="1"/>
    </cacheField>
    <cacheField name="Abscess?" numFmtId="0">
      <sharedItems containsSemiMixedTypes="0" containsString="0" containsNumber="1" containsInteger="1" minValue="0" maxValue="1"/>
    </cacheField>
    <cacheField name="Intra-abdominal?" numFmtId="0">
      <sharedItems containsSemiMixedTypes="0" containsString="0" containsNumber="1" containsInteger="1" minValue="0" maxValue="1"/>
    </cacheField>
    <cacheField name="PNA?" numFmtId="0">
      <sharedItems containsSemiMixedTypes="0" containsString="0" containsNumber="1" containsInteger="1" minValue="0" maxValue="0"/>
    </cacheField>
    <cacheField name="UTI?" numFmtId="0">
      <sharedItems containsSemiMixedTypes="0" containsString="0" containsNumber="1" containsInteger="1" minValue="0" maxValue="1"/>
    </cacheField>
    <cacheField name="Other" numFmtId="0">
      <sharedItems containsSemiMixedTypes="0" containsString="0" containsNumber="1" containsInteger="1" minValue="0" maxValue="1"/>
    </cacheField>
    <cacheField name="Abx used?" numFmtId="0">
      <sharedItems containsSemiMixedTypes="0" containsString="0" containsNumber="1" containsInteger="1" minValue="1" maxValue="1"/>
    </cacheField>
    <cacheField name="Abx tx? (ended w/)" numFmtId="0">
      <sharedItems/>
    </cacheField>
    <cacheField name="Planned longterm abx tx (~4-6wks) +/- PICC?" numFmtId="0">
      <sharedItems containsSemiMixedTypes="0" containsString="0" containsNumber="1" containsInteger="1" minValue="1" maxValue="1"/>
    </cacheField>
    <cacheField name="fever?" numFmtId="0">
      <sharedItems containsSemiMixedTypes="0" containsString="0" containsNumber="1" containsInteger="1" minValue="0" maxValue="1"/>
    </cacheField>
    <cacheField name="&lt; 3 days defervescence or remained afebrile?" numFmtId="0">
      <sharedItems containsSemiMixedTypes="0" containsString="0" containsNumber="1" containsInteger="1" minValue="1" maxValue="1"/>
    </cacheField>
    <cacheField name="defervesced" numFmtId="0">
      <sharedItems containsSemiMixedTypes="0" containsString="0" containsNumber="1" containsInteger="1" minValue="0" maxValue="1"/>
    </cacheField>
    <cacheField name="not defervesced" numFmtId="0">
      <sharedItems containsSemiMixedTypes="0" containsString="0" containsNumber="1" containsInteger="1" minValue="0" maxValue="0"/>
    </cacheField>
    <cacheField name="remained afebrile" numFmtId="0">
      <sharedItems containsSemiMixedTypes="0" containsString="0" containsNumber="1" containsInteger="1" minValue="0" maxValue="1"/>
    </cacheField>
    <cacheField name="WBC downtrend or remained nrml?" numFmtId="0">
      <sharedItems containsSemiMixedTypes="0" containsString="0" containsNumber="1" containsInteger="1" minValue="1" maxValue="1"/>
    </cacheField>
    <cacheField name="TTE used?" numFmtId="0">
      <sharedItems containsSemiMixedTypes="0" containsString="0" containsNumber="1" containsInteger="1" minValue="0" maxValue="1"/>
    </cacheField>
    <cacheField name="TTE date" numFmtId="0">
      <sharedItems containsNonDate="0" containsDate="1" containsString="0" containsBlank="1" minDate="2024-03-06T00:00:00" maxDate="2024-07-13T00:00:00"/>
    </cacheField>
    <cacheField name="TTE new valvular veg?" numFmtId="0">
      <sharedItems containsString="0" containsBlank="1" containsNumber="1" containsInteger="1" minValue="0" maxValue="1"/>
    </cacheField>
    <cacheField name="TTE new worsened fxnl findings from previous TTEs?" numFmtId="0">
      <sharedItems containsString="0" containsBlank="1" containsNumber="1" containsInteger="1" minValue="0" maxValue="1"/>
    </cacheField>
    <cacheField name="Time to TTE" numFmtId="0">
      <sharedItems containsString="0" containsBlank="1" containsNumber="1" containsInteger="1" minValue="0" maxValue="26"/>
    </cacheField>
    <cacheField name="TEE used?" numFmtId="0">
      <sharedItems containsSemiMixedTypes="0" containsString="0" containsNumber="1" containsInteger="1" minValue="0" maxValue="1" count="2">
        <n v="1"/>
        <n v="0"/>
      </sharedItems>
    </cacheField>
    <cacheField name="TEE date" numFmtId="0">
      <sharedItems containsNonDate="0" containsDate="1" containsString="0" containsBlank="1" minDate="2024-03-08T00:00:00" maxDate="2024-06-21T00:00:00"/>
    </cacheField>
    <cacheField name="TEE new valvular veg?" numFmtId="0">
      <sharedItems containsString="0" containsBlank="1" containsNumber="1" containsInteger="1" minValue="0" maxValue="1" count="3">
        <n v="0"/>
        <m/>
        <n v="1"/>
      </sharedItems>
    </cacheField>
    <cacheField name="TEE new anatomical/fxnl findings?" numFmtId="0">
      <sharedItems containsString="0" containsBlank="1" containsNumber="1" containsInteger="1" minValue="0" maxValue="1"/>
    </cacheField>
    <cacheField name="Abx/tx changed based off TEE?" numFmtId="0">
      <sharedItems containsSemiMixedTypes="0" containsString="0" containsNumber="1" containsInteger="1" minValue="0" maxValue="1" count="2">
        <n v="0"/>
        <n v="1"/>
      </sharedItems>
    </cacheField>
    <cacheField name="DEFINITE IE dx made (Dukes criteria 2 maj or 1 maj + 3 minor)" numFmtId="0">
      <sharedItems containsSemiMixedTypes="0" containsString="0" containsNumber="1" containsInteger="1" minValue="0" maxValue="1"/>
    </cacheField>
    <cacheField name="POSS IE Dukescirteria (1 maj + 1 minor or 3 minor)" numFmtId="0">
      <sharedItems containsSemiMixedTypes="0" containsString="0" containsNumber="1" containsInteger="1" minValue="0" maxValue="1"/>
    </cacheField>
    <cacheField name="cardiac predisposition per Dukes" numFmtId="0">
      <sharedItems containsSemiMixedTypes="0" containsString="0" containsNumber="1" containsInteger="1" minValue="0" maxValue="1"/>
    </cacheField>
    <cacheField name="Pt required ICU level of care?" numFmtId="0">
      <sharedItems containsSemiMixedTypes="0" containsString="0" containsNumber="1" containsInteger="1" minValue="0" maxValue="1"/>
    </cacheField>
    <cacheField name="Both TTE and TEE"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4">
  <r>
    <n v="1"/>
    <s v="405204614"/>
    <d v="2024-05-30T00:00:00"/>
    <d v="2024-06-19T00:00:00"/>
    <n v="20"/>
    <n v="85"/>
    <x v="0"/>
    <x v="0"/>
    <x v="0"/>
    <x v="0"/>
    <x v="0"/>
    <x v="0"/>
    <x v="0"/>
    <x v="0"/>
    <x v="0"/>
    <s v="mod TR, MR, AS w/ TAVR, CABG 2000"/>
    <s v="Methicillin-Resistant Staphylococcus aureus"/>
    <x v="0"/>
    <x v="0"/>
    <x v="0"/>
    <x v="0"/>
    <x v="0"/>
    <n v="11"/>
    <d v="2024-05-30T00:00:00"/>
    <d v="2024-06-12T00:00:00"/>
    <n v="13"/>
    <x v="0"/>
    <n v="0"/>
    <n v="0"/>
    <n v="0"/>
    <n v="0"/>
    <n v="0"/>
    <n v="0"/>
    <n v="0"/>
    <n v="0"/>
    <n v="1"/>
    <s v="Daptomycin"/>
    <x v="0"/>
    <x v="0"/>
    <x v="0"/>
    <x v="0"/>
    <x v="0"/>
    <n v="1"/>
    <x v="0"/>
    <x v="0"/>
    <d v="2024-05-31T00:00:00"/>
    <x v="0"/>
    <x v="0"/>
    <n v="1"/>
    <x v="0"/>
    <d v="2024-06-03T00:00:00"/>
    <n v="0"/>
    <n v="0"/>
    <x v="0"/>
    <n v="4"/>
    <x v="0"/>
    <x v="0"/>
    <x v="0"/>
    <x v="0"/>
    <x v="0"/>
    <x v="0"/>
  </r>
  <r>
    <n v="2"/>
    <s v="403501259"/>
    <d v="2024-06-03T00:00:00"/>
    <m/>
    <m/>
    <n v="78"/>
    <x v="0"/>
    <x v="1"/>
    <x v="1"/>
    <x v="0"/>
    <x v="1"/>
    <x v="1"/>
    <x v="0"/>
    <x v="0"/>
    <x v="1"/>
    <m/>
    <s v="Methicillin-Resistant Staphylococcus aureus"/>
    <x v="0"/>
    <x v="0"/>
    <x v="0"/>
    <x v="0"/>
    <x v="0"/>
    <n v="6"/>
    <d v="2024-06-03T00:00:00"/>
    <d v="2024-06-07T00:00:00"/>
    <n v="4"/>
    <x v="1"/>
    <n v="1"/>
    <n v="0"/>
    <n v="0"/>
    <n v="0"/>
    <n v="0"/>
    <n v="0"/>
    <n v="0"/>
    <n v="0"/>
    <n v="1"/>
    <s v="Daptomycin"/>
    <x v="0"/>
    <x v="1"/>
    <x v="0"/>
    <x v="1"/>
    <x v="0"/>
    <n v="0"/>
    <x v="0"/>
    <x v="0"/>
    <d v="2024-06-05T00:00:00"/>
    <x v="0"/>
    <x v="0"/>
    <n v="2"/>
    <x v="1"/>
    <m/>
    <m/>
    <m/>
    <x v="0"/>
    <m/>
    <x v="1"/>
    <x v="1"/>
    <x v="0"/>
    <x v="0"/>
    <x v="0"/>
    <x v="1"/>
  </r>
  <r>
    <n v="3"/>
    <s v="01096094"/>
    <d v="2024-06-05T00:00:00"/>
    <d v="2024-06-22T00:00:00"/>
    <n v="17"/>
    <n v="62"/>
    <x v="0"/>
    <x v="0"/>
    <x v="0"/>
    <x v="0"/>
    <x v="1"/>
    <x v="1"/>
    <x v="0"/>
    <x v="0"/>
    <x v="0"/>
    <s v="thickened AV leaf"/>
    <s v="Staphylococcus aureus"/>
    <x v="0"/>
    <x v="0"/>
    <x v="0"/>
    <x v="0"/>
    <x v="0"/>
    <n v="5"/>
    <d v="2024-06-05T00:00:00"/>
    <d v="2024-06-11T00:00:00"/>
    <n v="6"/>
    <x v="0"/>
    <n v="0"/>
    <n v="0"/>
    <n v="0"/>
    <n v="0"/>
    <n v="0"/>
    <n v="0"/>
    <n v="0"/>
    <n v="1"/>
    <n v="1"/>
    <s v="Ertapenem nafcillin"/>
    <x v="1"/>
    <x v="1"/>
    <x v="1"/>
    <x v="0"/>
    <x v="1"/>
    <n v="0"/>
    <x v="0"/>
    <x v="0"/>
    <d v="2024-06-05T00:00:00"/>
    <x v="0"/>
    <x v="0"/>
    <n v="0"/>
    <x v="0"/>
    <d v="2024-06-12T00:00:00"/>
    <n v="0"/>
    <n v="1"/>
    <x v="0"/>
    <n v="7"/>
    <x v="1"/>
    <x v="0"/>
    <x v="1"/>
    <x v="0"/>
    <x v="0"/>
    <x v="1"/>
  </r>
  <r>
    <n v="4"/>
    <s v="403301911"/>
    <d v="2024-06-06T00:00:00"/>
    <d v="2024-06-12T00:00:00"/>
    <n v="6"/>
    <n v="77"/>
    <x v="0"/>
    <x v="0"/>
    <x v="1"/>
    <x v="0"/>
    <x v="1"/>
    <x v="1"/>
    <x v="0"/>
    <x v="0"/>
    <x v="1"/>
    <m/>
    <s v="Staphylococcus aureus"/>
    <x v="0"/>
    <x v="0"/>
    <x v="0"/>
    <x v="0"/>
    <x v="0"/>
    <n v="2"/>
    <d v="2024-06-06T00:00:00"/>
    <d v="2024-06-07T00:00:00"/>
    <n v="1"/>
    <x v="1"/>
    <n v="0"/>
    <n v="0"/>
    <n v="0"/>
    <n v="0"/>
    <n v="0"/>
    <n v="0"/>
    <n v="1"/>
    <n v="1"/>
    <n v="1"/>
    <s v="cefazolin"/>
    <x v="1"/>
    <x v="1"/>
    <x v="0"/>
    <x v="1"/>
    <x v="0"/>
    <n v="0"/>
    <x v="0"/>
    <x v="0"/>
    <d v="2024-06-07T00:00:00"/>
    <x v="0"/>
    <x v="0"/>
    <n v="1"/>
    <x v="0"/>
    <d v="2024-06-10T00:00:00"/>
    <n v="0"/>
    <n v="0"/>
    <x v="0"/>
    <n v="4"/>
    <x v="0"/>
    <x v="1"/>
    <x v="0"/>
    <x v="0"/>
    <x v="0"/>
    <x v="1"/>
  </r>
  <r>
    <n v="5"/>
    <s v="404853319"/>
    <d v="2024-06-10T00:00:00"/>
    <d v="2024-06-13T00:00:00"/>
    <n v="3"/>
    <n v="71"/>
    <x v="0"/>
    <x v="0"/>
    <x v="0"/>
    <x v="0"/>
    <x v="1"/>
    <x v="1"/>
    <x v="1"/>
    <x v="1"/>
    <x v="0"/>
    <s v="G3DD, sev LA dilation"/>
    <s v="Staphylococcus aureus"/>
    <x v="0"/>
    <x v="0"/>
    <x v="0"/>
    <x v="0"/>
    <x v="0"/>
    <n v="2"/>
    <d v="2024-06-10T00:00:00"/>
    <d v="2024-06-11T00:00:00"/>
    <n v="1"/>
    <x v="1"/>
    <n v="0"/>
    <n v="0"/>
    <n v="0"/>
    <n v="1"/>
    <n v="0"/>
    <n v="0"/>
    <n v="0"/>
    <n v="0"/>
    <n v="1"/>
    <s v="vanc zosyn"/>
    <x v="0"/>
    <x v="1"/>
    <x v="0"/>
    <x v="1"/>
    <x v="0"/>
    <n v="0"/>
    <x v="1"/>
    <x v="0"/>
    <d v="2024-06-11T00:00:00"/>
    <x v="1"/>
    <x v="1"/>
    <n v="1"/>
    <x v="1"/>
    <m/>
    <m/>
    <m/>
    <x v="0"/>
    <m/>
    <x v="1"/>
    <x v="0"/>
    <x v="1"/>
    <x v="1"/>
    <x v="0"/>
    <x v="1"/>
  </r>
  <r>
    <n v="6"/>
    <s v="408233851"/>
    <d v="2024-06-11T00:00:00"/>
    <d v="2024-06-22T00:00:00"/>
    <n v="11"/>
    <n v="81"/>
    <x v="0"/>
    <x v="0"/>
    <x v="0"/>
    <x v="0"/>
    <x v="1"/>
    <x v="1"/>
    <x v="0"/>
    <x v="0"/>
    <x v="0"/>
    <s v="mod MR, TR, sev biatrial enlarge"/>
    <s v="Staphylococcus aureus"/>
    <x v="0"/>
    <x v="0"/>
    <x v="0"/>
    <x v="0"/>
    <x v="0"/>
    <n v="4"/>
    <d v="2024-06-11T00:00:00"/>
    <d v="2024-06-15T00:00:00"/>
    <n v="4"/>
    <x v="1"/>
    <n v="0"/>
    <n v="1"/>
    <n v="0"/>
    <n v="0"/>
    <n v="1"/>
    <n v="0"/>
    <n v="0"/>
    <n v="0"/>
    <n v="1"/>
    <s v="Ertapenem cefazolin"/>
    <x v="1"/>
    <x v="1"/>
    <x v="0"/>
    <x v="1"/>
    <x v="0"/>
    <n v="0"/>
    <x v="1"/>
    <x v="0"/>
    <d v="2024-06-12T00:00:00"/>
    <x v="0"/>
    <x v="0"/>
    <n v="1"/>
    <x v="1"/>
    <m/>
    <m/>
    <m/>
    <x v="0"/>
    <m/>
    <x v="1"/>
    <x v="0"/>
    <x v="1"/>
    <x v="0"/>
    <x v="0"/>
    <x v="1"/>
  </r>
  <r>
    <n v="7"/>
    <s v="404897779"/>
    <d v="2024-06-10T00:00:00"/>
    <d v="2024-07-12T00:00:00"/>
    <n v="32"/>
    <n v="45"/>
    <x v="1"/>
    <x v="0"/>
    <x v="1"/>
    <x v="0"/>
    <x v="1"/>
    <x v="1"/>
    <x v="0"/>
    <x v="0"/>
    <x v="1"/>
    <m/>
    <s v="Staphylococcus aureus"/>
    <x v="0"/>
    <x v="0"/>
    <x v="0"/>
    <x v="0"/>
    <x v="1"/>
    <n v="1"/>
    <d v="2024-06-12T00:00:00"/>
    <d v="2024-06-12T00:00:00"/>
    <n v="0"/>
    <x v="0"/>
    <n v="0"/>
    <n v="0"/>
    <n v="0"/>
    <n v="0"/>
    <n v="0"/>
    <n v="0"/>
    <n v="0"/>
    <n v="0"/>
    <n v="1"/>
    <s v="cefazolin"/>
    <x v="0"/>
    <x v="0"/>
    <x v="0"/>
    <x v="0"/>
    <x v="0"/>
    <n v="1"/>
    <x v="0"/>
    <x v="0"/>
    <d v="2024-06-14T00:00:00"/>
    <x v="0"/>
    <x v="0"/>
    <n v="2"/>
    <x v="1"/>
    <m/>
    <m/>
    <m/>
    <x v="0"/>
    <m/>
    <x v="1"/>
    <x v="0"/>
    <x v="0"/>
    <x v="0"/>
    <x v="1"/>
    <x v="1"/>
  </r>
  <r>
    <n v="8"/>
    <s v="405202760"/>
    <d v="2024-06-13T00:00:00"/>
    <d v="2024-06-23T00:00:00"/>
    <n v="10"/>
    <n v="60"/>
    <x v="0"/>
    <x v="1"/>
    <x v="0"/>
    <x v="0"/>
    <x v="1"/>
    <x v="1"/>
    <x v="0"/>
    <x v="0"/>
    <x v="0"/>
    <s v="G2DD"/>
    <s v="Staphylococcus aureus"/>
    <x v="0"/>
    <x v="0"/>
    <x v="0"/>
    <x v="0"/>
    <x v="0"/>
    <n v="2"/>
    <d v="2024-06-13T00:00:00"/>
    <d v="2024-06-14T00:00:00"/>
    <n v="1"/>
    <x v="1"/>
    <n v="0"/>
    <n v="0"/>
    <n v="0"/>
    <n v="1"/>
    <n v="0"/>
    <n v="0"/>
    <n v="0"/>
    <n v="0"/>
    <n v="1"/>
    <s v="cefazolin"/>
    <x v="0"/>
    <x v="1"/>
    <x v="0"/>
    <x v="1"/>
    <x v="0"/>
    <n v="0"/>
    <x v="0"/>
    <x v="0"/>
    <d v="2024-06-14T00:00:00"/>
    <x v="0"/>
    <x v="0"/>
    <n v="1"/>
    <x v="1"/>
    <m/>
    <m/>
    <m/>
    <x v="0"/>
    <m/>
    <x v="0"/>
    <x v="0"/>
    <x v="0"/>
    <x v="0"/>
    <x v="0"/>
    <x v="1"/>
  </r>
  <r>
    <n v="9"/>
    <s v="400903585"/>
    <d v="2024-06-15T00:00:00"/>
    <d v="2024-06-27T00:00:00"/>
    <n v="12"/>
    <n v="64"/>
    <x v="1"/>
    <x v="0"/>
    <x v="0"/>
    <x v="0"/>
    <x v="1"/>
    <x v="1"/>
    <x v="1"/>
    <x v="0"/>
    <x v="1"/>
    <m/>
    <s v="Staphylococcus aureus"/>
    <x v="0"/>
    <x v="0"/>
    <x v="0"/>
    <x v="0"/>
    <x v="0"/>
    <n v="2"/>
    <d v="2024-06-20T00:00:00"/>
    <d v="2024-06-21T00:00:00"/>
    <n v="1"/>
    <x v="1"/>
    <n v="0"/>
    <n v="1"/>
    <n v="0"/>
    <n v="0"/>
    <n v="0"/>
    <n v="0"/>
    <n v="0"/>
    <n v="0"/>
    <n v="1"/>
    <s v="cefazolin"/>
    <x v="0"/>
    <x v="1"/>
    <x v="0"/>
    <x v="1"/>
    <x v="0"/>
    <n v="0"/>
    <x v="0"/>
    <x v="0"/>
    <d v="2024-06-24T00:00:00"/>
    <x v="0"/>
    <x v="0"/>
    <n v="4"/>
    <x v="1"/>
    <m/>
    <m/>
    <m/>
    <x v="0"/>
    <m/>
    <x v="0"/>
    <x v="0"/>
    <x v="0"/>
    <x v="0"/>
    <x v="0"/>
    <x v="1"/>
  </r>
  <r>
    <n v="10"/>
    <s v="404330489"/>
    <d v="2024-06-25T00:00:00"/>
    <d v="2024-07-02T00:00:00"/>
    <n v="7"/>
    <n v="46"/>
    <x v="0"/>
    <x v="0"/>
    <x v="0"/>
    <x v="1"/>
    <x v="1"/>
    <x v="1"/>
    <x v="1"/>
    <x v="1"/>
    <x v="0"/>
    <s v="1/4/24 veg seen, sev TR, "/>
    <s v="Methicillin-Resistant Staphylococcus aureus"/>
    <x v="0"/>
    <x v="0"/>
    <x v="0"/>
    <x v="0"/>
    <x v="0"/>
    <n v="5"/>
    <d v="2024-06-25T00:00:00"/>
    <d v="2024-06-30T00:00:00"/>
    <n v="5"/>
    <x v="1"/>
    <n v="1"/>
    <n v="1"/>
    <n v="0"/>
    <n v="1"/>
    <n v="0"/>
    <n v="0"/>
    <n v="0"/>
    <n v="0"/>
    <n v="1"/>
    <s v="Daptomycin"/>
    <x v="0"/>
    <x v="1"/>
    <x v="0"/>
    <x v="1"/>
    <x v="0"/>
    <n v="0"/>
    <x v="0"/>
    <x v="0"/>
    <d v="2024-06-25T00:00:00"/>
    <x v="1"/>
    <x v="1"/>
    <n v="0"/>
    <x v="1"/>
    <m/>
    <m/>
    <m/>
    <x v="0"/>
    <m/>
    <x v="0"/>
    <x v="0"/>
    <x v="0"/>
    <x v="1"/>
    <x v="0"/>
    <x v="0"/>
  </r>
  <r>
    <n v="11"/>
    <s v="402919186"/>
    <d v="2024-06-27T00:00:00"/>
    <d v="2024-07-28T00:00:00"/>
    <n v="31"/>
    <n v="74"/>
    <x v="0"/>
    <x v="0"/>
    <x v="0"/>
    <x v="0"/>
    <x v="1"/>
    <x v="1"/>
    <x v="0"/>
    <x v="0"/>
    <x v="0"/>
    <s v="sev calc AV, mod AS, mod TR"/>
    <s v="Staphylococcus aureus"/>
    <x v="0"/>
    <x v="0"/>
    <x v="0"/>
    <x v="0"/>
    <x v="1"/>
    <n v="1"/>
    <d v="2024-06-27T00:00:00"/>
    <d v="2024-06-27T00:00:00"/>
    <n v="0"/>
    <x v="1"/>
    <n v="0"/>
    <n v="1"/>
    <n v="0"/>
    <n v="0"/>
    <n v="0"/>
    <n v="1"/>
    <n v="0"/>
    <n v="0"/>
    <n v="1"/>
    <s v="vanc cefepime"/>
    <x v="1"/>
    <x v="1"/>
    <x v="0"/>
    <x v="1"/>
    <x v="0"/>
    <n v="0"/>
    <x v="1"/>
    <x v="0"/>
    <d v="2024-06-28T00:00:00"/>
    <x v="0"/>
    <x v="1"/>
    <n v="1"/>
    <x v="1"/>
    <m/>
    <m/>
    <m/>
    <x v="0"/>
    <m/>
    <x v="1"/>
    <x v="0"/>
    <x v="1"/>
    <x v="0"/>
    <x v="0"/>
    <x v="1"/>
  </r>
  <r>
    <n v="12"/>
    <s v="405482656"/>
    <d v="2024-05-01T00:00:00"/>
    <d v="2024-05-11T00:00:00"/>
    <n v="10"/>
    <n v="70"/>
    <x v="0"/>
    <x v="2"/>
    <x v="0"/>
    <x v="0"/>
    <x v="1"/>
    <x v="1"/>
    <x v="1"/>
    <x v="0"/>
    <x v="0"/>
    <s v="G1DD"/>
    <s v="Staphylococcus aureus"/>
    <x v="0"/>
    <x v="0"/>
    <x v="0"/>
    <x v="0"/>
    <x v="0"/>
    <n v="2"/>
    <d v="2024-05-01T00:00:00"/>
    <d v="2024-05-03T00:00:00"/>
    <n v="2"/>
    <x v="1"/>
    <n v="0"/>
    <n v="0"/>
    <n v="1"/>
    <n v="0"/>
    <n v="0"/>
    <n v="0"/>
    <n v="0"/>
    <n v="0"/>
    <n v="1"/>
    <s v="cefazolin"/>
    <x v="0"/>
    <x v="1"/>
    <x v="0"/>
    <x v="1"/>
    <x v="0"/>
    <n v="0"/>
    <x v="0"/>
    <x v="0"/>
    <d v="2024-05-07T00:00:00"/>
    <x v="0"/>
    <x v="1"/>
    <n v="6"/>
    <x v="1"/>
    <m/>
    <m/>
    <m/>
    <x v="0"/>
    <m/>
    <x v="0"/>
    <x v="0"/>
    <x v="0"/>
    <x v="0"/>
    <x v="0"/>
    <x v="1"/>
  </r>
  <r>
    <n v="13"/>
    <s v="403677980"/>
    <d v="2024-05-02T00:00:00"/>
    <d v="2024-05-24T00:00:00"/>
    <n v="22"/>
    <n v="91"/>
    <x v="1"/>
    <x v="0"/>
    <x v="0"/>
    <x v="0"/>
    <x v="1"/>
    <x v="1"/>
    <x v="0"/>
    <x v="0"/>
    <x v="0"/>
    <s v="HFrEF"/>
    <s v="Staphylococcus aureus"/>
    <x v="0"/>
    <x v="0"/>
    <x v="0"/>
    <x v="0"/>
    <x v="0"/>
    <n v="2"/>
    <d v="2024-05-02T00:00:00"/>
    <d v="2024-05-03T00:00:00"/>
    <n v="1"/>
    <x v="1"/>
    <n v="0"/>
    <n v="0"/>
    <n v="0"/>
    <n v="1"/>
    <n v="0"/>
    <n v="0"/>
    <n v="0"/>
    <n v="0"/>
    <n v="1"/>
    <s v="cefazolin"/>
    <x v="0"/>
    <x v="1"/>
    <x v="0"/>
    <x v="1"/>
    <x v="0"/>
    <n v="0"/>
    <x v="0"/>
    <x v="0"/>
    <d v="2024-05-06T00:00:00"/>
    <x v="0"/>
    <x v="0"/>
    <n v="4"/>
    <x v="1"/>
    <m/>
    <m/>
    <m/>
    <x v="0"/>
    <m/>
    <x v="0"/>
    <x v="0"/>
    <x v="0"/>
    <x v="0"/>
    <x v="0"/>
    <x v="1"/>
  </r>
  <r>
    <n v="14"/>
    <s v="401084542"/>
    <d v="2024-05-07T00:00:00"/>
    <d v="2024-05-21T00:00:00"/>
    <n v="14"/>
    <n v="71"/>
    <x v="1"/>
    <x v="0"/>
    <x v="0"/>
    <x v="0"/>
    <x v="1"/>
    <x v="1"/>
    <x v="1"/>
    <x v="0"/>
    <x v="1"/>
    <m/>
    <s v="Staphylococcus aureus"/>
    <x v="0"/>
    <x v="0"/>
    <x v="0"/>
    <x v="0"/>
    <x v="0"/>
    <n v="3"/>
    <d v="2024-05-07T00:00:00"/>
    <d v="2024-05-10T00:00:00"/>
    <n v="3"/>
    <x v="1"/>
    <n v="0"/>
    <n v="1"/>
    <n v="1"/>
    <n v="0"/>
    <n v="0"/>
    <n v="0"/>
    <n v="0"/>
    <n v="0"/>
    <n v="1"/>
    <s v="cefazolin"/>
    <x v="0"/>
    <x v="1"/>
    <x v="1"/>
    <x v="0"/>
    <x v="1"/>
    <n v="0"/>
    <x v="0"/>
    <x v="0"/>
    <d v="2024-05-08T00:00:00"/>
    <x v="0"/>
    <x v="0"/>
    <n v="1"/>
    <x v="1"/>
    <m/>
    <m/>
    <m/>
    <x v="0"/>
    <m/>
    <x v="0"/>
    <x v="0"/>
    <x v="1"/>
    <x v="0"/>
    <x v="0"/>
    <x v="1"/>
  </r>
  <r>
    <n v="15"/>
    <s v="00812900"/>
    <d v="2024-05-08T00:00:00"/>
    <d v="2024-05-20T00:00:00"/>
    <n v="12"/>
    <n v="77"/>
    <x v="0"/>
    <x v="0"/>
    <x v="0"/>
    <x v="0"/>
    <x v="1"/>
    <x v="1"/>
    <x v="0"/>
    <x v="0"/>
    <x v="0"/>
    <s v="at least mod TR'"/>
    <s v="Staphylococcus aureus"/>
    <x v="0"/>
    <x v="0"/>
    <x v="0"/>
    <x v="0"/>
    <x v="1"/>
    <n v="1"/>
    <d v="2024-05-08T00:00:00"/>
    <d v="2024-05-08T00:00:00"/>
    <n v="0"/>
    <x v="1"/>
    <n v="0"/>
    <n v="0"/>
    <n v="0"/>
    <n v="1"/>
    <n v="0"/>
    <n v="0"/>
    <n v="1"/>
    <n v="0"/>
    <n v="1"/>
    <s v="cefazolin"/>
    <x v="0"/>
    <x v="1"/>
    <x v="0"/>
    <x v="1"/>
    <x v="0"/>
    <n v="0"/>
    <x v="0"/>
    <x v="0"/>
    <d v="2024-05-09T00:00:00"/>
    <x v="0"/>
    <x v="0"/>
    <n v="1"/>
    <x v="0"/>
    <d v="2024-05-13T00:00:00"/>
    <n v="0"/>
    <n v="0"/>
    <x v="0"/>
    <n v="5"/>
    <x v="0"/>
    <x v="0"/>
    <x v="0"/>
    <x v="0"/>
    <x v="0"/>
    <x v="1"/>
  </r>
  <r>
    <n v="16"/>
    <s v="403662645"/>
    <d v="2024-05-08T00:00:00"/>
    <d v="2024-05-23T00:00:00"/>
    <n v="15"/>
    <n v="83"/>
    <x v="1"/>
    <x v="0"/>
    <x v="0"/>
    <x v="0"/>
    <x v="1"/>
    <x v="1"/>
    <x v="0"/>
    <x v="0"/>
    <x v="0"/>
    <s v="PFO, sev biatrial enlarge, G1DD, mod LVH"/>
    <s v="Staphylococcus aureus"/>
    <x v="0"/>
    <x v="0"/>
    <x v="0"/>
    <x v="0"/>
    <x v="0"/>
    <n v="3"/>
    <d v="2024-05-17T00:00:00"/>
    <d v="2024-05-19T00:00:00"/>
    <n v="2"/>
    <x v="0"/>
    <n v="0"/>
    <n v="0"/>
    <n v="0"/>
    <n v="0"/>
    <n v="0"/>
    <n v="0"/>
    <n v="0"/>
    <n v="0"/>
    <n v="1"/>
    <s v="nafcillin"/>
    <x v="0"/>
    <x v="1"/>
    <x v="0"/>
    <x v="1"/>
    <x v="0"/>
    <n v="0"/>
    <x v="0"/>
    <x v="0"/>
    <d v="2024-05-20T00:00:00"/>
    <x v="0"/>
    <x v="0"/>
    <n v="3"/>
    <x v="1"/>
    <m/>
    <m/>
    <m/>
    <x v="0"/>
    <m/>
    <x v="1"/>
    <x v="0"/>
    <x v="0"/>
    <x v="0"/>
    <x v="0"/>
    <x v="1"/>
  </r>
  <r>
    <n v="17"/>
    <s v="88273987"/>
    <d v="2024-05-26T00:00:00"/>
    <d v="2024-06-15T00:00:00"/>
    <n v="20"/>
    <n v="59"/>
    <x v="0"/>
    <x v="1"/>
    <x v="0"/>
    <x v="0"/>
    <x v="1"/>
    <x v="1"/>
    <x v="0"/>
    <x v="0"/>
    <x v="0"/>
    <s v="G1DD, mod mitral annular calc"/>
    <s v="Staphylococcus aureus"/>
    <x v="0"/>
    <x v="0"/>
    <x v="0"/>
    <x v="0"/>
    <x v="0"/>
    <n v="2"/>
    <d v="2024-05-28T00:00:00"/>
    <d v="2024-05-29T00:00:00"/>
    <n v="1"/>
    <x v="1"/>
    <n v="0"/>
    <n v="1"/>
    <n v="0"/>
    <n v="0"/>
    <n v="0"/>
    <n v="0"/>
    <n v="0"/>
    <n v="0"/>
    <n v="1"/>
    <s v="cefazolin"/>
    <x v="0"/>
    <x v="1"/>
    <x v="0"/>
    <x v="1"/>
    <x v="0"/>
    <n v="0"/>
    <x v="0"/>
    <x v="0"/>
    <d v="2024-05-30T00:00:00"/>
    <x v="1"/>
    <x v="0"/>
    <n v="2"/>
    <x v="1"/>
    <m/>
    <m/>
    <m/>
    <x v="0"/>
    <m/>
    <x v="0"/>
    <x v="0"/>
    <x v="0"/>
    <x v="1"/>
    <x v="0"/>
    <x v="1"/>
  </r>
  <r>
    <n v="18"/>
    <s v="405244917"/>
    <d v="2024-04-03T00:00:00"/>
    <d v="2024-04-13T00:00:00"/>
    <n v="10"/>
    <n v="51"/>
    <x v="0"/>
    <x v="1"/>
    <x v="1"/>
    <x v="0"/>
    <x v="1"/>
    <x v="1"/>
    <x v="0"/>
    <x v="0"/>
    <x v="1"/>
    <m/>
    <s v="Staphylococcus aureus"/>
    <x v="0"/>
    <x v="0"/>
    <x v="0"/>
    <x v="0"/>
    <x v="0"/>
    <n v="3"/>
    <d v="2024-04-03T00:00:00"/>
    <d v="2024-04-06T00:00:00"/>
    <n v="3"/>
    <x v="1"/>
    <n v="1"/>
    <n v="0"/>
    <n v="0"/>
    <n v="0"/>
    <n v="0"/>
    <n v="0"/>
    <n v="0"/>
    <n v="0"/>
    <n v="1"/>
    <s v="cefazolin"/>
    <x v="0"/>
    <x v="1"/>
    <x v="0"/>
    <x v="1"/>
    <x v="0"/>
    <n v="0"/>
    <x v="0"/>
    <x v="0"/>
    <d v="2024-04-05T00:00:00"/>
    <x v="0"/>
    <x v="0"/>
    <n v="2"/>
    <x v="0"/>
    <d v="2024-04-09T00:00:00"/>
    <n v="0"/>
    <n v="0"/>
    <x v="0"/>
    <n v="6"/>
    <x v="0"/>
    <x v="1"/>
    <x v="0"/>
    <x v="0"/>
    <x v="0"/>
    <x v="1"/>
  </r>
  <r>
    <n v="19"/>
    <s v="403126637"/>
    <d v="2024-04-11T00:00:00"/>
    <d v="2024-04-16T00:00:00"/>
    <n v="5"/>
    <n v="65"/>
    <x v="1"/>
    <x v="0"/>
    <x v="0"/>
    <x v="0"/>
    <x v="1"/>
    <x v="1"/>
    <x v="0"/>
    <x v="0"/>
    <x v="0"/>
    <s v="thickened AV leaf"/>
    <s v="Methicillin-Resistant Staphylococcus aureus"/>
    <x v="0"/>
    <x v="0"/>
    <x v="0"/>
    <x v="0"/>
    <x v="0"/>
    <n v="3"/>
    <d v="2024-04-11T00:00:00"/>
    <d v="2024-04-12T00:00:00"/>
    <n v="1"/>
    <x v="0"/>
    <n v="0"/>
    <n v="0"/>
    <n v="0"/>
    <n v="0"/>
    <n v="0"/>
    <n v="0"/>
    <n v="0"/>
    <n v="1"/>
    <n v="1"/>
    <s v="Daptomycin"/>
    <x v="0"/>
    <x v="0"/>
    <x v="0"/>
    <x v="0"/>
    <x v="0"/>
    <n v="1"/>
    <x v="0"/>
    <x v="0"/>
    <d v="2024-04-12T00:00:00"/>
    <x v="0"/>
    <x v="1"/>
    <n v="1"/>
    <x v="1"/>
    <m/>
    <m/>
    <m/>
    <x v="0"/>
    <m/>
    <x v="0"/>
    <x v="0"/>
    <x v="0"/>
    <x v="0"/>
    <x v="0"/>
    <x v="1"/>
  </r>
  <r>
    <n v="20"/>
    <s v="03844744"/>
    <d v="2024-04-10T00:00:00"/>
    <d v="2024-04-19T00:00:00"/>
    <n v="9"/>
    <n v="85"/>
    <x v="0"/>
    <x v="0"/>
    <x v="1"/>
    <x v="0"/>
    <x v="1"/>
    <x v="1"/>
    <x v="0"/>
    <x v="0"/>
    <x v="1"/>
    <m/>
    <s v="Staphylococcus aureus"/>
    <x v="0"/>
    <x v="0"/>
    <x v="0"/>
    <x v="0"/>
    <x v="0"/>
    <n v="2"/>
    <d v="2024-04-14T00:00:00"/>
    <d v="2024-04-14T00:00:00"/>
    <n v="0"/>
    <x v="0"/>
    <n v="0"/>
    <n v="0"/>
    <n v="0"/>
    <n v="0"/>
    <n v="0"/>
    <n v="0"/>
    <n v="0"/>
    <n v="0"/>
    <n v="1"/>
    <s v="cefazolin"/>
    <x v="0"/>
    <x v="1"/>
    <x v="0"/>
    <x v="1"/>
    <x v="0"/>
    <n v="0"/>
    <x v="0"/>
    <x v="0"/>
    <d v="2024-04-18T00:00:00"/>
    <x v="0"/>
    <x v="0"/>
    <n v="4"/>
    <x v="1"/>
    <m/>
    <m/>
    <m/>
    <x v="0"/>
    <m/>
    <x v="0"/>
    <x v="0"/>
    <x v="0"/>
    <x v="0"/>
    <x v="0"/>
    <x v="1"/>
  </r>
  <r>
    <n v="21"/>
    <s v="403917633"/>
    <d v="2024-04-18T00:00:00"/>
    <d v="2024-04-26T00:00:00"/>
    <n v="8"/>
    <n v="85"/>
    <x v="1"/>
    <x v="0"/>
    <x v="0"/>
    <x v="0"/>
    <x v="1"/>
    <x v="1"/>
    <x v="0"/>
    <x v="0"/>
    <x v="0"/>
    <s v="G1DD"/>
    <s v="Staphylococcus aureus"/>
    <x v="0"/>
    <x v="0"/>
    <x v="0"/>
    <x v="0"/>
    <x v="0"/>
    <n v="3"/>
    <d v="2024-04-18T00:00:00"/>
    <d v="2024-04-20T00:00:00"/>
    <n v="2"/>
    <x v="1"/>
    <n v="0"/>
    <n v="0"/>
    <n v="0"/>
    <n v="1"/>
    <n v="0"/>
    <n v="0"/>
    <n v="0"/>
    <n v="0"/>
    <n v="1"/>
    <s v="cefazolin"/>
    <x v="0"/>
    <x v="1"/>
    <x v="1"/>
    <x v="0"/>
    <x v="1"/>
    <n v="0"/>
    <x v="0"/>
    <x v="0"/>
    <d v="2024-04-22T00:00:00"/>
    <x v="0"/>
    <x v="1"/>
    <n v="4"/>
    <x v="1"/>
    <m/>
    <m/>
    <m/>
    <x v="0"/>
    <m/>
    <x v="0"/>
    <x v="0"/>
    <x v="1"/>
    <x v="0"/>
    <x v="0"/>
    <x v="1"/>
  </r>
  <r>
    <n v="22"/>
    <s v="403969894"/>
    <d v="2024-04-19T00:00:00"/>
    <d v="2024-04-26T00:00:00"/>
    <n v="7"/>
    <n v="79"/>
    <x v="0"/>
    <x v="0"/>
    <x v="0"/>
    <x v="0"/>
    <x v="1"/>
    <x v="0"/>
    <x v="0"/>
    <x v="0"/>
    <x v="0"/>
    <s v="G2DD"/>
    <s v="Staphylococcus aureus"/>
    <x v="0"/>
    <x v="0"/>
    <x v="0"/>
    <x v="0"/>
    <x v="0"/>
    <n v="1"/>
    <d v="2024-04-19T00:00:00"/>
    <d v="2024-04-19T00:00:00"/>
    <n v="0"/>
    <x v="0"/>
    <n v="0"/>
    <n v="0"/>
    <n v="0"/>
    <n v="0"/>
    <n v="0"/>
    <n v="0"/>
    <n v="0"/>
    <n v="1"/>
    <n v="1"/>
    <s v="cefazolin"/>
    <x v="0"/>
    <x v="1"/>
    <x v="0"/>
    <x v="1"/>
    <x v="0"/>
    <n v="0"/>
    <x v="1"/>
    <x v="0"/>
    <d v="2024-04-24T00:00:00"/>
    <x v="0"/>
    <x v="0"/>
    <n v="5"/>
    <x v="0"/>
    <d v="2024-04-26T00:00:00"/>
    <n v="0"/>
    <n v="0"/>
    <x v="0"/>
    <n v="7"/>
    <x v="0"/>
    <x v="0"/>
    <x v="1"/>
    <x v="0"/>
    <x v="0"/>
    <x v="0"/>
  </r>
  <r>
    <n v="23"/>
    <s v="403916377"/>
    <d v="2024-04-19T00:00:00"/>
    <d v="2024-06-04T00:00:00"/>
    <n v="46"/>
    <n v="46"/>
    <x v="1"/>
    <x v="0"/>
    <x v="0"/>
    <x v="1"/>
    <x v="1"/>
    <x v="1"/>
    <x v="1"/>
    <x v="0"/>
    <x v="1"/>
    <m/>
    <s v="Methicillin-Resistant Staphylococcus aureus"/>
    <x v="0"/>
    <x v="0"/>
    <x v="0"/>
    <x v="0"/>
    <x v="0"/>
    <n v="3"/>
    <d v="2024-04-19T00:00:00"/>
    <d v="2024-04-22T00:00:00"/>
    <n v="3"/>
    <x v="1"/>
    <n v="0"/>
    <n v="0"/>
    <n v="1"/>
    <n v="0"/>
    <n v="0"/>
    <n v="0"/>
    <n v="0"/>
    <n v="0"/>
    <n v="1"/>
    <s v="vanc"/>
    <x v="0"/>
    <x v="0"/>
    <x v="0"/>
    <x v="0"/>
    <x v="0"/>
    <n v="1"/>
    <x v="0"/>
    <x v="0"/>
    <d v="2024-04-24T00:00:00"/>
    <x v="0"/>
    <x v="0"/>
    <n v="5"/>
    <x v="0"/>
    <d v="2024-04-26T00:00:00"/>
    <n v="0"/>
    <n v="0"/>
    <x v="0"/>
    <n v="7"/>
    <x v="0"/>
    <x v="0"/>
    <x v="0"/>
    <x v="0"/>
    <x v="0"/>
    <x v="0"/>
  </r>
  <r>
    <n v="24"/>
    <s v="403153971"/>
    <d v="2024-04-20T00:00:00"/>
    <d v="2024-04-30T00:00:00"/>
    <n v="10"/>
    <n v="87"/>
    <x v="1"/>
    <x v="0"/>
    <x v="0"/>
    <x v="0"/>
    <x v="1"/>
    <x v="1"/>
    <x v="0"/>
    <x v="0"/>
    <x v="0"/>
    <s v="mod MS, G1DD"/>
    <s v="Staphylococcus aureus"/>
    <x v="0"/>
    <x v="0"/>
    <x v="0"/>
    <x v="0"/>
    <x v="0"/>
    <n v="2"/>
    <d v="2024-04-20T00:00:00"/>
    <d v="2024-04-21T00:00:00"/>
    <n v="1"/>
    <x v="0"/>
    <n v="0"/>
    <n v="0"/>
    <n v="0"/>
    <n v="0"/>
    <n v="0"/>
    <n v="0"/>
    <n v="0"/>
    <n v="0"/>
    <n v="1"/>
    <s v="cefazolin"/>
    <x v="0"/>
    <x v="1"/>
    <x v="0"/>
    <x v="1"/>
    <x v="0"/>
    <n v="0"/>
    <x v="0"/>
    <x v="0"/>
    <d v="2024-04-24T00:00:00"/>
    <x v="0"/>
    <x v="0"/>
    <n v="4"/>
    <x v="0"/>
    <d v="2024-04-29T00:00:00"/>
    <n v="0"/>
    <n v="0"/>
    <x v="1"/>
    <n v="9"/>
    <x v="0"/>
    <x v="0"/>
    <x v="0"/>
    <x v="0"/>
    <x v="0"/>
    <x v="1"/>
  </r>
  <r>
    <n v="25"/>
    <s v="404592781"/>
    <d v="2024-04-23T00:00:00"/>
    <d v="2024-05-11T00:00:00"/>
    <n v="18"/>
    <n v="66"/>
    <x v="0"/>
    <x v="0"/>
    <x v="0"/>
    <x v="0"/>
    <x v="1"/>
    <x v="1"/>
    <x v="0"/>
    <x v="0"/>
    <x v="0"/>
    <s v="G2DD"/>
    <s v="Staphylococcus aureus"/>
    <x v="0"/>
    <x v="0"/>
    <x v="0"/>
    <x v="0"/>
    <x v="0"/>
    <n v="4"/>
    <d v="2024-04-23T00:00:00"/>
    <d v="2024-04-26T00:00:00"/>
    <n v="3"/>
    <x v="1"/>
    <n v="1"/>
    <n v="0"/>
    <n v="0"/>
    <n v="1"/>
    <n v="0"/>
    <n v="0"/>
    <n v="0"/>
    <n v="0"/>
    <n v="1"/>
    <s v="cefazolin"/>
    <x v="0"/>
    <x v="0"/>
    <x v="0"/>
    <x v="0"/>
    <x v="0"/>
    <n v="1"/>
    <x v="1"/>
    <x v="0"/>
    <d v="2024-04-29T00:00:00"/>
    <x v="0"/>
    <x v="0"/>
    <n v="6"/>
    <x v="1"/>
    <m/>
    <m/>
    <m/>
    <x v="0"/>
    <m/>
    <x v="1"/>
    <x v="0"/>
    <x v="1"/>
    <x v="0"/>
    <x v="1"/>
    <x v="1"/>
  </r>
  <r>
    <n v="26"/>
    <s v="408299364"/>
    <d v="2024-04-24T00:00:00"/>
    <d v="2024-05-12T00:00:00"/>
    <n v="18"/>
    <n v="59"/>
    <x v="1"/>
    <x v="0"/>
    <x v="0"/>
    <x v="0"/>
    <x v="1"/>
    <x v="1"/>
    <x v="1"/>
    <x v="0"/>
    <x v="0"/>
    <s v="G1DD"/>
    <s v="Staphylococcus aureus"/>
    <x v="0"/>
    <x v="0"/>
    <x v="0"/>
    <x v="0"/>
    <x v="0"/>
    <n v="3"/>
    <d v="2024-04-24T00:00:00"/>
    <d v="2024-04-27T00:00:00"/>
    <n v="3"/>
    <x v="1"/>
    <n v="0"/>
    <n v="0"/>
    <n v="1"/>
    <n v="0"/>
    <n v="0"/>
    <n v="0"/>
    <n v="0"/>
    <n v="0"/>
    <n v="1"/>
    <s v="cefazolin"/>
    <x v="0"/>
    <x v="1"/>
    <x v="0"/>
    <x v="1"/>
    <x v="0"/>
    <n v="0"/>
    <x v="0"/>
    <x v="0"/>
    <d v="2024-05-03T00:00:00"/>
    <x v="1"/>
    <x v="0"/>
    <n v="9"/>
    <x v="1"/>
    <m/>
    <m/>
    <m/>
    <x v="0"/>
    <m/>
    <x v="1"/>
    <x v="0"/>
    <x v="0"/>
    <x v="1"/>
    <x v="0"/>
    <x v="1"/>
  </r>
  <r>
    <n v="27"/>
    <s v="03093395"/>
    <d v="2024-04-21T00:00:00"/>
    <d v="2024-04-30T00:00:00"/>
    <n v="9"/>
    <n v="72"/>
    <x v="0"/>
    <x v="0"/>
    <x v="0"/>
    <x v="0"/>
    <x v="1"/>
    <x v="1"/>
    <x v="0"/>
    <x v="0"/>
    <x v="0"/>
    <s v="anterolat hypokinesis, apical kinesis, HFmrEF"/>
    <s v="Staphylococcus aureus"/>
    <x v="0"/>
    <x v="0"/>
    <x v="0"/>
    <x v="0"/>
    <x v="0"/>
    <n v="2"/>
    <d v="2024-04-25T00:00:00"/>
    <d v="2024-04-27T00:00:00"/>
    <n v="2"/>
    <x v="1"/>
    <n v="1"/>
    <n v="0"/>
    <n v="0"/>
    <n v="0"/>
    <n v="0"/>
    <n v="0"/>
    <n v="0"/>
    <n v="1"/>
    <n v="1"/>
    <s v="cefazolin"/>
    <x v="0"/>
    <x v="1"/>
    <x v="0"/>
    <x v="1"/>
    <x v="0"/>
    <n v="0"/>
    <x v="0"/>
    <x v="0"/>
    <d v="2024-04-26T00:00:00"/>
    <x v="0"/>
    <x v="0"/>
    <n v="1"/>
    <x v="1"/>
    <m/>
    <m/>
    <m/>
    <x v="0"/>
    <m/>
    <x v="0"/>
    <x v="0"/>
    <x v="0"/>
    <x v="0"/>
    <x v="0"/>
    <x v="1"/>
  </r>
  <r>
    <n v="28"/>
    <n v="404684974"/>
    <d v="2024-04-24T00:00:00"/>
    <d v="2024-05-10T00:00:00"/>
    <n v="16"/>
    <n v="71"/>
    <x v="1"/>
    <x v="0"/>
    <x v="0"/>
    <x v="0"/>
    <x v="1"/>
    <x v="1"/>
    <x v="0"/>
    <x v="0"/>
    <x v="0"/>
    <s v="mod TR, G1DD"/>
    <s v="Staphylococcus aureus"/>
    <x v="0"/>
    <x v="0"/>
    <x v="0"/>
    <x v="0"/>
    <x v="0"/>
    <n v="2"/>
    <d v="2024-04-27T00:00:00"/>
    <d v="2024-04-28T00:00:00"/>
    <n v="1"/>
    <x v="1"/>
    <n v="1"/>
    <n v="0"/>
    <n v="0"/>
    <n v="1"/>
    <n v="0"/>
    <n v="0"/>
    <n v="0"/>
    <n v="1"/>
    <n v="1"/>
    <s v="nafcillin"/>
    <x v="0"/>
    <x v="1"/>
    <x v="0"/>
    <x v="1"/>
    <x v="0"/>
    <n v="0"/>
    <x v="0"/>
    <x v="0"/>
    <d v="2024-05-02T00:00:00"/>
    <x v="0"/>
    <x v="0"/>
    <n v="5"/>
    <x v="1"/>
    <m/>
    <m/>
    <m/>
    <x v="0"/>
    <m/>
    <x v="0"/>
    <x v="0"/>
    <x v="0"/>
    <x v="0"/>
    <x v="0"/>
    <x v="1"/>
  </r>
  <r>
    <n v="29"/>
    <s v="402354987"/>
    <d v="2024-02-25T00:00:00"/>
    <d v="2024-06-11T00:00:00"/>
    <n v="107"/>
    <n v="54"/>
    <x v="0"/>
    <x v="1"/>
    <x v="1"/>
    <x v="0"/>
    <x v="1"/>
    <x v="1"/>
    <x v="0"/>
    <x v="0"/>
    <x v="1"/>
    <m/>
    <s v="Methicillin-Resistant Staphylococcus aureus"/>
    <x v="0"/>
    <x v="0"/>
    <x v="0"/>
    <x v="0"/>
    <x v="0"/>
    <n v="4"/>
    <d v="2024-04-25T00:00:00"/>
    <d v="2024-04-28T00:00:00"/>
    <n v="3"/>
    <x v="1"/>
    <n v="0"/>
    <n v="1"/>
    <n v="0"/>
    <n v="0"/>
    <n v="0"/>
    <n v="0"/>
    <n v="0"/>
    <n v="0"/>
    <n v="1"/>
    <s v="vanc"/>
    <x v="0"/>
    <x v="1"/>
    <x v="1"/>
    <x v="0"/>
    <x v="1"/>
    <n v="0"/>
    <x v="0"/>
    <x v="0"/>
    <d v="2024-04-29T00:00:00"/>
    <x v="0"/>
    <x v="0"/>
    <n v="4"/>
    <x v="1"/>
    <m/>
    <m/>
    <m/>
    <x v="0"/>
    <m/>
    <x v="1"/>
    <x v="0"/>
    <x v="1"/>
    <x v="0"/>
    <x v="0"/>
    <x v="1"/>
  </r>
  <r>
    <n v="30"/>
    <s v="403606561"/>
    <d v="2024-02-29T00:00:00"/>
    <d v="2024-03-28T00:00:00"/>
    <n v="28"/>
    <n v="28"/>
    <x v="1"/>
    <x v="0"/>
    <x v="0"/>
    <x v="1"/>
    <x v="1"/>
    <x v="1"/>
    <x v="0"/>
    <x v="0"/>
    <x v="1"/>
    <m/>
    <s v="Methicillin-Resistant Staphylococcus aureus"/>
    <x v="0"/>
    <x v="0"/>
    <x v="0"/>
    <x v="0"/>
    <x v="0"/>
    <n v="3"/>
    <d v="2024-02-29T00:00:00"/>
    <d v="2024-03-02T00:00:00"/>
    <n v="2"/>
    <x v="1"/>
    <n v="0"/>
    <n v="0"/>
    <n v="0"/>
    <n v="0"/>
    <n v="0"/>
    <n v="1"/>
    <n v="0"/>
    <n v="0"/>
    <n v="1"/>
    <s v="vanc"/>
    <x v="0"/>
    <x v="1"/>
    <x v="1"/>
    <x v="0"/>
    <x v="1"/>
    <n v="0"/>
    <x v="0"/>
    <x v="0"/>
    <d v="2024-03-01T00:00:00"/>
    <x v="0"/>
    <x v="1"/>
    <n v="1"/>
    <x v="0"/>
    <d v="2024-03-14T00:00:00"/>
    <n v="0"/>
    <n v="1"/>
    <x v="0"/>
    <n v="14"/>
    <x v="0"/>
    <x v="0"/>
    <x v="1"/>
    <x v="0"/>
    <x v="0"/>
    <x v="0"/>
  </r>
  <r>
    <n v="31"/>
    <s v="405206835"/>
    <d v="2024-02-21T00:00:00"/>
    <d v="2024-03-17T00:00:00"/>
    <n v="25"/>
    <n v="82"/>
    <x v="0"/>
    <x v="0"/>
    <x v="0"/>
    <x v="0"/>
    <x v="1"/>
    <x v="1"/>
    <x v="1"/>
    <x v="0"/>
    <x v="0"/>
    <s v="sev AS"/>
    <s v="Staphylococcus aureus"/>
    <x v="0"/>
    <x v="0"/>
    <x v="0"/>
    <x v="0"/>
    <x v="0"/>
    <n v="2"/>
    <d v="2024-02-29T00:00:00"/>
    <d v="2024-03-01T00:00:00"/>
    <n v="1"/>
    <x v="1"/>
    <n v="0"/>
    <n v="0"/>
    <n v="1"/>
    <n v="0"/>
    <n v="0"/>
    <n v="0"/>
    <n v="1"/>
    <n v="0"/>
    <n v="1"/>
    <s v="vanc"/>
    <x v="0"/>
    <x v="0"/>
    <x v="0"/>
    <x v="0"/>
    <x v="0"/>
    <n v="1"/>
    <x v="1"/>
    <x v="0"/>
    <d v="2024-03-01T00:00:00"/>
    <x v="0"/>
    <x v="1"/>
    <n v="1"/>
    <x v="1"/>
    <m/>
    <m/>
    <m/>
    <x v="0"/>
    <m/>
    <x v="1"/>
    <x v="0"/>
    <x v="1"/>
    <x v="0"/>
    <x v="0"/>
    <x v="0"/>
  </r>
  <r>
    <n v="32"/>
    <s v="405216215"/>
    <d v="2024-03-04T00:00:00"/>
    <d v="2024-03-27T00:00:00"/>
    <n v="23"/>
    <n v="79"/>
    <x v="1"/>
    <x v="0"/>
    <x v="0"/>
    <x v="0"/>
    <x v="1"/>
    <x v="1"/>
    <x v="0"/>
    <x v="0"/>
    <x v="0"/>
    <s v="G3DD, mod RV dilation"/>
    <s v="Methicillin-Resistant Staphylococcus aureus"/>
    <x v="0"/>
    <x v="0"/>
    <x v="0"/>
    <x v="0"/>
    <x v="0"/>
    <n v="5"/>
    <d v="2024-03-04T00:00:00"/>
    <d v="2024-03-08T00:00:00"/>
    <n v="4"/>
    <x v="0"/>
    <n v="0"/>
    <n v="0"/>
    <n v="0"/>
    <n v="0"/>
    <n v="0"/>
    <n v="0"/>
    <n v="0"/>
    <n v="0"/>
    <n v="1"/>
    <s v="Daptomycin"/>
    <x v="0"/>
    <x v="1"/>
    <x v="0"/>
    <x v="1"/>
    <x v="0"/>
    <n v="0"/>
    <x v="0"/>
    <x v="0"/>
    <d v="2024-03-06T00:00:00"/>
    <x v="0"/>
    <x v="0"/>
    <n v="2"/>
    <x v="0"/>
    <d v="2024-03-13T00:00:00"/>
    <n v="0"/>
    <n v="0"/>
    <x v="0"/>
    <n v="9"/>
    <x v="0"/>
    <x v="0"/>
    <x v="0"/>
    <x v="0"/>
    <x v="0"/>
    <x v="1"/>
  </r>
  <r>
    <n v="33"/>
    <s v="406917678"/>
    <d v="2024-03-05T00:00:00"/>
    <d v="2024-04-01T00:00:00"/>
    <n v="27"/>
    <n v="77"/>
    <x v="1"/>
    <x v="1"/>
    <x v="0"/>
    <x v="0"/>
    <x v="1"/>
    <x v="0"/>
    <x v="0"/>
    <x v="0"/>
    <x v="0"/>
    <s v="sev biatrial enlarge, mod TR"/>
    <s v="Staphylococcus aureus"/>
    <x v="0"/>
    <x v="0"/>
    <x v="0"/>
    <x v="0"/>
    <x v="0"/>
    <n v="3"/>
    <d v="2024-03-13T00:00:00"/>
    <d v="2024-03-15T00:00:00"/>
    <n v="2"/>
    <x v="0"/>
    <n v="0"/>
    <n v="0"/>
    <n v="0"/>
    <n v="0"/>
    <n v="0"/>
    <n v="0"/>
    <n v="0"/>
    <n v="0"/>
    <n v="1"/>
    <s v="cefazolin"/>
    <x v="0"/>
    <x v="0"/>
    <x v="0"/>
    <x v="0"/>
    <x v="0"/>
    <n v="1"/>
    <x v="0"/>
    <x v="0"/>
    <d v="2024-03-14T00:00:00"/>
    <x v="0"/>
    <x v="0"/>
    <n v="1"/>
    <x v="0"/>
    <d v="2024-03-15T00:00:00"/>
    <n v="1"/>
    <n v="0"/>
    <x v="0"/>
    <n v="2"/>
    <x v="0"/>
    <x v="0"/>
    <x v="0"/>
    <x v="1"/>
    <x v="0"/>
    <x v="0"/>
  </r>
  <r>
    <n v="34"/>
    <s v="402108577"/>
    <d v="2024-03-13T00:00:00"/>
    <d v="2024-03-26T00:00:00"/>
    <n v="13"/>
    <n v="95"/>
    <x v="1"/>
    <x v="3"/>
    <x v="1"/>
    <x v="0"/>
    <x v="1"/>
    <x v="1"/>
    <x v="0"/>
    <x v="0"/>
    <x v="1"/>
    <m/>
    <s v="Staphylococcus aureus"/>
    <x v="0"/>
    <x v="0"/>
    <x v="0"/>
    <x v="0"/>
    <x v="0"/>
    <n v="5"/>
    <d v="2024-03-13T00:00:00"/>
    <d v="2024-03-17T00:00:00"/>
    <n v="4"/>
    <x v="1"/>
    <n v="0"/>
    <n v="0"/>
    <n v="0"/>
    <n v="0"/>
    <n v="0"/>
    <n v="0"/>
    <n v="0"/>
    <n v="1"/>
    <n v="1"/>
    <s v="cefazolin"/>
    <x v="0"/>
    <x v="1"/>
    <x v="0"/>
    <x v="1"/>
    <x v="0"/>
    <n v="0"/>
    <x v="0"/>
    <x v="0"/>
    <d v="2024-03-15T00:00:00"/>
    <x v="0"/>
    <x v="0"/>
    <n v="2"/>
    <x v="1"/>
    <m/>
    <m/>
    <m/>
    <x v="0"/>
    <m/>
    <x v="0"/>
    <x v="1"/>
    <x v="0"/>
    <x v="0"/>
    <x v="0"/>
    <x v="1"/>
  </r>
  <r>
    <n v="35"/>
    <s v="402107876"/>
    <d v="2024-04-08T00:00:00"/>
    <d v="2024-05-13T00:00:00"/>
    <n v="35"/>
    <n v="42"/>
    <x v="1"/>
    <x v="3"/>
    <x v="0"/>
    <x v="1"/>
    <x v="1"/>
    <x v="1"/>
    <x v="0"/>
    <x v="0"/>
    <x v="1"/>
    <m/>
    <s v="Methicillin-Resistant Staphylococcus aureus"/>
    <x v="0"/>
    <x v="0"/>
    <x v="0"/>
    <x v="0"/>
    <x v="0"/>
    <n v="5"/>
    <d v="2024-04-11T00:00:00"/>
    <d v="2024-04-16T00:00:00"/>
    <n v="5"/>
    <x v="1"/>
    <n v="1"/>
    <n v="1"/>
    <n v="0"/>
    <n v="0"/>
    <n v="0"/>
    <n v="0"/>
    <n v="0"/>
    <n v="0"/>
    <n v="1"/>
    <s v="Daptomycin"/>
    <x v="0"/>
    <x v="1"/>
    <x v="1"/>
    <x v="0"/>
    <x v="1"/>
    <n v="0"/>
    <x v="0"/>
    <x v="0"/>
    <d v="2024-04-15T00:00:00"/>
    <x v="0"/>
    <x v="0"/>
    <n v="4"/>
    <x v="0"/>
    <d v="2024-04-15T00:00:00"/>
    <n v="0"/>
    <n v="0"/>
    <x v="0"/>
    <n v="4"/>
    <x v="0"/>
    <x v="0"/>
    <x v="1"/>
    <x v="0"/>
    <x v="0"/>
    <x v="0"/>
  </r>
  <r>
    <n v="36"/>
    <s v="405234264"/>
    <d v="2024-03-27T00:00:00"/>
    <d v="2024-03-29T00:00:00"/>
    <n v="2"/>
    <n v="64"/>
    <x v="1"/>
    <x v="0"/>
    <x v="0"/>
    <x v="0"/>
    <x v="1"/>
    <x v="1"/>
    <x v="0"/>
    <x v="0"/>
    <x v="0"/>
    <s v="G2DD"/>
    <s v="Staphylococcus aureus"/>
    <x v="0"/>
    <x v="0"/>
    <x v="0"/>
    <x v="0"/>
    <x v="0"/>
    <n v="3"/>
    <d v="2024-03-27T00:00:00"/>
    <d v="2024-03-28T00:00:00"/>
    <n v="1"/>
    <x v="0"/>
    <n v="0"/>
    <n v="0"/>
    <n v="0"/>
    <n v="0"/>
    <n v="0"/>
    <n v="0"/>
    <n v="0"/>
    <n v="0"/>
    <n v="1"/>
    <s v="cefazolin"/>
    <x v="0"/>
    <x v="1"/>
    <x v="0"/>
    <x v="1"/>
    <x v="0"/>
    <n v="0"/>
    <x v="1"/>
    <x v="0"/>
    <d v="2024-03-28T00:00:00"/>
    <x v="1"/>
    <x v="1"/>
    <n v="1"/>
    <x v="1"/>
    <m/>
    <m/>
    <m/>
    <x v="0"/>
    <m/>
    <x v="1"/>
    <x v="0"/>
    <x v="1"/>
    <x v="1"/>
    <x v="0"/>
    <x v="1"/>
  </r>
  <r>
    <n v="37"/>
    <s v="403718040"/>
    <d v="2024-03-28T00:00:00"/>
    <d v="2024-04-08T00:00:00"/>
    <n v="11"/>
    <n v="87"/>
    <x v="1"/>
    <x v="0"/>
    <x v="0"/>
    <x v="0"/>
    <x v="1"/>
    <x v="0"/>
    <x v="0"/>
    <x v="0"/>
    <x v="1"/>
    <s v="HFrEF"/>
    <s v="Staphylococcus aureus"/>
    <x v="0"/>
    <x v="0"/>
    <x v="0"/>
    <x v="0"/>
    <x v="0"/>
    <n v="4"/>
    <d v="2024-03-28T00:00:00"/>
    <d v="2024-03-31T00:00:00"/>
    <n v="3"/>
    <x v="0"/>
    <n v="0"/>
    <n v="0"/>
    <n v="0"/>
    <n v="0"/>
    <n v="0"/>
    <n v="0"/>
    <n v="0"/>
    <n v="0"/>
    <n v="1"/>
    <s v="nafcillin"/>
    <x v="0"/>
    <x v="1"/>
    <x v="1"/>
    <x v="0"/>
    <x v="1"/>
    <n v="0"/>
    <x v="1"/>
    <x v="0"/>
    <d v="2024-04-01T00:00:00"/>
    <x v="0"/>
    <x v="0"/>
    <n v="4"/>
    <x v="1"/>
    <m/>
    <m/>
    <m/>
    <x v="0"/>
    <m/>
    <x v="0"/>
    <x v="0"/>
    <x v="1"/>
    <x v="1"/>
    <x v="0"/>
    <x v="0"/>
  </r>
  <r>
    <n v="38"/>
    <s v="04003524"/>
    <d v="2024-03-30T00:00:00"/>
    <d v="2024-04-30T00:00:00"/>
    <n v="31"/>
    <n v="69"/>
    <x v="1"/>
    <x v="1"/>
    <x v="1"/>
    <x v="0"/>
    <x v="1"/>
    <x v="1"/>
    <x v="0"/>
    <x v="0"/>
    <x v="1"/>
    <m/>
    <s v="Methicillin Resistant Staphylococcus aureus"/>
    <x v="0"/>
    <x v="0"/>
    <x v="0"/>
    <x v="0"/>
    <x v="1"/>
    <n v="1"/>
    <d v="2024-03-30T00:00:00"/>
    <d v="2024-03-30T00:00:00"/>
    <n v="0"/>
    <x v="0"/>
    <n v="0"/>
    <n v="0"/>
    <n v="0"/>
    <n v="0"/>
    <n v="0"/>
    <n v="0"/>
    <n v="0"/>
    <n v="0"/>
    <n v="1"/>
    <s v="Daptomycin"/>
    <x v="0"/>
    <x v="1"/>
    <x v="0"/>
    <x v="1"/>
    <x v="0"/>
    <n v="0"/>
    <x v="0"/>
    <x v="0"/>
    <d v="2024-04-01T00:00:00"/>
    <x v="0"/>
    <x v="1"/>
    <n v="2"/>
    <x v="0"/>
    <d v="2024-04-03T00:00:00"/>
    <n v="0"/>
    <n v="0"/>
    <x v="1"/>
    <n v="4"/>
    <x v="0"/>
    <x v="0"/>
    <x v="0"/>
    <x v="0"/>
    <x v="0"/>
    <x v="1"/>
  </r>
  <r>
    <n v="39"/>
    <s v="404568449"/>
    <d v="2024-05-31T00:00:00"/>
    <d v="2024-06-12T00:00:00"/>
    <n v="12"/>
    <n v="70"/>
    <x v="1"/>
    <x v="0"/>
    <x v="1"/>
    <x v="0"/>
    <x v="1"/>
    <x v="1"/>
    <x v="0"/>
    <x v="0"/>
    <x v="1"/>
    <m/>
    <s v="Streptococcus mutans"/>
    <x v="1"/>
    <x v="1"/>
    <x v="0"/>
    <x v="0"/>
    <x v="1"/>
    <n v="1"/>
    <d v="2024-06-01T00:00:00"/>
    <d v="2024-06-01T00:00:00"/>
    <n v="0"/>
    <x v="1"/>
    <n v="1"/>
    <n v="0"/>
    <n v="0"/>
    <n v="0"/>
    <n v="0"/>
    <n v="0"/>
    <n v="0"/>
    <n v="0"/>
    <n v="1"/>
    <s v="ceftriaxone"/>
    <x v="0"/>
    <x v="1"/>
    <x v="0"/>
    <x v="1"/>
    <x v="0"/>
    <n v="0"/>
    <x v="0"/>
    <x v="0"/>
    <d v="2024-06-05T00:00:00"/>
    <x v="0"/>
    <x v="1"/>
    <n v="4"/>
    <x v="1"/>
    <m/>
    <m/>
    <m/>
    <x v="0"/>
    <m/>
    <x v="0"/>
    <x v="1"/>
    <x v="0"/>
    <x v="0"/>
    <x v="0"/>
    <x v="1"/>
  </r>
  <r>
    <n v="40"/>
    <s v="03449530"/>
    <d v="2024-06-06T00:00:00"/>
    <d v="2024-06-10T00:00:00"/>
    <n v="4"/>
    <n v="78"/>
    <x v="1"/>
    <x v="0"/>
    <x v="0"/>
    <x v="0"/>
    <x v="1"/>
    <x v="1"/>
    <x v="1"/>
    <x v="0"/>
    <x v="1"/>
    <m/>
    <s v="Streptococcus mitis group"/>
    <x v="1"/>
    <x v="1"/>
    <x v="0"/>
    <x v="0"/>
    <x v="1"/>
    <n v="1"/>
    <d v="2024-06-06T00:00:00"/>
    <d v="2024-06-06T00:00:00"/>
    <n v="0"/>
    <x v="1"/>
    <n v="0"/>
    <n v="0"/>
    <n v="0"/>
    <n v="0"/>
    <n v="0"/>
    <n v="0"/>
    <n v="0"/>
    <n v="1"/>
    <n v="1"/>
    <s v="ceftriaxone"/>
    <x v="1"/>
    <x v="1"/>
    <x v="0"/>
    <x v="1"/>
    <x v="0"/>
    <n v="0"/>
    <x v="0"/>
    <x v="1"/>
    <m/>
    <x v="2"/>
    <x v="2"/>
    <m/>
    <x v="1"/>
    <m/>
    <m/>
    <m/>
    <x v="0"/>
    <m/>
    <x v="0"/>
    <x v="0"/>
    <x v="0"/>
    <x v="0"/>
    <x v="0"/>
    <x v="1"/>
  </r>
  <r>
    <n v="41"/>
    <s v="405164086"/>
    <d v="2024-06-07T00:00:00"/>
    <d v="2024-06-13T00:00:00"/>
    <n v="6"/>
    <n v="71"/>
    <x v="0"/>
    <x v="0"/>
    <x v="0"/>
    <x v="0"/>
    <x v="0"/>
    <x v="1"/>
    <x v="0"/>
    <x v="0"/>
    <x v="1"/>
    <m/>
    <s v="Streptococcus gordonii"/>
    <x v="1"/>
    <x v="1"/>
    <x v="0"/>
    <x v="0"/>
    <x v="1"/>
    <n v="1"/>
    <d v="2024-06-07T00:00:00"/>
    <d v="2024-06-07T00:00:00"/>
    <n v="0"/>
    <x v="0"/>
    <n v="0"/>
    <n v="0"/>
    <n v="0"/>
    <n v="0"/>
    <n v="0"/>
    <n v="0"/>
    <n v="0"/>
    <n v="0"/>
    <n v="1"/>
    <s v="ceftriaxone"/>
    <x v="0"/>
    <x v="1"/>
    <x v="0"/>
    <x v="1"/>
    <x v="0"/>
    <n v="0"/>
    <x v="0"/>
    <x v="0"/>
    <d v="2024-06-10T00:00:00"/>
    <x v="0"/>
    <x v="0"/>
    <n v="3"/>
    <x v="0"/>
    <d v="2024-06-12T00:00:00"/>
    <n v="0"/>
    <n v="1"/>
    <x v="0"/>
    <n v="5"/>
    <x v="0"/>
    <x v="0"/>
    <x v="0"/>
    <x v="0"/>
    <x v="0"/>
    <x v="0"/>
  </r>
  <r>
    <n v="42"/>
    <s v="407511258"/>
    <d v="2024-06-12T00:00:00"/>
    <d v="2024-06-19T00:00:00"/>
    <n v="7"/>
    <n v="83"/>
    <x v="0"/>
    <x v="2"/>
    <x v="1"/>
    <x v="0"/>
    <x v="1"/>
    <x v="1"/>
    <x v="0"/>
    <x v="0"/>
    <x v="1"/>
    <m/>
    <s v="Streptococcus mitis group"/>
    <x v="1"/>
    <x v="1"/>
    <x v="0"/>
    <x v="0"/>
    <x v="1"/>
    <n v="1"/>
    <d v="2024-06-12T00:00:00"/>
    <d v="2024-06-12T00:00:00"/>
    <n v="0"/>
    <x v="1"/>
    <n v="0"/>
    <n v="0"/>
    <n v="0"/>
    <n v="1"/>
    <n v="0"/>
    <n v="0"/>
    <n v="0"/>
    <n v="0"/>
    <n v="1"/>
    <s v="ceftriaxone"/>
    <x v="0"/>
    <x v="1"/>
    <x v="0"/>
    <x v="1"/>
    <x v="0"/>
    <n v="0"/>
    <x v="0"/>
    <x v="0"/>
    <d v="2024-06-14T00:00:00"/>
    <x v="1"/>
    <x v="0"/>
    <n v="2"/>
    <x v="1"/>
    <m/>
    <m/>
    <m/>
    <x v="0"/>
    <m/>
    <x v="0"/>
    <x v="1"/>
    <x v="0"/>
    <x v="1"/>
    <x v="0"/>
    <x v="1"/>
  </r>
  <r>
    <n v="43"/>
    <s v="403827953"/>
    <d v="2024-06-17T00:00:00"/>
    <d v="2024-06-22T00:00:00"/>
    <n v="5"/>
    <n v="65"/>
    <x v="0"/>
    <x v="1"/>
    <x v="1"/>
    <x v="0"/>
    <x v="1"/>
    <x v="1"/>
    <x v="0"/>
    <x v="0"/>
    <x v="1"/>
    <m/>
    <s v="Streptococcus mitis group"/>
    <x v="1"/>
    <x v="1"/>
    <x v="0"/>
    <x v="0"/>
    <x v="1"/>
    <n v="1"/>
    <d v="2024-06-17T00:00:00"/>
    <d v="2024-06-17T00:00:00"/>
    <n v="0"/>
    <x v="1"/>
    <n v="0"/>
    <n v="0"/>
    <n v="0"/>
    <n v="0"/>
    <n v="0"/>
    <n v="1"/>
    <n v="0"/>
    <n v="0"/>
    <n v="1"/>
    <s v="ceftriaxone"/>
    <x v="1"/>
    <x v="0"/>
    <x v="0"/>
    <x v="0"/>
    <x v="0"/>
    <n v="1"/>
    <x v="0"/>
    <x v="0"/>
    <d v="2024-06-20T00:00:00"/>
    <x v="0"/>
    <x v="1"/>
    <n v="3"/>
    <x v="1"/>
    <m/>
    <m/>
    <m/>
    <x v="0"/>
    <m/>
    <x v="0"/>
    <x v="1"/>
    <x v="0"/>
    <x v="0"/>
    <x v="1"/>
    <x v="1"/>
  </r>
  <r>
    <n v="44"/>
    <s v="403724423"/>
    <d v="2024-06-30T00:00:00"/>
    <d v="2024-07-10T00:00:00"/>
    <n v="10"/>
    <n v="55"/>
    <x v="1"/>
    <x v="0"/>
    <x v="0"/>
    <x v="0"/>
    <x v="1"/>
    <x v="1"/>
    <x v="1"/>
    <x v="0"/>
    <x v="1"/>
    <m/>
    <s v="Streptococcus constellatus"/>
    <x v="1"/>
    <x v="1"/>
    <x v="0"/>
    <x v="0"/>
    <x v="1"/>
    <n v="1"/>
    <d v="2024-06-30T00:00:00"/>
    <d v="2024-06-30T00:00:00"/>
    <n v="0"/>
    <x v="0"/>
    <n v="0"/>
    <n v="0"/>
    <n v="0"/>
    <n v="0"/>
    <n v="0"/>
    <n v="0"/>
    <n v="0"/>
    <n v="0"/>
    <n v="1"/>
    <s v="levofloxacin"/>
    <x v="1"/>
    <x v="1"/>
    <x v="1"/>
    <x v="0"/>
    <x v="1"/>
    <n v="0"/>
    <x v="0"/>
    <x v="0"/>
    <d v="2024-07-02T00:00:00"/>
    <x v="0"/>
    <x v="0"/>
    <n v="2"/>
    <x v="1"/>
    <m/>
    <m/>
    <m/>
    <x v="0"/>
    <m/>
    <x v="0"/>
    <x v="0"/>
    <x v="1"/>
    <x v="0"/>
    <x v="0"/>
    <x v="1"/>
  </r>
  <r>
    <n v="45"/>
    <s v="406940313"/>
    <d v="2024-05-09T00:00:00"/>
    <d v="2024-05-14T00:00:00"/>
    <n v="5"/>
    <n v="58"/>
    <x v="0"/>
    <x v="1"/>
    <x v="1"/>
    <x v="0"/>
    <x v="1"/>
    <x v="1"/>
    <x v="0"/>
    <x v="0"/>
    <x v="0"/>
    <s v="sev MR"/>
    <s v="Streptococcus mutans"/>
    <x v="1"/>
    <x v="1"/>
    <x v="0"/>
    <x v="0"/>
    <x v="1"/>
    <n v="1"/>
    <d v="2024-05-09T00:00:00"/>
    <d v="2024-05-09T00:00:00"/>
    <n v="0"/>
    <x v="1"/>
    <n v="0"/>
    <n v="0"/>
    <n v="0"/>
    <n v="0"/>
    <n v="0"/>
    <n v="0"/>
    <n v="0"/>
    <n v="1"/>
    <n v="1"/>
    <s v="ceftriaxone gentamycin"/>
    <x v="1"/>
    <x v="1"/>
    <x v="0"/>
    <x v="1"/>
    <x v="0"/>
    <n v="0"/>
    <x v="0"/>
    <x v="0"/>
    <d v="2024-05-10T00:00:00"/>
    <x v="0"/>
    <x v="0"/>
    <n v="1"/>
    <x v="0"/>
    <d v="2024-05-13T00:00:00"/>
    <n v="1"/>
    <n v="0"/>
    <x v="1"/>
    <n v="4"/>
    <x v="0"/>
    <x v="1"/>
    <x v="0"/>
    <x v="1"/>
    <x v="0"/>
    <x v="1"/>
  </r>
  <r>
    <n v="46"/>
    <s v="403745148"/>
    <d v="2024-05-16T00:00:00"/>
    <d v="2024-06-05T00:00:00"/>
    <n v="20"/>
    <n v="77"/>
    <x v="0"/>
    <x v="0"/>
    <x v="1"/>
    <x v="0"/>
    <x v="1"/>
    <x v="1"/>
    <x v="0"/>
    <x v="0"/>
    <x v="1"/>
    <m/>
    <s v="Streptococcus mitis group"/>
    <x v="1"/>
    <x v="1"/>
    <x v="0"/>
    <x v="0"/>
    <x v="1"/>
    <n v="1"/>
    <d v="2024-05-17T00:00:00"/>
    <d v="2024-05-17T00:00:00"/>
    <n v="0"/>
    <x v="1"/>
    <n v="0"/>
    <n v="0"/>
    <n v="0"/>
    <n v="0"/>
    <n v="0"/>
    <n v="0"/>
    <n v="0"/>
    <n v="1"/>
    <n v="1"/>
    <s v="vanc"/>
    <x v="0"/>
    <x v="1"/>
    <x v="1"/>
    <x v="0"/>
    <x v="1"/>
    <n v="0"/>
    <x v="1"/>
    <x v="0"/>
    <d v="2024-05-21T00:00:00"/>
    <x v="0"/>
    <x v="0"/>
    <n v="4"/>
    <x v="0"/>
    <d v="2024-05-22T00:00:00"/>
    <n v="0"/>
    <n v="0"/>
    <x v="0"/>
    <n v="5"/>
    <x v="1"/>
    <x v="0"/>
    <x v="1"/>
    <x v="0"/>
    <x v="0"/>
    <x v="1"/>
  </r>
  <r>
    <n v="47"/>
    <s v="404678269"/>
    <d v="2024-05-21T00:00:00"/>
    <d v="2024-06-04T00:00:00"/>
    <n v="14"/>
    <n v="75"/>
    <x v="0"/>
    <x v="0"/>
    <x v="1"/>
    <x v="0"/>
    <x v="1"/>
    <x v="1"/>
    <x v="0"/>
    <x v="0"/>
    <x v="1"/>
    <m/>
    <s v="Streptococcus mitis group"/>
    <x v="1"/>
    <x v="1"/>
    <x v="0"/>
    <x v="0"/>
    <x v="1"/>
    <n v="1"/>
    <d v="2024-05-21T00:00:00"/>
    <d v="2024-05-21T00:00:00"/>
    <n v="0"/>
    <x v="0"/>
    <n v="0"/>
    <n v="0"/>
    <n v="0"/>
    <n v="0"/>
    <n v="0"/>
    <n v="0"/>
    <n v="0"/>
    <n v="0"/>
    <n v="1"/>
    <s v="ceftriaxone"/>
    <x v="1"/>
    <x v="0"/>
    <x v="0"/>
    <x v="0"/>
    <x v="0"/>
    <n v="1"/>
    <x v="0"/>
    <x v="0"/>
    <d v="2024-05-24T00:00:00"/>
    <x v="0"/>
    <x v="0"/>
    <n v="3"/>
    <x v="1"/>
    <m/>
    <m/>
    <m/>
    <x v="0"/>
    <m/>
    <x v="0"/>
    <x v="0"/>
    <x v="0"/>
    <x v="0"/>
    <x v="1"/>
    <x v="1"/>
  </r>
  <r>
    <n v="48"/>
    <s v="404632424"/>
    <d v="2024-05-29T00:00:00"/>
    <d v="2024-06-05T00:00:00"/>
    <n v="7"/>
    <n v="54"/>
    <x v="0"/>
    <x v="1"/>
    <x v="1"/>
    <x v="0"/>
    <x v="1"/>
    <x v="1"/>
    <x v="0"/>
    <x v="0"/>
    <x v="1"/>
    <m/>
    <s v="Streptococcus constellatus"/>
    <x v="1"/>
    <x v="1"/>
    <x v="0"/>
    <x v="0"/>
    <x v="1"/>
    <n v="1"/>
    <d v="2024-05-29T00:00:00"/>
    <d v="2024-05-29T00:00:00"/>
    <n v="0"/>
    <x v="1"/>
    <n v="0"/>
    <n v="0"/>
    <n v="0"/>
    <n v="0"/>
    <n v="1"/>
    <n v="0"/>
    <n v="0"/>
    <n v="0"/>
    <n v="1"/>
    <s v="amoxicillin clav"/>
    <x v="1"/>
    <x v="0"/>
    <x v="0"/>
    <x v="0"/>
    <x v="0"/>
    <n v="1"/>
    <x v="0"/>
    <x v="1"/>
    <m/>
    <x v="2"/>
    <x v="2"/>
    <m/>
    <x v="1"/>
    <m/>
    <m/>
    <m/>
    <x v="0"/>
    <m/>
    <x v="0"/>
    <x v="1"/>
    <x v="0"/>
    <x v="0"/>
    <x v="1"/>
    <x v="1"/>
  </r>
  <r>
    <n v="49"/>
    <s v="408015657"/>
    <d v="2024-04-13T00:00:00"/>
    <d v="2024-05-08T00:00:00"/>
    <n v="25"/>
    <n v="78"/>
    <x v="1"/>
    <x v="0"/>
    <x v="1"/>
    <x v="0"/>
    <x v="1"/>
    <x v="1"/>
    <x v="0"/>
    <x v="0"/>
    <x v="1"/>
    <m/>
    <s v="Streptococcus anginosus"/>
    <x v="1"/>
    <x v="1"/>
    <x v="0"/>
    <x v="0"/>
    <x v="1"/>
    <n v="1"/>
    <d v="2024-04-13T00:00:00"/>
    <d v="2024-04-13T00:00:00"/>
    <n v="0"/>
    <x v="1"/>
    <n v="0"/>
    <n v="0"/>
    <n v="0"/>
    <n v="0"/>
    <n v="0"/>
    <n v="0"/>
    <n v="0"/>
    <n v="1"/>
    <n v="1"/>
    <s v="meropenem"/>
    <x v="0"/>
    <x v="1"/>
    <x v="1"/>
    <x v="0"/>
    <x v="1"/>
    <n v="0"/>
    <x v="1"/>
    <x v="0"/>
    <d v="2024-04-20T00:00:00"/>
    <x v="0"/>
    <x v="0"/>
    <n v="7"/>
    <x v="1"/>
    <m/>
    <m/>
    <m/>
    <x v="0"/>
    <m/>
    <x v="1"/>
    <x v="0"/>
    <x v="1"/>
    <x v="0"/>
    <x v="0"/>
    <x v="1"/>
  </r>
  <r>
    <n v="50"/>
    <s v="403192966"/>
    <d v="2024-04-27T00:00:00"/>
    <d v="2024-05-23T00:00:00"/>
    <n v="26"/>
    <n v="36"/>
    <x v="0"/>
    <x v="1"/>
    <x v="1"/>
    <x v="0"/>
    <x v="1"/>
    <x v="1"/>
    <x v="0"/>
    <x v="0"/>
    <x v="1"/>
    <m/>
    <s v="Streptococcus constellatus"/>
    <x v="1"/>
    <x v="1"/>
    <x v="0"/>
    <x v="0"/>
    <x v="1"/>
    <n v="1"/>
    <d v="2024-04-27T00:00:00"/>
    <d v="2024-04-27T00:00:00"/>
    <n v="0"/>
    <x v="1"/>
    <n v="0"/>
    <n v="0"/>
    <n v="0"/>
    <n v="1"/>
    <n v="1"/>
    <n v="0"/>
    <n v="0"/>
    <n v="0"/>
    <n v="1"/>
    <s v="ceftriaxone"/>
    <x v="0"/>
    <x v="1"/>
    <x v="0"/>
    <x v="1"/>
    <x v="0"/>
    <n v="0"/>
    <x v="1"/>
    <x v="0"/>
    <d v="2024-05-01T00:00:00"/>
    <x v="0"/>
    <x v="0"/>
    <n v="4"/>
    <x v="1"/>
    <m/>
    <m/>
    <m/>
    <x v="0"/>
    <m/>
    <x v="1"/>
    <x v="0"/>
    <x v="1"/>
    <x v="0"/>
    <x v="0"/>
    <x v="1"/>
  </r>
  <r>
    <n v="51"/>
    <s v="400801598"/>
    <d v="2024-04-28T00:00:00"/>
    <d v="2024-05-03T00:00:00"/>
    <n v="5"/>
    <n v="95"/>
    <x v="1"/>
    <x v="0"/>
    <x v="1"/>
    <x v="0"/>
    <x v="1"/>
    <x v="1"/>
    <x v="0"/>
    <x v="0"/>
    <x v="1"/>
    <m/>
    <s v="Streptococcus mitis group"/>
    <x v="1"/>
    <x v="1"/>
    <x v="0"/>
    <x v="0"/>
    <x v="1"/>
    <n v="1"/>
    <d v="2024-04-28T00:00:00"/>
    <d v="2024-04-28T00:00:00"/>
    <n v="0"/>
    <x v="0"/>
    <n v="0"/>
    <n v="0"/>
    <n v="0"/>
    <n v="0"/>
    <n v="0"/>
    <n v="0"/>
    <n v="0"/>
    <n v="0"/>
    <n v="1"/>
    <s v="ceftriaxone"/>
    <x v="1"/>
    <x v="0"/>
    <x v="0"/>
    <x v="0"/>
    <x v="0"/>
    <n v="1"/>
    <x v="0"/>
    <x v="0"/>
    <d v="2024-05-02T00:00:00"/>
    <x v="0"/>
    <x v="0"/>
    <n v="4"/>
    <x v="1"/>
    <m/>
    <m/>
    <m/>
    <x v="0"/>
    <m/>
    <x v="0"/>
    <x v="0"/>
    <x v="0"/>
    <x v="0"/>
    <x v="1"/>
    <x v="1"/>
  </r>
  <r>
    <n v="52"/>
    <s v="00507392"/>
    <d v="2024-03-05T00:00:00"/>
    <d v="2024-03-15T00:00:00"/>
    <n v="10"/>
    <n v="42"/>
    <x v="0"/>
    <x v="0"/>
    <x v="0"/>
    <x v="0"/>
    <x v="1"/>
    <x v="1"/>
    <x v="0"/>
    <x v="0"/>
    <x v="0"/>
    <s v="bicuspid AV and AS"/>
    <s v="Streptococcus gordonii"/>
    <x v="1"/>
    <x v="1"/>
    <x v="0"/>
    <x v="0"/>
    <x v="0"/>
    <n v="2"/>
    <d v="2024-03-05T00:00:00"/>
    <d v="2024-03-06T00:00:00"/>
    <n v="1"/>
    <x v="0"/>
    <n v="0"/>
    <n v="0"/>
    <n v="0"/>
    <n v="0"/>
    <n v="0"/>
    <n v="0"/>
    <n v="0"/>
    <n v="0"/>
    <n v="1"/>
    <s v="ceftriaxone"/>
    <x v="0"/>
    <x v="1"/>
    <x v="0"/>
    <x v="1"/>
    <x v="0"/>
    <n v="0"/>
    <x v="0"/>
    <x v="0"/>
    <d v="2024-03-06T00:00:00"/>
    <x v="1"/>
    <x v="1"/>
    <n v="1"/>
    <x v="0"/>
    <d v="2024-03-08T00:00:00"/>
    <n v="1"/>
    <n v="1"/>
    <x v="0"/>
    <n v="3"/>
    <x v="0"/>
    <x v="0"/>
    <x v="0"/>
    <x v="1"/>
    <x v="0"/>
    <x v="1"/>
  </r>
  <r>
    <n v="53"/>
    <s v="403211112"/>
    <d v="2024-03-06T00:00:00"/>
    <d v="2024-04-03T00:00:00"/>
    <n v="28"/>
    <n v="37"/>
    <x v="1"/>
    <x v="0"/>
    <x v="1"/>
    <x v="0"/>
    <x v="1"/>
    <x v="1"/>
    <x v="0"/>
    <x v="0"/>
    <x v="1"/>
    <m/>
    <s v="Streptococcus anginosus"/>
    <x v="1"/>
    <x v="1"/>
    <x v="0"/>
    <x v="0"/>
    <x v="1"/>
    <n v="1"/>
    <d v="2024-03-06T00:00:00"/>
    <d v="2024-03-06T00:00:00"/>
    <n v="0"/>
    <x v="1"/>
    <n v="0"/>
    <n v="1"/>
    <n v="0"/>
    <n v="1"/>
    <n v="0"/>
    <n v="0"/>
    <n v="0"/>
    <n v="0"/>
    <n v="1"/>
    <s v="cefazolin levofloxacin"/>
    <x v="0"/>
    <x v="1"/>
    <x v="0"/>
    <x v="1"/>
    <x v="0"/>
    <n v="0"/>
    <x v="0"/>
    <x v="0"/>
    <d v="2024-03-08T00:00:00"/>
    <x v="0"/>
    <x v="0"/>
    <n v="2"/>
    <x v="1"/>
    <m/>
    <m/>
    <m/>
    <x v="0"/>
    <m/>
    <x v="1"/>
    <x v="1"/>
    <x v="0"/>
    <x v="0"/>
    <x v="0"/>
    <x v="1"/>
  </r>
  <r>
    <n v="54"/>
    <s v="404376762"/>
    <d v="2024-03-08T00:00:00"/>
    <d v="2024-03-15T00:00:00"/>
    <n v="7"/>
    <n v="86"/>
    <x v="0"/>
    <x v="0"/>
    <x v="1"/>
    <x v="0"/>
    <x v="1"/>
    <x v="1"/>
    <x v="0"/>
    <x v="0"/>
    <x v="0"/>
    <s v="G1DD, mod AS"/>
    <s v="Streptococcus mutans"/>
    <x v="1"/>
    <x v="1"/>
    <x v="0"/>
    <x v="0"/>
    <x v="1"/>
    <n v="1"/>
    <d v="2024-03-08T00:00:00"/>
    <d v="2024-03-08T00:00:00"/>
    <n v="0"/>
    <x v="1"/>
    <n v="0"/>
    <n v="0"/>
    <n v="0"/>
    <n v="0"/>
    <n v="0"/>
    <n v="0"/>
    <n v="1"/>
    <n v="0"/>
    <n v="1"/>
    <s v="amoxicillin"/>
    <x v="1"/>
    <x v="0"/>
    <x v="0"/>
    <x v="0"/>
    <x v="0"/>
    <n v="1"/>
    <x v="0"/>
    <x v="0"/>
    <d v="2024-03-12T00:00:00"/>
    <x v="0"/>
    <x v="1"/>
    <n v="4"/>
    <x v="1"/>
    <m/>
    <m/>
    <m/>
    <x v="0"/>
    <m/>
    <x v="0"/>
    <x v="1"/>
    <x v="0"/>
    <x v="0"/>
    <x v="1"/>
    <x v="1"/>
  </r>
  <r>
    <n v="55"/>
    <s v="401040528"/>
    <d v="2024-03-18T00:00:00"/>
    <d v="2024-03-26T00:00:00"/>
    <n v="8"/>
    <n v="74"/>
    <x v="1"/>
    <x v="0"/>
    <x v="1"/>
    <x v="0"/>
    <x v="1"/>
    <x v="1"/>
    <x v="0"/>
    <x v="0"/>
    <x v="0"/>
    <s v="G1DD"/>
    <s v="Streptococcus mitis group"/>
    <x v="1"/>
    <x v="1"/>
    <x v="0"/>
    <x v="0"/>
    <x v="1"/>
    <n v="1"/>
    <d v="2024-03-18T00:00:00"/>
    <d v="2024-03-18T00:00:00"/>
    <n v="0"/>
    <x v="1"/>
    <n v="0"/>
    <n v="0"/>
    <n v="0"/>
    <n v="1"/>
    <n v="0"/>
    <n v="0"/>
    <n v="0"/>
    <n v="1"/>
    <n v="1"/>
    <s v="ceftriaxone"/>
    <x v="0"/>
    <x v="0"/>
    <x v="0"/>
    <x v="0"/>
    <x v="0"/>
    <n v="1"/>
    <x v="0"/>
    <x v="1"/>
    <m/>
    <x v="2"/>
    <x v="2"/>
    <m/>
    <x v="1"/>
    <m/>
    <m/>
    <m/>
    <x v="0"/>
    <m/>
    <x v="0"/>
    <x v="1"/>
    <x v="0"/>
    <x v="0"/>
    <x v="1"/>
    <x v="1"/>
  </r>
  <r>
    <n v="56"/>
    <s v="404401297"/>
    <d v="2024-06-15T00:00:00"/>
    <d v="2024-06-24T00:00:00"/>
    <n v="9"/>
    <n v="87"/>
    <x v="1"/>
    <x v="2"/>
    <x v="1"/>
    <x v="0"/>
    <x v="1"/>
    <x v="1"/>
    <x v="0"/>
    <x v="0"/>
    <x v="1"/>
    <s v="G1DD"/>
    <s v="Enterococcus faecalis"/>
    <x v="1"/>
    <x v="0"/>
    <x v="1"/>
    <x v="0"/>
    <x v="0"/>
    <n v="2"/>
    <d v="2024-06-14T00:00:00"/>
    <d v="2024-06-15T00:00:00"/>
    <n v="1"/>
    <x v="1"/>
    <n v="0"/>
    <n v="0"/>
    <n v="0"/>
    <n v="0"/>
    <n v="0"/>
    <n v="0"/>
    <n v="1"/>
    <n v="0"/>
    <n v="1"/>
    <s v="amoxicillin"/>
    <x v="1"/>
    <x v="1"/>
    <x v="0"/>
    <x v="1"/>
    <x v="0"/>
    <n v="0"/>
    <x v="0"/>
    <x v="0"/>
    <d v="2024-06-19T00:00:00"/>
    <x v="0"/>
    <x v="0"/>
    <n v="5"/>
    <x v="1"/>
    <m/>
    <m/>
    <m/>
    <x v="0"/>
    <m/>
    <x v="0"/>
    <x v="1"/>
    <x v="0"/>
    <x v="0"/>
    <x v="0"/>
    <x v="1"/>
  </r>
  <r>
    <n v="57"/>
    <s v="408312962"/>
    <d v="2024-06-16T00:00:00"/>
    <m/>
    <m/>
    <n v="55"/>
    <x v="1"/>
    <x v="0"/>
    <x v="0"/>
    <x v="0"/>
    <x v="1"/>
    <x v="0"/>
    <x v="0"/>
    <x v="0"/>
    <x v="0"/>
    <s v="HCM"/>
    <s v="Enterococcus faecalis"/>
    <x v="1"/>
    <x v="0"/>
    <x v="1"/>
    <x v="0"/>
    <x v="0"/>
    <n v="4"/>
    <d v="2024-06-26T00:00:00"/>
    <d v="2024-06-29T00:00:00"/>
    <n v="3"/>
    <x v="0"/>
    <n v="0"/>
    <n v="0"/>
    <n v="0"/>
    <n v="0"/>
    <n v="0"/>
    <n v="0"/>
    <n v="0"/>
    <n v="0"/>
    <n v="1"/>
    <s v="ceftriaxone ampicillin"/>
    <x v="0"/>
    <x v="1"/>
    <x v="0"/>
    <x v="1"/>
    <x v="0"/>
    <n v="0"/>
    <x v="0"/>
    <x v="0"/>
    <d v="2024-07-12T00:00:00"/>
    <x v="0"/>
    <x v="1"/>
    <n v="16"/>
    <x v="1"/>
    <m/>
    <m/>
    <m/>
    <x v="0"/>
    <m/>
    <x v="1"/>
    <x v="0"/>
    <x v="0"/>
    <x v="1"/>
    <x v="0"/>
    <x v="0"/>
  </r>
  <r>
    <n v="58"/>
    <s v="01141014"/>
    <d v="2024-06-26T00:00:00"/>
    <d v="2024-07-11T00:00:00"/>
    <n v="15"/>
    <n v="86"/>
    <x v="1"/>
    <x v="0"/>
    <x v="0"/>
    <x v="0"/>
    <x v="1"/>
    <x v="0"/>
    <x v="0"/>
    <x v="0"/>
    <x v="1"/>
    <m/>
    <s v="Enterococcus faecalis"/>
    <x v="1"/>
    <x v="0"/>
    <x v="1"/>
    <x v="0"/>
    <x v="1"/>
    <n v="1"/>
    <d v="2024-06-28T00:00:00"/>
    <d v="2024-06-28T00:00:00"/>
    <n v="0"/>
    <x v="1"/>
    <n v="0"/>
    <n v="0"/>
    <n v="0"/>
    <n v="0"/>
    <n v="0"/>
    <n v="0"/>
    <n v="1"/>
    <n v="0"/>
    <n v="1"/>
    <s v="amoxicillin"/>
    <x v="1"/>
    <x v="1"/>
    <x v="0"/>
    <x v="1"/>
    <x v="0"/>
    <n v="0"/>
    <x v="0"/>
    <x v="0"/>
    <d v="2024-07-01T00:00:00"/>
    <x v="0"/>
    <x v="1"/>
    <n v="3"/>
    <x v="1"/>
    <m/>
    <m/>
    <m/>
    <x v="0"/>
    <m/>
    <x v="0"/>
    <x v="0"/>
    <x v="0"/>
    <x v="0"/>
    <x v="0"/>
    <x v="0"/>
  </r>
  <r>
    <n v="59"/>
    <s v="403318421"/>
    <d v="2024-05-09T00:00:00"/>
    <d v="2024-05-16T00:00:00"/>
    <n v="7"/>
    <n v="77"/>
    <x v="1"/>
    <x v="2"/>
    <x v="1"/>
    <x v="0"/>
    <x v="1"/>
    <x v="1"/>
    <x v="1"/>
    <x v="0"/>
    <x v="0"/>
    <s v="G1DD"/>
    <s v="Vancomycin resistant Enterococcus faecalis"/>
    <x v="1"/>
    <x v="0"/>
    <x v="1"/>
    <x v="0"/>
    <x v="0"/>
    <n v="4"/>
    <d v="2024-05-09T00:00:00"/>
    <d v="2024-05-16T00:00:00"/>
    <n v="7"/>
    <x v="1"/>
    <n v="0"/>
    <n v="0"/>
    <n v="1"/>
    <n v="0"/>
    <n v="1"/>
    <n v="0"/>
    <n v="0"/>
    <n v="0"/>
    <n v="1"/>
    <s v="Daptomycin"/>
    <x v="0"/>
    <x v="0"/>
    <x v="0"/>
    <x v="0"/>
    <x v="0"/>
    <n v="1"/>
    <x v="1"/>
    <x v="0"/>
    <d v="2024-05-13T00:00:00"/>
    <x v="0"/>
    <x v="0"/>
    <n v="4"/>
    <x v="1"/>
    <m/>
    <m/>
    <m/>
    <x v="0"/>
    <m/>
    <x v="1"/>
    <x v="0"/>
    <x v="1"/>
    <x v="0"/>
    <x v="1"/>
    <x v="1"/>
  </r>
  <r>
    <n v="60"/>
    <s v="403215607"/>
    <d v="2024-05-13T00:00:00"/>
    <d v="2024-06-01T00:00:00"/>
    <n v="19"/>
    <n v="81"/>
    <x v="0"/>
    <x v="0"/>
    <x v="0"/>
    <x v="0"/>
    <x v="1"/>
    <x v="0"/>
    <x v="0"/>
    <x v="0"/>
    <x v="0"/>
    <s v="HFrEF"/>
    <s v="Enterococcus faecalis"/>
    <x v="1"/>
    <x v="0"/>
    <x v="1"/>
    <x v="0"/>
    <x v="0"/>
    <n v="2"/>
    <d v="2024-05-13T00:00:00"/>
    <d v="2024-05-14T00:00:00"/>
    <n v="1"/>
    <x v="1"/>
    <n v="0"/>
    <n v="0"/>
    <n v="0"/>
    <n v="0"/>
    <n v="1"/>
    <n v="0"/>
    <n v="0"/>
    <n v="0"/>
    <n v="1"/>
    <s v="ceftriaxone ampicillin"/>
    <x v="0"/>
    <x v="1"/>
    <x v="0"/>
    <x v="1"/>
    <x v="0"/>
    <n v="0"/>
    <x v="0"/>
    <x v="0"/>
    <d v="2024-05-17T00:00:00"/>
    <x v="0"/>
    <x v="1"/>
    <n v="4"/>
    <x v="1"/>
    <m/>
    <m/>
    <m/>
    <x v="0"/>
    <m/>
    <x v="0"/>
    <x v="0"/>
    <x v="0"/>
    <x v="0"/>
    <x v="0"/>
    <x v="0"/>
  </r>
  <r>
    <n v="61"/>
    <s v="03028979"/>
    <d v="2024-03-30T00:00:00"/>
    <d v="2024-04-05T00:00:00"/>
    <n v="6"/>
    <n v="87"/>
    <x v="1"/>
    <x v="1"/>
    <x v="0"/>
    <x v="0"/>
    <x v="1"/>
    <x v="0"/>
    <x v="0"/>
    <x v="0"/>
    <x v="0"/>
    <s v="G1DD, mod TR"/>
    <s v="Enterococcus faecalis"/>
    <x v="1"/>
    <x v="0"/>
    <x v="1"/>
    <x v="0"/>
    <x v="0"/>
    <n v="3"/>
    <d v="2024-03-31T00:00:00"/>
    <d v="2024-04-02T00:00:00"/>
    <n v="2"/>
    <x v="0"/>
    <n v="0"/>
    <n v="0"/>
    <n v="0"/>
    <n v="0"/>
    <n v="0"/>
    <n v="0"/>
    <n v="0"/>
    <n v="0"/>
    <n v="1"/>
    <s v="piperacillin tazo"/>
    <x v="0"/>
    <x v="0"/>
    <x v="0"/>
    <x v="0"/>
    <x v="0"/>
    <n v="1"/>
    <x v="0"/>
    <x v="0"/>
    <d v="2024-04-01T00:00:00"/>
    <x v="0"/>
    <x v="1"/>
    <n v="1"/>
    <x v="1"/>
    <m/>
    <m/>
    <m/>
    <x v="0"/>
    <m/>
    <x v="0"/>
    <x v="0"/>
    <x v="0"/>
    <x v="0"/>
    <x v="0"/>
    <x v="0"/>
  </r>
  <r>
    <n v="62"/>
    <s v="400617522"/>
    <d v="2024-04-16T00:00:00"/>
    <d v="2024-04-21T00:00:00"/>
    <n v="5"/>
    <n v="47"/>
    <x v="0"/>
    <x v="0"/>
    <x v="0"/>
    <x v="1"/>
    <x v="1"/>
    <x v="1"/>
    <x v="0"/>
    <x v="0"/>
    <x v="0"/>
    <s v="sev TR"/>
    <s v="Enterococcus faecalis"/>
    <x v="1"/>
    <x v="0"/>
    <x v="1"/>
    <x v="0"/>
    <x v="0"/>
    <n v="4"/>
    <d v="2024-04-16T00:00:00"/>
    <d v="2024-04-21T00:00:00"/>
    <n v="5"/>
    <x v="1"/>
    <n v="0"/>
    <n v="1"/>
    <n v="0"/>
    <n v="0"/>
    <n v="0"/>
    <n v="0"/>
    <n v="0"/>
    <n v="0"/>
    <n v="1"/>
    <s v="ceftriaxone ampicillin"/>
    <x v="0"/>
    <x v="1"/>
    <x v="0"/>
    <x v="1"/>
    <x v="0"/>
    <n v="0"/>
    <x v="0"/>
    <x v="0"/>
    <d v="2024-04-18T00:00:00"/>
    <x v="1"/>
    <x v="0"/>
    <n v="2"/>
    <x v="1"/>
    <m/>
    <m/>
    <m/>
    <x v="0"/>
    <m/>
    <x v="0"/>
    <x v="0"/>
    <x v="0"/>
    <x v="1"/>
    <x v="0"/>
    <x v="0"/>
  </r>
  <r>
    <n v="63"/>
    <s v="00640864"/>
    <d v="2024-04-16T00:00:00"/>
    <d v="2024-05-30T00:00:00"/>
    <n v="44"/>
    <n v="54"/>
    <x v="0"/>
    <x v="0"/>
    <x v="0"/>
    <x v="0"/>
    <x v="1"/>
    <x v="1"/>
    <x v="1"/>
    <x v="0"/>
    <x v="1"/>
    <m/>
    <s v="Enterococcus faecalis"/>
    <x v="1"/>
    <x v="0"/>
    <x v="1"/>
    <x v="0"/>
    <x v="0"/>
    <n v="5"/>
    <d v="2024-04-16T00:00:00"/>
    <d v="2024-04-19T00:00:00"/>
    <n v="3"/>
    <x v="1"/>
    <n v="0"/>
    <n v="0"/>
    <n v="1"/>
    <n v="0"/>
    <n v="0"/>
    <n v="0"/>
    <n v="0"/>
    <n v="0"/>
    <n v="1"/>
    <s v="ceftriaxone ampicillin"/>
    <x v="0"/>
    <x v="1"/>
    <x v="0"/>
    <x v="1"/>
    <x v="0"/>
    <n v="0"/>
    <x v="0"/>
    <x v="0"/>
    <d v="2024-04-19T00:00:00"/>
    <x v="0"/>
    <x v="0"/>
    <n v="3"/>
    <x v="1"/>
    <m/>
    <m/>
    <m/>
    <x v="0"/>
    <m/>
    <x v="1"/>
    <x v="0"/>
    <x v="0"/>
    <x v="0"/>
    <x v="0"/>
    <x v="1"/>
  </r>
  <r>
    <n v="64"/>
    <s v="402688834"/>
    <d v="2024-04-27T00:00:00"/>
    <d v="2024-05-07T00:00:00"/>
    <n v="10"/>
    <n v="82"/>
    <x v="0"/>
    <x v="0"/>
    <x v="0"/>
    <x v="0"/>
    <x v="1"/>
    <x v="1"/>
    <x v="0"/>
    <x v="0"/>
    <x v="0"/>
    <s v="mod AS"/>
    <s v="Enterococcus faecalis"/>
    <x v="1"/>
    <x v="0"/>
    <x v="1"/>
    <x v="0"/>
    <x v="1"/>
    <n v="1"/>
    <d v="2024-04-29T00:00:00"/>
    <d v="2024-04-29T00:00:00"/>
    <n v="0"/>
    <x v="1"/>
    <n v="0"/>
    <n v="0"/>
    <n v="0"/>
    <n v="0"/>
    <n v="0"/>
    <n v="0"/>
    <n v="1"/>
    <n v="0"/>
    <n v="1"/>
    <s v="ampicillin"/>
    <x v="1"/>
    <x v="1"/>
    <x v="0"/>
    <x v="1"/>
    <x v="0"/>
    <n v="0"/>
    <x v="0"/>
    <x v="0"/>
    <d v="2024-04-29T00:00:00"/>
    <x v="0"/>
    <x v="1"/>
    <n v="0"/>
    <x v="1"/>
    <m/>
    <m/>
    <m/>
    <x v="0"/>
    <m/>
    <x v="0"/>
    <x v="0"/>
    <x v="0"/>
    <x v="0"/>
    <x v="0"/>
    <x v="1"/>
  </r>
  <r>
    <n v="65"/>
    <s v="403281069"/>
    <d v="2024-03-24T00:00:00"/>
    <d v="2024-04-06T00:00:00"/>
    <n v="13"/>
    <n v="54"/>
    <x v="1"/>
    <x v="0"/>
    <x v="1"/>
    <x v="0"/>
    <x v="1"/>
    <x v="1"/>
    <x v="0"/>
    <x v="0"/>
    <x v="1"/>
    <m/>
    <s v="Enterococcus faecalis"/>
    <x v="1"/>
    <x v="0"/>
    <x v="1"/>
    <x v="0"/>
    <x v="0"/>
    <n v="6"/>
    <d v="2024-03-24T00:00:00"/>
    <d v="2024-03-29T00:00:00"/>
    <n v="5"/>
    <x v="1"/>
    <n v="0"/>
    <n v="0"/>
    <n v="0"/>
    <n v="0"/>
    <n v="0"/>
    <n v="0"/>
    <n v="1"/>
    <n v="0"/>
    <n v="1"/>
    <s v="linezolid"/>
    <x v="1"/>
    <x v="1"/>
    <x v="1"/>
    <x v="0"/>
    <x v="1"/>
    <n v="0"/>
    <x v="0"/>
    <x v="0"/>
    <d v="2024-03-29T00:00:00"/>
    <x v="0"/>
    <x v="0"/>
    <n v="5"/>
    <x v="0"/>
    <d v="2024-04-01T00:00:00"/>
    <n v="0"/>
    <n v="0"/>
    <x v="1"/>
    <n v="8"/>
    <x v="0"/>
    <x v="0"/>
    <x v="1"/>
    <x v="0"/>
    <x v="0"/>
    <x v="1"/>
  </r>
  <r>
    <n v="66"/>
    <n v="404684974"/>
    <d v="2024-05-21T00:00:00"/>
    <d v="2024-05-31T00:00:00"/>
    <n v="10"/>
    <n v="71"/>
    <x v="1"/>
    <x v="0"/>
    <x v="0"/>
    <x v="0"/>
    <x v="1"/>
    <x v="1"/>
    <x v="1"/>
    <x v="0"/>
    <x v="0"/>
    <s v="mod TR, G1DD"/>
    <s v="Vancomycin resistant Enterococcus faecalis"/>
    <x v="1"/>
    <x v="0"/>
    <x v="1"/>
    <x v="0"/>
    <x v="1"/>
    <n v="1"/>
    <d v="2024-05-21T00:00:00"/>
    <d v="2024-05-21T00:00:00"/>
    <n v="0"/>
    <x v="1"/>
    <n v="0"/>
    <n v="0"/>
    <n v="1"/>
    <n v="0"/>
    <n v="0"/>
    <n v="0"/>
    <n v="0"/>
    <n v="0"/>
    <n v="1"/>
    <s v="Daptomycin"/>
    <x v="0"/>
    <x v="0"/>
    <x v="0"/>
    <x v="0"/>
    <x v="0"/>
    <n v="1"/>
    <x v="0"/>
    <x v="0"/>
    <d v="2024-05-24T00:00:00"/>
    <x v="0"/>
    <x v="0"/>
    <n v="3"/>
    <x v="1"/>
    <m/>
    <m/>
    <m/>
    <x v="0"/>
    <m/>
    <x v="0"/>
    <x v="0"/>
    <x v="0"/>
    <x v="0"/>
    <x v="1"/>
    <x v="1"/>
  </r>
  <r>
    <n v="67"/>
    <s v="00640864"/>
    <d v="2024-04-16T00:00:00"/>
    <d v="2024-05-30T00:00:00"/>
    <n v="44"/>
    <n v="54"/>
    <x v="0"/>
    <x v="0"/>
    <x v="0"/>
    <x v="0"/>
    <x v="1"/>
    <x v="1"/>
    <x v="1"/>
    <x v="0"/>
    <x v="1"/>
    <m/>
    <s v="Enterococcus faecalis"/>
    <x v="1"/>
    <x v="0"/>
    <x v="1"/>
    <x v="0"/>
    <x v="0"/>
    <n v="5"/>
    <d v="2024-04-16T00:00:00"/>
    <d v="2024-04-19T00:00:00"/>
    <n v="3"/>
    <x v="1"/>
    <n v="0"/>
    <n v="0"/>
    <n v="1"/>
    <n v="0"/>
    <n v="1"/>
    <n v="0"/>
    <n v="0"/>
    <n v="0"/>
    <n v="1"/>
    <s v="ceftriaxone ampicillin"/>
    <x v="0"/>
    <x v="1"/>
    <x v="0"/>
    <x v="1"/>
    <x v="0"/>
    <n v="0"/>
    <x v="0"/>
    <x v="0"/>
    <d v="2024-04-19T00:00:00"/>
    <x v="0"/>
    <x v="0"/>
    <n v="3"/>
    <x v="1"/>
    <m/>
    <m/>
    <m/>
    <x v="0"/>
    <m/>
    <x v="0"/>
    <x v="0"/>
    <x v="0"/>
    <x v="0"/>
    <x v="0"/>
    <x v="1"/>
  </r>
  <r>
    <n v="68"/>
    <s v="402883777"/>
    <d v="2024-06-01T00:00:00"/>
    <d v="2024-06-06T00:00:00"/>
    <n v="5"/>
    <n v="69"/>
    <x v="0"/>
    <x v="0"/>
    <x v="0"/>
    <x v="0"/>
    <x v="1"/>
    <x v="1"/>
    <x v="1"/>
    <x v="0"/>
    <x v="1"/>
    <m/>
    <s v="Staphylococcus epidermidis"/>
    <x v="1"/>
    <x v="0"/>
    <x v="0"/>
    <x v="1"/>
    <x v="1"/>
    <n v="1"/>
    <d v="2024-06-01T00:00:00"/>
    <d v="2024-06-01T00:00:00"/>
    <n v="0"/>
    <x v="0"/>
    <n v="0"/>
    <n v="0"/>
    <n v="0"/>
    <n v="0"/>
    <n v="0"/>
    <n v="0"/>
    <n v="0"/>
    <n v="0"/>
    <n v="1"/>
    <s v="levofloxacin"/>
    <x v="1"/>
    <x v="1"/>
    <x v="0"/>
    <x v="1"/>
    <x v="0"/>
    <n v="0"/>
    <x v="0"/>
    <x v="1"/>
    <m/>
    <x v="2"/>
    <x v="2"/>
    <m/>
    <x v="1"/>
    <m/>
    <m/>
    <m/>
    <x v="0"/>
    <m/>
    <x v="0"/>
    <x v="0"/>
    <x v="0"/>
    <x v="0"/>
    <x v="1"/>
    <x v="1"/>
  </r>
  <r>
    <n v="69"/>
    <s v="402072887"/>
    <d v="2024-06-04T00:00:00"/>
    <d v="2024-06-14T00:00:00"/>
    <n v="10"/>
    <n v="53"/>
    <x v="0"/>
    <x v="0"/>
    <x v="1"/>
    <x v="0"/>
    <x v="1"/>
    <x v="1"/>
    <x v="0"/>
    <x v="0"/>
    <x v="1"/>
    <m/>
    <s v="Staphylococcus epidermidis"/>
    <x v="1"/>
    <x v="0"/>
    <x v="0"/>
    <x v="1"/>
    <x v="1"/>
    <n v="1"/>
    <d v="2024-06-04T00:00:00"/>
    <d v="2024-06-04T00:00:00"/>
    <n v="0"/>
    <x v="0"/>
    <n v="0"/>
    <n v="0"/>
    <n v="0"/>
    <n v="0"/>
    <n v="0"/>
    <n v="0"/>
    <n v="0"/>
    <n v="0"/>
    <n v="1"/>
    <s v="vanc cefepime"/>
    <x v="1"/>
    <x v="0"/>
    <x v="0"/>
    <x v="0"/>
    <x v="0"/>
    <n v="1"/>
    <x v="0"/>
    <x v="1"/>
    <m/>
    <x v="2"/>
    <x v="2"/>
    <m/>
    <x v="1"/>
    <m/>
    <m/>
    <m/>
    <x v="0"/>
    <m/>
    <x v="0"/>
    <x v="0"/>
    <x v="0"/>
    <x v="0"/>
    <x v="1"/>
    <x v="1"/>
  </r>
  <r>
    <n v="70"/>
    <s v="403203420"/>
    <d v="2024-06-06T00:00:00"/>
    <d v="2024-07-04T00:00:00"/>
    <n v="28"/>
    <n v="73"/>
    <x v="1"/>
    <x v="0"/>
    <x v="1"/>
    <x v="0"/>
    <x v="1"/>
    <x v="1"/>
    <x v="0"/>
    <x v="0"/>
    <x v="1"/>
    <m/>
    <s v="Staphylococcus saccarolyticus"/>
    <x v="1"/>
    <x v="0"/>
    <x v="0"/>
    <x v="1"/>
    <x v="1"/>
    <n v="1"/>
    <d v="2024-06-06T00:00:00"/>
    <d v="2024-06-06T00:00:00"/>
    <n v="0"/>
    <x v="1"/>
    <n v="0"/>
    <n v="0"/>
    <n v="0"/>
    <n v="0"/>
    <n v="0"/>
    <n v="0"/>
    <n v="0"/>
    <n v="1"/>
    <n v="1"/>
    <s v="vanc"/>
    <x v="1"/>
    <x v="0"/>
    <x v="0"/>
    <x v="0"/>
    <x v="0"/>
    <n v="1"/>
    <x v="1"/>
    <x v="0"/>
    <d v="2024-06-10T00:00:00"/>
    <x v="0"/>
    <x v="1"/>
    <n v="4"/>
    <x v="1"/>
    <m/>
    <m/>
    <m/>
    <x v="0"/>
    <m/>
    <x v="1"/>
    <x v="0"/>
    <x v="1"/>
    <x v="0"/>
    <x v="1"/>
    <x v="1"/>
  </r>
  <r>
    <n v="71"/>
    <s v="402895768"/>
    <d v="2024-06-06T00:00:00"/>
    <d v="2024-06-14T00:00:00"/>
    <n v="8"/>
    <n v="69"/>
    <x v="0"/>
    <x v="0"/>
    <x v="0"/>
    <x v="0"/>
    <x v="1"/>
    <x v="1"/>
    <x v="0"/>
    <x v="0"/>
    <x v="0"/>
    <s v="G1DD"/>
    <s v="Staphylococcus pettenkoferi"/>
    <x v="1"/>
    <x v="0"/>
    <x v="0"/>
    <x v="1"/>
    <x v="1"/>
    <n v="1"/>
    <d v="2024-06-06T00:00:00"/>
    <d v="2024-06-06T00:00:00"/>
    <n v="0"/>
    <x v="0"/>
    <n v="0"/>
    <n v="0"/>
    <n v="0"/>
    <n v="0"/>
    <n v="0"/>
    <n v="0"/>
    <n v="0"/>
    <n v="0"/>
    <n v="1"/>
    <s v="ampicillin sulb"/>
    <x v="1"/>
    <x v="1"/>
    <x v="1"/>
    <x v="0"/>
    <x v="1"/>
    <n v="0"/>
    <x v="0"/>
    <x v="1"/>
    <m/>
    <x v="2"/>
    <x v="2"/>
    <m/>
    <x v="1"/>
    <m/>
    <m/>
    <m/>
    <x v="0"/>
    <m/>
    <x v="0"/>
    <x v="0"/>
    <x v="1"/>
    <x v="0"/>
    <x v="1"/>
    <x v="1"/>
  </r>
  <r>
    <n v="72"/>
    <s v="404655998"/>
    <d v="2024-06-10T00:00:00"/>
    <d v="2024-06-14T00:00:00"/>
    <n v="4"/>
    <n v="63"/>
    <x v="1"/>
    <x v="0"/>
    <x v="1"/>
    <x v="0"/>
    <x v="1"/>
    <x v="1"/>
    <x v="0"/>
    <x v="0"/>
    <x v="1"/>
    <m/>
    <s v="Staphylococcus epidermidis"/>
    <x v="1"/>
    <x v="0"/>
    <x v="0"/>
    <x v="1"/>
    <x v="1"/>
    <n v="1"/>
    <d v="2024-06-10T00:00:00"/>
    <d v="2024-06-10T00:00:00"/>
    <n v="0"/>
    <x v="0"/>
    <n v="0"/>
    <n v="0"/>
    <n v="0"/>
    <n v="0"/>
    <n v="0"/>
    <n v="0"/>
    <n v="0"/>
    <n v="0"/>
    <n v="1"/>
    <s v="vanc cefepime"/>
    <x v="1"/>
    <x v="0"/>
    <x v="0"/>
    <x v="0"/>
    <x v="0"/>
    <n v="1"/>
    <x v="0"/>
    <x v="1"/>
    <m/>
    <x v="2"/>
    <x v="2"/>
    <m/>
    <x v="1"/>
    <m/>
    <m/>
    <m/>
    <x v="0"/>
    <m/>
    <x v="0"/>
    <x v="0"/>
    <x v="0"/>
    <x v="0"/>
    <x v="1"/>
    <x v="1"/>
  </r>
  <r>
    <n v="73"/>
    <s v="403726778"/>
    <d v="2024-06-11T00:00:00"/>
    <d v="2024-06-21T00:00:00"/>
    <n v="10"/>
    <n v="76"/>
    <x v="1"/>
    <x v="0"/>
    <x v="1"/>
    <x v="0"/>
    <x v="1"/>
    <x v="1"/>
    <x v="0"/>
    <x v="0"/>
    <x v="1"/>
    <m/>
    <s v="Staphylococcus epidermidis"/>
    <x v="1"/>
    <x v="0"/>
    <x v="0"/>
    <x v="1"/>
    <x v="1"/>
    <n v="1"/>
    <d v="2024-06-11T00:00:00"/>
    <d v="2024-06-11T00:00:00"/>
    <n v="0"/>
    <x v="0"/>
    <n v="0"/>
    <n v="0"/>
    <n v="0"/>
    <n v="0"/>
    <n v="0"/>
    <n v="0"/>
    <n v="0"/>
    <n v="0"/>
    <n v="1"/>
    <s v="cefazolin ampicillin sulb"/>
    <x v="1"/>
    <x v="0"/>
    <x v="0"/>
    <x v="0"/>
    <x v="0"/>
    <n v="1"/>
    <x v="0"/>
    <x v="0"/>
    <d v="2024-06-12T00:00:00"/>
    <x v="0"/>
    <x v="0"/>
    <n v="1"/>
    <x v="1"/>
    <m/>
    <m/>
    <m/>
    <x v="0"/>
    <m/>
    <x v="0"/>
    <x v="0"/>
    <x v="0"/>
    <x v="0"/>
    <x v="1"/>
    <x v="1"/>
  </r>
  <r>
    <n v="74"/>
    <s v="04027675"/>
    <d v="2024-06-11T00:00:00"/>
    <d v="2024-06-20T00:00:00"/>
    <n v="9"/>
    <n v="80"/>
    <x v="0"/>
    <x v="1"/>
    <x v="0"/>
    <x v="0"/>
    <x v="1"/>
    <x v="1"/>
    <x v="1"/>
    <x v="0"/>
    <x v="0"/>
    <s v="G3DD"/>
    <s v="Staphylococcus pettenkoferi"/>
    <x v="1"/>
    <x v="0"/>
    <x v="0"/>
    <x v="1"/>
    <x v="1"/>
    <n v="1"/>
    <d v="2024-06-11T00:00:00"/>
    <d v="2024-06-11T00:00:00"/>
    <n v="0"/>
    <x v="1"/>
    <n v="0"/>
    <n v="0"/>
    <n v="1"/>
    <n v="0"/>
    <n v="0"/>
    <n v="0"/>
    <n v="0"/>
    <n v="0"/>
    <n v="1"/>
    <s v="vanc"/>
    <x v="1"/>
    <x v="0"/>
    <x v="0"/>
    <x v="0"/>
    <x v="0"/>
    <n v="1"/>
    <x v="0"/>
    <x v="0"/>
    <d v="2024-06-14T00:00:00"/>
    <x v="0"/>
    <x v="1"/>
    <n v="3"/>
    <x v="1"/>
    <m/>
    <m/>
    <m/>
    <x v="0"/>
    <m/>
    <x v="0"/>
    <x v="0"/>
    <x v="0"/>
    <x v="0"/>
    <x v="1"/>
    <x v="1"/>
  </r>
  <r>
    <n v="75"/>
    <s v="408323711"/>
    <d v="2024-06-12T00:00:00"/>
    <d v="2024-06-20T00:00:00"/>
    <n v="8"/>
    <n v="81"/>
    <x v="0"/>
    <x v="1"/>
    <x v="1"/>
    <x v="0"/>
    <x v="1"/>
    <x v="1"/>
    <x v="0"/>
    <x v="0"/>
    <x v="1"/>
    <m/>
    <s v="Staphylococcus epidermidis"/>
    <x v="1"/>
    <x v="0"/>
    <x v="0"/>
    <x v="1"/>
    <x v="1"/>
    <n v="1"/>
    <d v="2024-06-12T00:00:00"/>
    <d v="2024-06-12T00:00:00"/>
    <n v="0"/>
    <x v="0"/>
    <n v="0"/>
    <n v="0"/>
    <n v="0"/>
    <n v="0"/>
    <n v="0"/>
    <n v="0"/>
    <n v="0"/>
    <n v="0"/>
    <n v="1"/>
    <s v="vanc cefepime"/>
    <x v="1"/>
    <x v="0"/>
    <x v="0"/>
    <x v="0"/>
    <x v="0"/>
    <n v="1"/>
    <x v="0"/>
    <x v="0"/>
    <d v="2024-06-13T00:00:00"/>
    <x v="0"/>
    <x v="0"/>
    <n v="1"/>
    <x v="1"/>
    <m/>
    <m/>
    <m/>
    <x v="0"/>
    <m/>
    <x v="1"/>
    <x v="0"/>
    <x v="0"/>
    <x v="0"/>
    <x v="1"/>
    <x v="1"/>
  </r>
  <r>
    <n v="76"/>
    <s v="400686129"/>
    <d v="2024-06-14T00:00:00"/>
    <d v="2024-06-25T00:00:00"/>
    <n v="11"/>
    <n v="59"/>
    <x v="0"/>
    <x v="1"/>
    <x v="1"/>
    <x v="0"/>
    <x v="1"/>
    <x v="1"/>
    <x v="0"/>
    <x v="0"/>
    <x v="1"/>
    <m/>
    <s v="Staphylococcus epidermidis"/>
    <x v="1"/>
    <x v="0"/>
    <x v="0"/>
    <x v="1"/>
    <x v="0"/>
    <n v="3"/>
    <d v="2024-06-14T00:00:00"/>
    <d v="2024-06-17T00:00:00"/>
    <n v="3"/>
    <x v="1"/>
    <n v="1"/>
    <n v="1"/>
    <n v="0"/>
    <n v="0"/>
    <n v="0"/>
    <n v="0"/>
    <n v="0"/>
    <n v="0"/>
    <n v="1"/>
    <s v="cefazolin"/>
    <x v="0"/>
    <x v="1"/>
    <x v="0"/>
    <x v="1"/>
    <x v="0"/>
    <n v="0"/>
    <x v="0"/>
    <x v="0"/>
    <d v="2024-06-18T00:00:00"/>
    <x v="0"/>
    <x v="0"/>
    <n v="4"/>
    <x v="0"/>
    <d v="2024-06-20T00:00:00"/>
    <n v="0"/>
    <n v="0"/>
    <x v="0"/>
    <n v="6"/>
    <x v="0"/>
    <x v="1"/>
    <x v="0"/>
    <x v="0"/>
    <x v="1"/>
    <x v="1"/>
  </r>
  <r>
    <n v="77"/>
    <s v="403304978"/>
    <d v="2024-06-17T00:00:00"/>
    <d v="2024-07-02T00:00:00"/>
    <n v="15"/>
    <n v="69"/>
    <x v="1"/>
    <x v="0"/>
    <x v="0"/>
    <x v="0"/>
    <x v="1"/>
    <x v="0"/>
    <x v="0"/>
    <x v="0"/>
    <x v="1"/>
    <m/>
    <s v="Staphylococcus hominis"/>
    <x v="1"/>
    <x v="0"/>
    <x v="0"/>
    <x v="1"/>
    <x v="1"/>
    <n v="1"/>
    <d v="2024-06-17T00:00:00"/>
    <d v="2024-06-17T00:00:00"/>
    <n v="0"/>
    <x v="0"/>
    <n v="0"/>
    <n v="0"/>
    <n v="0"/>
    <n v="0"/>
    <n v="0"/>
    <n v="0"/>
    <n v="0"/>
    <n v="0"/>
    <n v="1"/>
    <s v="cefazolin gentamycin rifampin"/>
    <x v="1"/>
    <x v="1"/>
    <x v="0"/>
    <x v="1"/>
    <x v="0"/>
    <n v="0"/>
    <x v="0"/>
    <x v="1"/>
    <m/>
    <x v="2"/>
    <x v="2"/>
    <m/>
    <x v="0"/>
    <d v="2024-06-19T00:00:00"/>
    <n v="0"/>
    <n v="0"/>
    <x v="0"/>
    <n v="2"/>
    <x v="0"/>
    <x v="0"/>
    <x v="0"/>
    <x v="0"/>
    <x v="0"/>
    <x v="0"/>
  </r>
  <r>
    <n v="78"/>
    <s v="404349401"/>
    <d v="2024-06-20T00:00:00"/>
    <d v="2024-06-23T00:00:00"/>
    <n v="3"/>
    <n v="77"/>
    <x v="1"/>
    <x v="1"/>
    <x v="1"/>
    <x v="0"/>
    <x v="1"/>
    <x v="1"/>
    <x v="0"/>
    <x v="0"/>
    <x v="1"/>
    <m/>
    <s v="Staphylococcus epidermidis"/>
    <x v="1"/>
    <x v="0"/>
    <x v="0"/>
    <x v="1"/>
    <x v="1"/>
    <n v="1"/>
    <d v="2024-06-20T00:00:00"/>
    <d v="2024-06-20T00:00:00"/>
    <n v="0"/>
    <x v="0"/>
    <n v="0"/>
    <n v="0"/>
    <n v="0"/>
    <n v="0"/>
    <n v="0"/>
    <n v="0"/>
    <n v="0"/>
    <n v="0"/>
    <n v="0"/>
    <m/>
    <x v="1"/>
    <x v="1"/>
    <x v="0"/>
    <x v="1"/>
    <x v="0"/>
    <n v="0"/>
    <x v="0"/>
    <x v="1"/>
    <m/>
    <x v="2"/>
    <x v="2"/>
    <m/>
    <x v="1"/>
    <m/>
    <m/>
    <m/>
    <x v="0"/>
    <m/>
    <x v="0"/>
    <x v="0"/>
    <x v="0"/>
    <x v="0"/>
    <x v="1"/>
    <x v="1"/>
  </r>
  <r>
    <n v="79"/>
    <s v="403566859"/>
    <d v="2024-06-21T00:00:00"/>
    <d v="2024-06-27T00:00:00"/>
    <n v="6"/>
    <n v="58"/>
    <x v="1"/>
    <x v="0"/>
    <x v="1"/>
    <x v="0"/>
    <x v="1"/>
    <x v="1"/>
    <x v="0"/>
    <x v="0"/>
    <x v="0"/>
    <s v="mod MS"/>
    <s v="Staphylococcus epidermidis"/>
    <x v="1"/>
    <x v="0"/>
    <x v="0"/>
    <x v="1"/>
    <x v="1"/>
    <n v="1"/>
    <d v="2024-06-21T00:00:00"/>
    <d v="2024-06-21T00:00:00"/>
    <n v="0"/>
    <x v="0"/>
    <n v="0"/>
    <n v="0"/>
    <n v="0"/>
    <n v="0"/>
    <n v="0"/>
    <n v="0"/>
    <n v="0"/>
    <n v="0"/>
    <n v="1"/>
    <s v="ceftriaxone"/>
    <x v="1"/>
    <x v="0"/>
    <x v="0"/>
    <x v="0"/>
    <x v="0"/>
    <n v="1"/>
    <x v="1"/>
    <x v="0"/>
    <d v="2024-06-24T00:00:00"/>
    <x v="0"/>
    <x v="0"/>
    <n v="3"/>
    <x v="1"/>
    <m/>
    <m/>
    <m/>
    <x v="0"/>
    <m/>
    <x v="0"/>
    <x v="0"/>
    <x v="1"/>
    <x v="0"/>
    <x v="1"/>
    <x v="1"/>
  </r>
  <r>
    <n v="80"/>
    <s v="03038376"/>
    <d v="2024-06-28T00:00:00"/>
    <d v="2024-07-12T00:00:00"/>
    <n v="14"/>
    <n v="68"/>
    <x v="1"/>
    <x v="0"/>
    <x v="0"/>
    <x v="0"/>
    <x v="1"/>
    <x v="1"/>
    <x v="0"/>
    <x v="0"/>
    <x v="0"/>
    <s v="G1DD"/>
    <s v="Staphylococcus epidermidis"/>
    <x v="1"/>
    <x v="0"/>
    <x v="0"/>
    <x v="1"/>
    <x v="1"/>
    <n v="1"/>
    <d v="2024-06-28T00:00:00"/>
    <d v="2024-06-28T00:00:00"/>
    <n v="0"/>
    <x v="0"/>
    <n v="0"/>
    <n v="0"/>
    <n v="0"/>
    <n v="0"/>
    <n v="0"/>
    <n v="0"/>
    <n v="0"/>
    <n v="0"/>
    <n v="1"/>
    <s v="cefazolin"/>
    <x v="1"/>
    <x v="0"/>
    <x v="0"/>
    <x v="0"/>
    <x v="0"/>
    <n v="1"/>
    <x v="0"/>
    <x v="0"/>
    <d v="2024-07-03T00:00:00"/>
    <x v="0"/>
    <x v="1"/>
    <n v="5"/>
    <x v="1"/>
    <m/>
    <m/>
    <m/>
    <x v="0"/>
    <m/>
    <x v="0"/>
    <x v="0"/>
    <x v="0"/>
    <x v="0"/>
    <x v="1"/>
    <x v="1"/>
  </r>
  <r>
    <n v="81"/>
    <s v="404062842"/>
    <d v="2024-05-02T00:00:00"/>
    <d v="2024-05-09T00:00:00"/>
    <n v="7"/>
    <n v="84"/>
    <x v="0"/>
    <x v="1"/>
    <x v="1"/>
    <x v="0"/>
    <x v="1"/>
    <x v="1"/>
    <x v="0"/>
    <x v="0"/>
    <x v="1"/>
    <m/>
    <s v="Staphylococcus epidermidis"/>
    <x v="1"/>
    <x v="0"/>
    <x v="0"/>
    <x v="1"/>
    <x v="1"/>
    <n v="1"/>
    <d v="2024-05-02T00:00:00"/>
    <d v="2024-05-02T00:00:00"/>
    <n v="0"/>
    <x v="0"/>
    <n v="0"/>
    <n v="0"/>
    <n v="0"/>
    <n v="0"/>
    <n v="0"/>
    <n v="0"/>
    <n v="0"/>
    <n v="0"/>
    <n v="1"/>
    <s v="vanc cefepime"/>
    <x v="1"/>
    <x v="0"/>
    <x v="0"/>
    <x v="0"/>
    <x v="0"/>
    <n v="1"/>
    <x v="0"/>
    <x v="1"/>
    <m/>
    <x v="2"/>
    <x v="2"/>
    <m/>
    <x v="1"/>
    <m/>
    <m/>
    <m/>
    <x v="0"/>
    <m/>
    <x v="0"/>
    <x v="0"/>
    <x v="0"/>
    <x v="0"/>
    <x v="1"/>
    <x v="1"/>
  </r>
  <r>
    <n v="82"/>
    <s v="03870096"/>
    <d v="2024-04-29T00:00:00"/>
    <d v="2024-05-20T00:00:00"/>
    <n v="21"/>
    <n v="72"/>
    <x v="1"/>
    <x v="0"/>
    <x v="1"/>
    <x v="0"/>
    <x v="1"/>
    <x v="1"/>
    <x v="0"/>
    <x v="0"/>
    <x v="1"/>
    <m/>
    <s v="Staphylococcus epidermidis"/>
    <x v="1"/>
    <x v="0"/>
    <x v="0"/>
    <x v="1"/>
    <x v="1"/>
    <n v="1"/>
    <d v="2024-05-05T00:00:00"/>
    <d v="2024-05-05T00:00:00"/>
    <n v="0"/>
    <x v="0"/>
    <n v="0"/>
    <n v="0"/>
    <n v="0"/>
    <n v="0"/>
    <n v="0"/>
    <n v="0"/>
    <n v="0"/>
    <n v="0"/>
    <n v="1"/>
    <s v="vanc"/>
    <x v="1"/>
    <x v="1"/>
    <x v="0"/>
    <x v="1"/>
    <x v="0"/>
    <n v="0"/>
    <x v="0"/>
    <x v="0"/>
    <d v="2024-05-07T00:00:00"/>
    <x v="0"/>
    <x v="1"/>
    <n v="2"/>
    <x v="1"/>
    <m/>
    <m/>
    <m/>
    <x v="0"/>
    <m/>
    <x v="0"/>
    <x v="0"/>
    <x v="0"/>
    <x v="0"/>
    <x v="1"/>
    <x v="1"/>
  </r>
  <r>
    <n v="83"/>
    <s v="404676512"/>
    <d v="2024-05-06T00:00:00"/>
    <d v="2024-05-09T00:00:00"/>
    <n v="3"/>
    <n v="72"/>
    <x v="1"/>
    <x v="2"/>
    <x v="1"/>
    <x v="0"/>
    <x v="1"/>
    <x v="1"/>
    <x v="0"/>
    <x v="0"/>
    <x v="1"/>
    <m/>
    <s v="Staphylococcus epidermidis"/>
    <x v="1"/>
    <x v="0"/>
    <x v="0"/>
    <x v="1"/>
    <x v="1"/>
    <n v="1"/>
    <d v="2024-05-06T00:00:00"/>
    <d v="2024-05-06T00:00:00"/>
    <n v="0"/>
    <x v="0"/>
    <n v="0"/>
    <n v="0"/>
    <n v="0"/>
    <n v="0"/>
    <n v="0"/>
    <n v="0"/>
    <n v="0"/>
    <n v="0"/>
    <n v="1"/>
    <s v="vanc"/>
    <x v="1"/>
    <x v="0"/>
    <x v="0"/>
    <x v="0"/>
    <x v="0"/>
    <n v="1"/>
    <x v="0"/>
    <x v="1"/>
    <m/>
    <x v="2"/>
    <x v="2"/>
    <m/>
    <x v="1"/>
    <m/>
    <m/>
    <m/>
    <x v="0"/>
    <m/>
    <x v="0"/>
    <x v="0"/>
    <x v="0"/>
    <x v="0"/>
    <x v="1"/>
    <x v="1"/>
  </r>
  <r>
    <n v="84"/>
    <s v="38199642"/>
    <d v="2024-05-06T00:00:00"/>
    <d v="2024-05-10T00:00:00"/>
    <n v="4"/>
    <n v="42"/>
    <x v="0"/>
    <x v="0"/>
    <x v="1"/>
    <x v="0"/>
    <x v="1"/>
    <x v="1"/>
    <x v="0"/>
    <x v="0"/>
    <x v="1"/>
    <m/>
    <s v="Staphylococcus epidermidis"/>
    <x v="1"/>
    <x v="0"/>
    <x v="0"/>
    <x v="1"/>
    <x v="1"/>
    <n v="1"/>
    <d v="2024-05-06T00:00:00"/>
    <d v="2024-05-06T00:00:00"/>
    <n v="0"/>
    <x v="0"/>
    <n v="0"/>
    <n v="0"/>
    <n v="0"/>
    <n v="0"/>
    <n v="0"/>
    <n v="0"/>
    <n v="0"/>
    <n v="0"/>
    <n v="1"/>
    <s v="vanc cefepime"/>
    <x v="1"/>
    <x v="0"/>
    <x v="0"/>
    <x v="0"/>
    <x v="0"/>
    <n v="1"/>
    <x v="0"/>
    <x v="1"/>
    <m/>
    <x v="2"/>
    <x v="2"/>
    <m/>
    <x v="1"/>
    <m/>
    <m/>
    <m/>
    <x v="0"/>
    <m/>
    <x v="0"/>
    <x v="0"/>
    <x v="0"/>
    <x v="0"/>
    <x v="1"/>
    <x v="1"/>
  </r>
  <r>
    <n v="85"/>
    <s v="403145632"/>
    <d v="2024-05-07T00:00:00"/>
    <d v="2024-05-24T00:00:00"/>
    <n v="17"/>
    <n v="57"/>
    <x v="0"/>
    <x v="0"/>
    <x v="1"/>
    <x v="0"/>
    <x v="1"/>
    <x v="1"/>
    <x v="0"/>
    <x v="0"/>
    <x v="1"/>
    <m/>
    <s v="Staphylococcus capitis"/>
    <x v="1"/>
    <x v="0"/>
    <x v="0"/>
    <x v="1"/>
    <x v="1"/>
    <n v="1"/>
    <d v="2024-05-07T00:00:00"/>
    <d v="2024-05-07T00:00:00"/>
    <n v="0"/>
    <x v="0"/>
    <n v="0"/>
    <n v="0"/>
    <n v="0"/>
    <n v="0"/>
    <n v="0"/>
    <n v="0"/>
    <n v="0"/>
    <n v="0"/>
    <n v="1"/>
    <s v="ertapenenm"/>
    <x v="0"/>
    <x v="1"/>
    <x v="1"/>
    <x v="0"/>
    <x v="1"/>
    <n v="0"/>
    <x v="1"/>
    <x v="0"/>
    <d v="2024-05-20T00:00:00"/>
    <x v="0"/>
    <x v="0"/>
    <n v="13"/>
    <x v="1"/>
    <m/>
    <m/>
    <m/>
    <x v="0"/>
    <m/>
    <x v="0"/>
    <x v="0"/>
    <x v="1"/>
    <x v="0"/>
    <x v="1"/>
    <x v="1"/>
  </r>
  <r>
    <n v="86"/>
    <s v="400403126"/>
    <d v="2024-05-09T00:00:00"/>
    <d v="2024-05-31T00:00:00"/>
    <n v="22"/>
    <n v="57"/>
    <x v="1"/>
    <x v="0"/>
    <x v="1"/>
    <x v="0"/>
    <x v="1"/>
    <x v="1"/>
    <x v="0"/>
    <x v="0"/>
    <x v="1"/>
    <m/>
    <s v="Staphylococcus epidermidis"/>
    <x v="1"/>
    <x v="0"/>
    <x v="0"/>
    <x v="1"/>
    <x v="1"/>
    <n v="1"/>
    <d v="2024-05-09T00:00:00"/>
    <d v="2024-05-09T00:00:00"/>
    <n v="0"/>
    <x v="0"/>
    <n v="0"/>
    <n v="0"/>
    <n v="0"/>
    <n v="0"/>
    <n v="0"/>
    <n v="0"/>
    <n v="0"/>
    <n v="0"/>
    <n v="1"/>
    <s v="vanc"/>
    <x v="1"/>
    <x v="1"/>
    <x v="1"/>
    <x v="0"/>
    <x v="1"/>
    <n v="0"/>
    <x v="0"/>
    <x v="0"/>
    <d v="2024-05-15T00:00:00"/>
    <x v="0"/>
    <x v="0"/>
    <n v="6"/>
    <x v="1"/>
    <m/>
    <m/>
    <m/>
    <x v="0"/>
    <m/>
    <x v="1"/>
    <x v="0"/>
    <x v="1"/>
    <x v="0"/>
    <x v="1"/>
    <x v="1"/>
  </r>
  <r>
    <n v="87"/>
    <s v="00461519"/>
    <d v="2024-05-09T00:00:00"/>
    <d v="2024-05-13T00:00:00"/>
    <n v="4"/>
    <n v="74"/>
    <x v="0"/>
    <x v="0"/>
    <x v="1"/>
    <x v="0"/>
    <x v="1"/>
    <x v="1"/>
    <x v="0"/>
    <x v="0"/>
    <x v="1"/>
    <m/>
    <s v="Staphylococcus epidermidis"/>
    <x v="1"/>
    <x v="0"/>
    <x v="0"/>
    <x v="1"/>
    <x v="1"/>
    <n v="1"/>
    <d v="2024-05-09T00:00:00"/>
    <d v="2024-05-09T00:00:00"/>
    <n v="0"/>
    <x v="0"/>
    <n v="0"/>
    <n v="0"/>
    <n v="0"/>
    <n v="0"/>
    <n v="0"/>
    <n v="0"/>
    <n v="0"/>
    <n v="0"/>
    <n v="0"/>
    <m/>
    <x v="1"/>
    <x v="0"/>
    <x v="0"/>
    <x v="0"/>
    <x v="0"/>
    <n v="1"/>
    <x v="0"/>
    <x v="1"/>
    <m/>
    <x v="2"/>
    <x v="2"/>
    <m/>
    <x v="1"/>
    <m/>
    <m/>
    <m/>
    <x v="0"/>
    <m/>
    <x v="0"/>
    <x v="0"/>
    <x v="0"/>
    <x v="0"/>
    <x v="1"/>
    <x v="1"/>
  </r>
  <r>
    <n v="88"/>
    <s v="400489731"/>
    <d v="2024-05-11T00:00:00"/>
    <d v="2024-05-15T00:00:00"/>
    <n v="4"/>
    <n v="90"/>
    <x v="1"/>
    <x v="0"/>
    <x v="0"/>
    <x v="0"/>
    <x v="0"/>
    <x v="1"/>
    <x v="0"/>
    <x v="0"/>
    <x v="0"/>
    <s v="sev AS s/p TAVR, G2DD"/>
    <s v="Staphylococcus epidermidis"/>
    <x v="1"/>
    <x v="0"/>
    <x v="0"/>
    <x v="1"/>
    <x v="1"/>
    <n v="1"/>
    <d v="2024-05-11T00:00:00"/>
    <d v="2024-05-11T00:00:00"/>
    <n v="0"/>
    <x v="0"/>
    <n v="0"/>
    <n v="0"/>
    <n v="0"/>
    <n v="0"/>
    <n v="0"/>
    <n v="0"/>
    <n v="0"/>
    <n v="0"/>
    <n v="0"/>
    <m/>
    <x v="1"/>
    <x v="0"/>
    <x v="0"/>
    <x v="0"/>
    <x v="0"/>
    <n v="1"/>
    <x v="0"/>
    <x v="0"/>
    <d v="2024-05-15T00:00:00"/>
    <x v="0"/>
    <x v="1"/>
    <n v="4"/>
    <x v="1"/>
    <m/>
    <m/>
    <m/>
    <x v="0"/>
    <m/>
    <x v="0"/>
    <x v="0"/>
    <x v="0"/>
    <x v="0"/>
    <x v="1"/>
    <x v="0"/>
  </r>
  <r>
    <n v="89"/>
    <s v="404439763"/>
    <d v="2024-05-11T00:00:00"/>
    <d v="2024-05-14T00:00:00"/>
    <n v="3"/>
    <n v="83"/>
    <x v="0"/>
    <x v="0"/>
    <x v="0"/>
    <x v="0"/>
    <x v="1"/>
    <x v="1"/>
    <x v="0"/>
    <x v="0"/>
    <x v="0"/>
    <s v="G3DD"/>
    <s v="Staphylococcus epidermidis"/>
    <x v="1"/>
    <x v="0"/>
    <x v="0"/>
    <x v="1"/>
    <x v="1"/>
    <n v="1"/>
    <d v="2024-05-11T00:00:00"/>
    <d v="2024-05-11T00:00:00"/>
    <n v="0"/>
    <x v="0"/>
    <n v="0"/>
    <n v="0"/>
    <n v="0"/>
    <n v="0"/>
    <n v="0"/>
    <n v="0"/>
    <n v="0"/>
    <n v="0"/>
    <n v="1"/>
    <s v="vanc"/>
    <x v="1"/>
    <x v="0"/>
    <x v="0"/>
    <x v="0"/>
    <x v="0"/>
    <n v="1"/>
    <x v="0"/>
    <x v="0"/>
    <d v="2024-05-14T00:00:00"/>
    <x v="0"/>
    <x v="0"/>
    <n v="3"/>
    <x v="1"/>
    <m/>
    <m/>
    <m/>
    <x v="0"/>
    <m/>
    <x v="0"/>
    <x v="0"/>
    <x v="0"/>
    <x v="0"/>
    <x v="1"/>
    <x v="1"/>
  </r>
  <r>
    <n v="90"/>
    <s v="404623753"/>
    <d v="2024-05-13T00:00:00"/>
    <d v="2024-05-24T00:00:00"/>
    <n v="11"/>
    <n v="62"/>
    <x v="1"/>
    <x v="0"/>
    <x v="1"/>
    <x v="0"/>
    <x v="1"/>
    <x v="1"/>
    <x v="0"/>
    <x v="0"/>
    <x v="1"/>
    <m/>
    <s v="Staphylococcus epidermidis"/>
    <x v="1"/>
    <x v="0"/>
    <x v="0"/>
    <x v="1"/>
    <x v="1"/>
    <n v="1"/>
    <d v="2024-05-13T00:00:00"/>
    <d v="2024-05-13T00:00:00"/>
    <n v="0"/>
    <x v="0"/>
    <n v="0"/>
    <n v="0"/>
    <n v="0"/>
    <n v="0"/>
    <n v="0"/>
    <n v="0"/>
    <n v="0"/>
    <n v="0"/>
    <n v="1"/>
    <s v="vanc"/>
    <x v="1"/>
    <x v="0"/>
    <x v="0"/>
    <x v="0"/>
    <x v="0"/>
    <n v="1"/>
    <x v="0"/>
    <x v="1"/>
    <m/>
    <x v="2"/>
    <x v="2"/>
    <m/>
    <x v="1"/>
    <m/>
    <m/>
    <m/>
    <x v="0"/>
    <m/>
    <x v="0"/>
    <x v="0"/>
    <x v="0"/>
    <x v="0"/>
    <x v="1"/>
    <x v="1"/>
  </r>
  <r>
    <n v="91"/>
    <s v="405018219"/>
    <d v="2024-05-13T00:00:00"/>
    <d v="2024-05-18T00:00:00"/>
    <n v="5"/>
    <n v="94"/>
    <x v="1"/>
    <x v="0"/>
    <x v="1"/>
    <x v="0"/>
    <x v="1"/>
    <x v="1"/>
    <x v="0"/>
    <x v="0"/>
    <x v="1"/>
    <m/>
    <s v="Staphylococcus epidermidis"/>
    <x v="1"/>
    <x v="0"/>
    <x v="0"/>
    <x v="1"/>
    <x v="1"/>
    <n v="1"/>
    <d v="2024-05-13T00:00:00"/>
    <d v="2024-05-13T00:00:00"/>
    <n v="0"/>
    <x v="0"/>
    <n v="0"/>
    <n v="0"/>
    <n v="0"/>
    <n v="0"/>
    <n v="0"/>
    <n v="0"/>
    <n v="0"/>
    <n v="0"/>
    <n v="1"/>
    <s v="ceftriaxone"/>
    <x v="1"/>
    <x v="0"/>
    <x v="0"/>
    <x v="0"/>
    <x v="0"/>
    <n v="1"/>
    <x v="0"/>
    <x v="0"/>
    <d v="2024-05-14T00:00:00"/>
    <x v="0"/>
    <x v="0"/>
    <n v="1"/>
    <x v="1"/>
    <m/>
    <m/>
    <m/>
    <x v="0"/>
    <m/>
    <x v="0"/>
    <x v="0"/>
    <x v="0"/>
    <x v="0"/>
    <x v="1"/>
    <x v="1"/>
  </r>
  <r>
    <n v="92"/>
    <s v="404871584"/>
    <d v="2024-05-15T00:00:00"/>
    <d v="2024-05-18T00:00:00"/>
    <n v="3"/>
    <n v="79"/>
    <x v="0"/>
    <x v="3"/>
    <x v="0"/>
    <x v="0"/>
    <x v="1"/>
    <x v="1"/>
    <x v="0"/>
    <x v="0"/>
    <x v="0"/>
    <s v="HFrEF, mod MR"/>
    <s v="Staphylococcus hominis"/>
    <x v="1"/>
    <x v="0"/>
    <x v="0"/>
    <x v="1"/>
    <x v="1"/>
    <n v="1"/>
    <d v="2024-05-15T00:00:00"/>
    <d v="2024-05-15T00:00:00"/>
    <n v="0"/>
    <x v="0"/>
    <n v="0"/>
    <n v="0"/>
    <n v="0"/>
    <n v="0"/>
    <n v="0"/>
    <n v="0"/>
    <n v="0"/>
    <n v="0"/>
    <n v="1"/>
    <s v="vanc ceftriaxone"/>
    <x v="1"/>
    <x v="0"/>
    <x v="0"/>
    <x v="0"/>
    <x v="0"/>
    <n v="1"/>
    <x v="0"/>
    <x v="0"/>
    <d v="2024-05-17T00:00:00"/>
    <x v="0"/>
    <x v="0"/>
    <n v="2"/>
    <x v="1"/>
    <m/>
    <m/>
    <m/>
    <x v="0"/>
    <m/>
    <x v="0"/>
    <x v="0"/>
    <x v="0"/>
    <x v="0"/>
    <x v="1"/>
    <x v="1"/>
  </r>
  <r>
    <n v="93"/>
    <s v="03926762"/>
    <d v="2024-05-18T00:00:00"/>
    <d v="2024-05-27T00:00:00"/>
    <n v="9"/>
    <n v="45"/>
    <x v="1"/>
    <x v="0"/>
    <x v="1"/>
    <x v="0"/>
    <x v="1"/>
    <x v="1"/>
    <x v="0"/>
    <x v="0"/>
    <x v="1"/>
    <m/>
    <s v="Staphylococcus haemolyticus"/>
    <x v="1"/>
    <x v="0"/>
    <x v="0"/>
    <x v="1"/>
    <x v="1"/>
    <n v="1"/>
    <d v="2024-05-18T00:00:00"/>
    <d v="2024-05-18T00:00:00"/>
    <n v="0"/>
    <x v="0"/>
    <n v="0"/>
    <n v="0"/>
    <n v="0"/>
    <n v="0"/>
    <n v="0"/>
    <n v="0"/>
    <n v="0"/>
    <n v="0"/>
    <n v="1"/>
    <s v="vanc"/>
    <x v="1"/>
    <x v="0"/>
    <x v="0"/>
    <x v="0"/>
    <x v="0"/>
    <n v="1"/>
    <x v="0"/>
    <x v="1"/>
    <m/>
    <x v="2"/>
    <x v="2"/>
    <m/>
    <x v="1"/>
    <m/>
    <m/>
    <m/>
    <x v="0"/>
    <m/>
    <x v="0"/>
    <x v="0"/>
    <x v="0"/>
    <x v="0"/>
    <x v="1"/>
    <x v="1"/>
  </r>
  <r>
    <n v="94"/>
    <s v="04159418"/>
    <d v="2024-05-21T00:00:00"/>
    <d v="2024-05-28T00:00:00"/>
    <n v="7"/>
    <n v="75"/>
    <x v="0"/>
    <x v="0"/>
    <x v="1"/>
    <x v="0"/>
    <x v="1"/>
    <x v="1"/>
    <x v="0"/>
    <x v="0"/>
    <x v="1"/>
    <m/>
    <s v="Staphylococcus epidermidis"/>
    <x v="1"/>
    <x v="0"/>
    <x v="0"/>
    <x v="1"/>
    <x v="1"/>
    <n v="1"/>
    <d v="2024-05-21T00:00:00"/>
    <d v="2024-05-21T00:00:00"/>
    <n v="0"/>
    <x v="0"/>
    <n v="0"/>
    <n v="0"/>
    <n v="0"/>
    <n v="0"/>
    <n v="0"/>
    <n v="0"/>
    <n v="0"/>
    <n v="0"/>
    <n v="1"/>
    <s v="ceftriaxone"/>
    <x v="1"/>
    <x v="0"/>
    <x v="0"/>
    <x v="0"/>
    <x v="0"/>
    <n v="1"/>
    <x v="0"/>
    <x v="0"/>
    <d v="2024-05-28T00:00:00"/>
    <x v="0"/>
    <x v="0"/>
    <n v="7"/>
    <x v="1"/>
    <m/>
    <m/>
    <m/>
    <x v="0"/>
    <m/>
    <x v="0"/>
    <x v="0"/>
    <x v="0"/>
    <x v="0"/>
    <x v="1"/>
    <x v="1"/>
  </r>
  <r>
    <n v="95"/>
    <s v="403225537"/>
    <d v="2024-05-22T00:00:00"/>
    <d v="2024-05-27T00:00:00"/>
    <n v="5"/>
    <n v="90"/>
    <x v="0"/>
    <x v="0"/>
    <x v="0"/>
    <x v="0"/>
    <x v="1"/>
    <x v="1"/>
    <x v="0"/>
    <x v="0"/>
    <x v="0"/>
    <s v="mod TR, sev biatrial enlarge"/>
    <s v="Staphylococcus epidermidis"/>
    <x v="1"/>
    <x v="0"/>
    <x v="0"/>
    <x v="1"/>
    <x v="0"/>
    <n v="2"/>
    <d v="2024-05-22T00:00:00"/>
    <d v="2024-05-22T00:00:00"/>
    <n v="0"/>
    <x v="0"/>
    <n v="0"/>
    <n v="0"/>
    <n v="0"/>
    <n v="0"/>
    <n v="0"/>
    <n v="0"/>
    <n v="0"/>
    <n v="0"/>
    <n v="1"/>
    <s v="cefepime"/>
    <x v="1"/>
    <x v="0"/>
    <x v="0"/>
    <x v="0"/>
    <x v="0"/>
    <n v="1"/>
    <x v="0"/>
    <x v="0"/>
    <d v="2024-05-24T00:00:00"/>
    <x v="0"/>
    <x v="0"/>
    <n v="2"/>
    <x v="1"/>
    <m/>
    <m/>
    <m/>
    <x v="0"/>
    <m/>
    <x v="0"/>
    <x v="0"/>
    <x v="0"/>
    <x v="0"/>
    <x v="1"/>
    <x v="1"/>
  </r>
  <r>
    <n v="96"/>
    <s v="403703523"/>
    <d v="2024-05-23T00:00:00"/>
    <d v="2024-06-01T00:00:00"/>
    <n v="9"/>
    <n v="88"/>
    <x v="0"/>
    <x v="1"/>
    <x v="1"/>
    <x v="0"/>
    <x v="1"/>
    <x v="1"/>
    <x v="0"/>
    <x v="0"/>
    <x v="1"/>
    <m/>
    <s v="Staphylococcus pettenkoferi"/>
    <x v="1"/>
    <x v="0"/>
    <x v="0"/>
    <x v="1"/>
    <x v="1"/>
    <n v="1"/>
    <d v="2024-05-24T00:00:00"/>
    <d v="2024-05-24T00:00:00"/>
    <n v="0"/>
    <x v="0"/>
    <n v="0"/>
    <n v="0"/>
    <n v="0"/>
    <n v="0"/>
    <n v="0"/>
    <n v="0"/>
    <n v="0"/>
    <n v="0"/>
    <n v="1"/>
    <s v="vanc cefepime"/>
    <x v="1"/>
    <x v="0"/>
    <x v="0"/>
    <x v="0"/>
    <x v="0"/>
    <n v="1"/>
    <x v="0"/>
    <x v="1"/>
    <m/>
    <x v="2"/>
    <x v="2"/>
    <m/>
    <x v="1"/>
    <m/>
    <m/>
    <m/>
    <x v="0"/>
    <m/>
    <x v="0"/>
    <x v="0"/>
    <x v="0"/>
    <x v="0"/>
    <x v="1"/>
    <x v="1"/>
  </r>
  <r>
    <n v="97"/>
    <s v="404513891"/>
    <d v="2024-05-26T00:00:00"/>
    <d v="2024-05-30T00:00:00"/>
    <n v="4"/>
    <n v="96"/>
    <x v="1"/>
    <x v="0"/>
    <x v="1"/>
    <x v="0"/>
    <x v="1"/>
    <x v="1"/>
    <x v="0"/>
    <x v="0"/>
    <x v="1"/>
    <m/>
    <s v="Staphylococcus capitis"/>
    <x v="1"/>
    <x v="0"/>
    <x v="0"/>
    <x v="1"/>
    <x v="1"/>
    <n v="1"/>
    <d v="2024-05-26T00:00:00"/>
    <d v="2024-05-26T00:00:00"/>
    <n v="0"/>
    <x v="0"/>
    <n v="0"/>
    <n v="0"/>
    <n v="0"/>
    <n v="0"/>
    <n v="0"/>
    <n v="0"/>
    <n v="0"/>
    <n v="0"/>
    <n v="1"/>
    <s v="vanc"/>
    <x v="1"/>
    <x v="0"/>
    <x v="0"/>
    <x v="0"/>
    <x v="0"/>
    <n v="1"/>
    <x v="0"/>
    <x v="1"/>
    <m/>
    <x v="2"/>
    <x v="2"/>
    <m/>
    <x v="1"/>
    <m/>
    <m/>
    <m/>
    <x v="0"/>
    <m/>
    <x v="0"/>
    <x v="0"/>
    <x v="0"/>
    <x v="0"/>
    <x v="1"/>
    <x v="1"/>
  </r>
  <r>
    <n v="98"/>
    <s v="405845885"/>
    <d v="2024-05-27T00:00:00"/>
    <d v="2024-06-02T00:00:00"/>
    <n v="6"/>
    <n v="75"/>
    <x v="1"/>
    <x v="1"/>
    <x v="0"/>
    <x v="0"/>
    <x v="1"/>
    <x v="1"/>
    <x v="0"/>
    <x v="0"/>
    <x v="0"/>
    <s v="HFrEF, sev thickened MV AV"/>
    <s v="Staphylococcus epidermidis"/>
    <x v="1"/>
    <x v="0"/>
    <x v="0"/>
    <x v="1"/>
    <x v="1"/>
    <n v="1"/>
    <d v="2024-05-27T00:00:00"/>
    <d v="2024-05-27T00:00:00"/>
    <n v="0"/>
    <x v="0"/>
    <n v="0"/>
    <n v="0"/>
    <n v="0"/>
    <n v="0"/>
    <n v="0"/>
    <n v="0"/>
    <n v="0"/>
    <n v="0"/>
    <n v="1"/>
    <s v="vanc"/>
    <x v="1"/>
    <x v="0"/>
    <x v="0"/>
    <x v="0"/>
    <x v="0"/>
    <n v="1"/>
    <x v="0"/>
    <x v="0"/>
    <d v="2024-05-28T00:00:00"/>
    <x v="0"/>
    <x v="1"/>
    <n v="1"/>
    <x v="1"/>
    <m/>
    <m/>
    <m/>
    <x v="0"/>
    <m/>
    <x v="1"/>
    <x v="0"/>
    <x v="0"/>
    <x v="0"/>
    <x v="1"/>
    <x v="1"/>
  </r>
  <r>
    <n v="99"/>
    <s v="400781570"/>
    <d v="2024-05-27T00:00:00"/>
    <d v="2024-06-10T00:00:00"/>
    <n v="14"/>
    <n v="72"/>
    <x v="0"/>
    <x v="0"/>
    <x v="1"/>
    <x v="0"/>
    <x v="1"/>
    <x v="1"/>
    <x v="0"/>
    <x v="0"/>
    <x v="1"/>
    <m/>
    <s v="Staphylococcus hominis"/>
    <x v="1"/>
    <x v="0"/>
    <x v="0"/>
    <x v="1"/>
    <x v="1"/>
    <n v="1"/>
    <d v="2024-05-27T00:00:00"/>
    <d v="2024-05-27T00:00:00"/>
    <n v="0"/>
    <x v="0"/>
    <n v="0"/>
    <n v="0"/>
    <n v="0"/>
    <n v="0"/>
    <n v="0"/>
    <n v="0"/>
    <n v="0"/>
    <n v="0"/>
    <n v="1"/>
    <s v="vanc"/>
    <x v="1"/>
    <x v="0"/>
    <x v="0"/>
    <x v="0"/>
    <x v="0"/>
    <n v="1"/>
    <x v="0"/>
    <x v="1"/>
    <m/>
    <x v="2"/>
    <x v="2"/>
    <m/>
    <x v="1"/>
    <m/>
    <m/>
    <m/>
    <x v="0"/>
    <m/>
    <x v="0"/>
    <x v="0"/>
    <x v="0"/>
    <x v="0"/>
    <x v="1"/>
    <x v="1"/>
  </r>
  <r>
    <n v="100"/>
    <s v="402116448"/>
    <d v="2024-05-30T00:00:00"/>
    <d v="2024-05-31T00:00:00"/>
    <n v="1"/>
    <n v="39"/>
    <x v="0"/>
    <x v="1"/>
    <x v="1"/>
    <x v="0"/>
    <x v="1"/>
    <x v="1"/>
    <x v="0"/>
    <x v="0"/>
    <x v="1"/>
    <m/>
    <s v="Staphylococcus epidermidis"/>
    <x v="1"/>
    <x v="0"/>
    <x v="0"/>
    <x v="1"/>
    <x v="1"/>
    <n v="1"/>
    <d v="2024-05-30T00:00:00"/>
    <d v="2024-05-30T00:00:00"/>
    <n v="0"/>
    <x v="0"/>
    <n v="0"/>
    <n v="0"/>
    <n v="0"/>
    <n v="0"/>
    <n v="0"/>
    <n v="0"/>
    <n v="0"/>
    <n v="0"/>
    <n v="1"/>
    <s v="ceftriaxone"/>
    <x v="1"/>
    <x v="0"/>
    <x v="0"/>
    <x v="0"/>
    <x v="0"/>
    <n v="1"/>
    <x v="0"/>
    <x v="1"/>
    <m/>
    <x v="2"/>
    <x v="2"/>
    <m/>
    <x v="1"/>
    <m/>
    <m/>
    <m/>
    <x v="0"/>
    <m/>
    <x v="0"/>
    <x v="0"/>
    <x v="0"/>
    <x v="0"/>
    <x v="1"/>
    <x v="1"/>
  </r>
  <r>
    <n v="101"/>
    <s v="403195806"/>
    <d v="2024-04-02T00:00:00"/>
    <d v="2024-04-10T00:00:00"/>
    <n v="8"/>
    <n v="90"/>
    <x v="1"/>
    <x v="0"/>
    <x v="0"/>
    <x v="0"/>
    <x v="1"/>
    <x v="0"/>
    <x v="0"/>
    <x v="0"/>
    <x v="0"/>
    <s v="mod MR"/>
    <s v="Staphylococcus epidermidis"/>
    <x v="1"/>
    <x v="0"/>
    <x v="0"/>
    <x v="1"/>
    <x v="1"/>
    <n v="1"/>
    <d v="2024-04-02T00:00:00"/>
    <d v="2024-04-02T00:00:00"/>
    <n v="0"/>
    <x v="0"/>
    <n v="0"/>
    <n v="0"/>
    <n v="0"/>
    <n v="0"/>
    <n v="0"/>
    <n v="0"/>
    <n v="0"/>
    <n v="0"/>
    <n v="1"/>
    <s v="ampicillin sulb"/>
    <x v="1"/>
    <x v="0"/>
    <x v="0"/>
    <x v="0"/>
    <x v="0"/>
    <n v="1"/>
    <x v="0"/>
    <x v="1"/>
    <m/>
    <x v="2"/>
    <x v="2"/>
    <m/>
    <x v="1"/>
    <m/>
    <m/>
    <m/>
    <x v="0"/>
    <m/>
    <x v="0"/>
    <x v="0"/>
    <x v="0"/>
    <x v="0"/>
    <x v="1"/>
    <x v="0"/>
  </r>
  <r>
    <n v="102"/>
    <s v="400236712"/>
    <d v="2024-04-03T00:00:00"/>
    <d v="2024-04-07T00:00:00"/>
    <n v="4"/>
    <n v="92"/>
    <x v="1"/>
    <x v="0"/>
    <x v="1"/>
    <x v="0"/>
    <x v="1"/>
    <x v="1"/>
    <x v="0"/>
    <x v="0"/>
    <x v="1"/>
    <m/>
    <s v="Staphylococcus epidermidis"/>
    <x v="1"/>
    <x v="0"/>
    <x v="0"/>
    <x v="1"/>
    <x v="1"/>
    <n v="1"/>
    <d v="2024-04-03T00:00:00"/>
    <d v="2024-04-03T00:00:00"/>
    <n v="0"/>
    <x v="0"/>
    <n v="0"/>
    <n v="0"/>
    <n v="0"/>
    <n v="0"/>
    <n v="0"/>
    <n v="0"/>
    <n v="0"/>
    <n v="0"/>
    <n v="1"/>
    <s v="vanc cefepime"/>
    <x v="1"/>
    <x v="0"/>
    <x v="0"/>
    <x v="0"/>
    <x v="0"/>
    <n v="1"/>
    <x v="0"/>
    <x v="1"/>
    <m/>
    <x v="2"/>
    <x v="2"/>
    <m/>
    <x v="1"/>
    <m/>
    <m/>
    <m/>
    <x v="0"/>
    <m/>
    <x v="0"/>
    <x v="0"/>
    <x v="0"/>
    <x v="0"/>
    <x v="1"/>
    <x v="1"/>
  </r>
  <r>
    <n v="103"/>
    <s v="402631279"/>
    <d v="2024-04-08T00:00:00"/>
    <d v="2024-07-15T00:00:00"/>
    <n v="98"/>
    <n v="51"/>
    <x v="0"/>
    <x v="0"/>
    <x v="0"/>
    <x v="0"/>
    <x v="1"/>
    <x v="1"/>
    <x v="1"/>
    <x v="0"/>
    <x v="0"/>
    <s v="HFrEF"/>
    <s v="Staphylococcus epidermidis"/>
    <x v="1"/>
    <x v="0"/>
    <x v="0"/>
    <x v="1"/>
    <x v="1"/>
    <n v="1"/>
    <d v="2024-04-08T00:00:00"/>
    <d v="2024-04-08T00:00:00"/>
    <n v="0"/>
    <x v="1"/>
    <n v="0"/>
    <n v="0"/>
    <n v="1"/>
    <n v="0"/>
    <n v="0"/>
    <n v="0"/>
    <n v="0"/>
    <n v="0"/>
    <n v="1"/>
    <s v="cefazolin"/>
    <x v="1"/>
    <x v="0"/>
    <x v="0"/>
    <x v="0"/>
    <x v="0"/>
    <n v="1"/>
    <x v="0"/>
    <x v="0"/>
    <d v="2024-04-09T00:00:00"/>
    <x v="0"/>
    <x v="0"/>
    <n v="1"/>
    <x v="1"/>
    <m/>
    <m/>
    <m/>
    <x v="0"/>
    <m/>
    <x v="1"/>
    <x v="0"/>
    <x v="0"/>
    <x v="0"/>
    <x v="1"/>
    <x v="1"/>
  </r>
  <r>
    <n v="104"/>
    <s v="405361901"/>
    <d v="2024-04-10T00:00:00"/>
    <d v="2024-04-12T00:00:00"/>
    <n v="2"/>
    <n v="32"/>
    <x v="0"/>
    <x v="0"/>
    <x v="1"/>
    <x v="0"/>
    <x v="1"/>
    <x v="1"/>
    <x v="0"/>
    <x v="0"/>
    <x v="1"/>
    <m/>
    <s v="Staphylococcus epidermidis"/>
    <x v="1"/>
    <x v="0"/>
    <x v="0"/>
    <x v="1"/>
    <x v="1"/>
    <n v="1"/>
    <d v="2024-04-10T00:00:00"/>
    <d v="2024-04-10T00:00:00"/>
    <n v="0"/>
    <x v="0"/>
    <n v="0"/>
    <n v="0"/>
    <n v="0"/>
    <n v="0"/>
    <n v="0"/>
    <n v="0"/>
    <n v="0"/>
    <n v="0"/>
    <n v="0"/>
    <m/>
    <x v="1"/>
    <x v="0"/>
    <x v="0"/>
    <x v="0"/>
    <x v="0"/>
    <n v="1"/>
    <x v="0"/>
    <x v="1"/>
    <m/>
    <x v="2"/>
    <x v="2"/>
    <m/>
    <x v="1"/>
    <m/>
    <m/>
    <m/>
    <x v="0"/>
    <m/>
    <x v="0"/>
    <x v="0"/>
    <x v="0"/>
    <x v="0"/>
    <x v="1"/>
    <x v="1"/>
  </r>
  <r>
    <n v="105"/>
    <s v="400375593"/>
    <d v="2024-04-13T00:00:00"/>
    <d v="2024-04-19T00:00:00"/>
    <n v="6"/>
    <n v="81"/>
    <x v="1"/>
    <x v="0"/>
    <x v="1"/>
    <x v="0"/>
    <x v="1"/>
    <x v="1"/>
    <x v="0"/>
    <x v="0"/>
    <x v="0"/>
    <s v="G1DD"/>
    <s v="Staphylococcus epidermidis"/>
    <x v="1"/>
    <x v="0"/>
    <x v="0"/>
    <x v="1"/>
    <x v="1"/>
    <n v="1"/>
    <d v="2024-04-13T00:00:00"/>
    <d v="2024-04-13T00:00:00"/>
    <n v="0"/>
    <x v="1"/>
    <n v="0"/>
    <n v="0"/>
    <n v="0"/>
    <n v="0"/>
    <n v="0"/>
    <n v="0"/>
    <n v="1"/>
    <n v="0"/>
    <n v="1"/>
    <s v="vanc"/>
    <x v="1"/>
    <x v="0"/>
    <x v="0"/>
    <x v="0"/>
    <x v="0"/>
    <n v="1"/>
    <x v="0"/>
    <x v="0"/>
    <d v="2024-04-17T00:00:00"/>
    <x v="0"/>
    <x v="0"/>
    <n v="4"/>
    <x v="1"/>
    <m/>
    <m/>
    <m/>
    <x v="0"/>
    <m/>
    <x v="0"/>
    <x v="1"/>
    <x v="0"/>
    <x v="0"/>
    <x v="1"/>
    <x v="1"/>
  </r>
  <r>
    <n v="106"/>
    <s v="403146779"/>
    <d v="2024-04-14T00:00:00"/>
    <d v="2024-04-30T00:00:00"/>
    <n v="16"/>
    <n v="66"/>
    <x v="0"/>
    <x v="0"/>
    <x v="1"/>
    <x v="0"/>
    <x v="1"/>
    <x v="1"/>
    <x v="0"/>
    <x v="0"/>
    <x v="1"/>
    <m/>
    <s v="Staphylococcus haemolyticus"/>
    <x v="1"/>
    <x v="0"/>
    <x v="0"/>
    <x v="1"/>
    <x v="0"/>
    <n v="2"/>
    <d v="2024-04-14T00:00:00"/>
    <d v="2024-04-15T00:00:00"/>
    <n v="1"/>
    <x v="0"/>
    <n v="0"/>
    <n v="0"/>
    <n v="0"/>
    <n v="0"/>
    <n v="0"/>
    <n v="0"/>
    <n v="0"/>
    <n v="0"/>
    <n v="1"/>
    <s v="vanc"/>
    <x v="1"/>
    <x v="1"/>
    <x v="0"/>
    <x v="1"/>
    <x v="0"/>
    <n v="0"/>
    <x v="0"/>
    <x v="0"/>
    <d v="2024-04-19T00:00:00"/>
    <x v="0"/>
    <x v="0"/>
    <n v="5"/>
    <x v="1"/>
    <m/>
    <m/>
    <m/>
    <x v="0"/>
    <m/>
    <x v="0"/>
    <x v="0"/>
    <x v="0"/>
    <x v="0"/>
    <x v="1"/>
    <x v="1"/>
  </r>
  <r>
    <n v="107"/>
    <s v="404367607"/>
    <d v="2024-04-16T00:00:00"/>
    <d v="2024-04-19T00:00:00"/>
    <n v="3"/>
    <n v="79"/>
    <x v="0"/>
    <x v="0"/>
    <x v="0"/>
    <x v="0"/>
    <x v="0"/>
    <x v="1"/>
    <x v="0"/>
    <x v="0"/>
    <x v="0"/>
    <s v="G1DD, s/p TAVR"/>
    <s v="Staphylococcus epidermidis"/>
    <x v="1"/>
    <x v="0"/>
    <x v="0"/>
    <x v="1"/>
    <x v="1"/>
    <n v="1"/>
    <d v="2024-04-16T00:00:00"/>
    <d v="2024-04-16T00:00:00"/>
    <n v="0"/>
    <x v="0"/>
    <n v="0"/>
    <n v="0"/>
    <n v="0"/>
    <n v="0"/>
    <n v="0"/>
    <n v="0"/>
    <n v="0"/>
    <n v="0"/>
    <n v="1"/>
    <s v="ceftriaxone"/>
    <x v="1"/>
    <x v="0"/>
    <x v="0"/>
    <x v="0"/>
    <x v="0"/>
    <n v="1"/>
    <x v="0"/>
    <x v="0"/>
    <d v="2024-04-18T00:00:00"/>
    <x v="0"/>
    <x v="0"/>
    <n v="2"/>
    <x v="1"/>
    <m/>
    <m/>
    <m/>
    <x v="0"/>
    <m/>
    <x v="0"/>
    <x v="0"/>
    <x v="0"/>
    <x v="0"/>
    <x v="1"/>
    <x v="0"/>
  </r>
  <r>
    <n v="108"/>
    <s v="04414837"/>
    <d v="2024-04-16T00:00:00"/>
    <d v="2024-04-30T00:00:00"/>
    <n v="14"/>
    <n v="78"/>
    <x v="1"/>
    <x v="0"/>
    <x v="0"/>
    <x v="0"/>
    <x v="0"/>
    <x v="1"/>
    <x v="0"/>
    <x v="0"/>
    <x v="0"/>
    <s v="G2DD, s/p TAVR"/>
    <s v="Staphylococcus epidermidis"/>
    <x v="1"/>
    <x v="0"/>
    <x v="0"/>
    <x v="1"/>
    <x v="0"/>
    <n v="4"/>
    <d v="2024-04-16T00:00:00"/>
    <d v="2024-04-22T00:00:00"/>
    <n v="6"/>
    <x v="0"/>
    <n v="0"/>
    <n v="0"/>
    <n v="0"/>
    <n v="0"/>
    <n v="0"/>
    <n v="0"/>
    <n v="0"/>
    <n v="0"/>
    <n v="1"/>
    <s v="vanc"/>
    <x v="0"/>
    <x v="1"/>
    <x v="0"/>
    <x v="1"/>
    <x v="0"/>
    <n v="0"/>
    <x v="0"/>
    <x v="0"/>
    <d v="2024-04-17T00:00:00"/>
    <x v="0"/>
    <x v="1"/>
    <n v="1"/>
    <x v="0"/>
    <d v="2024-04-22T00:00:00"/>
    <n v="1"/>
    <n v="1"/>
    <x v="1"/>
    <n v="6"/>
    <x v="0"/>
    <x v="0"/>
    <x v="0"/>
    <x v="1"/>
    <x v="0"/>
    <x v="0"/>
  </r>
  <r>
    <n v="109"/>
    <s v="408275193"/>
    <d v="2024-03-14T00:00:00"/>
    <d v="2024-05-08T00:00:00"/>
    <n v="55"/>
    <n v="38"/>
    <x v="0"/>
    <x v="0"/>
    <x v="1"/>
    <x v="0"/>
    <x v="1"/>
    <x v="1"/>
    <x v="0"/>
    <x v="0"/>
    <x v="1"/>
    <m/>
    <s v="Staphylococcus epidermidis"/>
    <x v="1"/>
    <x v="0"/>
    <x v="0"/>
    <x v="1"/>
    <x v="1"/>
    <n v="1"/>
    <d v="2024-04-18T00:00:00"/>
    <d v="2024-04-18T00:00:00"/>
    <n v="0"/>
    <x v="0"/>
    <n v="0"/>
    <n v="0"/>
    <n v="0"/>
    <n v="0"/>
    <n v="0"/>
    <n v="0"/>
    <n v="0"/>
    <n v="0"/>
    <n v="1"/>
    <s v="vanc"/>
    <x v="1"/>
    <x v="1"/>
    <x v="0"/>
    <x v="1"/>
    <x v="0"/>
    <n v="0"/>
    <x v="0"/>
    <x v="1"/>
    <m/>
    <x v="2"/>
    <x v="2"/>
    <m/>
    <x v="1"/>
    <m/>
    <m/>
    <m/>
    <x v="0"/>
    <m/>
    <x v="1"/>
    <x v="0"/>
    <x v="0"/>
    <x v="0"/>
    <x v="1"/>
    <x v="1"/>
  </r>
  <r>
    <n v="110"/>
    <s v="403164631"/>
    <d v="2024-04-20T00:00:00"/>
    <d v="2024-04-26T00:00:00"/>
    <n v="6"/>
    <n v="86"/>
    <x v="1"/>
    <x v="0"/>
    <x v="1"/>
    <x v="0"/>
    <x v="1"/>
    <x v="1"/>
    <x v="0"/>
    <x v="0"/>
    <x v="1"/>
    <m/>
    <s v="Staphylococcus hominis"/>
    <x v="1"/>
    <x v="0"/>
    <x v="0"/>
    <x v="1"/>
    <x v="1"/>
    <n v="1"/>
    <d v="2024-04-20T00:00:00"/>
    <d v="2024-04-20T00:00:00"/>
    <n v="0"/>
    <x v="0"/>
    <n v="0"/>
    <n v="0"/>
    <n v="0"/>
    <n v="0"/>
    <n v="0"/>
    <n v="0"/>
    <n v="0"/>
    <n v="0"/>
    <n v="1"/>
    <s v="vanc"/>
    <x v="1"/>
    <x v="1"/>
    <x v="0"/>
    <x v="1"/>
    <x v="0"/>
    <n v="0"/>
    <x v="0"/>
    <x v="1"/>
    <m/>
    <x v="2"/>
    <x v="2"/>
    <m/>
    <x v="1"/>
    <m/>
    <m/>
    <m/>
    <x v="0"/>
    <m/>
    <x v="0"/>
    <x v="0"/>
    <x v="0"/>
    <x v="0"/>
    <x v="1"/>
    <x v="1"/>
  </r>
  <r>
    <n v="111"/>
    <s v="400834027"/>
    <d v="2024-04-23T00:00:00"/>
    <d v="2024-05-01T00:00:00"/>
    <n v="8"/>
    <n v="58"/>
    <x v="1"/>
    <x v="0"/>
    <x v="0"/>
    <x v="0"/>
    <x v="1"/>
    <x v="1"/>
    <x v="0"/>
    <x v="0"/>
    <x v="0"/>
    <s v="G1DD, mod TR"/>
    <s v="Staphylococcus haemolyticus"/>
    <x v="1"/>
    <x v="0"/>
    <x v="0"/>
    <x v="1"/>
    <x v="1"/>
    <n v="1"/>
    <d v="2024-04-23T00:00:00"/>
    <d v="2024-04-23T00:00:00"/>
    <n v="0"/>
    <x v="0"/>
    <n v="0"/>
    <n v="0"/>
    <n v="0"/>
    <n v="0"/>
    <n v="0"/>
    <n v="0"/>
    <n v="0"/>
    <n v="0"/>
    <n v="1"/>
    <s v="vanc"/>
    <x v="1"/>
    <x v="0"/>
    <x v="0"/>
    <x v="0"/>
    <x v="0"/>
    <n v="1"/>
    <x v="0"/>
    <x v="1"/>
    <m/>
    <x v="2"/>
    <x v="2"/>
    <m/>
    <x v="1"/>
    <m/>
    <m/>
    <m/>
    <x v="0"/>
    <m/>
    <x v="0"/>
    <x v="0"/>
    <x v="0"/>
    <x v="0"/>
    <x v="1"/>
    <x v="1"/>
  </r>
  <r>
    <n v="112"/>
    <s v="402102656"/>
    <d v="2024-04-24T00:00:00"/>
    <d v="2024-04-30T00:00:00"/>
    <n v="6"/>
    <n v="28"/>
    <x v="0"/>
    <x v="0"/>
    <x v="1"/>
    <x v="0"/>
    <x v="1"/>
    <x v="1"/>
    <x v="0"/>
    <x v="0"/>
    <x v="1"/>
    <m/>
    <s v="Staphylococcus capitis"/>
    <x v="1"/>
    <x v="0"/>
    <x v="0"/>
    <x v="1"/>
    <x v="1"/>
    <n v="1"/>
    <d v="2024-04-24T00:00:00"/>
    <d v="2024-04-24T00:00:00"/>
    <n v="0"/>
    <x v="0"/>
    <n v="0"/>
    <n v="0"/>
    <n v="0"/>
    <n v="0"/>
    <n v="0"/>
    <n v="0"/>
    <n v="0"/>
    <n v="0"/>
    <n v="1"/>
    <s v="vanc"/>
    <x v="1"/>
    <x v="0"/>
    <x v="0"/>
    <x v="0"/>
    <x v="0"/>
    <n v="1"/>
    <x v="0"/>
    <x v="1"/>
    <m/>
    <x v="2"/>
    <x v="2"/>
    <m/>
    <x v="1"/>
    <m/>
    <m/>
    <m/>
    <x v="0"/>
    <m/>
    <x v="0"/>
    <x v="0"/>
    <x v="0"/>
    <x v="0"/>
    <x v="1"/>
    <x v="1"/>
  </r>
  <r>
    <n v="113"/>
    <s v="00813162"/>
    <d v="2024-04-25T00:00:00"/>
    <d v="2024-05-19T00:00:00"/>
    <n v="24"/>
    <n v="89"/>
    <x v="1"/>
    <x v="1"/>
    <x v="1"/>
    <x v="0"/>
    <x v="1"/>
    <x v="1"/>
    <x v="0"/>
    <x v="0"/>
    <x v="1"/>
    <m/>
    <s v="Staphylococcus hominis"/>
    <x v="1"/>
    <x v="0"/>
    <x v="0"/>
    <x v="1"/>
    <x v="1"/>
    <n v="1"/>
    <d v="2024-04-25T00:00:00"/>
    <d v="2024-04-25T00:00:00"/>
    <n v="0"/>
    <x v="0"/>
    <n v="0"/>
    <n v="0"/>
    <n v="0"/>
    <n v="0"/>
    <n v="0"/>
    <n v="0"/>
    <n v="0"/>
    <n v="0"/>
    <n v="1"/>
    <s v="cefepime"/>
    <x v="1"/>
    <x v="0"/>
    <x v="0"/>
    <x v="0"/>
    <x v="0"/>
    <n v="1"/>
    <x v="0"/>
    <x v="0"/>
    <d v="2024-05-07T00:00:00"/>
    <x v="0"/>
    <x v="1"/>
    <n v="12"/>
    <x v="1"/>
    <m/>
    <m/>
    <m/>
    <x v="0"/>
    <m/>
    <x v="0"/>
    <x v="0"/>
    <x v="0"/>
    <x v="0"/>
    <x v="1"/>
    <x v="1"/>
  </r>
  <r>
    <n v="114"/>
    <s v="404712166"/>
    <d v="2024-04-26T00:00:00"/>
    <d v="2024-05-17T00:00:00"/>
    <n v="21"/>
    <n v="88"/>
    <x v="1"/>
    <x v="0"/>
    <x v="0"/>
    <x v="0"/>
    <x v="1"/>
    <x v="0"/>
    <x v="0"/>
    <x v="0"/>
    <x v="0"/>
    <s v="mod TR"/>
    <s v="Staphylococcus epidermidis"/>
    <x v="1"/>
    <x v="0"/>
    <x v="0"/>
    <x v="1"/>
    <x v="1"/>
    <n v="1"/>
    <d v="2024-04-26T00:00:00"/>
    <d v="2024-04-26T00:00:00"/>
    <n v="0"/>
    <x v="0"/>
    <n v="0"/>
    <n v="0"/>
    <n v="0"/>
    <n v="0"/>
    <n v="0"/>
    <n v="0"/>
    <n v="0"/>
    <n v="0"/>
    <n v="1"/>
    <s v="vanc meropenem"/>
    <x v="1"/>
    <x v="0"/>
    <x v="0"/>
    <x v="0"/>
    <x v="0"/>
    <n v="1"/>
    <x v="1"/>
    <x v="0"/>
    <d v="2024-05-07T00:00:00"/>
    <x v="0"/>
    <x v="1"/>
    <n v="11"/>
    <x v="1"/>
    <m/>
    <m/>
    <m/>
    <x v="0"/>
    <m/>
    <x v="0"/>
    <x v="0"/>
    <x v="1"/>
    <x v="0"/>
    <x v="1"/>
    <x v="0"/>
  </r>
  <r>
    <n v="115"/>
    <s v="402034372"/>
    <d v="2024-04-27T00:00:00"/>
    <d v="2024-05-01T00:00:00"/>
    <n v="4"/>
    <n v="43"/>
    <x v="1"/>
    <x v="0"/>
    <x v="0"/>
    <x v="0"/>
    <x v="1"/>
    <x v="1"/>
    <x v="0"/>
    <x v="0"/>
    <x v="0"/>
    <s v="MVP s/p repair"/>
    <s v="Staphylococcus capitis"/>
    <x v="1"/>
    <x v="0"/>
    <x v="0"/>
    <x v="1"/>
    <x v="1"/>
    <n v="1"/>
    <d v="2024-04-27T00:00:00"/>
    <d v="2024-04-27T00:00:00"/>
    <n v="0"/>
    <x v="0"/>
    <n v="0"/>
    <n v="0"/>
    <n v="0"/>
    <n v="0"/>
    <n v="0"/>
    <n v="0"/>
    <n v="0"/>
    <n v="0"/>
    <n v="1"/>
    <s v="vanc"/>
    <x v="1"/>
    <x v="0"/>
    <x v="0"/>
    <x v="0"/>
    <x v="0"/>
    <n v="1"/>
    <x v="0"/>
    <x v="0"/>
    <d v="2024-04-29T00:00:00"/>
    <x v="0"/>
    <x v="0"/>
    <n v="2"/>
    <x v="1"/>
    <m/>
    <m/>
    <m/>
    <x v="0"/>
    <m/>
    <x v="0"/>
    <x v="0"/>
    <x v="0"/>
    <x v="0"/>
    <x v="1"/>
    <x v="1"/>
  </r>
  <r>
    <n v="116"/>
    <s v="00832038"/>
    <d v="2024-04-30T00:00:00"/>
    <d v="2024-05-07T00:00:00"/>
    <n v="7"/>
    <n v="92"/>
    <x v="0"/>
    <x v="0"/>
    <x v="1"/>
    <x v="0"/>
    <x v="1"/>
    <x v="1"/>
    <x v="0"/>
    <x v="0"/>
    <x v="1"/>
    <m/>
    <s v="Staphylococcus capitis"/>
    <x v="1"/>
    <x v="0"/>
    <x v="0"/>
    <x v="1"/>
    <x v="1"/>
    <n v="1"/>
    <d v="2024-04-30T00:00:00"/>
    <d v="2024-04-30T00:00:00"/>
    <n v="0"/>
    <x v="0"/>
    <n v="0"/>
    <n v="0"/>
    <n v="0"/>
    <n v="0"/>
    <n v="0"/>
    <n v="0"/>
    <n v="0"/>
    <n v="0"/>
    <n v="1"/>
    <s v="vanc cefepime"/>
    <x v="1"/>
    <x v="0"/>
    <x v="0"/>
    <x v="0"/>
    <x v="0"/>
    <n v="1"/>
    <x v="0"/>
    <x v="1"/>
    <m/>
    <x v="2"/>
    <x v="2"/>
    <m/>
    <x v="1"/>
    <m/>
    <m/>
    <m/>
    <x v="0"/>
    <m/>
    <x v="0"/>
    <x v="0"/>
    <x v="0"/>
    <x v="0"/>
    <x v="1"/>
    <x v="1"/>
  </r>
  <r>
    <n v="117"/>
    <s v="404501859"/>
    <d v="2024-03-01T00:00:00"/>
    <d v="2024-03-08T00:00:00"/>
    <n v="7"/>
    <n v="82"/>
    <x v="1"/>
    <x v="0"/>
    <x v="1"/>
    <x v="0"/>
    <x v="1"/>
    <x v="1"/>
    <x v="0"/>
    <x v="0"/>
    <x v="1"/>
    <m/>
    <s v="Staphylococcus capitis"/>
    <x v="1"/>
    <x v="0"/>
    <x v="0"/>
    <x v="1"/>
    <x v="1"/>
    <n v="1"/>
    <d v="2024-03-01T00:00:00"/>
    <d v="2024-03-01T00:00:00"/>
    <n v="0"/>
    <x v="0"/>
    <n v="0"/>
    <n v="0"/>
    <n v="0"/>
    <n v="0"/>
    <n v="0"/>
    <n v="0"/>
    <n v="0"/>
    <n v="0"/>
    <n v="1"/>
    <s v="ceftriaxone"/>
    <x v="1"/>
    <x v="0"/>
    <x v="0"/>
    <x v="0"/>
    <x v="0"/>
    <n v="1"/>
    <x v="0"/>
    <x v="1"/>
    <m/>
    <x v="2"/>
    <x v="2"/>
    <m/>
    <x v="1"/>
    <m/>
    <m/>
    <m/>
    <x v="0"/>
    <m/>
    <x v="0"/>
    <x v="0"/>
    <x v="0"/>
    <x v="0"/>
    <x v="1"/>
    <x v="1"/>
  </r>
  <r>
    <n v="118"/>
    <s v="404928544"/>
    <d v="2024-03-02T00:00:00"/>
    <d v="2024-03-09T00:00:00"/>
    <n v="7"/>
    <n v="44"/>
    <x v="1"/>
    <x v="1"/>
    <x v="0"/>
    <x v="0"/>
    <x v="1"/>
    <x v="1"/>
    <x v="1"/>
    <x v="0"/>
    <x v="1"/>
    <m/>
    <s v="Staphylococcus hominis"/>
    <x v="1"/>
    <x v="0"/>
    <x v="0"/>
    <x v="1"/>
    <x v="1"/>
    <n v="1"/>
    <d v="2024-03-02T00:00:00"/>
    <d v="2024-03-02T00:00:00"/>
    <n v="0"/>
    <x v="0"/>
    <n v="0"/>
    <n v="0"/>
    <n v="0"/>
    <n v="0"/>
    <n v="0"/>
    <n v="0"/>
    <n v="0"/>
    <n v="0"/>
    <n v="1"/>
    <s v="vanc"/>
    <x v="1"/>
    <x v="1"/>
    <x v="0"/>
    <x v="1"/>
    <x v="0"/>
    <n v="0"/>
    <x v="0"/>
    <x v="1"/>
    <m/>
    <x v="2"/>
    <x v="2"/>
    <m/>
    <x v="1"/>
    <m/>
    <m/>
    <m/>
    <x v="0"/>
    <m/>
    <x v="0"/>
    <x v="0"/>
    <x v="0"/>
    <x v="0"/>
    <x v="1"/>
    <x v="1"/>
  </r>
  <r>
    <n v="119"/>
    <s v="38217733"/>
    <d v="2024-03-03T00:00:00"/>
    <d v="2024-03-14T00:00:00"/>
    <n v="11"/>
    <n v="65"/>
    <x v="0"/>
    <x v="0"/>
    <x v="1"/>
    <x v="0"/>
    <x v="1"/>
    <x v="1"/>
    <x v="0"/>
    <x v="0"/>
    <x v="1"/>
    <m/>
    <s v="Staphylococcus epidermidis"/>
    <x v="1"/>
    <x v="0"/>
    <x v="0"/>
    <x v="1"/>
    <x v="1"/>
    <n v="1"/>
    <d v="2024-03-03T00:00:00"/>
    <d v="2024-03-03T00:00:00"/>
    <n v="0"/>
    <x v="0"/>
    <n v="0"/>
    <n v="0"/>
    <n v="0"/>
    <n v="0"/>
    <n v="0"/>
    <n v="0"/>
    <n v="0"/>
    <n v="0"/>
    <n v="1"/>
    <s v="doxycycline"/>
    <x v="1"/>
    <x v="0"/>
    <x v="0"/>
    <x v="0"/>
    <x v="0"/>
    <n v="1"/>
    <x v="0"/>
    <x v="0"/>
    <d v="2024-03-06T00:00:00"/>
    <x v="0"/>
    <x v="0"/>
    <n v="3"/>
    <x v="1"/>
    <m/>
    <m/>
    <m/>
    <x v="0"/>
    <m/>
    <x v="0"/>
    <x v="0"/>
    <x v="0"/>
    <x v="0"/>
    <x v="1"/>
    <x v="1"/>
  </r>
  <r>
    <n v="120"/>
    <s v="03497963"/>
    <d v="2024-03-03T00:00:00"/>
    <d v="2024-03-07T00:00:00"/>
    <n v="4"/>
    <n v="77"/>
    <x v="1"/>
    <x v="1"/>
    <x v="1"/>
    <x v="0"/>
    <x v="1"/>
    <x v="1"/>
    <x v="0"/>
    <x v="0"/>
    <x v="1"/>
    <m/>
    <s v="Staphylococcus capitis"/>
    <x v="1"/>
    <x v="0"/>
    <x v="0"/>
    <x v="1"/>
    <x v="1"/>
    <n v="1"/>
    <d v="2024-03-03T00:00:00"/>
    <d v="2024-03-03T00:00:00"/>
    <n v="0"/>
    <x v="0"/>
    <n v="0"/>
    <n v="0"/>
    <n v="0"/>
    <n v="0"/>
    <n v="0"/>
    <n v="0"/>
    <n v="0"/>
    <n v="0"/>
    <n v="1"/>
    <s v="vanc"/>
    <x v="1"/>
    <x v="1"/>
    <x v="0"/>
    <x v="1"/>
    <x v="0"/>
    <n v="0"/>
    <x v="0"/>
    <x v="0"/>
    <d v="2024-03-06T00:00:00"/>
    <x v="0"/>
    <x v="0"/>
    <n v="3"/>
    <x v="1"/>
    <m/>
    <m/>
    <m/>
    <x v="0"/>
    <m/>
    <x v="0"/>
    <x v="0"/>
    <x v="0"/>
    <x v="0"/>
    <x v="1"/>
    <x v="1"/>
  </r>
  <r>
    <n v="121"/>
    <s v="403218530"/>
    <d v="2024-03-05T00:00:00"/>
    <d v="2024-03-12T00:00:00"/>
    <n v="7"/>
    <n v="70"/>
    <x v="0"/>
    <x v="0"/>
    <x v="1"/>
    <x v="0"/>
    <x v="1"/>
    <x v="1"/>
    <x v="0"/>
    <x v="0"/>
    <x v="1"/>
    <m/>
    <s v="Staphylococcus epidermidis"/>
    <x v="1"/>
    <x v="0"/>
    <x v="0"/>
    <x v="1"/>
    <x v="1"/>
    <n v="1"/>
    <d v="2024-03-05T00:00:00"/>
    <d v="2024-03-05T00:00:00"/>
    <n v="0"/>
    <x v="0"/>
    <n v="0"/>
    <n v="0"/>
    <n v="0"/>
    <n v="0"/>
    <n v="0"/>
    <n v="0"/>
    <n v="0"/>
    <n v="0"/>
    <n v="1"/>
    <s v="vanc cefepime"/>
    <x v="1"/>
    <x v="0"/>
    <x v="0"/>
    <x v="0"/>
    <x v="0"/>
    <n v="1"/>
    <x v="0"/>
    <x v="0"/>
    <d v="2024-03-11T00:00:00"/>
    <x v="0"/>
    <x v="1"/>
    <n v="6"/>
    <x v="1"/>
    <m/>
    <m/>
    <m/>
    <x v="0"/>
    <m/>
    <x v="0"/>
    <x v="0"/>
    <x v="0"/>
    <x v="0"/>
    <x v="1"/>
    <x v="1"/>
  </r>
  <r>
    <n v="122"/>
    <s v="402128828"/>
    <d v="2024-03-06T00:00:00"/>
    <d v="2024-03-09T00:00:00"/>
    <n v="3"/>
    <n v="70"/>
    <x v="0"/>
    <x v="1"/>
    <x v="1"/>
    <x v="0"/>
    <x v="1"/>
    <x v="1"/>
    <x v="0"/>
    <x v="0"/>
    <x v="1"/>
    <m/>
    <s v="Staphylococcus hominis"/>
    <x v="1"/>
    <x v="0"/>
    <x v="0"/>
    <x v="1"/>
    <x v="1"/>
    <n v="1"/>
    <d v="2024-03-06T00:00:00"/>
    <d v="2024-03-06T00:00:00"/>
    <n v="0"/>
    <x v="0"/>
    <n v="0"/>
    <n v="0"/>
    <n v="0"/>
    <n v="0"/>
    <n v="0"/>
    <n v="0"/>
    <n v="0"/>
    <n v="0"/>
    <n v="1"/>
    <s v="ceftriaxone"/>
    <x v="1"/>
    <x v="0"/>
    <x v="0"/>
    <x v="0"/>
    <x v="0"/>
    <n v="1"/>
    <x v="0"/>
    <x v="1"/>
    <m/>
    <x v="2"/>
    <x v="2"/>
    <m/>
    <x v="1"/>
    <m/>
    <m/>
    <m/>
    <x v="0"/>
    <m/>
    <x v="0"/>
    <x v="0"/>
    <x v="0"/>
    <x v="0"/>
    <x v="1"/>
    <x v="1"/>
  </r>
  <r>
    <n v="123"/>
    <s v="03829259"/>
    <d v="2024-03-08T00:00:00"/>
    <d v="2024-03-11T00:00:00"/>
    <n v="3"/>
    <n v="75"/>
    <x v="0"/>
    <x v="1"/>
    <x v="0"/>
    <x v="0"/>
    <x v="1"/>
    <x v="1"/>
    <x v="0"/>
    <x v="0"/>
    <x v="0"/>
    <s v="G1DD"/>
    <s v="Staphylococcus hominis"/>
    <x v="1"/>
    <x v="0"/>
    <x v="0"/>
    <x v="1"/>
    <x v="1"/>
    <n v="1"/>
    <d v="2024-03-08T00:00:00"/>
    <d v="2024-03-08T00:00:00"/>
    <n v="0"/>
    <x v="0"/>
    <n v="0"/>
    <n v="0"/>
    <n v="0"/>
    <n v="0"/>
    <n v="0"/>
    <n v="0"/>
    <n v="0"/>
    <n v="0"/>
    <n v="1"/>
    <s v="ceftriaxone"/>
    <x v="1"/>
    <x v="0"/>
    <x v="0"/>
    <x v="0"/>
    <x v="0"/>
    <n v="1"/>
    <x v="0"/>
    <x v="0"/>
    <d v="2024-03-10T00:00:00"/>
    <x v="0"/>
    <x v="1"/>
    <n v="2"/>
    <x v="1"/>
    <m/>
    <m/>
    <m/>
    <x v="0"/>
    <m/>
    <x v="0"/>
    <x v="0"/>
    <x v="0"/>
    <x v="0"/>
    <x v="1"/>
    <x v="1"/>
  </r>
  <r>
    <n v="124"/>
    <s v="02017159"/>
    <d v="2024-03-08T00:00:00"/>
    <d v="2024-03-11T00:00:00"/>
    <n v="3"/>
    <n v="60"/>
    <x v="1"/>
    <x v="1"/>
    <x v="1"/>
    <x v="0"/>
    <x v="1"/>
    <x v="1"/>
    <x v="0"/>
    <x v="0"/>
    <x v="1"/>
    <m/>
    <s v="Staphylococcus hominis"/>
    <x v="1"/>
    <x v="0"/>
    <x v="0"/>
    <x v="1"/>
    <x v="1"/>
    <n v="1"/>
    <d v="2024-03-08T00:00:00"/>
    <d v="2024-03-08T00:00:00"/>
    <n v="0"/>
    <x v="0"/>
    <n v="0"/>
    <n v="0"/>
    <n v="0"/>
    <n v="0"/>
    <n v="0"/>
    <n v="0"/>
    <n v="0"/>
    <n v="0"/>
    <n v="1"/>
    <s v="ceftriaxone"/>
    <x v="1"/>
    <x v="0"/>
    <x v="0"/>
    <x v="0"/>
    <x v="0"/>
    <n v="1"/>
    <x v="0"/>
    <x v="1"/>
    <m/>
    <x v="2"/>
    <x v="2"/>
    <m/>
    <x v="1"/>
    <m/>
    <m/>
    <m/>
    <x v="0"/>
    <m/>
    <x v="0"/>
    <x v="0"/>
    <x v="0"/>
    <x v="0"/>
    <x v="1"/>
    <x v="1"/>
  </r>
  <r>
    <n v="125"/>
    <s v="408179822"/>
    <d v="2024-03-10T00:00:00"/>
    <d v="2024-03-22T00:00:00"/>
    <n v="12"/>
    <n v="71"/>
    <x v="0"/>
    <x v="0"/>
    <x v="0"/>
    <x v="0"/>
    <x v="1"/>
    <x v="1"/>
    <x v="1"/>
    <x v="0"/>
    <x v="1"/>
    <m/>
    <s v="Staphylococcus epidermidis"/>
    <x v="1"/>
    <x v="0"/>
    <x v="0"/>
    <x v="1"/>
    <x v="1"/>
    <n v="1"/>
    <d v="2024-03-10T00:00:00"/>
    <d v="2024-03-10T00:00:00"/>
    <n v="0"/>
    <x v="1"/>
    <n v="0"/>
    <n v="0"/>
    <n v="1"/>
    <n v="0"/>
    <n v="0"/>
    <n v="0"/>
    <n v="0"/>
    <n v="0"/>
    <n v="1"/>
    <s v="linezolid levofloxacin"/>
    <x v="1"/>
    <x v="1"/>
    <x v="0"/>
    <x v="1"/>
    <x v="0"/>
    <n v="0"/>
    <x v="0"/>
    <x v="0"/>
    <d v="2024-03-11T00:00:00"/>
    <x v="0"/>
    <x v="0"/>
    <n v="1"/>
    <x v="1"/>
    <m/>
    <m/>
    <m/>
    <x v="0"/>
    <m/>
    <x v="0"/>
    <x v="0"/>
    <x v="0"/>
    <x v="0"/>
    <x v="1"/>
    <x v="1"/>
  </r>
  <r>
    <n v="126"/>
    <s v="403192947"/>
    <d v="2024-03-11T00:00:00"/>
    <d v="2024-03-16T00:00:00"/>
    <n v="5"/>
    <n v="80"/>
    <x v="1"/>
    <x v="0"/>
    <x v="0"/>
    <x v="0"/>
    <x v="1"/>
    <x v="1"/>
    <x v="0"/>
    <x v="0"/>
    <x v="0"/>
    <s v="G1DD"/>
    <s v="Staphylococcus hominis"/>
    <x v="1"/>
    <x v="0"/>
    <x v="0"/>
    <x v="1"/>
    <x v="1"/>
    <n v="1"/>
    <d v="2024-03-11T00:00:00"/>
    <d v="2024-03-11T00:00:00"/>
    <n v="0"/>
    <x v="0"/>
    <n v="0"/>
    <n v="0"/>
    <n v="0"/>
    <n v="0"/>
    <n v="0"/>
    <n v="0"/>
    <n v="0"/>
    <n v="0"/>
    <n v="1"/>
    <s v="cefuroxime"/>
    <x v="1"/>
    <x v="1"/>
    <x v="0"/>
    <x v="1"/>
    <x v="0"/>
    <n v="0"/>
    <x v="1"/>
    <x v="0"/>
    <d v="2024-03-15T00:00:00"/>
    <x v="0"/>
    <x v="0"/>
    <n v="4"/>
    <x v="1"/>
    <m/>
    <m/>
    <m/>
    <x v="0"/>
    <m/>
    <x v="0"/>
    <x v="0"/>
    <x v="1"/>
    <x v="0"/>
    <x v="1"/>
    <x v="1"/>
  </r>
  <r>
    <n v="127"/>
    <s v="402102847"/>
    <d v="2024-03-11T00:00:00"/>
    <d v="2024-03-19T00:00:00"/>
    <n v="8"/>
    <n v="61"/>
    <x v="0"/>
    <x v="1"/>
    <x v="1"/>
    <x v="0"/>
    <x v="1"/>
    <x v="1"/>
    <x v="0"/>
    <x v="0"/>
    <x v="1"/>
    <m/>
    <s v="Staphylococcus hominis"/>
    <x v="1"/>
    <x v="0"/>
    <x v="0"/>
    <x v="1"/>
    <x v="1"/>
    <n v="1"/>
    <d v="2024-03-11T00:00:00"/>
    <d v="2024-03-11T00:00:00"/>
    <n v="0"/>
    <x v="0"/>
    <n v="0"/>
    <n v="0"/>
    <n v="0"/>
    <n v="0"/>
    <n v="0"/>
    <n v="0"/>
    <n v="0"/>
    <n v="0"/>
    <n v="1"/>
    <s v="cefepime"/>
    <x v="1"/>
    <x v="1"/>
    <x v="0"/>
    <x v="1"/>
    <x v="0"/>
    <n v="0"/>
    <x v="0"/>
    <x v="0"/>
    <d v="2024-03-13T00:00:00"/>
    <x v="0"/>
    <x v="0"/>
    <n v="2"/>
    <x v="1"/>
    <m/>
    <m/>
    <m/>
    <x v="0"/>
    <m/>
    <x v="0"/>
    <x v="0"/>
    <x v="0"/>
    <x v="0"/>
    <x v="1"/>
    <x v="1"/>
  </r>
  <r>
    <n v="128"/>
    <s v="00640864"/>
    <d v="2024-03-14T00:00:00"/>
    <d v="2024-03-26T00:00:00"/>
    <n v="12"/>
    <n v="54"/>
    <x v="0"/>
    <x v="0"/>
    <x v="0"/>
    <x v="0"/>
    <x v="1"/>
    <x v="1"/>
    <x v="1"/>
    <x v="0"/>
    <x v="1"/>
    <m/>
    <s v="Staphylococcus epidermidis"/>
    <x v="1"/>
    <x v="0"/>
    <x v="0"/>
    <x v="1"/>
    <x v="1"/>
    <n v="1"/>
    <d v="2024-03-14T00:00:00"/>
    <d v="2024-03-14T00:00:00"/>
    <n v="0"/>
    <x v="1"/>
    <n v="0"/>
    <n v="0"/>
    <n v="1"/>
    <n v="0"/>
    <n v="0"/>
    <n v="0"/>
    <n v="0"/>
    <n v="0"/>
    <n v="1"/>
    <s v="Daptomycin"/>
    <x v="1"/>
    <x v="1"/>
    <x v="0"/>
    <x v="1"/>
    <x v="0"/>
    <n v="0"/>
    <x v="0"/>
    <x v="0"/>
    <d v="2024-03-19T00:00:00"/>
    <x v="0"/>
    <x v="0"/>
    <n v="5"/>
    <x v="1"/>
    <m/>
    <m/>
    <m/>
    <x v="0"/>
    <m/>
    <x v="0"/>
    <x v="0"/>
    <x v="0"/>
    <x v="0"/>
    <x v="1"/>
    <x v="1"/>
  </r>
  <r>
    <n v="129"/>
    <s v="404756767"/>
    <d v="2024-03-14T00:00:00"/>
    <d v="2024-03-27T00:00:00"/>
    <n v="13"/>
    <n v="74"/>
    <x v="0"/>
    <x v="0"/>
    <x v="1"/>
    <x v="0"/>
    <x v="1"/>
    <x v="1"/>
    <x v="0"/>
    <x v="0"/>
    <x v="1"/>
    <m/>
    <s v="Staphylococcus epidermidis"/>
    <x v="1"/>
    <x v="0"/>
    <x v="0"/>
    <x v="1"/>
    <x v="1"/>
    <n v="1"/>
    <d v="2024-03-14T00:00:00"/>
    <d v="2024-03-14T00:00:00"/>
    <n v="0"/>
    <x v="0"/>
    <n v="0"/>
    <n v="0"/>
    <n v="0"/>
    <n v="0"/>
    <n v="0"/>
    <n v="0"/>
    <n v="0"/>
    <n v="0"/>
    <n v="1"/>
    <s v="vanc cefepime"/>
    <x v="1"/>
    <x v="0"/>
    <x v="0"/>
    <x v="0"/>
    <x v="0"/>
    <n v="1"/>
    <x v="1"/>
    <x v="1"/>
    <m/>
    <x v="2"/>
    <x v="2"/>
    <m/>
    <x v="1"/>
    <m/>
    <m/>
    <m/>
    <x v="0"/>
    <m/>
    <x v="0"/>
    <x v="0"/>
    <x v="1"/>
    <x v="0"/>
    <x v="1"/>
    <x v="1"/>
  </r>
  <r>
    <n v="130"/>
    <s v="404517429"/>
    <d v="2024-03-16T00:00:00"/>
    <d v="2024-03-19T00:00:00"/>
    <n v="3"/>
    <n v="53"/>
    <x v="0"/>
    <x v="2"/>
    <x v="1"/>
    <x v="0"/>
    <x v="1"/>
    <x v="1"/>
    <x v="0"/>
    <x v="0"/>
    <x v="1"/>
    <m/>
    <s v="Staphylococcus epidermidis"/>
    <x v="1"/>
    <x v="0"/>
    <x v="0"/>
    <x v="1"/>
    <x v="1"/>
    <n v="1"/>
    <d v="2024-03-16T00:00:00"/>
    <d v="2024-03-16T00:00:00"/>
    <n v="0"/>
    <x v="0"/>
    <n v="0"/>
    <n v="0"/>
    <n v="0"/>
    <n v="0"/>
    <n v="0"/>
    <n v="0"/>
    <n v="0"/>
    <n v="0"/>
    <n v="1"/>
    <s v="ceftriaxone"/>
    <x v="1"/>
    <x v="0"/>
    <x v="0"/>
    <x v="0"/>
    <x v="0"/>
    <n v="1"/>
    <x v="0"/>
    <x v="1"/>
    <m/>
    <x v="2"/>
    <x v="2"/>
    <m/>
    <x v="1"/>
    <m/>
    <m/>
    <m/>
    <x v="0"/>
    <m/>
    <x v="0"/>
    <x v="0"/>
    <x v="0"/>
    <x v="0"/>
    <x v="1"/>
    <x v="1"/>
  </r>
  <r>
    <n v="131"/>
    <s v="408140988"/>
    <d v="2024-03-17T00:00:00"/>
    <d v="2024-03-25T00:00:00"/>
    <n v="8"/>
    <n v="23"/>
    <x v="1"/>
    <x v="0"/>
    <x v="1"/>
    <x v="0"/>
    <x v="1"/>
    <x v="1"/>
    <x v="0"/>
    <x v="0"/>
    <x v="1"/>
    <m/>
    <s v="Staphylococcus epidermidis"/>
    <x v="1"/>
    <x v="0"/>
    <x v="0"/>
    <x v="1"/>
    <x v="1"/>
    <n v="1"/>
    <d v="2024-03-17T00:00:00"/>
    <d v="2024-03-17T00:00:00"/>
    <n v="0"/>
    <x v="0"/>
    <n v="0"/>
    <n v="0"/>
    <n v="0"/>
    <n v="0"/>
    <n v="0"/>
    <n v="0"/>
    <n v="0"/>
    <n v="0"/>
    <n v="1"/>
    <s v="vanc"/>
    <x v="1"/>
    <x v="1"/>
    <x v="1"/>
    <x v="0"/>
    <x v="1"/>
    <n v="0"/>
    <x v="0"/>
    <x v="0"/>
    <d v="2024-03-22T00:00:00"/>
    <x v="0"/>
    <x v="0"/>
    <n v="5"/>
    <x v="1"/>
    <m/>
    <m/>
    <m/>
    <x v="0"/>
    <m/>
    <x v="0"/>
    <x v="0"/>
    <x v="1"/>
    <x v="0"/>
    <x v="1"/>
    <x v="1"/>
  </r>
  <r>
    <n v="132"/>
    <s v="04037453"/>
    <d v="2024-03-12T00:00:00"/>
    <d v="2024-04-19T00:00:00"/>
    <n v="38"/>
    <n v="41"/>
    <x v="0"/>
    <x v="1"/>
    <x v="0"/>
    <x v="0"/>
    <x v="1"/>
    <x v="1"/>
    <x v="1"/>
    <x v="0"/>
    <x v="1"/>
    <m/>
    <s v="Staphylococcus epidermidis"/>
    <x v="1"/>
    <x v="0"/>
    <x v="0"/>
    <x v="1"/>
    <x v="1"/>
    <n v="1"/>
    <d v="2024-03-19T00:00:00"/>
    <d v="2024-03-19T00:00:00"/>
    <n v="0"/>
    <x v="1"/>
    <n v="0"/>
    <n v="0"/>
    <n v="1"/>
    <n v="0"/>
    <n v="0"/>
    <n v="0"/>
    <n v="0"/>
    <n v="0"/>
    <n v="1"/>
    <s v="vanc"/>
    <x v="0"/>
    <x v="1"/>
    <x v="0"/>
    <x v="1"/>
    <x v="0"/>
    <n v="0"/>
    <x v="0"/>
    <x v="0"/>
    <d v="2024-03-21T00:00:00"/>
    <x v="0"/>
    <x v="0"/>
    <n v="2"/>
    <x v="1"/>
    <m/>
    <m/>
    <m/>
    <x v="0"/>
    <m/>
    <x v="0"/>
    <x v="0"/>
    <x v="0"/>
    <x v="0"/>
    <x v="1"/>
    <x v="1"/>
  </r>
  <r>
    <n v="133"/>
    <s v="403948011"/>
    <d v="2024-03-21T00:00:00"/>
    <d v="2024-03-26T00:00:00"/>
    <n v="5"/>
    <n v="73"/>
    <x v="1"/>
    <x v="0"/>
    <x v="0"/>
    <x v="0"/>
    <x v="1"/>
    <x v="1"/>
    <x v="1"/>
    <x v="0"/>
    <x v="1"/>
    <m/>
    <s v="Staphylococcus hominis"/>
    <x v="1"/>
    <x v="0"/>
    <x v="0"/>
    <x v="1"/>
    <x v="1"/>
    <n v="1"/>
    <d v="2024-03-21T00:00:00"/>
    <d v="2024-03-21T00:00:00"/>
    <n v="0"/>
    <x v="0"/>
    <n v="0"/>
    <n v="0"/>
    <n v="0"/>
    <n v="0"/>
    <n v="0"/>
    <n v="0"/>
    <n v="0"/>
    <n v="0"/>
    <n v="1"/>
    <s v="vanc cefepime"/>
    <x v="1"/>
    <x v="1"/>
    <x v="0"/>
    <x v="1"/>
    <x v="0"/>
    <n v="0"/>
    <x v="0"/>
    <x v="1"/>
    <m/>
    <x v="2"/>
    <x v="2"/>
    <m/>
    <x v="1"/>
    <m/>
    <m/>
    <m/>
    <x v="0"/>
    <m/>
    <x v="0"/>
    <x v="0"/>
    <x v="0"/>
    <x v="0"/>
    <x v="1"/>
    <x v="1"/>
  </r>
  <r>
    <n v="134"/>
    <s v="88344156"/>
    <d v="2024-03-27T00:00:00"/>
    <d v="2024-04-05T00:00:00"/>
    <n v="9"/>
    <n v="59"/>
    <x v="1"/>
    <x v="0"/>
    <x v="1"/>
    <x v="0"/>
    <x v="1"/>
    <x v="1"/>
    <x v="0"/>
    <x v="0"/>
    <x v="1"/>
    <m/>
    <s v="Staphylococcus epidermidis"/>
    <x v="1"/>
    <x v="0"/>
    <x v="0"/>
    <x v="1"/>
    <x v="1"/>
    <n v="1"/>
    <d v="2024-03-27T00:00:00"/>
    <d v="2024-03-27T00:00:00"/>
    <n v="0"/>
    <x v="0"/>
    <n v="0"/>
    <n v="0"/>
    <n v="0"/>
    <n v="0"/>
    <n v="0"/>
    <n v="0"/>
    <n v="0"/>
    <n v="0"/>
    <n v="1"/>
    <s v="ceftriaxone"/>
    <x v="1"/>
    <x v="1"/>
    <x v="0"/>
    <x v="1"/>
    <x v="0"/>
    <n v="0"/>
    <x v="0"/>
    <x v="1"/>
    <m/>
    <x v="2"/>
    <x v="2"/>
    <m/>
    <x v="1"/>
    <m/>
    <m/>
    <m/>
    <x v="0"/>
    <m/>
    <x v="0"/>
    <x v="0"/>
    <x v="0"/>
    <x v="0"/>
    <x v="1"/>
    <x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n v="1"/>
    <s v="405204614"/>
    <d v="2024-05-30T00:00:00"/>
    <d v="2024-06-19T00:00:00"/>
    <n v="20"/>
    <n v="85"/>
    <n v="1"/>
    <n v="2"/>
    <x v="0"/>
    <n v="0"/>
    <n v="1"/>
    <n v="1"/>
    <n v="0"/>
    <n v="0"/>
    <n v="1"/>
    <s v="mod TR, MR, AS w/ TAVR, CABG 2000"/>
    <s v="Methicillin-Resistant Staphylococcus aureus"/>
    <n v="1"/>
    <n v="0"/>
    <n v="0"/>
    <n v="0"/>
    <n v="1"/>
    <n v="11"/>
    <d v="2024-05-30T00:00:00"/>
    <d v="2024-06-12T00:00:00"/>
    <n v="13"/>
    <x v="0"/>
    <n v="0"/>
    <n v="0"/>
    <n v="0"/>
    <n v="0"/>
    <n v="0"/>
    <n v="0"/>
    <n v="0"/>
    <n v="0"/>
    <n v="1"/>
    <s v="Daptomycin"/>
    <x v="0"/>
    <x v="0"/>
    <n v="0"/>
    <n v="0"/>
    <n v="1"/>
    <x v="0"/>
    <x v="0"/>
    <n v="1"/>
    <d v="2024-05-31T00:00:00"/>
    <n v="0"/>
    <n v="0"/>
    <n v="1"/>
    <x v="0"/>
    <d v="2024-06-03T00:00:00"/>
    <x v="0"/>
    <x v="0"/>
    <x v="0"/>
    <n v="4"/>
    <n v="0"/>
    <x v="0"/>
    <x v="0"/>
    <x v="0"/>
    <x v="0"/>
    <n v="1"/>
  </r>
  <r>
    <n v="3"/>
    <s v="01096094"/>
    <d v="2024-06-05T00:00:00"/>
    <d v="2024-06-22T00:00:00"/>
    <n v="17"/>
    <n v="62"/>
    <n v="1"/>
    <n v="2"/>
    <x v="0"/>
    <n v="0"/>
    <n v="0"/>
    <n v="0"/>
    <n v="0"/>
    <n v="0"/>
    <n v="1"/>
    <s v="thickened AV leaf"/>
    <s v="Staphylococcus aureus"/>
    <n v="1"/>
    <n v="0"/>
    <n v="0"/>
    <n v="0"/>
    <n v="1"/>
    <n v="5"/>
    <d v="2024-06-05T00:00:00"/>
    <d v="2024-06-11T00:00:00"/>
    <n v="6"/>
    <x v="0"/>
    <n v="0"/>
    <n v="0"/>
    <n v="0"/>
    <n v="0"/>
    <n v="0"/>
    <n v="0"/>
    <n v="0"/>
    <n v="1"/>
    <n v="1"/>
    <s v="Ertapenem nafcillin"/>
    <x v="1"/>
    <x v="1"/>
    <n v="0"/>
    <n v="1"/>
    <n v="0"/>
    <x v="1"/>
    <x v="0"/>
    <n v="1"/>
    <d v="2024-06-05T00:00:00"/>
    <n v="0"/>
    <n v="0"/>
    <n v="2"/>
    <x v="0"/>
    <d v="2024-06-12T00:00:00"/>
    <x v="0"/>
    <x v="1"/>
    <x v="0"/>
    <n v="7"/>
    <n v="1"/>
    <x v="0"/>
    <x v="1"/>
    <x v="0"/>
    <x v="0"/>
    <n v="0"/>
  </r>
  <r>
    <n v="4"/>
    <s v="403301911"/>
    <d v="2024-06-06T00:00:00"/>
    <d v="2024-06-12T00:00:00"/>
    <n v="6"/>
    <n v="77"/>
    <n v="1"/>
    <n v="2"/>
    <x v="1"/>
    <n v="0"/>
    <n v="0"/>
    <n v="0"/>
    <n v="0"/>
    <n v="0"/>
    <n v="0"/>
    <m/>
    <s v="Staphylococcus aureus"/>
    <n v="1"/>
    <n v="0"/>
    <n v="0"/>
    <n v="0"/>
    <n v="1"/>
    <n v="2"/>
    <d v="2024-06-06T00:00:00"/>
    <d v="2024-06-07T00:00:00"/>
    <n v="1"/>
    <x v="1"/>
    <n v="0"/>
    <n v="0"/>
    <n v="0"/>
    <n v="0"/>
    <n v="0"/>
    <n v="0"/>
    <n v="1"/>
    <n v="1"/>
    <n v="1"/>
    <s v="cefazolin"/>
    <x v="1"/>
    <x v="1"/>
    <n v="1"/>
    <n v="0"/>
    <n v="0"/>
    <x v="0"/>
    <x v="0"/>
    <n v="1"/>
    <d v="2024-06-07T00:00:00"/>
    <n v="0"/>
    <n v="0"/>
    <n v="0"/>
    <x v="0"/>
    <d v="2024-06-10T00:00:00"/>
    <x v="0"/>
    <x v="0"/>
    <x v="0"/>
    <n v="4"/>
    <n v="0"/>
    <x v="1"/>
    <x v="0"/>
    <x v="0"/>
    <x v="0"/>
    <n v="0"/>
  </r>
  <r>
    <n v="15"/>
    <s v="00812900"/>
    <d v="2024-05-08T00:00:00"/>
    <d v="2024-05-20T00:00:00"/>
    <n v="12"/>
    <n v="77"/>
    <n v="1"/>
    <n v="2"/>
    <x v="0"/>
    <n v="0"/>
    <n v="0"/>
    <n v="0"/>
    <n v="0"/>
    <n v="0"/>
    <n v="1"/>
    <s v="at least mod TR'"/>
    <s v="Staphylococcus aureus"/>
    <n v="1"/>
    <n v="0"/>
    <n v="0"/>
    <n v="0"/>
    <n v="0"/>
    <n v="1"/>
    <d v="2024-05-08T00:00:00"/>
    <d v="2024-05-08T00:00:00"/>
    <n v="0"/>
    <x v="1"/>
    <n v="0"/>
    <n v="0"/>
    <n v="0"/>
    <n v="1"/>
    <n v="0"/>
    <n v="0"/>
    <n v="1"/>
    <n v="0"/>
    <n v="1"/>
    <s v="cefazolin"/>
    <x v="0"/>
    <x v="1"/>
    <n v="1"/>
    <n v="0"/>
    <n v="0"/>
    <x v="0"/>
    <x v="0"/>
    <n v="1"/>
    <d v="2024-05-09T00:00:00"/>
    <n v="0"/>
    <n v="0"/>
    <n v="1"/>
    <x v="0"/>
    <d v="2024-05-13T00:00:00"/>
    <x v="0"/>
    <x v="0"/>
    <x v="0"/>
    <n v="5"/>
    <n v="0"/>
    <x v="0"/>
    <x v="0"/>
    <x v="0"/>
    <x v="0"/>
    <n v="0"/>
  </r>
  <r>
    <n v="18"/>
    <s v="405244917"/>
    <d v="2024-04-03T00:00:00"/>
    <d v="2024-04-13T00:00:00"/>
    <n v="10"/>
    <n v="51"/>
    <n v="1"/>
    <n v="3"/>
    <x v="1"/>
    <n v="0"/>
    <n v="0"/>
    <n v="0"/>
    <n v="0"/>
    <n v="0"/>
    <n v="0"/>
    <m/>
    <s v="Staphylococcus aureus"/>
    <n v="1"/>
    <n v="0"/>
    <n v="0"/>
    <n v="0"/>
    <n v="1"/>
    <n v="3"/>
    <d v="2024-04-03T00:00:00"/>
    <d v="2024-04-06T00:00:00"/>
    <n v="3"/>
    <x v="1"/>
    <n v="1"/>
    <n v="0"/>
    <n v="0"/>
    <n v="0"/>
    <n v="0"/>
    <n v="0"/>
    <n v="0"/>
    <n v="0"/>
    <n v="1"/>
    <s v="cefazolin"/>
    <x v="0"/>
    <x v="1"/>
    <n v="1"/>
    <n v="0"/>
    <n v="0"/>
    <x v="0"/>
    <x v="0"/>
    <n v="1"/>
    <d v="2024-04-05T00:00:00"/>
    <n v="0"/>
    <n v="0"/>
    <n v="1"/>
    <x v="0"/>
    <d v="2024-04-09T00:00:00"/>
    <x v="0"/>
    <x v="0"/>
    <x v="0"/>
    <n v="6"/>
    <n v="0"/>
    <x v="1"/>
    <x v="0"/>
    <x v="0"/>
    <x v="0"/>
    <n v="0"/>
  </r>
  <r>
    <n v="22"/>
    <s v="403969894"/>
    <d v="2024-04-19T00:00:00"/>
    <d v="2024-04-26T00:00:00"/>
    <n v="7"/>
    <n v="79"/>
    <n v="1"/>
    <n v="2"/>
    <x v="0"/>
    <n v="0"/>
    <n v="0"/>
    <n v="1"/>
    <n v="0"/>
    <n v="0"/>
    <n v="1"/>
    <s v="G2DD"/>
    <s v="Staphylococcus aureus"/>
    <n v="1"/>
    <n v="0"/>
    <n v="0"/>
    <n v="0"/>
    <n v="1"/>
    <n v="1"/>
    <d v="2024-04-19T00:00:00"/>
    <d v="2024-04-19T00:00:00"/>
    <n v="0"/>
    <x v="0"/>
    <n v="0"/>
    <n v="0"/>
    <n v="0"/>
    <n v="0"/>
    <n v="0"/>
    <n v="0"/>
    <n v="0"/>
    <n v="1"/>
    <n v="1"/>
    <s v="cefazolin"/>
    <x v="0"/>
    <x v="1"/>
    <n v="1"/>
    <n v="0"/>
    <n v="0"/>
    <x v="0"/>
    <x v="1"/>
    <n v="1"/>
    <d v="2024-04-24T00:00:00"/>
    <n v="0"/>
    <n v="0"/>
    <n v="1"/>
    <x v="0"/>
    <d v="2024-04-26T00:00:00"/>
    <x v="0"/>
    <x v="0"/>
    <x v="0"/>
    <n v="7"/>
    <n v="0"/>
    <x v="0"/>
    <x v="1"/>
    <x v="0"/>
    <x v="0"/>
    <n v="1"/>
  </r>
  <r>
    <n v="23"/>
    <s v="403916377"/>
    <d v="2024-04-19T00:00:00"/>
    <d v="2024-06-04T00:00:00"/>
    <n v="46"/>
    <n v="46"/>
    <n v="2"/>
    <n v="2"/>
    <x v="0"/>
    <n v="1"/>
    <n v="0"/>
    <n v="0"/>
    <n v="1"/>
    <n v="0"/>
    <n v="0"/>
    <m/>
    <s v="Methicillin-Resistant Staphylococcus aureus"/>
    <n v="1"/>
    <n v="0"/>
    <n v="0"/>
    <n v="0"/>
    <n v="1"/>
    <n v="3"/>
    <d v="2024-04-19T00:00:00"/>
    <d v="2024-04-22T00:00:00"/>
    <n v="3"/>
    <x v="1"/>
    <n v="0"/>
    <n v="0"/>
    <n v="1"/>
    <n v="0"/>
    <n v="0"/>
    <n v="0"/>
    <n v="0"/>
    <n v="0"/>
    <n v="1"/>
    <s v="vanc"/>
    <x v="0"/>
    <x v="0"/>
    <n v="0"/>
    <n v="0"/>
    <n v="1"/>
    <x v="0"/>
    <x v="0"/>
    <n v="1"/>
    <d v="2024-04-24T00:00:00"/>
    <n v="0"/>
    <n v="0"/>
    <n v="2"/>
    <x v="0"/>
    <d v="2024-04-26T00:00:00"/>
    <x v="0"/>
    <x v="0"/>
    <x v="0"/>
    <n v="7"/>
    <n v="0"/>
    <x v="0"/>
    <x v="0"/>
    <x v="0"/>
    <x v="0"/>
    <n v="1"/>
  </r>
  <r>
    <n v="24"/>
    <s v="403153971"/>
    <d v="2024-04-20T00:00:00"/>
    <d v="2024-04-30T00:00:00"/>
    <n v="10"/>
    <n v="87"/>
    <n v="2"/>
    <n v="2"/>
    <x v="0"/>
    <n v="0"/>
    <n v="0"/>
    <n v="0"/>
    <n v="0"/>
    <n v="0"/>
    <n v="1"/>
    <s v="mod MS, G1DD"/>
    <s v="Staphylococcus aureus"/>
    <n v="1"/>
    <n v="0"/>
    <n v="0"/>
    <n v="0"/>
    <n v="1"/>
    <n v="2"/>
    <d v="2024-04-20T00:00:00"/>
    <d v="2024-04-21T00:00:00"/>
    <n v="1"/>
    <x v="0"/>
    <n v="0"/>
    <n v="0"/>
    <n v="0"/>
    <n v="0"/>
    <n v="0"/>
    <n v="0"/>
    <n v="0"/>
    <n v="0"/>
    <n v="1"/>
    <s v="cefazolin"/>
    <x v="0"/>
    <x v="1"/>
    <n v="1"/>
    <n v="0"/>
    <n v="0"/>
    <x v="0"/>
    <x v="0"/>
    <n v="1"/>
    <d v="2024-04-24T00:00:00"/>
    <n v="0"/>
    <n v="0"/>
    <n v="1"/>
    <x v="0"/>
    <d v="2024-04-29T00:00:00"/>
    <x v="0"/>
    <x v="0"/>
    <x v="1"/>
    <n v="9"/>
    <n v="0"/>
    <x v="0"/>
    <x v="0"/>
    <x v="0"/>
    <x v="0"/>
    <n v="0"/>
  </r>
  <r>
    <n v="30"/>
    <s v="403606561"/>
    <d v="2024-02-29T00:00:00"/>
    <d v="2024-03-28T00:00:00"/>
    <n v="28"/>
    <n v="28"/>
    <n v="2"/>
    <n v="2"/>
    <x v="0"/>
    <n v="1"/>
    <n v="0"/>
    <n v="0"/>
    <n v="0"/>
    <n v="0"/>
    <n v="0"/>
    <m/>
    <s v="Methicillin-Resistant Staphylococcus aureus"/>
    <n v="1"/>
    <n v="0"/>
    <n v="0"/>
    <n v="0"/>
    <n v="1"/>
    <n v="3"/>
    <d v="2024-02-29T00:00:00"/>
    <d v="2024-03-02T00:00:00"/>
    <n v="2"/>
    <x v="1"/>
    <n v="0"/>
    <n v="0"/>
    <n v="0"/>
    <n v="0"/>
    <n v="0"/>
    <n v="1"/>
    <n v="0"/>
    <n v="0"/>
    <n v="1"/>
    <s v="vanc"/>
    <x v="0"/>
    <x v="1"/>
    <n v="0"/>
    <n v="1"/>
    <n v="0"/>
    <x v="1"/>
    <x v="0"/>
    <n v="1"/>
    <d v="2024-03-01T00:00:00"/>
    <n v="0"/>
    <n v="1"/>
    <n v="4"/>
    <x v="0"/>
    <d v="2024-03-14T00:00:00"/>
    <x v="0"/>
    <x v="1"/>
    <x v="0"/>
    <n v="14"/>
    <n v="0"/>
    <x v="0"/>
    <x v="1"/>
    <x v="0"/>
    <x v="0"/>
    <n v="1"/>
  </r>
  <r>
    <n v="32"/>
    <s v="405216215"/>
    <d v="2024-03-04T00:00:00"/>
    <d v="2024-03-27T00:00:00"/>
    <n v="23"/>
    <n v="79"/>
    <n v="2"/>
    <n v="2"/>
    <x v="0"/>
    <n v="0"/>
    <n v="0"/>
    <n v="0"/>
    <n v="0"/>
    <n v="0"/>
    <n v="1"/>
    <s v="G3DD, mod RV dilation"/>
    <s v="Methicillin-Resistant Staphylococcus aureus"/>
    <n v="1"/>
    <n v="0"/>
    <n v="0"/>
    <n v="0"/>
    <n v="1"/>
    <n v="5"/>
    <d v="2024-03-04T00:00:00"/>
    <d v="2024-03-08T00:00:00"/>
    <n v="4"/>
    <x v="0"/>
    <n v="0"/>
    <n v="0"/>
    <n v="0"/>
    <n v="0"/>
    <n v="0"/>
    <n v="0"/>
    <n v="0"/>
    <n v="0"/>
    <n v="1"/>
    <s v="Daptomycin"/>
    <x v="0"/>
    <x v="1"/>
    <n v="1"/>
    <n v="0"/>
    <n v="0"/>
    <x v="0"/>
    <x v="0"/>
    <n v="1"/>
    <d v="2024-03-06T00:00:00"/>
    <n v="0"/>
    <n v="0"/>
    <n v="0"/>
    <x v="0"/>
    <d v="2024-03-13T00:00:00"/>
    <x v="0"/>
    <x v="0"/>
    <x v="0"/>
    <n v="9"/>
    <n v="0"/>
    <x v="0"/>
    <x v="0"/>
    <x v="0"/>
    <x v="0"/>
    <n v="0"/>
  </r>
  <r>
    <n v="33"/>
    <s v="406917678"/>
    <d v="2024-03-05T00:00:00"/>
    <d v="2024-04-01T00:00:00"/>
    <n v="27"/>
    <n v="77"/>
    <n v="2"/>
    <n v="3"/>
    <x v="0"/>
    <n v="0"/>
    <n v="0"/>
    <n v="1"/>
    <n v="0"/>
    <n v="0"/>
    <n v="1"/>
    <s v="sev biatrial enlarge, mod TR"/>
    <s v="Staphylococcus aureus"/>
    <n v="1"/>
    <n v="0"/>
    <n v="0"/>
    <n v="0"/>
    <n v="1"/>
    <n v="3"/>
    <d v="2024-03-13T00:00:00"/>
    <d v="2024-03-15T00:00:00"/>
    <n v="2"/>
    <x v="0"/>
    <n v="0"/>
    <n v="0"/>
    <n v="0"/>
    <n v="0"/>
    <n v="0"/>
    <n v="0"/>
    <n v="0"/>
    <n v="0"/>
    <n v="1"/>
    <s v="cefazolin"/>
    <x v="0"/>
    <x v="0"/>
    <n v="0"/>
    <n v="0"/>
    <n v="1"/>
    <x v="0"/>
    <x v="0"/>
    <n v="1"/>
    <d v="2024-03-14T00:00:00"/>
    <n v="0"/>
    <n v="0"/>
    <n v="1"/>
    <x v="0"/>
    <d v="2024-03-15T00:00:00"/>
    <x v="1"/>
    <x v="0"/>
    <x v="0"/>
    <n v="2"/>
    <n v="0"/>
    <x v="0"/>
    <x v="0"/>
    <x v="1"/>
    <x v="0"/>
    <n v="1"/>
  </r>
  <r>
    <n v="35"/>
    <s v="402107876"/>
    <d v="2024-04-08T00:00:00"/>
    <d v="2024-05-13T00:00:00"/>
    <n v="35"/>
    <n v="42"/>
    <n v="2"/>
    <n v="4"/>
    <x v="0"/>
    <n v="1"/>
    <n v="0"/>
    <n v="0"/>
    <n v="0"/>
    <n v="0"/>
    <n v="0"/>
    <m/>
    <s v="Methicillin-Resistant Staphylococcus aureus"/>
    <n v="1"/>
    <n v="0"/>
    <n v="0"/>
    <n v="0"/>
    <n v="1"/>
    <n v="5"/>
    <d v="2024-04-11T00:00:00"/>
    <d v="2024-04-16T00:00:00"/>
    <n v="5"/>
    <x v="1"/>
    <n v="1"/>
    <n v="1"/>
    <n v="0"/>
    <n v="0"/>
    <n v="0"/>
    <n v="0"/>
    <n v="0"/>
    <n v="0"/>
    <n v="1"/>
    <s v="Daptomycin"/>
    <x v="0"/>
    <x v="1"/>
    <n v="0"/>
    <n v="1"/>
    <n v="0"/>
    <x v="1"/>
    <x v="0"/>
    <n v="1"/>
    <d v="2024-04-15T00:00:00"/>
    <n v="0"/>
    <n v="0"/>
    <n v="6"/>
    <x v="0"/>
    <d v="2024-04-15T00:00:00"/>
    <x v="0"/>
    <x v="0"/>
    <x v="0"/>
    <n v="4"/>
    <n v="0"/>
    <x v="0"/>
    <x v="1"/>
    <x v="0"/>
    <x v="0"/>
    <n v="1"/>
  </r>
  <r>
    <n v="38"/>
    <s v="04003524"/>
    <d v="2024-03-30T00:00:00"/>
    <d v="2024-04-30T00:00:00"/>
    <n v="31"/>
    <n v="69"/>
    <n v="2"/>
    <n v="3"/>
    <x v="1"/>
    <n v="0"/>
    <n v="0"/>
    <n v="0"/>
    <n v="0"/>
    <n v="0"/>
    <n v="0"/>
    <m/>
    <s v="Methicillin Resistant Staphylococcus aureus"/>
    <n v="1"/>
    <n v="0"/>
    <n v="0"/>
    <n v="0"/>
    <n v="0"/>
    <n v="1"/>
    <d v="2024-03-30T00:00:00"/>
    <d v="2024-03-30T00:00:00"/>
    <n v="0"/>
    <x v="0"/>
    <n v="0"/>
    <n v="0"/>
    <n v="0"/>
    <n v="0"/>
    <n v="0"/>
    <n v="0"/>
    <n v="0"/>
    <n v="0"/>
    <n v="1"/>
    <s v="Daptomycin"/>
    <x v="0"/>
    <x v="1"/>
    <n v="1"/>
    <n v="0"/>
    <n v="0"/>
    <x v="0"/>
    <x v="0"/>
    <n v="1"/>
    <d v="2024-04-01T00:00:00"/>
    <n v="0"/>
    <n v="1"/>
    <n v="4"/>
    <x v="0"/>
    <d v="2024-04-03T00:00:00"/>
    <x v="0"/>
    <x v="0"/>
    <x v="1"/>
    <n v="4"/>
    <n v="0"/>
    <x v="0"/>
    <x v="0"/>
    <x v="0"/>
    <x v="0"/>
    <n v="0"/>
  </r>
  <r>
    <n v="41"/>
    <s v="405164086"/>
    <d v="2024-06-07T00:00:00"/>
    <d v="2024-06-13T00:00:00"/>
    <n v="6"/>
    <n v="71"/>
    <n v="1"/>
    <n v="2"/>
    <x v="0"/>
    <n v="0"/>
    <n v="1"/>
    <n v="0"/>
    <n v="0"/>
    <n v="0"/>
    <n v="0"/>
    <m/>
    <s v="Streptococcus gordonii"/>
    <n v="0"/>
    <n v="1"/>
    <n v="0"/>
    <n v="0"/>
    <n v="0"/>
    <n v="1"/>
    <d v="2024-06-07T00:00:00"/>
    <d v="2024-06-07T00:00:00"/>
    <n v="0"/>
    <x v="0"/>
    <n v="0"/>
    <n v="0"/>
    <n v="0"/>
    <n v="0"/>
    <n v="0"/>
    <n v="0"/>
    <n v="0"/>
    <n v="0"/>
    <n v="1"/>
    <s v="ceftriaxone"/>
    <x v="0"/>
    <x v="1"/>
    <n v="1"/>
    <n v="0"/>
    <n v="0"/>
    <x v="0"/>
    <x v="0"/>
    <n v="1"/>
    <d v="2024-06-10T00:00:00"/>
    <n v="0"/>
    <n v="0"/>
    <n v="1"/>
    <x v="0"/>
    <d v="2024-06-12T00:00:00"/>
    <x v="0"/>
    <x v="1"/>
    <x v="0"/>
    <n v="5"/>
    <n v="0"/>
    <x v="0"/>
    <x v="0"/>
    <x v="0"/>
    <x v="0"/>
    <n v="1"/>
  </r>
  <r>
    <n v="45"/>
    <s v="406940313"/>
    <d v="2024-05-09T00:00:00"/>
    <d v="2024-05-14T00:00:00"/>
    <n v="5"/>
    <n v="58"/>
    <n v="1"/>
    <n v="3"/>
    <x v="1"/>
    <n v="0"/>
    <n v="0"/>
    <n v="0"/>
    <n v="0"/>
    <n v="0"/>
    <n v="1"/>
    <s v="sev MR"/>
    <s v="Streptococcus mutans"/>
    <n v="0"/>
    <n v="1"/>
    <n v="0"/>
    <n v="0"/>
    <n v="0"/>
    <n v="1"/>
    <d v="2024-05-09T00:00:00"/>
    <d v="2024-05-09T00:00:00"/>
    <n v="0"/>
    <x v="1"/>
    <n v="0"/>
    <n v="0"/>
    <n v="0"/>
    <n v="0"/>
    <n v="0"/>
    <n v="0"/>
    <n v="0"/>
    <n v="1"/>
    <n v="1"/>
    <s v="ceftriaxone gentamycin"/>
    <x v="1"/>
    <x v="1"/>
    <n v="1"/>
    <n v="0"/>
    <n v="0"/>
    <x v="0"/>
    <x v="0"/>
    <n v="1"/>
    <d v="2024-05-10T00:00:00"/>
    <n v="0"/>
    <n v="0"/>
    <n v="1"/>
    <x v="0"/>
    <d v="2024-05-13T00:00:00"/>
    <x v="1"/>
    <x v="0"/>
    <x v="1"/>
    <n v="4"/>
    <n v="0"/>
    <x v="1"/>
    <x v="0"/>
    <x v="1"/>
    <x v="0"/>
    <n v="0"/>
  </r>
  <r>
    <n v="46"/>
    <s v="403745148"/>
    <d v="2024-05-16T00:00:00"/>
    <d v="2024-06-05T00:00:00"/>
    <n v="20"/>
    <n v="77"/>
    <n v="1"/>
    <n v="2"/>
    <x v="1"/>
    <n v="0"/>
    <n v="0"/>
    <n v="0"/>
    <n v="0"/>
    <n v="0"/>
    <n v="0"/>
    <m/>
    <s v="Streptococcus mitis group"/>
    <n v="0"/>
    <n v="1"/>
    <n v="0"/>
    <n v="0"/>
    <n v="0"/>
    <n v="1"/>
    <d v="2024-05-17T00:00:00"/>
    <d v="2024-05-17T00:00:00"/>
    <n v="0"/>
    <x v="1"/>
    <n v="0"/>
    <n v="0"/>
    <n v="0"/>
    <n v="0"/>
    <n v="0"/>
    <n v="0"/>
    <n v="0"/>
    <n v="1"/>
    <n v="1"/>
    <s v="vanc"/>
    <x v="0"/>
    <x v="1"/>
    <n v="0"/>
    <n v="1"/>
    <n v="0"/>
    <x v="1"/>
    <x v="1"/>
    <n v="1"/>
    <d v="2024-05-21T00:00:00"/>
    <n v="0"/>
    <n v="0"/>
    <n v="3"/>
    <x v="0"/>
    <d v="2024-05-22T00:00:00"/>
    <x v="0"/>
    <x v="0"/>
    <x v="0"/>
    <n v="5"/>
    <n v="1"/>
    <x v="0"/>
    <x v="1"/>
    <x v="0"/>
    <x v="0"/>
    <n v="0"/>
  </r>
  <r>
    <n v="52"/>
    <s v="00507392"/>
    <d v="2024-03-05T00:00:00"/>
    <d v="2024-03-15T00:00:00"/>
    <n v="10"/>
    <n v="42"/>
    <n v="1"/>
    <n v="2"/>
    <x v="0"/>
    <n v="0"/>
    <n v="0"/>
    <n v="0"/>
    <n v="0"/>
    <n v="0"/>
    <n v="1"/>
    <s v="bicuspid AV and AS"/>
    <s v="Streptococcus gordonii"/>
    <n v="0"/>
    <n v="1"/>
    <n v="0"/>
    <n v="0"/>
    <n v="1"/>
    <n v="2"/>
    <d v="2024-03-05T00:00:00"/>
    <d v="2024-03-06T00:00:00"/>
    <n v="1"/>
    <x v="0"/>
    <n v="0"/>
    <n v="0"/>
    <n v="0"/>
    <n v="0"/>
    <n v="0"/>
    <n v="0"/>
    <n v="0"/>
    <n v="0"/>
    <n v="1"/>
    <s v="ceftriaxone"/>
    <x v="0"/>
    <x v="1"/>
    <n v="1"/>
    <n v="0"/>
    <n v="0"/>
    <x v="0"/>
    <x v="0"/>
    <n v="1"/>
    <d v="2024-03-06T00:00:00"/>
    <n v="1"/>
    <n v="1"/>
    <n v="2"/>
    <x v="0"/>
    <d v="2024-03-08T00:00:00"/>
    <x v="1"/>
    <x v="1"/>
    <x v="0"/>
    <n v="3"/>
    <n v="0"/>
    <x v="0"/>
    <x v="0"/>
    <x v="1"/>
    <x v="0"/>
    <n v="0"/>
  </r>
  <r>
    <n v="65"/>
    <s v="403281069"/>
    <d v="2024-03-24T00:00:00"/>
    <d v="2024-04-06T00:00:00"/>
    <n v="13"/>
    <n v="54"/>
    <n v="2"/>
    <n v="2"/>
    <x v="1"/>
    <n v="0"/>
    <n v="0"/>
    <n v="0"/>
    <n v="0"/>
    <n v="0"/>
    <n v="0"/>
    <m/>
    <s v="Enterococcus faecalis"/>
    <n v="0"/>
    <n v="0"/>
    <n v="1"/>
    <n v="0"/>
    <n v="1"/>
    <n v="6"/>
    <d v="2024-03-24T00:00:00"/>
    <d v="2024-03-29T00:00:00"/>
    <n v="5"/>
    <x v="1"/>
    <n v="0"/>
    <n v="0"/>
    <n v="0"/>
    <n v="0"/>
    <n v="0"/>
    <n v="0"/>
    <n v="1"/>
    <n v="0"/>
    <n v="1"/>
    <s v="linezolid"/>
    <x v="1"/>
    <x v="1"/>
    <n v="0"/>
    <n v="1"/>
    <n v="0"/>
    <x v="1"/>
    <x v="0"/>
    <n v="1"/>
    <d v="2024-03-29T00:00:00"/>
    <n v="0"/>
    <n v="0"/>
    <n v="2"/>
    <x v="0"/>
    <d v="2024-04-01T00:00:00"/>
    <x v="0"/>
    <x v="0"/>
    <x v="1"/>
    <n v="8"/>
    <n v="0"/>
    <x v="0"/>
    <x v="1"/>
    <x v="0"/>
    <x v="0"/>
    <n v="0"/>
  </r>
  <r>
    <n v="76"/>
    <s v="400686129"/>
    <d v="2024-06-14T00:00:00"/>
    <d v="2024-06-25T00:00:00"/>
    <n v="11"/>
    <n v="59"/>
    <n v="1"/>
    <n v="3"/>
    <x v="1"/>
    <n v="0"/>
    <n v="0"/>
    <n v="0"/>
    <n v="0"/>
    <n v="0"/>
    <n v="0"/>
    <m/>
    <s v="Staphylococcus epidermidis"/>
    <n v="0"/>
    <n v="0"/>
    <n v="0"/>
    <n v="1"/>
    <n v="1"/>
    <n v="3"/>
    <d v="2024-06-14T00:00:00"/>
    <d v="2024-06-17T00:00:00"/>
    <n v="3"/>
    <x v="1"/>
    <n v="1"/>
    <n v="1"/>
    <n v="0"/>
    <n v="0"/>
    <n v="0"/>
    <n v="0"/>
    <n v="0"/>
    <n v="0"/>
    <n v="1"/>
    <s v="cefazolin"/>
    <x v="0"/>
    <x v="1"/>
    <n v="1"/>
    <n v="0"/>
    <n v="0"/>
    <x v="0"/>
    <x v="0"/>
    <n v="1"/>
    <d v="2024-06-18T00:00:00"/>
    <n v="0"/>
    <n v="0"/>
    <n v="1"/>
    <x v="0"/>
    <d v="2024-06-20T00:00:00"/>
    <x v="0"/>
    <x v="0"/>
    <x v="0"/>
    <n v="6"/>
    <n v="0"/>
    <x v="1"/>
    <x v="0"/>
    <x v="0"/>
    <x v="1"/>
    <n v="0"/>
  </r>
  <r>
    <n v="77"/>
    <s v="403304978"/>
    <d v="2024-06-17T00:00:00"/>
    <d v="2024-07-02T00:00:00"/>
    <n v="15"/>
    <n v="69"/>
    <n v="2"/>
    <n v="2"/>
    <x v="0"/>
    <n v="0"/>
    <n v="0"/>
    <n v="1"/>
    <n v="0"/>
    <n v="0"/>
    <n v="0"/>
    <m/>
    <s v="Staphylococcus hominis"/>
    <n v="0"/>
    <n v="0"/>
    <n v="0"/>
    <n v="1"/>
    <n v="0"/>
    <n v="1"/>
    <d v="2024-06-17T00:00:00"/>
    <d v="2024-06-17T00:00:00"/>
    <n v="0"/>
    <x v="0"/>
    <n v="0"/>
    <n v="0"/>
    <n v="0"/>
    <n v="0"/>
    <n v="0"/>
    <n v="0"/>
    <n v="0"/>
    <n v="0"/>
    <n v="1"/>
    <s v="cefazolin gentamycin rifampin"/>
    <x v="1"/>
    <x v="1"/>
    <n v="1"/>
    <n v="0"/>
    <n v="0"/>
    <x v="0"/>
    <x v="0"/>
    <n v="0"/>
    <m/>
    <m/>
    <m/>
    <m/>
    <x v="0"/>
    <d v="2024-06-19T00:00:00"/>
    <x v="0"/>
    <x v="0"/>
    <x v="0"/>
    <n v="2"/>
    <n v="0"/>
    <x v="0"/>
    <x v="0"/>
    <x v="0"/>
    <x v="0"/>
    <n v="1"/>
  </r>
  <r>
    <n v="108"/>
    <s v="04414837"/>
    <d v="2024-04-16T00:00:00"/>
    <d v="2024-04-30T00:00:00"/>
    <n v="14"/>
    <n v="78"/>
    <n v="2"/>
    <n v="2"/>
    <x v="0"/>
    <n v="0"/>
    <n v="1"/>
    <n v="0"/>
    <n v="0"/>
    <n v="0"/>
    <n v="1"/>
    <s v="G2DD, s/p TAVR"/>
    <s v="Staphylococcus epidermidis"/>
    <n v="0"/>
    <n v="0"/>
    <n v="0"/>
    <n v="1"/>
    <n v="1"/>
    <n v="4"/>
    <d v="2024-04-16T00:00:00"/>
    <d v="2024-04-22T00:00:00"/>
    <n v="6"/>
    <x v="0"/>
    <n v="0"/>
    <n v="0"/>
    <n v="0"/>
    <n v="0"/>
    <n v="0"/>
    <n v="0"/>
    <n v="0"/>
    <n v="0"/>
    <n v="1"/>
    <s v="vanc"/>
    <x v="0"/>
    <x v="1"/>
    <n v="1"/>
    <n v="0"/>
    <n v="0"/>
    <x v="0"/>
    <x v="0"/>
    <n v="1"/>
    <d v="2024-04-17T00:00:00"/>
    <n v="0"/>
    <n v="1"/>
    <n v="4"/>
    <x v="0"/>
    <d v="2024-04-22T00:00:00"/>
    <x v="1"/>
    <x v="1"/>
    <x v="1"/>
    <n v="6"/>
    <n v="0"/>
    <x v="0"/>
    <x v="0"/>
    <x v="1"/>
    <x v="0"/>
    <n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
  <r>
    <n v="1"/>
    <s v="405204614"/>
    <n v="45442"/>
    <n v="45462"/>
    <n v="20"/>
    <n v="85"/>
    <n v="1"/>
    <n v="2"/>
    <n v="1"/>
    <n v="0"/>
    <n v="1"/>
    <n v="1"/>
    <n v="0"/>
    <n v="0"/>
    <n v="1"/>
    <s v="mod TR, MR, AS w/ TAVR, CABG 2000"/>
    <s v="Methicillin-Resistant Staphylococcus aureus"/>
    <n v="1"/>
    <n v="11"/>
    <n v="45442"/>
    <n v="45455"/>
    <n v="13"/>
    <n v="0"/>
    <n v="0"/>
    <n v="0"/>
    <n v="0"/>
    <n v="0"/>
    <n v="0"/>
    <n v="0"/>
    <n v="0"/>
    <n v="0"/>
    <n v="1"/>
    <s v="Daptomycin"/>
    <n v="1"/>
    <n v="0"/>
    <n v="1"/>
    <n v="0"/>
    <n v="0"/>
    <n v="1"/>
    <n v="1"/>
    <n v="1"/>
    <n v="45443"/>
    <n v="0"/>
    <x v="0"/>
    <n v="1"/>
    <x v="0"/>
    <n v="45446"/>
    <n v="0"/>
    <n v="0"/>
    <n v="0"/>
    <x v="0"/>
    <x v="0"/>
    <n v="1"/>
    <n v="0"/>
    <n v="1"/>
  </r>
  <r>
    <n v="2"/>
    <s v="403501259"/>
    <n v="45446"/>
    <m/>
    <m/>
    <n v="78"/>
    <n v="1"/>
    <n v="3"/>
    <n v="0"/>
    <n v="0"/>
    <n v="0"/>
    <n v="0"/>
    <n v="0"/>
    <n v="0"/>
    <n v="0"/>
    <m/>
    <s v="Methicillin-Resistant Staphylococcus aureus"/>
    <n v="1"/>
    <n v="6"/>
    <n v="45446"/>
    <n v="45450"/>
    <n v="4"/>
    <n v="1"/>
    <n v="1"/>
    <n v="0"/>
    <n v="0"/>
    <n v="0"/>
    <n v="0"/>
    <n v="0"/>
    <n v="0"/>
    <n v="0"/>
    <n v="1"/>
    <s v="Daptomycin"/>
    <n v="1"/>
    <n v="1"/>
    <n v="1"/>
    <n v="1"/>
    <n v="0"/>
    <n v="0"/>
    <n v="1"/>
    <n v="1"/>
    <n v="45448"/>
    <n v="0"/>
    <x v="0"/>
    <n v="2"/>
    <x v="1"/>
    <m/>
    <m/>
    <m/>
    <m/>
    <x v="0"/>
    <x v="0"/>
    <n v="0"/>
    <n v="1"/>
    <n v="0"/>
  </r>
  <r>
    <n v="3"/>
    <s v="01096094"/>
    <n v="45448"/>
    <n v="45465"/>
    <n v="17"/>
    <n v="62"/>
    <n v="1"/>
    <n v="2"/>
    <n v="1"/>
    <n v="0"/>
    <n v="0"/>
    <n v="0"/>
    <n v="0"/>
    <n v="0"/>
    <n v="1"/>
    <s v="thickened AV leaf"/>
    <s v="Staphylococcus aureus"/>
    <n v="1"/>
    <n v="5"/>
    <n v="45448"/>
    <n v="45454"/>
    <n v="6"/>
    <n v="0"/>
    <n v="0"/>
    <n v="0"/>
    <n v="0"/>
    <n v="0"/>
    <n v="0"/>
    <n v="0"/>
    <n v="0"/>
    <n v="1"/>
    <n v="1"/>
    <s v="Ertapenem nafcillin"/>
    <n v="0"/>
    <n v="1"/>
    <n v="0"/>
    <n v="0"/>
    <n v="1"/>
    <n v="0"/>
    <n v="1"/>
    <n v="1"/>
    <n v="45448"/>
    <n v="0"/>
    <x v="0"/>
    <n v="0"/>
    <x v="0"/>
    <n v="45455"/>
    <n v="0"/>
    <n v="1"/>
    <n v="0"/>
    <x v="0"/>
    <x v="0"/>
    <n v="0"/>
    <n v="1"/>
    <n v="1"/>
  </r>
  <r>
    <n v="4"/>
    <s v="403301911"/>
    <n v="45449"/>
    <n v="45455"/>
    <n v="6"/>
    <n v="77"/>
    <n v="1"/>
    <n v="2"/>
    <n v="0"/>
    <n v="0"/>
    <n v="0"/>
    <n v="0"/>
    <n v="0"/>
    <n v="0"/>
    <n v="0"/>
    <m/>
    <s v="Staphylococcus aureus"/>
    <n v="1"/>
    <n v="2"/>
    <n v="45449"/>
    <n v="45450"/>
    <n v="1"/>
    <n v="1"/>
    <n v="0"/>
    <n v="0"/>
    <n v="0"/>
    <n v="0"/>
    <n v="0"/>
    <n v="0"/>
    <n v="1"/>
    <n v="1"/>
    <n v="1"/>
    <s v="cefazolin"/>
    <n v="0"/>
    <n v="1"/>
    <n v="1"/>
    <n v="1"/>
    <n v="0"/>
    <n v="0"/>
    <n v="1"/>
    <n v="1"/>
    <n v="45450"/>
    <n v="0"/>
    <x v="0"/>
    <n v="1"/>
    <x v="0"/>
    <n v="45453"/>
    <n v="0"/>
    <n v="0"/>
    <n v="0"/>
    <x v="0"/>
    <x v="0"/>
    <n v="0"/>
    <n v="0"/>
    <n v="1"/>
  </r>
  <r>
    <n v="5"/>
    <s v="404853319"/>
    <n v="45453"/>
    <n v="45456"/>
    <n v="3"/>
    <n v="71"/>
    <n v="1"/>
    <n v="2"/>
    <n v="1"/>
    <n v="0"/>
    <n v="0"/>
    <n v="0"/>
    <n v="1"/>
    <n v="1"/>
    <n v="1"/>
    <s v="G3DD, sev LA dilation"/>
    <s v="Staphylococcus aureus"/>
    <n v="1"/>
    <n v="2"/>
    <n v="45453"/>
    <n v="45454"/>
    <n v="1"/>
    <n v="1"/>
    <n v="0"/>
    <n v="0"/>
    <n v="0"/>
    <n v="1"/>
    <n v="0"/>
    <n v="0"/>
    <n v="0"/>
    <n v="0"/>
    <n v="1"/>
    <s v="vanc zosyn"/>
    <n v="1"/>
    <n v="1"/>
    <n v="1"/>
    <n v="1"/>
    <n v="0"/>
    <n v="0"/>
    <n v="0"/>
    <n v="1"/>
    <n v="45454"/>
    <n v="1"/>
    <x v="1"/>
    <n v="1"/>
    <x v="1"/>
    <m/>
    <m/>
    <m/>
    <m/>
    <x v="1"/>
    <x v="0"/>
    <n v="0"/>
    <n v="1"/>
    <n v="0"/>
  </r>
  <r>
    <n v="6"/>
    <s v="408233851"/>
    <n v="45454"/>
    <n v="45465"/>
    <n v="11"/>
    <n v="81"/>
    <n v="1"/>
    <n v="2"/>
    <n v="1"/>
    <n v="0"/>
    <n v="0"/>
    <n v="0"/>
    <n v="0"/>
    <n v="0"/>
    <n v="1"/>
    <s v="mod MR, TR, sev biatrial enlarge"/>
    <s v="Staphylococcus aureus"/>
    <n v="1"/>
    <n v="4"/>
    <n v="45454"/>
    <n v="45458"/>
    <n v="4"/>
    <n v="1"/>
    <n v="0"/>
    <n v="1"/>
    <n v="0"/>
    <n v="0"/>
    <n v="1"/>
    <n v="0"/>
    <n v="0"/>
    <n v="0"/>
    <n v="1"/>
    <s v="Ertapenem cefazolin"/>
    <n v="0"/>
    <n v="1"/>
    <n v="1"/>
    <n v="1"/>
    <n v="0"/>
    <n v="0"/>
    <n v="0"/>
    <n v="1"/>
    <n v="45455"/>
    <n v="0"/>
    <x v="0"/>
    <n v="1"/>
    <x v="1"/>
    <m/>
    <m/>
    <m/>
    <m/>
    <x v="0"/>
    <x v="0"/>
    <n v="0"/>
    <n v="1"/>
    <n v="0"/>
  </r>
  <r>
    <n v="7"/>
    <s v="404897779"/>
    <n v="45453"/>
    <n v="45485"/>
    <n v="32"/>
    <n v="45"/>
    <n v="2"/>
    <n v="2"/>
    <n v="0"/>
    <n v="0"/>
    <n v="0"/>
    <n v="0"/>
    <n v="0"/>
    <n v="0"/>
    <n v="0"/>
    <m/>
    <s v="Staphylococcus aureus"/>
    <n v="0"/>
    <n v="1"/>
    <n v="45455"/>
    <n v="45455"/>
    <n v="0"/>
    <n v="0"/>
    <n v="0"/>
    <n v="0"/>
    <n v="0"/>
    <n v="0"/>
    <n v="0"/>
    <n v="0"/>
    <n v="0"/>
    <n v="0"/>
    <n v="1"/>
    <s v="cefazolin"/>
    <n v="1"/>
    <n v="0"/>
    <n v="1"/>
    <n v="0"/>
    <n v="0"/>
    <n v="1"/>
    <n v="1"/>
    <n v="1"/>
    <n v="45457"/>
    <n v="0"/>
    <x v="0"/>
    <n v="4"/>
    <x v="1"/>
    <m/>
    <m/>
    <m/>
    <m/>
    <x v="0"/>
    <x v="1"/>
    <n v="0"/>
    <n v="1"/>
    <n v="0"/>
  </r>
  <r>
    <n v="8"/>
    <s v="405202760"/>
    <n v="45456"/>
    <n v="45466"/>
    <n v="10"/>
    <n v="60"/>
    <n v="1"/>
    <n v="3"/>
    <n v="1"/>
    <n v="0"/>
    <n v="0"/>
    <n v="0"/>
    <n v="0"/>
    <n v="0"/>
    <n v="1"/>
    <s v="G2DD"/>
    <s v="Staphylococcus aureus"/>
    <n v="1"/>
    <n v="2"/>
    <n v="45456"/>
    <n v="45457"/>
    <n v="1"/>
    <n v="1"/>
    <n v="0"/>
    <n v="0"/>
    <n v="0"/>
    <n v="1"/>
    <n v="0"/>
    <n v="0"/>
    <n v="0"/>
    <n v="0"/>
    <n v="1"/>
    <s v="cefazolin"/>
    <n v="1"/>
    <n v="1"/>
    <n v="1"/>
    <n v="1"/>
    <n v="0"/>
    <n v="0"/>
    <n v="1"/>
    <n v="1"/>
    <n v="45457"/>
    <n v="0"/>
    <x v="0"/>
    <n v="1"/>
    <x v="1"/>
    <m/>
    <m/>
    <m/>
    <m/>
    <x v="0"/>
    <x v="0"/>
    <n v="0"/>
    <n v="0"/>
    <n v="0"/>
  </r>
  <r>
    <n v="9"/>
    <s v="400903585"/>
    <n v="45458"/>
    <n v="45470"/>
    <n v="12"/>
    <n v="64"/>
    <n v="2"/>
    <n v="2"/>
    <n v="1"/>
    <n v="0"/>
    <n v="0"/>
    <n v="0"/>
    <n v="1"/>
    <n v="0"/>
    <n v="0"/>
    <m/>
    <s v="Staphylococcus aureus"/>
    <n v="1"/>
    <n v="2"/>
    <n v="45463"/>
    <n v="45464"/>
    <n v="1"/>
    <n v="1"/>
    <n v="0"/>
    <n v="1"/>
    <n v="0"/>
    <n v="0"/>
    <n v="0"/>
    <n v="0"/>
    <n v="0"/>
    <n v="0"/>
    <n v="1"/>
    <s v="cefazolin"/>
    <n v="1"/>
    <n v="1"/>
    <n v="1"/>
    <n v="1"/>
    <n v="0"/>
    <n v="0"/>
    <n v="1"/>
    <n v="1"/>
    <n v="45467"/>
    <n v="0"/>
    <x v="0"/>
    <n v="9"/>
    <x v="1"/>
    <m/>
    <m/>
    <m/>
    <m/>
    <x v="0"/>
    <x v="0"/>
    <n v="0"/>
    <n v="0"/>
    <n v="0"/>
  </r>
  <r>
    <n v="10"/>
    <s v="404330489"/>
    <n v="45468"/>
    <n v="45475"/>
    <n v="7"/>
    <n v="46"/>
    <n v="1"/>
    <n v="2"/>
    <n v="1"/>
    <n v="1"/>
    <n v="0"/>
    <n v="0"/>
    <n v="1"/>
    <n v="1"/>
    <n v="1"/>
    <s v="1/4/24 veg seen, sev TR, "/>
    <s v="Methicillin-Resistant Staphylococcus aureus"/>
    <n v="1"/>
    <n v="5"/>
    <n v="45468"/>
    <n v="45473"/>
    <n v="5"/>
    <n v="1"/>
    <n v="1"/>
    <n v="1"/>
    <n v="0"/>
    <n v="1"/>
    <n v="0"/>
    <n v="0"/>
    <n v="0"/>
    <n v="0"/>
    <n v="1"/>
    <s v="Daptomycin"/>
    <n v="1"/>
    <n v="1"/>
    <n v="1"/>
    <n v="1"/>
    <n v="0"/>
    <n v="0"/>
    <n v="1"/>
    <n v="1"/>
    <n v="45468"/>
    <n v="1"/>
    <x v="1"/>
    <n v="0"/>
    <x v="1"/>
    <m/>
    <m/>
    <m/>
    <m/>
    <x v="1"/>
    <x v="0"/>
    <n v="1"/>
    <n v="0"/>
    <n v="0"/>
  </r>
  <r>
    <n v="11"/>
    <s v="402919186"/>
    <n v="45470"/>
    <n v="45501"/>
    <n v="31"/>
    <n v="74"/>
    <n v="1"/>
    <n v="2"/>
    <n v="1"/>
    <n v="0"/>
    <n v="0"/>
    <n v="0"/>
    <n v="0"/>
    <n v="0"/>
    <n v="1"/>
    <s v="sev calc AV, mod AS, mod TR"/>
    <s v="Staphylococcus aureus"/>
    <n v="0"/>
    <n v="1"/>
    <n v="45470"/>
    <n v="45470"/>
    <n v="0"/>
    <n v="1"/>
    <n v="0"/>
    <n v="1"/>
    <n v="0"/>
    <n v="0"/>
    <n v="0"/>
    <n v="1"/>
    <n v="0"/>
    <n v="0"/>
    <n v="1"/>
    <s v="vanc cefepime"/>
    <n v="0"/>
    <n v="1"/>
    <n v="1"/>
    <n v="1"/>
    <n v="0"/>
    <n v="0"/>
    <n v="0"/>
    <n v="1"/>
    <n v="45471"/>
    <n v="0"/>
    <x v="1"/>
    <n v="1"/>
    <x v="1"/>
    <m/>
    <m/>
    <m/>
    <m/>
    <x v="0"/>
    <x v="0"/>
    <n v="0"/>
    <n v="1"/>
    <n v="0"/>
  </r>
  <r>
    <n v="12"/>
    <s v="405482656"/>
    <n v="45413"/>
    <n v="45423"/>
    <n v="10"/>
    <n v="70"/>
    <n v="1"/>
    <n v="5"/>
    <n v="1"/>
    <n v="0"/>
    <n v="0"/>
    <n v="0"/>
    <n v="1"/>
    <n v="0"/>
    <n v="1"/>
    <s v="G1DD"/>
    <s v="Staphylococcus aureus"/>
    <n v="1"/>
    <n v="2"/>
    <n v="45413"/>
    <n v="45415"/>
    <n v="2"/>
    <n v="1"/>
    <n v="0"/>
    <n v="0"/>
    <n v="1"/>
    <n v="0"/>
    <n v="0"/>
    <n v="0"/>
    <n v="0"/>
    <n v="0"/>
    <n v="1"/>
    <s v="cefazolin"/>
    <n v="1"/>
    <n v="1"/>
    <n v="1"/>
    <n v="1"/>
    <n v="0"/>
    <n v="0"/>
    <n v="1"/>
    <n v="1"/>
    <n v="45419"/>
    <n v="0"/>
    <x v="1"/>
    <n v="6"/>
    <x v="1"/>
    <m/>
    <m/>
    <m/>
    <m/>
    <x v="0"/>
    <x v="0"/>
    <n v="0"/>
    <n v="0"/>
    <n v="0"/>
  </r>
  <r>
    <n v="13"/>
    <s v="403677980"/>
    <n v="45414"/>
    <n v="45436"/>
    <n v="22"/>
    <n v="91"/>
    <n v="2"/>
    <n v="2"/>
    <n v="1"/>
    <n v="0"/>
    <n v="0"/>
    <n v="0"/>
    <n v="0"/>
    <n v="0"/>
    <n v="1"/>
    <s v="HFrEF"/>
    <s v="Staphylococcus aureus"/>
    <n v="1"/>
    <n v="2"/>
    <n v="45414"/>
    <n v="45415"/>
    <n v="1"/>
    <n v="1"/>
    <n v="0"/>
    <n v="0"/>
    <n v="0"/>
    <n v="1"/>
    <n v="0"/>
    <n v="0"/>
    <n v="0"/>
    <n v="0"/>
    <n v="1"/>
    <s v="cefazolin"/>
    <n v="1"/>
    <n v="1"/>
    <n v="1"/>
    <n v="1"/>
    <n v="0"/>
    <n v="0"/>
    <n v="1"/>
    <n v="1"/>
    <n v="45418"/>
    <n v="0"/>
    <x v="0"/>
    <n v="4"/>
    <x v="1"/>
    <m/>
    <m/>
    <m/>
    <m/>
    <x v="0"/>
    <x v="0"/>
    <n v="0"/>
    <n v="0"/>
    <n v="0"/>
  </r>
  <r>
    <n v="14"/>
    <s v="401084542"/>
    <n v="45419"/>
    <n v="45433"/>
    <n v="14"/>
    <n v="71"/>
    <n v="2"/>
    <n v="2"/>
    <n v="1"/>
    <n v="0"/>
    <n v="0"/>
    <n v="0"/>
    <n v="1"/>
    <n v="0"/>
    <n v="0"/>
    <m/>
    <s v="Staphylococcus aureus"/>
    <n v="1"/>
    <n v="3"/>
    <n v="45419"/>
    <n v="45422"/>
    <n v="3"/>
    <n v="1"/>
    <n v="0"/>
    <n v="1"/>
    <n v="1"/>
    <n v="0"/>
    <n v="0"/>
    <n v="0"/>
    <n v="0"/>
    <n v="0"/>
    <n v="1"/>
    <s v="cefazolin"/>
    <n v="1"/>
    <n v="1"/>
    <n v="0"/>
    <n v="0"/>
    <n v="1"/>
    <n v="0"/>
    <n v="1"/>
    <n v="1"/>
    <n v="45420"/>
    <n v="0"/>
    <x v="0"/>
    <n v="1"/>
    <x v="1"/>
    <m/>
    <m/>
    <m/>
    <m/>
    <x v="0"/>
    <x v="0"/>
    <n v="0"/>
    <n v="0"/>
    <n v="0"/>
  </r>
  <r>
    <n v="15"/>
    <s v="00812900"/>
    <n v="45420"/>
    <n v="45432"/>
    <n v="12"/>
    <n v="77"/>
    <n v="1"/>
    <n v="2"/>
    <n v="1"/>
    <n v="0"/>
    <n v="0"/>
    <n v="0"/>
    <n v="0"/>
    <n v="0"/>
    <n v="1"/>
    <s v="at least mod TR'"/>
    <s v="Staphylococcus aureus"/>
    <n v="0"/>
    <n v="1"/>
    <n v="45420"/>
    <n v="45420"/>
    <n v="0"/>
    <n v="1"/>
    <n v="0"/>
    <n v="0"/>
    <n v="0"/>
    <n v="1"/>
    <n v="0"/>
    <n v="0"/>
    <n v="1"/>
    <n v="0"/>
    <n v="1"/>
    <s v="cefazolin"/>
    <n v="1"/>
    <n v="1"/>
    <n v="1"/>
    <n v="1"/>
    <n v="0"/>
    <n v="0"/>
    <n v="1"/>
    <n v="1"/>
    <n v="45421"/>
    <n v="0"/>
    <x v="0"/>
    <n v="1"/>
    <x v="0"/>
    <n v="45425"/>
    <n v="0"/>
    <n v="0"/>
    <n v="0"/>
    <x v="0"/>
    <x v="0"/>
    <n v="0"/>
    <n v="0"/>
    <n v="1"/>
  </r>
  <r>
    <n v="16"/>
    <s v="403662645"/>
    <n v="45420"/>
    <n v="45435"/>
    <n v="15"/>
    <n v="83"/>
    <n v="2"/>
    <n v="2"/>
    <n v="1"/>
    <n v="0"/>
    <n v="0"/>
    <n v="0"/>
    <n v="0"/>
    <n v="0"/>
    <n v="1"/>
    <s v="PFO, sev biatrial enlarge, G1DD, mod LVH"/>
    <s v="Staphylococcus aureus"/>
    <n v="1"/>
    <n v="3"/>
    <n v="45429"/>
    <n v="45431"/>
    <n v="2"/>
    <n v="0"/>
    <n v="0"/>
    <n v="0"/>
    <n v="0"/>
    <n v="0"/>
    <n v="0"/>
    <n v="0"/>
    <n v="0"/>
    <n v="0"/>
    <n v="1"/>
    <s v="nafcillin"/>
    <n v="1"/>
    <n v="1"/>
    <n v="1"/>
    <n v="1"/>
    <n v="0"/>
    <n v="0"/>
    <n v="1"/>
    <n v="1"/>
    <n v="45432"/>
    <n v="0"/>
    <x v="0"/>
    <n v="12"/>
    <x v="1"/>
    <m/>
    <m/>
    <m/>
    <m/>
    <x v="0"/>
    <x v="0"/>
    <n v="0"/>
    <n v="1"/>
    <n v="0"/>
  </r>
  <r>
    <n v="17"/>
    <s v="88273987"/>
    <n v="45438"/>
    <n v="45458"/>
    <n v="20"/>
    <n v="59"/>
    <n v="1"/>
    <n v="3"/>
    <n v="1"/>
    <n v="0"/>
    <n v="0"/>
    <n v="0"/>
    <n v="0"/>
    <n v="0"/>
    <n v="1"/>
    <s v="G1DD, mod mitral annular calc"/>
    <s v="Staphylococcus aureus"/>
    <n v="1"/>
    <n v="2"/>
    <n v="45440"/>
    <n v="45441"/>
    <n v="1"/>
    <n v="1"/>
    <n v="0"/>
    <n v="1"/>
    <n v="0"/>
    <n v="0"/>
    <n v="0"/>
    <n v="0"/>
    <n v="0"/>
    <n v="0"/>
    <n v="1"/>
    <s v="cefazolin"/>
    <n v="1"/>
    <n v="1"/>
    <n v="1"/>
    <n v="1"/>
    <n v="0"/>
    <n v="0"/>
    <n v="1"/>
    <n v="1"/>
    <n v="45442"/>
    <n v="1"/>
    <x v="0"/>
    <n v="4"/>
    <x v="1"/>
    <m/>
    <m/>
    <m/>
    <m/>
    <x v="1"/>
    <x v="0"/>
    <n v="0"/>
    <n v="0"/>
    <n v="0"/>
  </r>
  <r>
    <n v="18"/>
    <s v="405244917"/>
    <n v="45385"/>
    <n v="45395"/>
    <n v="10"/>
    <n v="51"/>
    <n v="1"/>
    <n v="3"/>
    <n v="0"/>
    <n v="0"/>
    <n v="0"/>
    <n v="0"/>
    <n v="0"/>
    <n v="0"/>
    <n v="0"/>
    <m/>
    <s v="Staphylococcus aureus"/>
    <n v="1"/>
    <n v="3"/>
    <n v="45385"/>
    <n v="45388"/>
    <n v="3"/>
    <n v="1"/>
    <n v="1"/>
    <n v="0"/>
    <n v="0"/>
    <n v="0"/>
    <n v="0"/>
    <n v="0"/>
    <n v="0"/>
    <n v="0"/>
    <n v="1"/>
    <s v="cefazolin"/>
    <n v="1"/>
    <n v="1"/>
    <n v="1"/>
    <n v="1"/>
    <n v="0"/>
    <n v="0"/>
    <n v="1"/>
    <n v="1"/>
    <n v="45387"/>
    <n v="0"/>
    <x v="0"/>
    <n v="2"/>
    <x v="0"/>
    <n v="45391"/>
    <n v="0"/>
    <n v="0"/>
    <n v="0"/>
    <x v="0"/>
    <x v="0"/>
    <n v="0"/>
    <n v="0"/>
    <n v="1"/>
  </r>
  <r>
    <n v="19"/>
    <s v="403126637"/>
    <n v="45393"/>
    <n v="45398"/>
    <n v="5"/>
    <n v="65"/>
    <n v="2"/>
    <n v="2"/>
    <n v="1"/>
    <n v="0"/>
    <n v="0"/>
    <n v="0"/>
    <n v="0"/>
    <n v="0"/>
    <n v="1"/>
    <s v="thickened AV leaf"/>
    <s v="Methicillin-Resistant Staphylococcus aureus"/>
    <n v="1"/>
    <n v="3"/>
    <n v="45393"/>
    <n v="45394"/>
    <n v="1"/>
    <n v="0"/>
    <n v="0"/>
    <n v="0"/>
    <n v="0"/>
    <n v="0"/>
    <n v="0"/>
    <n v="0"/>
    <n v="0"/>
    <n v="1"/>
    <n v="1"/>
    <s v="Daptomycin"/>
    <n v="1"/>
    <n v="0"/>
    <n v="1"/>
    <n v="0"/>
    <n v="0"/>
    <n v="1"/>
    <n v="1"/>
    <n v="1"/>
    <n v="45394"/>
    <n v="0"/>
    <x v="1"/>
    <n v="1"/>
    <x v="1"/>
    <m/>
    <m/>
    <m/>
    <m/>
    <x v="0"/>
    <x v="0"/>
    <n v="0"/>
    <n v="0"/>
    <n v="0"/>
  </r>
  <r>
    <n v="20"/>
    <s v="03844744"/>
    <n v="45392"/>
    <n v="45401"/>
    <n v="9"/>
    <n v="85"/>
    <n v="1"/>
    <n v="2"/>
    <n v="0"/>
    <n v="0"/>
    <n v="0"/>
    <n v="0"/>
    <n v="0"/>
    <n v="0"/>
    <n v="0"/>
    <m/>
    <s v="Staphylococcus aureus"/>
    <n v="1"/>
    <n v="2"/>
    <n v="45396"/>
    <n v="45396"/>
    <n v="0"/>
    <n v="0"/>
    <n v="0"/>
    <n v="0"/>
    <n v="0"/>
    <n v="0"/>
    <n v="0"/>
    <n v="0"/>
    <n v="0"/>
    <n v="0"/>
    <n v="1"/>
    <s v="cefazolin"/>
    <n v="1"/>
    <n v="1"/>
    <n v="1"/>
    <n v="1"/>
    <n v="0"/>
    <n v="0"/>
    <n v="1"/>
    <n v="1"/>
    <n v="45400"/>
    <n v="0"/>
    <x v="0"/>
    <n v="8"/>
    <x v="1"/>
    <m/>
    <m/>
    <m/>
    <m/>
    <x v="0"/>
    <x v="0"/>
    <n v="0"/>
    <n v="0"/>
    <n v="0"/>
  </r>
  <r>
    <n v="21"/>
    <s v="403917633"/>
    <n v="45400"/>
    <n v="45408"/>
    <n v="8"/>
    <n v="85"/>
    <n v="2"/>
    <n v="2"/>
    <n v="1"/>
    <n v="0"/>
    <n v="0"/>
    <n v="0"/>
    <n v="0"/>
    <n v="0"/>
    <n v="1"/>
    <s v="G1DD"/>
    <s v="Staphylococcus aureus"/>
    <n v="1"/>
    <n v="3"/>
    <n v="45400"/>
    <n v="45402"/>
    <n v="2"/>
    <n v="1"/>
    <n v="0"/>
    <n v="0"/>
    <n v="0"/>
    <n v="1"/>
    <n v="0"/>
    <n v="0"/>
    <n v="0"/>
    <n v="0"/>
    <n v="1"/>
    <s v="cefazolin"/>
    <n v="1"/>
    <n v="1"/>
    <n v="0"/>
    <n v="0"/>
    <n v="1"/>
    <n v="0"/>
    <n v="1"/>
    <n v="1"/>
    <n v="45404"/>
    <n v="0"/>
    <x v="1"/>
    <n v="4"/>
    <x v="1"/>
    <m/>
    <m/>
    <m/>
    <m/>
    <x v="0"/>
    <x v="0"/>
    <n v="0"/>
    <n v="0"/>
    <n v="0"/>
  </r>
  <r>
    <n v="22"/>
    <s v="403969894"/>
    <n v="45401"/>
    <n v="45408"/>
    <n v="7"/>
    <n v="79"/>
    <n v="1"/>
    <n v="2"/>
    <n v="1"/>
    <n v="0"/>
    <n v="0"/>
    <n v="1"/>
    <n v="0"/>
    <n v="0"/>
    <n v="1"/>
    <s v="G2DD"/>
    <s v="Staphylococcus aureus"/>
    <n v="1"/>
    <n v="1"/>
    <n v="45401"/>
    <n v="45401"/>
    <n v="0"/>
    <n v="0"/>
    <n v="0"/>
    <n v="0"/>
    <n v="0"/>
    <n v="0"/>
    <n v="0"/>
    <n v="0"/>
    <n v="0"/>
    <n v="1"/>
    <n v="1"/>
    <s v="cefazolin"/>
    <n v="1"/>
    <n v="1"/>
    <n v="1"/>
    <n v="1"/>
    <n v="0"/>
    <n v="0"/>
    <n v="0"/>
    <n v="1"/>
    <n v="45406"/>
    <n v="0"/>
    <x v="0"/>
    <n v="5"/>
    <x v="0"/>
    <n v="45408"/>
    <n v="0"/>
    <n v="0"/>
    <n v="0"/>
    <x v="0"/>
    <x v="0"/>
    <n v="1"/>
    <n v="0"/>
    <n v="1"/>
  </r>
  <r>
    <n v="23"/>
    <s v="403916377"/>
    <n v="45401"/>
    <n v="45447"/>
    <n v="46"/>
    <n v="46"/>
    <n v="2"/>
    <n v="2"/>
    <n v="1"/>
    <n v="1"/>
    <n v="0"/>
    <n v="0"/>
    <n v="1"/>
    <n v="0"/>
    <n v="0"/>
    <m/>
    <s v="Methicillin-Resistant Staphylococcus aureus"/>
    <n v="1"/>
    <n v="3"/>
    <n v="45401"/>
    <n v="45404"/>
    <n v="3"/>
    <n v="1"/>
    <n v="0"/>
    <n v="0"/>
    <n v="1"/>
    <n v="0"/>
    <n v="0"/>
    <n v="0"/>
    <n v="0"/>
    <n v="0"/>
    <n v="1"/>
    <s v="vanc"/>
    <n v="1"/>
    <n v="0"/>
    <n v="1"/>
    <n v="0"/>
    <n v="0"/>
    <n v="1"/>
    <n v="1"/>
    <n v="1"/>
    <n v="45406"/>
    <n v="0"/>
    <x v="0"/>
    <n v="5"/>
    <x v="0"/>
    <n v="45408"/>
    <n v="0"/>
    <n v="0"/>
    <n v="0"/>
    <x v="0"/>
    <x v="0"/>
    <n v="1"/>
    <n v="0"/>
    <n v="1"/>
  </r>
  <r>
    <n v="24"/>
    <s v="403153971"/>
    <n v="45402"/>
    <n v="45412"/>
    <n v="10"/>
    <n v="87"/>
    <n v="2"/>
    <n v="2"/>
    <n v="1"/>
    <n v="0"/>
    <n v="0"/>
    <n v="0"/>
    <n v="0"/>
    <n v="0"/>
    <n v="1"/>
    <s v="mod MS, G1DD"/>
    <s v="Staphylococcus aureus"/>
    <n v="1"/>
    <n v="2"/>
    <n v="45402"/>
    <n v="45403"/>
    <n v="1"/>
    <n v="0"/>
    <n v="0"/>
    <n v="0"/>
    <n v="0"/>
    <n v="0"/>
    <n v="0"/>
    <n v="0"/>
    <n v="0"/>
    <n v="0"/>
    <n v="1"/>
    <s v="cefazolin"/>
    <n v="1"/>
    <n v="1"/>
    <n v="1"/>
    <n v="1"/>
    <n v="0"/>
    <n v="0"/>
    <n v="1"/>
    <n v="1"/>
    <n v="45406"/>
    <n v="0"/>
    <x v="0"/>
    <n v="4"/>
    <x v="0"/>
    <n v="45411"/>
    <n v="0"/>
    <n v="0"/>
    <n v="1"/>
    <x v="0"/>
    <x v="0"/>
    <n v="0"/>
    <n v="0"/>
    <n v="1"/>
  </r>
  <r>
    <n v="25"/>
    <s v="404592781"/>
    <n v="45405"/>
    <n v="45423"/>
    <n v="18"/>
    <n v="66"/>
    <n v="1"/>
    <n v="2"/>
    <n v="1"/>
    <n v="0"/>
    <n v="0"/>
    <n v="0"/>
    <n v="0"/>
    <n v="0"/>
    <n v="1"/>
    <s v="G2DD"/>
    <s v="Staphylococcus aureus"/>
    <n v="1"/>
    <n v="4"/>
    <n v="45405"/>
    <n v="45408"/>
    <n v="3"/>
    <n v="1"/>
    <n v="1"/>
    <n v="0"/>
    <n v="0"/>
    <n v="1"/>
    <n v="0"/>
    <n v="0"/>
    <n v="0"/>
    <n v="0"/>
    <n v="1"/>
    <s v="cefazolin"/>
    <n v="1"/>
    <n v="0"/>
    <n v="1"/>
    <n v="0"/>
    <n v="0"/>
    <n v="1"/>
    <n v="0"/>
    <n v="1"/>
    <n v="45411"/>
    <n v="0"/>
    <x v="0"/>
    <n v="6"/>
    <x v="1"/>
    <m/>
    <m/>
    <m/>
    <m/>
    <x v="0"/>
    <x v="1"/>
    <n v="0"/>
    <n v="1"/>
    <n v="0"/>
  </r>
  <r>
    <n v="26"/>
    <s v="408299364"/>
    <n v="45406"/>
    <n v="45424"/>
    <n v="18"/>
    <n v="59"/>
    <n v="2"/>
    <n v="2"/>
    <n v="1"/>
    <n v="0"/>
    <n v="0"/>
    <n v="0"/>
    <n v="1"/>
    <n v="0"/>
    <n v="1"/>
    <s v="G1DD"/>
    <s v="Staphylococcus aureus"/>
    <n v="1"/>
    <n v="3"/>
    <n v="45406"/>
    <n v="45409"/>
    <n v="3"/>
    <n v="1"/>
    <n v="0"/>
    <n v="0"/>
    <n v="1"/>
    <n v="0"/>
    <n v="0"/>
    <n v="0"/>
    <n v="0"/>
    <n v="0"/>
    <n v="1"/>
    <s v="cefazolin"/>
    <n v="1"/>
    <n v="1"/>
    <n v="1"/>
    <n v="1"/>
    <n v="0"/>
    <n v="0"/>
    <n v="1"/>
    <n v="1"/>
    <n v="45415"/>
    <n v="1"/>
    <x v="0"/>
    <n v="9"/>
    <x v="1"/>
    <m/>
    <m/>
    <m/>
    <m/>
    <x v="1"/>
    <x v="0"/>
    <n v="0"/>
    <n v="1"/>
    <n v="0"/>
  </r>
  <r>
    <n v="27"/>
    <s v="03093395"/>
    <n v="45403"/>
    <n v="45412"/>
    <n v="9"/>
    <n v="72"/>
    <n v="1"/>
    <n v="2"/>
    <n v="1"/>
    <n v="0"/>
    <n v="0"/>
    <n v="0"/>
    <n v="0"/>
    <n v="0"/>
    <n v="1"/>
    <s v="anterolat hypokinesis, apical kinesis, HFmrEF"/>
    <s v="Staphylococcus aureus"/>
    <n v="1"/>
    <n v="2"/>
    <n v="45407"/>
    <n v="45409"/>
    <n v="2"/>
    <n v="1"/>
    <n v="1"/>
    <n v="0"/>
    <n v="0"/>
    <n v="0"/>
    <n v="0"/>
    <n v="0"/>
    <n v="0"/>
    <n v="1"/>
    <n v="1"/>
    <s v="cefazolin"/>
    <n v="1"/>
    <n v="1"/>
    <n v="1"/>
    <n v="1"/>
    <n v="0"/>
    <n v="0"/>
    <n v="1"/>
    <n v="1"/>
    <n v="45408"/>
    <n v="0"/>
    <x v="0"/>
    <n v="5"/>
    <x v="1"/>
    <m/>
    <m/>
    <m/>
    <m/>
    <x v="0"/>
    <x v="0"/>
    <n v="0"/>
    <n v="0"/>
    <n v="0"/>
  </r>
  <r>
    <n v="28"/>
    <n v="404684974"/>
    <n v="45406"/>
    <n v="45422"/>
    <n v="16"/>
    <n v="71"/>
    <n v="2"/>
    <n v="2"/>
    <n v="1"/>
    <n v="0"/>
    <n v="0"/>
    <n v="0"/>
    <n v="0"/>
    <n v="0"/>
    <n v="1"/>
    <s v="mod TR, G1DD"/>
    <s v="Staphylococcus aureus"/>
    <n v="1"/>
    <n v="2"/>
    <n v="45409"/>
    <n v="45410"/>
    <n v="1"/>
    <n v="1"/>
    <n v="1"/>
    <n v="0"/>
    <n v="0"/>
    <n v="1"/>
    <n v="0"/>
    <n v="0"/>
    <n v="0"/>
    <n v="1"/>
    <n v="1"/>
    <s v="nafcillin"/>
    <n v="1"/>
    <n v="1"/>
    <n v="1"/>
    <n v="1"/>
    <n v="0"/>
    <n v="0"/>
    <n v="1"/>
    <n v="1"/>
    <n v="45414"/>
    <n v="0"/>
    <x v="0"/>
    <n v="8"/>
    <x v="1"/>
    <m/>
    <m/>
    <m/>
    <m/>
    <x v="0"/>
    <x v="0"/>
    <n v="0"/>
    <n v="0"/>
    <n v="0"/>
  </r>
  <r>
    <n v="29"/>
    <s v="402354987"/>
    <n v="45347"/>
    <n v="45454"/>
    <n v="107"/>
    <n v="54"/>
    <n v="1"/>
    <n v="3"/>
    <n v="0"/>
    <n v="0"/>
    <n v="0"/>
    <n v="0"/>
    <n v="0"/>
    <n v="0"/>
    <n v="0"/>
    <m/>
    <s v="Methicillin-Resistant Staphylococcus aureus"/>
    <n v="1"/>
    <n v="4"/>
    <n v="45407"/>
    <n v="45410"/>
    <n v="3"/>
    <n v="1"/>
    <n v="0"/>
    <n v="1"/>
    <n v="0"/>
    <n v="0"/>
    <n v="0"/>
    <n v="0"/>
    <n v="0"/>
    <n v="0"/>
    <n v="1"/>
    <s v="vanc"/>
    <n v="1"/>
    <n v="1"/>
    <n v="0"/>
    <n v="0"/>
    <n v="1"/>
    <n v="0"/>
    <n v="1"/>
    <n v="1"/>
    <n v="45411"/>
    <n v="0"/>
    <x v="0"/>
    <n v="64"/>
    <x v="1"/>
    <m/>
    <m/>
    <m/>
    <m/>
    <x v="0"/>
    <x v="0"/>
    <n v="0"/>
    <n v="1"/>
    <n v="0"/>
  </r>
  <r>
    <n v="30"/>
    <s v="403606561"/>
    <n v="45351"/>
    <n v="45379"/>
    <n v="28"/>
    <n v="28"/>
    <n v="2"/>
    <n v="2"/>
    <n v="1"/>
    <n v="1"/>
    <n v="0"/>
    <n v="0"/>
    <n v="0"/>
    <n v="0"/>
    <n v="0"/>
    <m/>
    <s v="Methicillin-Resistant Staphylococcus aureus"/>
    <n v="1"/>
    <n v="3"/>
    <n v="45351"/>
    <n v="45353"/>
    <n v="2"/>
    <n v="1"/>
    <n v="0"/>
    <n v="0"/>
    <n v="0"/>
    <n v="0"/>
    <n v="0"/>
    <n v="1"/>
    <n v="0"/>
    <n v="0"/>
    <n v="1"/>
    <s v="vanc"/>
    <n v="1"/>
    <n v="1"/>
    <n v="0"/>
    <n v="0"/>
    <n v="1"/>
    <n v="0"/>
    <n v="1"/>
    <n v="1"/>
    <n v="45352"/>
    <n v="0"/>
    <x v="1"/>
    <n v="1"/>
    <x v="0"/>
    <n v="45365"/>
    <n v="0"/>
    <n v="1"/>
    <n v="0"/>
    <x v="0"/>
    <x v="0"/>
    <n v="1"/>
    <n v="0"/>
    <n v="1"/>
  </r>
  <r>
    <n v="31"/>
    <s v="405206835"/>
    <n v="45343"/>
    <n v="45368"/>
    <n v="25"/>
    <n v="82"/>
    <n v="1"/>
    <n v="2"/>
    <n v="1"/>
    <n v="0"/>
    <n v="0"/>
    <n v="0"/>
    <n v="1"/>
    <n v="0"/>
    <n v="1"/>
    <s v="sev AS"/>
    <s v="Staphylococcus aureus"/>
    <n v="1"/>
    <n v="2"/>
    <n v="45351"/>
    <n v="45352"/>
    <n v="1"/>
    <n v="1"/>
    <n v="0"/>
    <n v="0"/>
    <n v="1"/>
    <n v="0"/>
    <n v="0"/>
    <n v="0"/>
    <n v="1"/>
    <n v="0"/>
    <n v="1"/>
    <s v="vanc"/>
    <n v="1"/>
    <n v="0"/>
    <n v="1"/>
    <n v="0"/>
    <n v="0"/>
    <n v="1"/>
    <n v="0"/>
    <n v="1"/>
    <n v="45352"/>
    <n v="0"/>
    <x v="1"/>
    <n v="9"/>
    <x v="1"/>
    <m/>
    <m/>
    <m/>
    <m/>
    <x v="0"/>
    <x v="0"/>
    <n v="1"/>
    <n v="1"/>
    <n v="0"/>
  </r>
  <r>
    <n v="32"/>
    <s v="405216215"/>
    <n v="45355"/>
    <n v="45378"/>
    <n v="23"/>
    <n v="79"/>
    <n v="2"/>
    <n v="2"/>
    <n v="1"/>
    <n v="0"/>
    <n v="0"/>
    <n v="0"/>
    <n v="0"/>
    <n v="0"/>
    <n v="1"/>
    <s v="G3DD, mod RV dilation"/>
    <s v="Methicillin-Resistant Staphylococcus aureus"/>
    <n v="1"/>
    <n v="5"/>
    <n v="45355"/>
    <n v="45359"/>
    <n v="4"/>
    <n v="0"/>
    <n v="0"/>
    <n v="0"/>
    <n v="0"/>
    <n v="0"/>
    <n v="0"/>
    <n v="0"/>
    <n v="0"/>
    <n v="0"/>
    <n v="1"/>
    <s v="Daptomycin"/>
    <n v="1"/>
    <n v="1"/>
    <n v="1"/>
    <n v="1"/>
    <n v="0"/>
    <n v="0"/>
    <n v="1"/>
    <n v="1"/>
    <n v="45357"/>
    <n v="0"/>
    <x v="0"/>
    <n v="2"/>
    <x v="0"/>
    <n v="45364"/>
    <n v="0"/>
    <n v="0"/>
    <n v="0"/>
    <x v="0"/>
    <x v="0"/>
    <n v="0"/>
    <n v="0"/>
    <n v="1"/>
  </r>
  <r>
    <n v="33"/>
    <s v="406917678"/>
    <n v="45356"/>
    <n v="45383"/>
    <n v="27"/>
    <n v="77"/>
    <n v="2"/>
    <n v="3"/>
    <n v="1"/>
    <n v="0"/>
    <n v="0"/>
    <n v="1"/>
    <n v="0"/>
    <n v="0"/>
    <n v="1"/>
    <s v="sev biatrial enlarge, mod TR"/>
    <s v="Staphylococcus aureus"/>
    <n v="1"/>
    <n v="3"/>
    <n v="45364"/>
    <n v="45366"/>
    <n v="2"/>
    <n v="0"/>
    <n v="0"/>
    <n v="0"/>
    <n v="0"/>
    <n v="0"/>
    <n v="0"/>
    <n v="0"/>
    <n v="0"/>
    <n v="0"/>
    <n v="1"/>
    <s v="cefazolin"/>
    <n v="1"/>
    <n v="0"/>
    <n v="1"/>
    <n v="0"/>
    <n v="0"/>
    <n v="1"/>
    <n v="1"/>
    <n v="1"/>
    <n v="45365"/>
    <n v="0"/>
    <x v="0"/>
    <n v="9"/>
    <x v="0"/>
    <n v="45366"/>
    <n v="1"/>
    <n v="0"/>
    <n v="0"/>
    <x v="1"/>
    <x v="0"/>
    <n v="1"/>
    <n v="0"/>
    <n v="1"/>
  </r>
  <r>
    <n v="34"/>
    <s v="402108577"/>
    <n v="45364"/>
    <n v="45377"/>
    <n v="13"/>
    <n v="95"/>
    <n v="2"/>
    <n v="4"/>
    <n v="0"/>
    <n v="0"/>
    <n v="0"/>
    <n v="0"/>
    <n v="0"/>
    <n v="0"/>
    <n v="0"/>
    <m/>
    <s v="Staphylococcus aureus"/>
    <n v="1"/>
    <n v="5"/>
    <n v="45364"/>
    <n v="45368"/>
    <n v="4"/>
    <n v="1"/>
    <n v="0"/>
    <n v="0"/>
    <n v="0"/>
    <n v="0"/>
    <n v="0"/>
    <n v="0"/>
    <n v="0"/>
    <n v="1"/>
    <n v="1"/>
    <s v="cefazolin"/>
    <n v="1"/>
    <n v="1"/>
    <n v="1"/>
    <n v="1"/>
    <n v="0"/>
    <n v="0"/>
    <n v="1"/>
    <n v="1"/>
    <n v="45366"/>
    <n v="0"/>
    <x v="0"/>
    <n v="2"/>
    <x v="1"/>
    <m/>
    <m/>
    <m/>
    <m/>
    <x v="0"/>
    <x v="0"/>
    <n v="0"/>
    <n v="0"/>
    <n v="0"/>
  </r>
  <r>
    <n v="35"/>
    <s v="402107876"/>
    <n v="45390"/>
    <n v="45425"/>
    <n v="35"/>
    <n v="42"/>
    <n v="2"/>
    <n v="4"/>
    <n v="1"/>
    <n v="1"/>
    <n v="0"/>
    <n v="0"/>
    <n v="0"/>
    <n v="0"/>
    <n v="0"/>
    <m/>
    <s v="Methicillin-Resistant Staphylococcus aureus"/>
    <n v="1"/>
    <n v="5"/>
    <n v="45393"/>
    <n v="45398"/>
    <n v="5"/>
    <n v="1"/>
    <n v="1"/>
    <n v="1"/>
    <n v="0"/>
    <n v="0"/>
    <n v="0"/>
    <n v="0"/>
    <n v="0"/>
    <n v="0"/>
    <n v="1"/>
    <s v="Daptomycin"/>
    <n v="1"/>
    <n v="1"/>
    <n v="0"/>
    <n v="0"/>
    <n v="1"/>
    <n v="0"/>
    <n v="1"/>
    <n v="1"/>
    <n v="45397"/>
    <n v="0"/>
    <x v="0"/>
    <n v="7"/>
    <x v="0"/>
    <n v="45397"/>
    <n v="0"/>
    <n v="0"/>
    <n v="0"/>
    <x v="0"/>
    <x v="0"/>
    <n v="1"/>
    <n v="0"/>
    <n v="1"/>
  </r>
  <r>
    <n v="36"/>
    <s v="405234264"/>
    <n v="45378"/>
    <n v="45380"/>
    <n v="2"/>
    <n v="64"/>
    <n v="2"/>
    <n v="2"/>
    <n v="1"/>
    <n v="0"/>
    <n v="0"/>
    <n v="0"/>
    <n v="0"/>
    <n v="0"/>
    <n v="1"/>
    <s v="G2DD"/>
    <s v="Staphylococcus aureus"/>
    <n v="1"/>
    <n v="3"/>
    <n v="45378"/>
    <n v="45379"/>
    <n v="1"/>
    <n v="0"/>
    <n v="0"/>
    <n v="0"/>
    <n v="0"/>
    <n v="0"/>
    <n v="0"/>
    <n v="0"/>
    <n v="0"/>
    <n v="0"/>
    <n v="1"/>
    <s v="cefazolin"/>
    <n v="1"/>
    <n v="1"/>
    <n v="1"/>
    <n v="1"/>
    <n v="0"/>
    <n v="0"/>
    <n v="0"/>
    <n v="1"/>
    <n v="45379"/>
    <n v="1"/>
    <x v="1"/>
    <n v="1"/>
    <x v="1"/>
    <m/>
    <m/>
    <m/>
    <m/>
    <x v="1"/>
    <x v="0"/>
    <n v="0"/>
    <n v="1"/>
    <n v="0"/>
  </r>
  <r>
    <n v="37"/>
    <s v="403718040"/>
    <n v="45379"/>
    <n v="45390"/>
    <n v="11"/>
    <n v="87"/>
    <n v="2"/>
    <n v="2"/>
    <n v="1"/>
    <n v="0"/>
    <n v="0"/>
    <n v="1"/>
    <n v="0"/>
    <n v="0"/>
    <n v="0"/>
    <s v="HFrEF"/>
    <s v="Staphylococcus aureus"/>
    <n v="1"/>
    <n v="4"/>
    <n v="45379"/>
    <n v="45382"/>
    <n v="3"/>
    <n v="0"/>
    <n v="0"/>
    <n v="0"/>
    <n v="0"/>
    <n v="0"/>
    <n v="0"/>
    <n v="0"/>
    <n v="0"/>
    <n v="0"/>
    <n v="1"/>
    <s v="nafcillin"/>
    <n v="1"/>
    <n v="1"/>
    <n v="0"/>
    <n v="0"/>
    <n v="1"/>
    <n v="0"/>
    <n v="0"/>
    <n v="1"/>
    <n v="45383"/>
    <n v="0"/>
    <x v="0"/>
    <n v="4"/>
    <x v="1"/>
    <m/>
    <m/>
    <m/>
    <m/>
    <x v="1"/>
    <x v="0"/>
    <n v="1"/>
    <n v="0"/>
    <n v="0"/>
  </r>
  <r>
    <n v="38"/>
    <s v="04003524"/>
    <n v="45381"/>
    <n v="45412"/>
    <n v="31"/>
    <n v="69"/>
    <n v="2"/>
    <n v="3"/>
    <n v="0"/>
    <n v="0"/>
    <n v="0"/>
    <n v="0"/>
    <n v="0"/>
    <n v="0"/>
    <n v="0"/>
    <m/>
    <s v="Methicillin-Resistant Staphylococcus aureus"/>
    <n v="0"/>
    <n v="1"/>
    <n v="45381"/>
    <n v="45381"/>
    <n v="0"/>
    <n v="0"/>
    <n v="0"/>
    <n v="0"/>
    <n v="0"/>
    <n v="0"/>
    <n v="0"/>
    <n v="0"/>
    <n v="0"/>
    <n v="0"/>
    <n v="1"/>
    <s v="Daptomycin"/>
    <n v="1"/>
    <n v="1"/>
    <n v="1"/>
    <n v="1"/>
    <n v="0"/>
    <n v="0"/>
    <n v="1"/>
    <n v="1"/>
    <n v="45383"/>
    <n v="0"/>
    <x v="1"/>
    <n v="2"/>
    <x v="0"/>
    <n v="45385"/>
    <n v="0"/>
    <n v="0"/>
    <n v="1"/>
    <x v="0"/>
    <x v="0"/>
    <n v="0"/>
    <n v="0"/>
    <n v="1"/>
  </r>
  <r>
    <n v="39"/>
    <s v="404568449"/>
    <n v="45443"/>
    <n v="45455"/>
    <n v="12"/>
    <n v="70"/>
    <n v="2"/>
    <n v="2"/>
    <n v="0"/>
    <n v="0"/>
    <n v="0"/>
    <n v="0"/>
    <n v="0"/>
    <n v="0"/>
    <n v="0"/>
    <m/>
    <s v="Streptococcus mutans"/>
    <n v="0"/>
    <n v="1"/>
    <n v="45444"/>
    <n v="45444"/>
    <n v="0"/>
    <n v="1"/>
    <n v="1"/>
    <n v="0"/>
    <n v="0"/>
    <n v="0"/>
    <n v="0"/>
    <n v="0"/>
    <n v="0"/>
    <n v="0"/>
    <n v="1"/>
    <s v="ceftriaxone"/>
    <n v="1"/>
    <n v="1"/>
    <n v="1"/>
    <n v="1"/>
    <n v="0"/>
    <n v="0"/>
    <n v="1"/>
    <n v="1"/>
    <n v="45448"/>
    <n v="0"/>
    <x v="1"/>
    <n v="5"/>
    <x v="1"/>
    <m/>
    <m/>
    <m/>
    <m/>
    <x v="0"/>
    <x v="0"/>
    <n v="0"/>
    <n v="0"/>
    <n v="0"/>
  </r>
  <r>
    <n v="41"/>
    <s v="405164086"/>
    <n v="45450"/>
    <n v="45456"/>
    <n v="6"/>
    <n v="71"/>
    <n v="1"/>
    <n v="2"/>
    <n v="1"/>
    <n v="0"/>
    <n v="1"/>
    <n v="0"/>
    <n v="0"/>
    <n v="0"/>
    <n v="0"/>
    <m/>
    <s v="Streptococcus gordonii"/>
    <n v="0"/>
    <n v="1"/>
    <n v="45450"/>
    <n v="45450"/>
    <n v="0"/>
    <n v="0"/>
    <n v="0"/>
    <n v="0"/>
    <n v="0"/>
    <n v="0"/>
    <n v="0"/>
    <n v="0"/>
    <n v="0"/>
    <n v="0"/>
    <n v="1"/>
    <s v="ceftriaxone"/>
    <n v="1"/>
    <n v="1"/>
    <n v="1"/>
    <n v="1"/>
    <n v="0"/>
    <n v="0"/>
    <n v="1"/>
    <n v="1"/>
    <n v="45453"/>
    <n v="0"/>
    <x v="0"/>
    <n v="3"/>
    <x v="0"/>
    <n v="45455"/>
    <n v="0"/>
    <n v="1"/>
    <n v="0"/>
    <x v="0"/>
    <x v="0"/>
    <n v="1"/>
    <n v="0"/>
    <n v="1"/>
  </r>
  <r>
    <n v="42"/>
    <s v="407511258"/>
    <n v="45455"/>
    <n v="45462"/>
    <n v="7"/>
    <n v="83"/>
    <n v="1"/>
    <n v="5"/>
    <n v="0"/>
    <n v="0"/>
    <n v="0"/>
    <n v="0"/>
    <n v="0"/>
    <n v="0"/>
    <n v="0"/>
    <m/>
    <s v="Streptococcus mitis group"/>
    <n v="0"/>
    <n v="1"/>
    <n v="45455"/>
    <n v="45455"/>
    <n v="0"/>
    <n v="1"/>
    <n v="0"/>
    <n v="0"/>
    <n v="0"/>
    <n v="1"/>
    <n v="0"/>
    <n v="0"/>
    <n v="0"/>
    <n v="0"/>
    <n v="1"/>
    <s v="ceftriaxone"/>
    <n v="1"/>
    <n v="1"/>
    <n v="1"/>
    <n v="1"/>
    <n v="0"/>
    <n v="0"/>
    <n v="1"/>
    <n v="1"/>
    <n v="45457"/>
    <n v="1"/>
    <x v="0"/>
    <n v="2"/>
    <x v="1"/>
    <m/>
    <m/>
    <m/>
    <m/>
    <x v="1"/>
    <x v="0"/>
    <n v="0"/>
    <n v="0"/>
    <n v="0"/>
  </r>
  <r>
    <n v="43"/>
    <s v="403827953"/>
    <n v="45460"/>
    <n v="45465"/>
    <n v="5"/>
    <n v="65"/>
    <n v="1"/>
    <n v="3"/>
    <n v="0"/>
    <n v="0"/>
    <n v="0"/>
    <n v="0"/>
    <n v="0"/>
    <n v="0"/>
    <n v="0"/>
    <m/>
    <s v="Streptococcus mitis group"/>
    <n v="0"/>
    <n v="1"/>
    <n v="45460"/>
    <n v="45460"/>
    <n v="0"/>
    <n v="1"/>
    <n v="0"/>
    <n v="0"/>
    <n v="0"/>
    <n v="0"/>
    <n v="0"/>
    <n v="1"/>
    <n v="0"/>
    <n v="0"/>
    <n v="1"/>
    <s v="ceftriaxone"/>
    <n v="0"/>
    <n v="0"/>
    <n v="1"/>
    <n v="0"/>
    <n v="0"/>
    <n v="1"/>
    <n v="1"/>
    <n v="1"/>
    <n v="45463"/>
    <n v="0"/>
    <x v="1"/>
    <n v="3"/>
    <x v="1"/>
    <m/>
    <m/>
    <m/>
    <m/>
    <x v="0"/>
    <x v="1"/>
    <n v="0"/>
    <n v="0"/>
    <n v="0"/>
  </r>
  <r>
    <n v="44"/>
    <s v="403724423"/>
    <n v="45473"/>
    <n v="45483"/>
    <n v="10"/>
    <n v="55"/>
    <n v="2"/>
    <n v="2"/>
    <n v="1"/>
    <n v="0"/>
    <n v="0"/>
    <n v="0"/>
    <n v="1"/>
    <n v="0"/>
    <n v="0"/>
    <m/>
    <s v="Streptococcus constellatus"/>
    <n v="0"/>
    <n v="1"/>
    <n v="45473"/>
    <n v="45473"/>
    <n v="0"/>
    <n v="0"/>
    <n v="0"/>
    <n v="0"/>
    <n v="0"/>
    <n v="0"/>
    <n v="0"/>
    <n v="0"/>
    <n v="0"/>
    <n v="0"/>
    <n v="1"/>
    <s v="levofloxacin"/>
    <n v="0"/>
    <n v="1"/>
    <n v="0"/>
    <n v="0"/>
    <n v="1"/>
    <n v="0"/>
    <n v="1"/>
    <n v="1"/>
    <n v="45475"/>
    <n v="0"/>
    <x v="0"/>
    <n v="2"/>
    <x v="1"/>
    <m/>
    <m/>
    <m/>
    <m/>
    <x v="0"/>
    <x v="0"/>
    <n v="0"/>
    <n v="0"/>
    <n v="0"/>
  </r>
  <r>
    <n v="45"/>
    <s v="406940313"/>
    <n v="45421"/>
    <n v="45426"/>
    <n v="5"/>
    <n v="58"/>
    <n v="1"/>
    <n v="3"/>
    <n v="0"/>
    <n v="0"/>
    <n v="0"/>
    <n v="0"/>
    <n v="0"/>
    <n v="0"/>
    <n v="1"/>
    <s v="sev MR"/>
    <s v="Streptococcus mutans"/>
    <n v="0"/>
    <n v="1"/>
    <n v="45421"/>
    <n v="45421"/>
    <n v="0"/>
    <n v="1"/>
    <n v="0"/>
    <n v="0"/>
    <n v="0"/>
    <n v="0"/>
    <n v="0"/>
    <n v="0"/>
    <n v="0"/>
    <n v="1"/>
    <n v="1"/>
    <s v="ceftriaxone gentamycin"/>
    <n v="0"/>
    <n v="1"/>
    <n v="1"/>
    <n v="1"/>
    <n v="0"/>
    <n v="0"/>
    <n v="1"/>
    <n v="1"/>
    <n v="45422"/>
    <n v="0"/>
    <x v="0"/>
    <n v="1"/>
    <x v="0"/>
    <n v="45425"/>
    <n v="1"/>
    <n v="0"/>
    <n v="1"/>
    <x v="1"/>
    <x v="0"/>
    <n v="0"/>
    <n v="0"/>
    <n v="1"/>
  </r>
  <r>
    <n v="46"/>
    <s v="403745148"/>
    <n v="45428"/>
    <n v="45448"/>
    <n v="20"/>
    <n v="77"/>
    <n v="1"/>
    <n v="2"/>
    <n v="0"/>
    <n v="0"/>
    <n v="0"/>
    <n v="0"/>
    <n v="0"/>
    <n v="0"/>
    <n v="0"/>
    <m/>
    <s v="Streptococcus mitis group"/>
    <n v="0"/>
    <n v="1"/>
    <n v="45429"/>
    <n v="45429"/>
    <n v="0"/>
    <n v="1"/>
    <n v="0"/>
    <n v="0"/>
    <n v="0"/>
    <n v="0"/>
    <n v="0"/>
    <n v="0"/>
    <n v="0"/>
    <n v="1"/>
    <n v="1"/>
    <s v="vanc"/>
    <n v="1"/>
    <n v="1"/>
    <n v="0"/>
    <n v="0"/>
    <n v="1"/>
    <n v="0"/>
    <n v="0"/>
    <n v="1"/>
    <n v="45433"/>
    <n v="0"/>
    <x v="0"/>
    <n v="5"/>
    <x v="0"/>
    <n v="45434"/>
    <n v="0"/>
    <n v="0"/>
    <n v="0"/>
    <x v="0"/>
    <x v="0"/>
    <n v="0"/>
    <n v="1"/>
    <n v="1"/>
  </r>
  <r>
    <n v="47"/>
    <s v="404678269"/>
    <n v="45433"/>
    <n v="45447"/>
    <n v="14"/>
    <n v="75"/>
    <n v="1"/>
    <n v="2"/>
    <n v="0"/>
    <n v="0"/>
    <n v="0"/>
    <n v="0"/>
    <n v="0"/>
    <n v="0"/>
    <n v="0"/>
    <m/>
    <s v="Streptococcus mitis group"/>
    <n v="0"/>
    <n v="1"/>
    <n v="45433"/>
    <n v="45433"/>
    <n v="0"/>
    <n v="0"/>
    <n v="0"/>
    <n v="0"/>
    <n v="0"/>
    <n v="0"/>
    <n v="0"/>
    <n v="0"/>
    <n v="0"/>
    <n v="0"/>
    <n v="1"/>
    <s v="ceftriaxone"/>
    <n v="0"/>
    <n v="0"/>
    <n v="1"/>
    <n v="0"/>
    <n v="0"/>
    <n v="1"/>
    <n v="1"/>
    <n v="1"/>
    <n v="45436"/>
    <n v="0"/>
    <x v="0"/>
    <n v="3"/>
    <x v="1"/>
    <m/>
    <m/>
    <m/>
    <m/>
    <x v="0"/>
    <x v="1"/>
    <n v="0"/>
    <n v="0"/>
    <n v="0"/>
  </r>
  <r>
    <n v="49"/>
    <s v="408015657"/>
    <n v="45395"/>
    <n v="45420"/>
    <n v="25"/>
    <n v="78"/>
    <n v="2"/>
    <n v="2"/>
    <n v="0"/>
    <n v="0"/>
    <n v="0"/>
    <n v="0"/>
    <n v="0"/>
    <n v="0"/>
    <n v="0"/>
    <m/>
    <s v="Streptococcus anginosus"/>
    <n v="0"/>
    <n v="1"/>
    <n v="45395"/>
    <n v="45395"/>
    <n v="0"/>
    <n v="1"/>
    <n v="0"/>
    <n v="0"/>
    <n v="0"/>
    <n v="0"/>
    <n v="0"/>
    <n v="0"/>
    <n v="0"/>
    <n v="1"/>
    <n v="1"/>
    <s v="meropenem"/>
    <n v="1"/>
    <n v="1"/>
    <n v="0"/>
    <n v="0"/>
    <n v="1"/>
    <n v="0"/>
    <n v="0"/>
    <n v="1"/>
    <n v="45402"/>
    <n v="0"/>
    <x v="0"/>
    <n v="7"/>
    <x v="1"/>
    <m/>
    <m/>
    <m/>
    <m/>
    <x v="0"/>
    <x v="0"/>
    <n v="0"/>
    <n v="1"/>
    <n v="0"/>
  </r>
  <r>
    <n v="50"/>
    <s v="403192966"/>
    <n v="45409"/>
    <n v="45435"/>
    <n v="26"/>
    <n v="36"/>
    <n v="1"/>
    <n v="3"/>
    <n v="0"/>
    <n v="0"/>
    <n v="0"/>
    <n v="0"/>
    <n v="0"/>
    <n v="0"/>
    <n v="0"/>
    <m/>
    <s v="Streptococcus constellatus"/>
    <n v="0"/>
    <n v="1"/>
    <n v="45409"/>
    <n v="45409"/>
    <n v="0"/>
    <n v="1"/>
    <n v="0"/>
    <n v="0"/>
    <n v="0"/>
    <n v="1"/>
    <n v="1"/>
    <n v="0"/>
    <n v="0"/>
    <n v="0"/>
    <n v="1"/>
    <s v="ceftriaxone"/>
    <n v="1"/>
    <n v="1"/>
    <n v="1"/>
    <n v="1"/>
    <n v="0"/>
    <n v="0"/>
    <n v="0"/>
    <n v="1"/>
    <n v="45413"/>
    <n v="0"/>
    <x v="0"/>
    <n v="4"/>
    <x v="1"/>
    <m/>
    <m/>
    <m/>
    <m/>
    <x v="0"/>
    <x v="0"/>
    <n v="0"/>
    <n v="1"/>
    <n v="0"/>
  </r>
  <r>
    <n v="51"/>
    <s v="400801598"/>
    <n v="45410"/>
    <n v="45415"/>
    <n v="5"/>
    <n v="95"/>
    <n v="2"/>
    <n v="2"/>
    <n v="0"/>
    <n v="0"/>
    <n v="0"/>
    <n v="0"/>
    <n v="0"/>
    <n v="0"/>
    <n v="0"/>
    <m/>
    <s v="Streptococcus mitis group"/>
    <n v="0"/>
    <n v="1"/>
    <n v="45410"/>
    <n v="45410"/>
    <n v="0"/>
    <n v="0"/>
    <n v="0"/>
    <n v="0"/>
    <n v="0"/>
    <n v="0"/>
    <n v="0"/>
    <n v="0"/>
    <n v="0"/>
    <n v="0"/>
    <n v="1"/>
    <s v="ceftriaxone"/>
    <n v="0"/>
    <n v="0"/>
    <n v="1"/>
    <n v="0"/>
    <n v="0"/>
    <n v="1"/>
    <n v="1"/>
    <n v="1"/>
    <n v="45414"/>
    <n v="0"/>
    <x v="0"/>
    <n v="4"/>
    <x v="1"/>
    <m/>
    <m/>
    <m/>
    <m/>
    <x v="0"/>
    <x v="1"/>
    <n v="0"/>
    <n v="0"/>
    <n v="0"/>
  </r>
  <r>
    <n v="52"/>
    <s v="00507392"/>
    <n v="45356"/>
    <n v="45366"/>
    <n v="10"/>
    <n v="42"/>
    <n v="1"/>
    <n v="2"/>
    <n v="1"/>
    <n v="0"/>
    <n v="0"/>
    <n v="0"/>
    <n v="0"/>
    <n v="0"/>
    <n v="1"/>
    <s v="bicuspid AV and AS"/>
    <s v="Streptococcus gordonii"/>
    <n v="1"/>
    <n v="2"/>
    <n v="45356"/>
    <n v="45357"/>
    <n v="1"/>
    <n v="0"/>
    <n v="0"/>
    <n v="0"/>
    <n v="0"/>
    <n v="0"/>
    <n v="0"/>
    <n v="0"/>
    <n v="0"/>
    <n v="0"/>
    <n v="1"/>
    <s v="ceftriaxone"/>
    <n v="1"/>
    <n v="1"/>
    <n v="1"/>
    <n v="1"/>
    <n v="0"/>
    <n v="0"/>
    <n v="1"/>
    <n v="1"/>
    <n v="45357"/>
    <n v="1"/>
    <x v="1"/>
    <n v="1"/>
    <x v="0"/>
    <n v="45359"/>
    <n v="1"/>
    <n v="1"/>
    <n v="0"/>
    <x v="1"/>
    <x v="0"/>
    <n v="0"/>
    <n v="0"/>
    <n v="1"/>
  </r>
  <r>
    <n v="53"/>
    <s v="403211112"/>
    <n v="45357"/>
    <n v="45385"/>
    <n v="28"/>
    <n v="37"/>
    <n v="2"/>
    <n v="2"/>
    <n v="0"/>
    <n v="0"/>
    <n v="0"/>
    <n v="0"/>
    <n v="0"/>
    <n v="0"/>
    <n v="0"/>
    <m/>
    <s v="Streptococcus anginosus"/>
    <n v="0"/>
    <n v="1"/>
    <n v="45357"/>
    <n v="45357"/>
    <n v="0"/>
    <n v="1"/>
    <n v="0"/>
    <n v="1"/>
    <n v="0"/>
    <n v="1"/>
    <n v="0"/>
    <n v="0"/>
    <n v="0"/>
    <n v="0"/>
    <n v="1"/>
    <s v="cefazolin levofloxacin"/>
    <n v="1"/>
    <n v="1"/>
    <n v="1"/>
    <n v="1"/>
    <n v="0"/>
    <n v="0"/>
    <n v="1"/>
    <n v="1"/>
    <n v="45359"/>
    <n v="0"/>
    <x v="0"/>
    <n v="2"/>
    <x v="1"/>
    <m/>
    <m/>
    <m/>
    <m/>
    <x v="0"/>
    <x v="0"/>
    <n v="0"/>
    <n v="1"/>
    <n v="0"/>
  </r>
  <r>
    <n v="54"/>
    <s v="404376762"/>
    <n v="45359"/>
    <n v="45366"/>
    <n v="7"/>
    <n v="86"/>
    <n v="1"/>
    <n v="2"/>
    <n v="0"/>
    <n v="0"/>
    <n v="0"/>
    <n v="0"/>
    <n v="0"/>
    <n v="0"/>
    <n v="1"/>
    <s v="G1DD, mod AS"/>
    <s v="Streptococcus mutans"/>
    <n v="0"/>
    <n v="1"/>
    <n v="45359"/>
    <n v="45359"/>
    <n v="0"/>
    <n v="1"/>
    <n v="0"/>
    <n v="0"/>
    <n v="0"/>
    <n v="0"/>
    <n v="0"/>
    <n v="0"/>
    <n v="1"/>
    <n v="0"/>
    <n v="1"/>
    <s v="amoxicillin"/>
    <n v="0"/>
    <n v="0"/>
    <n v="1"/>
    <n v="0"/>
    <n v="0"/>
    <n v="1"/>
    <n v="1"/>
    <n v="1"/>
    <n v="45363"/>
    <n v="0"/>
    <x v="1"/>
    <n v="4"/>
    <x v="1"/>
    <m/>
    <m/>
    <m/>
    <m/>
    <x v="0"/>
    <x v="1"/>
    <n v="0"/>
    <n v="0"/>
    <n v="0"/>
  </r>
  <r>
    <n v="56"/>
    <s v="404401297"/>
    <n v="45458"/>
    <n v="45467"/>
    <n v="9"/>
    <n v="87"/>
    <n v="2"/>
    <n v="5"/>
    <n v="0"/>
    <n v="0"/>
    <n v="0"/>
    <n v="0"/>
    <n v="0"/>
    <n v="0"/>
    <n v="0"/>
    <s v="G1DD"/>
    <s v="Enterococcus faecalis"/>
    <n v="1"/>
    <n v="2"/>
    <n v="45457"/>
    <n v="45458"/>
    <n v="1"/>
    <n v="1"/>
    <n v="0"/>
    <n v="0"/>
    <n v="0"/>
    <n v="0"/>
    <n v="0"/>
    <n v="0"/>
    <n v="1"/>
    <n v="0"/>
    <n v="1"/>
    <s v="amoxicillin"/>
    <n v="0"/>
    <n v="1"/>
    <n v="1"/>
    <n v="1"/>
    <n v="0"/>
    <n v="0"/>
    <n v="1"/>
    <n v="1"/>
    <n v="45462"/>
    <n v="0"/>
    <x v="0"/>
    <n v="4"/>
    <x v="1"/>
    <m/>
    <m/>
    <m/>
    <m/>
    <x v="0"/>
    <x v="0"/>
    <n v="0"/>
    <n v="0"/>
    <n v="0"/>
  </r>
  <r>
    <n v="57"/>
    <s v="408312962"/>
    <n v="45459"/>
    <m/>
    <m/>
    <n v="55"/>
    <n v="2"/>
    <n v="2"/>
    <n v="1"/>
    <n v="0"/>
    <n v="0"/>
    <n v="1"/>
    <n v="0"/>
    <n v="0"/>
    <n v="1"/>
    <s v="HCM"/>
    <s v="Enterococcus faecalis"/>
    <n v="1"/>
    <n v="4"/>
    <n v="45469"/>
    <n v="45472"/>
    <n v="3"/>
    <n v="0"/>
    <n v="0"/>
    <n v="0"/>
    <n v="0"/>
    <n v="0"/>
    <n v="0"/>
    <n v="0"/>
    <n v="0"/>
    <n v="0"/>
    <n v="1"/>
    <s v="ceftriaxone ampicillin"/>
    <n v="1"/>
    <n v="1"/>
    <n v="1"/>
    <n v="1"/>
    <n v="0"/>
    <n v="0"/>
    <n v="1"/>
    <n v="1"/>
    <n v="45485"/>
    <n v="0"/>
    <x v="1"/>
    <n v="26"/>
    <x v="1"/>
    <m/>
    <m/>
    <m/>
    <m/>
    <x v="1"/>
    <x v="0"/>
    <n v="1"/>
    <n v="1"/>
    <n v="0"/>
  </r>
  <r>
    <n v="58"/>
    <s v="01141014"/>
    <n v="45469"/>
    <n v="45484"/>
    <n v="15"/>
    <n v="86"/>
    <n v="2"/>
    <n v="2"/>
    <n v="1"/>
    <n v="0"/>
    <n v="0"/>
    <n v="1"/>
    <n v="0"/>
    <n v="0"/>
    <n v="0"/>
    <m/>
    <s v="Enterococcus faecalis"/>
    <n v="0"/>
    <n v="1"/>
    <n v="45471"/>
    <n v="45471"/>
    <n v="0"/>
    <n v="1"/>
    <n v="0"/>
    <n v="0"/>
    <n v="0"/>
    <n v="0"/>
    <n v="0"/>
    <n v="0"/>
    <n v="1"/>
    <n v="0"/>
    <n v="1"/>
    <s v="amoxicillin"/>
    <n v="0"/>
    <n v="1"/>
    <n v="1"/>
    <n v="1"/>
    <n v="0"/>
    <n v="0"/>
    <n v="1"/>
    <n v="1"/>
    <n v="45474"/>
    <n v="0"/>
    <x v="1"/>
    <n v="5"/>
    <x v="1"/>
    <m/>
    <m/>
    <m/>
    <m/>
    <x v="0"/>
    <x v="0"/>
    <n v="1"/>
    <n v="0"/>
    <n v="0"/>
  </r>
  <r>
    <n v="59"/>
    <s v="403318421"/>
    <n v="45421"/>
    <n v="45428"/>
    <n v="7"/>
    <n v="77"/>
    <n v="2"/>
    <n v="5"/>
    <n v="0"/>
    <n v="0"/>
    <n v="0"/>
    <n v="0"/>
    <n v="1"/>
    <n v="0"/>
    <n v="1"/>
    <s v="G1DD"/>
    <s v="Vancomycin resistant Enterococcus faecalis"/>
    <n v="1"/>
    <n v="4"/>
    <n v="45421"/>
    <n v="45428"/>
    <n v="7"/>
    <n v="1"/>
    <n v="0"/>
    <n v="0"/>
    <n v="1"/>
    <n v="0"/>
    <n v="1"/>
    <n v="0"/>
    <n v="0"/>
    <n v="0"/>
    <n v="1"/>
    <s v="Daptomycin"/>
    <n v="1"/>
    <n v="0"/>
    <n v="1"/>
    <n v="0"/>
    <n v="0"/>
    <n v="1"/>
    <n v="0"/>
    <n v="1"/>
    <n v="45425"/>
    <n v="0"/>
    <x v="0"/>
    <n v="4"/>
    <x v="1"/>
    <m/>
    <m/>
    <m/>
    <m/>
    <x v="0"/>
    <x v="1"/>
    <n v="0"/>
    <n v="1"/>
    <n v="0"/>
  </r>
  <r>
    <n v="60"/>
    <s v="403215607"/>
    <n v="45425"/>
    <n v="45444"/>
    <n v="19"/>
    <n v="81"/>
    <n v="1"/>
    <n v="2"/>
    <n v="1"/>
    <n v="0"/>
    <n v="0"/>
    <n v="1"/>
    <n v="0"/>
    <n v="0"/>
    <n v="1"/>
    <s v="HFrEF"/>
    <s v="Enterococcus faecalis"/>
    <n v="1"/>
    <n v="2"/>
    <n v="45425"/>
    <n v="45426"/>
    <n v="1"/>
    <n v="1"/>
    <n v="0"/>
    <n v="0"/>
    <n v="0"/>
    <n v="0"/>
    <n v="1"/>
    <n v="0"/>
    <n v="0"/>
    <n v="0"/>
    <n v="1"/>
    <s v="ceftriaxone ampicillin"/>
    <n v="1"/>
    <n v="1"/>
    <n v="1"/>
    <n v="1"/>
    <n v="0"/>
    <n v="0"/>
    <n v="1"/>
    <n v="1"/>
    <n v="45429"/>
    <n v="0"/>
    <x v="1"/>
    <n v="4"/>
    <x v="1"/>
    <m/>
    <m/>
    <m/>
    <m/>
    <x v="0"/>
    <x v="0"/>
    <n v="1"/>
    <n v="0"/>
    <n v="0"/>
  </r>
  <r>
    <n v="61"/>
    <s v="03028979"/>
    <n v="45381"/>
    <n v="45387"/>
    <n v="6"/>
    <n v="87"/>
    <n v="2"/>
    <n v="3"/>
    <n v="1"/>
    <n v="0"/>
    <n v="0"/>
    <n v="1"/>
    <n v="0"/>
    <n v="0"/>
    <n v="1"/>
    <s v="G1DD, mod TR"/>
    <s v="Enterococcus faecalis"/>
    <n v="1"/>
    <n v="3"/>
    <n v="45382"/>
    <n v="45384"/>
    <n v="2"/>
    <n v="0"/>
    <n v="0"/>
    <n v="0"/>
    <n v="0"/>
    <n v="0"/>
    <n v="0"/>
    <n v="0"/>
    <n v="0"/>
    <n v="0"/>
    <n v="1"/>
    <s v="piperacillin tazo"/>
    <n v="1"/>
    <n v="0"/>
    <n v="1"/>
    <n v="0"/>
    <n v="0"/>
    <n v="1"/>
    <n v="1"/>
    <n v="1"/>
    <n v="45383"/>
    <n v="0"/>
    <x v="1"/>
    <n v="2"/>
    <x v="1"/>
    <m/>
    <m/>
    <m/>
    <m/>
    <x v="0"/>
    <x v="0"/>
    <n v="1"/>
    <n v="0"/>
    <n v="0"/>
  </r>
  <r>
    <n v="62"/>
    <s v="400617522"/>
    <n v="45398"/>
    <n v="45403"/>
    <n v="5"/>
    <n v="47"/>
    <n v="1"/>
    <n v="2"/>
    <n v="1"/>
    <n v="1"/>
    <n v="0"/>
    <n v="0"/>
    <n v="0"/>
    <n v="0"/>
    <n v="1"/>
    <s v="sev TR"/>
    <s v="Enterococcus faecalis"/>
    <n v="1"/>
    <n v="4"/>
    <n v="45398"/>
    <n v="45403"/>
    <n v="5"/>
    <n v="1"/>
    <n v="0"/>
    <n v="1"/>
    <n v="0"/>
    <n v="0"/>
    <n v="0"/>
    <n v="0"/>
    <n v="0"/>
    <n v="0"/>
    <n v="1"/>
    <s v="ceftriaxone ampicillin"/>
    <n v="1"/>
    <n v="1"/>
    <n v="1"/>
    <n v="1"/>
    <n v="0"/>
    <n v="0"/>
    <n v="1"/>
    <n v="1"/>
    <n v="45400"/>
    <n v="1"/>
    <x v="0"/>
    <n v="2"/>
    <x v="1"/>
    <m/>
    <m/>
    <m/>
    <m/>
    <x v="1"/>
    <x v="0"/>
    <n v="1"/>
    <n v="0"/>
    <n v="0"/>
  </r>
  <r>
    <n v="63"/>
    <s v="00640864"/>
    <n v="45398"/>
    <n v="45442"/>
    <n v="44"/>
    <n v="54"/>
    <n v="1"/>
    <n v="2"/>
    <n v="1"/>
    <n v="0"/>
    <n v="0"/>
    <n v="0"/>
    <n v="1"/>
    <n v="0"/>
    <n v="0"/>
    <m/>
    <s v="Enterococcus faecalis"/>
    <n v="1"/>
    <n v="5"/>
    <n v="45398"/>
    <n v="45401"/>
    <n v="3"/>
    <n v="1"/>
    <n v="0"/>
    <n v="0"/>
    <n v="1"/>
    <n v="0"/>
    <n v="0"/>
    <n v="0"/>
    <n v="0"/>
    <n v="0"/>
    <n v="1"/>
    <s v="ceftriaxone ampicillin"/>
    <n v="1"/>
    <n v="1"/>
    <n v="1"/>
    <n v="1"/>
    <n v="0"/>
    <n v="0"/>
    <n v="1"/>
    <n v="1"/>
    <n v="45401"/>
    <n v="0"/>
    <x v="0"/>
    <n v="3"/>
    <x v="1"/>
    <m/>
    <m/>
    <m/>
    <m/>
    <x v="0"/>
    <x v="0"/>
    <n v="0"/>
    <n v="1"/>
    <n v="0"/>
  </r>
  <r>
    <n v="64"/>
    <s v="402688834"/>
    <n v="45409"/>
    <n v="45419"/>
    <n v="10"/>
    <n v="82"/>
    <n v="1"/>
    <n v="2"/>
    <n v="1"/>
    <n v="0"/>
    <n v="0"/>
    <n v="0"/>
    <n v="0"/>
    <n v="0"/>
    <n v="1"/>
    <s v="mod AS"/>
    <s v="Enterococcus faecalis"/>
    <n v="0"/>
    <n v="1"/>
    <n v="45411"/>
    <n v="45411"/>
    <n v="0"/>
    <n v="1"/>
    <n v="0"/>
    <n v="0"/>
    <n v="0"/>
    <n v="0"/>
    <n v="0"/>
    <n v="0"/>
    <n v="1"/>
    <n v="0"/>
    <n v="1"/>
    <s v="ampicillin"/>
    <n v="0"/>
    <n v="1"/>
    <n v="1"/>
    <n v="1"/>
    <n v="0"/>
    <n v="0"/>
    <n v="1"/>
    <n v="1"/>
    <n v="45411"/>
    <n v="0"/>
    <x v="1"/>
    <n v="2"/>
    <x v="1"/>
    <m/>
    <m/>
    <m/>
    <m/>
    <x v="0"/>
    <x v="0"/>
    <n v="0"/>
    <n v="0"/>
    <n v="0"/>
  </r>
  <r>
    <n v="65"/>
    <s v="403281069"/>
    <n v="45375"/>
    <n v="45388"/>
    <n v="13"/>
    <n v="54"/>
    <n v="2"/>
    <n v="2"/>
    <n v="0"/>
    <n v="0"/>
    <n v="0"/>
    <n v="0"/>
    <n v="0"/>
    <n v="0"/>
    <n v="0"/>
    <m/>
    <s v="Enterococcus faecalis"/>
    <n v="1"/>
    <n v="6"/>
    <n v="45375"/>
    <n v="45380"/>
    <n v="5"/>
    <n v="1"/>
    <n v="0"/>
    <n v="0"/>
    <n v="0"/>
    <n v="0"/>
    <n v="0"/>
    <n v="0"/>
    <n v="1"/>
    <n v="0"/>
    <n v="1"/>
    <s v="linezolid"/>
    <n v="0"/>
    <n v="1"/>
    <n v="0"/>
    <n v="0"/>
    <n v="1"/>
    <n v="0"/>
    <n v="1"/>
    <n v="1"/>
    <n v="45380"/>
    <n v="0"/>
    <x v="0"/>
    <n v="5"/>
    <x v="0"/>
    <n v="45383"/>
    <n v="0"/>
    <n v="0"/>
    <n v="1"/>
    <x v="0"/>
    <x v="0"/>
    <n v="0"/>
    <n v="0"/>
    <n v="1"/>
  </r>
  <r>
    <n v="66"/>
    <n v="404684974"/>
    <n v="45433"/>
    <n v="45443"/>
    <n v="10"/>
    <n v="71"/>
    <n v="2"/>
    <n v="2"/>
    <n v="1"/>
    <n v="0"/>
    <n v="0"/>
    <n v="0"/>
    <n v="1"/>
    <n v="0"/>
    <n v="1"/>
    <s v="mod TR, G1DD"/>
    <s v="Vancomycin resistant Enterococcus faecalis"/>
    <n v="0"/>
    <n v="1"/>
    <n v="45433"/>
    <n v="45433"/>
    <n v="0"/>
    <n v="1"/>
    <n v="0"/>
    <n v="0"/>
    <n v="1"/>
    <n v="0"/>
    <n v="0"/>
    <n v="0"/>
    <n v="0"/>
    <n v="0"/>
    <n v="1"/>
    <s v="Daptomycin"/>
    <n v="1"/>
    <n v="0"/>
    <n v="1"/>
    <n v="0"/>
    <n v="0"/>
    <n v="1"/>
    <n v="1"/>
    <n v="1"/>
    <n v="45436"/>
    <n v="0"/>
    <x v="0"/>
    <n v="3"/>
    <x v="1"/>
    <m/>
    <m/>
    <m/>
    <m/>
    <x v="0"/>
    <x v="1"/>
    <n v="0"/>
    <n v="0"/>
    <n v="0"/>
  </r>
  <r>
    <n v="67"/>
    <s v="00640864"/>
    <n v="45398"/>
    <n v="45442"/>
    <n v="44"/>
    <n v="54"/>
    <n v="1"/>
    <n v="2"/>
    <n v="1"/>
    <n v="0"/>
    <n v="0"/>
    <n v="0"/>
    <n v="1"/>
    <n v="0"/>
    <n v="0"/>
    <m/>
    <s v="Enterococcus faecalis"/>
    <n v="1"/>
    <n v="5"/>
    <n v="45398"/>
    <n v="45401"/>
    <n v="3"/>
    <n v="1"/>
    <n v="0"/>
    <n v="0"/>
    <n v="1"/>
    <n v="0"/>
    <n v="1"/>
    <n v="0"/>
    <n v="0"/>
    <n v="0"/>
    <n v="1"/>
    <s v="ceftriaxone ampicillin"/>
    <n v="1"/>
    <n v="1"/>
    <n v="1"/>
    <n v="1"/>
    <n v="0"/>
    <n v="0"/>
    <n v="1"/>
    <n v="1"/>
    <n v="45401"/>
    <n v="0"/>
    <x v="0"/>
    <n v="3"/>
    <x v="1"/>
    <m/>
    <m/>
    <m/>
    <m/>
    <x v="0"/>
    <x v="0"/>
    <n v="0"/>
    <n v="0"/>
    <n v="0"/>
  </r>
  <r>
    <n v="70"/>
    <s v="403203420"/>
    <n v="45449"/>
    <n v="45477"/>
    <n v="28"/>
    <n v="73"/>
    <n v="2"/>
    <n v="2"/>
    <n v="0"/>
    <n v="0"/>
    <n v="0"/>
    <n v="0"/>
    <n v="0"/>
    <n v="0"/>
    <n v="0"/>
    <m/>
    <s v="Staphylococcus saccarolyticus"/>
    <n v="0"/>
    <n v="1"/>
    <n v="45449"/>
    <n v="45449"/>
    <n v="0"/>
    <n v="1"/>
    <n v="0"/>
    <n v="0"/>
    <n v="0"/>
    <n v="0"/>
    <n v="0"/>
    <n v="0"/>
    <n v="0"/>
    <n v="1"/>
    <n v="1"/>
    <s v="vanc"/>
    <n v="0"/>
    <n v="0"/>
    <n v="1"/>
    <n v="0"/>
    <n v="0"/>
    <n v="1"/>
    <n v="0"/>
    <n v="1"/>
    <n v="45453"/>
    <n v="0"/>
    <x v="1"/>
    <n v="4"/>
    <x v="1"/>
    <m/>
    <m/>
    <m/>
    <m/>
    <x v="0"/>
    <x v="1"/>
    <n v="0"/>
    <n v="1"/>
    <n v="0"/>
  </r>
  <r>
    <n v="73"/>
    <s v="403726778"/>
    <n v="45454"/>
    <n v="45464"/>
    <n v="10"/>
    <n v="76"/>
    <n v="2"/>
    <n v="2"/>
    <n v="0"/>
    <n v="0"/>
    <n v="0"/>
    <n v="0"/>
    <n v="0"/>
    <n v="0"/>
    <n v="0"/>
    <m/>
    <s v="Staphylococcus epidermidis"/>
    <n v="0"/>
    <n v="1"/>
    <n v="45454"/>
    <n v="45454"/>
    <n v="0"/>
    <n v="0"/>
    <n v="0"/>
    <n v="0"/>
    <n v="0"/>
    <n v="0"/>
    <n v="0"/>
    <n v="0"/>
    <n v="0"/>
    <n v="0"/>
    <n v="1"/>
    <s v="cefazolin ampicillin sulb"/>
    <n v="0"/>
    <n v="0"/>
    <n v="1"/>
    <n v="0"/>
    <n v="0"/>
    <n v="1"/>
    <n v="1"/>
    <n v="1"/>
    <n v="45455"/>
    <n v="0"/>
    <x v="0"/>
    <n v="1"/>
    <x v="1"/>
    <m/>
    <m/>
    <m/>
    <m/>
    <x v="0"/>
    <x v="1"/>
    <n v="0"/>
    <n v="0"/>
    <n v="0"/>
  </r>
  <r>
    <n v="74"/>
    <s v="04027675"/>
    <n v="45454"/>
    <n v="45463"/>
    <n v="9"/>
    <n v="80"/>
    <n v="1"/>
    <n v="3"/>
    <n v="1"/>
    <n v="0"/>
    <n v="0"/>
    <n v="0"/>
    <n v="1"/>
    <n v="0"/>
    <n v="1"/>
    <s v="G3DD"/>
    <s v="Staphylococcus pettenkoferi"/>
    <n v="0"/>
    <n v="1"/>
    <n v="45454"/>
    <n v="45454"/>
    <n v="0"/>
    <n v="1"/>
    <n v="0"/>
    <n v="0"/>
    <n v="1"/>
    <n v="0"/>
    <n v="0"/>
    <n v="0"/>
    <n v="0"/>
    <n v="0"/>
    <n v="1"/>
    <s v="vanc"/>
    <n v="0"/>
    <n v="0"/>
    <n v="1"/>
    <n v="0"/>
    <n v="0"/>
    <n v="1"/>
    <n v="1"/>
    <n v="1"/>
    <n v="45457"/>
    <n v="0"/>
    <x v="1"/>
    <n v="3"/>
    <x v="1"/>
    <m/>
    <m/>
    <m/>
    <m/>
    <x v="0"/>
    <x v="1"/>
    <n v="0"/>
    <n v="0"/>
    <n v="0"/>
  </r>
  <r>
    <n v="75"/>
    <s v="408323711"/>
    <n v="45455"/>
    <n v="45463"/>
    <n v="8"/>
    <n v="81"/>
    <n v="1"/>
    <n v="3"/>
    <n v="0"/>
    <n v="0"/>
    <n v="0"/>
    <n v="0"/>
    <n v="0"/>
    <n v="0"/>
    <n v="0"/>
    <m/>
    <s v="Staphylococcus epidermidis"/>
    <n v="0"/>
    <n v="1"/>
    <n v="45455"/>
    <n v="45455"/>
    <n v="0"/>
    <n v="0"/>
    <n v="0"/>
    <n v="0"/>
    <n v="0"/>
    <n v="0"/>
    <n v="0"/>
    <n v="0"/>
    <n v="0"/>
    <n v="0"/>
    <n v="1"/>
    <s v="vanc cefepime"/>
    <n v="0"/>
    <n v="0"/>
    <n v="1"/>
    <n v="0"/>
    <n v="0"/>
    <n v="1"/>
    <n v="1"/>
    <n v="1"/>
    <n v="45456"/>
    <n v="0"/>
    <x v="0"/>
    <n v="1"/>
    <x v="1"/>
    <m/>
    <m/>
    <m/>
    <m/>
    <x v="0"/>
    <x v="1"/>
    <n v="0"/>
    <n v="1"/>
    <n v="0"/>
  </r>
  <r>
    <n v="76"/>
    <s v="400686129"/>
    <n v="45457"/>
    <n v="45468"/>
    <n v="11"/>
    <n v="59"/>
    <n v="1"/>
    <n v="3"/>
    <n v="0"/>
    <n v="0"/>
    <n v="0"/>
    <n v="0"/>
    <n v="0"/>
    <n v="0"/>
    <n v="0"/>
    <m/>
    <s v="Staphylococcus epidermidis"/>
    <n v="1"/>
    <n v="3"/>
    <n v="45457"/>
    <n v="45460"/>
    <n v="3"/>
    <n v="1"/>
    <n v="1"/>
    <n v="1"/>
    <n v="0"/>
    <n v="0"/>
    <n v="0"/>
    <n v="0"/>
    <n v="0"/>
    <n v="0"/>
    <n v="1"/>
    <s v="cefazolin"/>
    <n v="1"/>
    <n v="1"/>
    <n v="1"/>
    <n v="1"/>
    <n v="0"/>
    <n v="0"/>
    <n v="1"/>
    <n v="1"/>
    <n v="45461"/>
    <n v="0"/>
    <x v="0"/>
    <n v="4"/>
    <x v="0"/>
    <n v="45463"/>
    <n v="0"/>
    <n v="0"/>
    <n v="0"/>
    <x v="0"/>
    <x v="1"/>
    <n v="0"/>
    <n v="0"/>
    <n v="1"/>
  </r>
  <r>
    <n v="79"/>
    <s v="403566859"/>
    <n v="45464"/>
    <n v="45470"/>
    <n v="6"/>
    <n v="58"/>
    <n v="2"/>
    <n v="2"/>
    <n v="0"/>
    <n v="0"/>
    <n v="0"/>
    <n v="0"/>
    <n v="0"/>
    <n v="0"/>
    <n v="1"/>
    <s v="mod MS"/>
    <s v="Staphylococcus epidermidis"/>
    <n v="0"/>
    <n v="1"/>
    <n v="45464"/>
    <n v="45464"/>
    <n v="0"/>
    <n v="0"/>
    <n v="0"/>
    <n v="0"/>
    <n v="0"/>
    <n v="0"/>
    <n v="0"/>
    <n v="0"/>
    <n v="0"/>
    <n v="0"/>
    <n v="1"/>
    <s v="ceftriaxone"/>
    <n v="0"/>
    <n v="0"/>
    <n v="1"/>
    <n v="0"/>
    <n v="0"/>
    <n v="1"/>
    <n v="0"/>
    <n v="1"/>
    <n v="45467"/>
    <n v="0"/>
    <x v="0"/>
    <n v="3"/>
    <x v="1"/>
    <m/>
    <m/>
    <m/>
    <m/>
    <x v="0"/>
    <x v="1"/>
    <n v="0"/>
    <n v="0"/>
    <n v="0"/>
  </r>
  <r>
    <n v="80"/>
    <s v="03038376"/>
    <n v="45471"/>
    <n v="45485"/>
    <n v="14"/>
    <n v="68"/>
    <n v="2"/>
    <n v="2"/>
    <n v="1"/>
    <n v="0"/>
    <n v="0"/>
    <n v="0"/>
    <n v="0"/>
    <n v="0"/>
    <n v="1"/>
    <s v="G1DD"/>
    <s v="Staphylococcus epidermidis"/>
    <n v="0"/>
    <n v="1"/>
    <n v="45471"/>
    <n v="45471"/>
    <n v="0"/>
    <n v="0"/>
    <n v="0"/>
    <n v="0"/>
    <n v="0"/>
    <n v="0"/>
    <n v="0"/>
    <n v="0"/>
    <n v="0"/>
    <n v="0"/>
    <n v="1"/>
    <s v="cefazolin"/>
    <n v="0"/>
    <n v="0"/>
    <n v="1"/>
    <n v="0"/>
    <n v="0"/>
    <n v="1"/>
    <n v="1"/>
    <n v="1"/>
    <n v="45476"/>
    <n v="0"/>
    <x v="1"/>
    <n v="5"/>
    <x v="1"/>
    <m/>
    <m/>
    <m/>
    <m/>
    <x v="0"/>
    <x v="1"/>
    <n v="0"/>
    <n v="0"/>
    <n v="0"/>
  </r>
  <r>
    <n v="82"/>
    <s v="03870096"/>
    <n v="45411"/>
    <n v="45432"/>
    <n v="21"/>
    <n v="72"/>
    <n v="2"/>
    <n v="2"/>
    <n v="0"/>
    <n v="0"/>
    <n v="0"/>
    <n v="0"/>
    <n v="0"/>
    <n v="0"/>
    <n v="0"/>
    <m/>
    <s v="Staphylococcus epidermidis"/>
    <n v="0"/>
    <n v="1"/>
    <n v="45417"/>
    <n v="45417"/>
    <n v="0"/>
    <n v="0"/>
    <n v="0"/>
    <n v="0"/>
    <n v="0"/>
    <n v="0"/>
    <n v="0"/>
    <n v="0"/>
    <n v="0"/>
    <n v="0"/>
    <n v="1"/>
    <s v="vanc"/>
    <n v="0"/>
    <n v="1"/>
    <n v="1"/>
    <n v="1"/>
    <n v="0"/>
    <n v="0"/>
    <n v="1"/>
    <n v="1"/>
    <n v="45419"/>
    <n v="0"/>
    <x v="1"/>
    <n v="8"/>
    <x v="1"/>
    <m/>
    <m/>
    <m/>
    <m/>
    <x v="0"/>
    <x v="1"/>
    <n v="0"/>
    <n v="0"/>
    <n v="0"/>
  </r>
  <r>
    <n v="85"/>
    <s v="403145632"/>
    <n v="45419"/>
    <n v="45436"/>
    <n v="17"/>
    <n v="57"/>
    <n v="1"/>
    <n v="2"/>
    <n v="0"/>
    <n v="0"/>
    <n v="0"/>
    <n v="0"/>
    <n v="0"/>
    <n v="0"/>
    <n v="0"/>
    <m/>
    <s v="Staphylococcus capitis"/>
    <n v="0"/>
    <n v="1"/>
    <n v="45419"/>
    <n v="45419"/>
    <n v="0"/>
    <n v="0"/>
    <n v="0"/>
    <n v="0"/>
    <n v="0"/>
    <n v="0"/>
    <n v="0"/>
    <n v="0"/>
    <n v="0"/>
    <n v="0"/>
    <n v="1"/>
    <s v="ertapenenm"/>
    <n v="1"/>
    <n v="1"/>
    <n v="0"/>
    <n v="0"/>
    <n v="1"/>
    <n v="0"/>
    <n v="0"/>
    <n v="1"/>
    <n v="45432"/>
    <n v="0"/>
    <x v="0"/>
    <n v="13"/>
    <x v="1"/>
    <m/>
    <m/>
    <m/>
    <m/>
    <x v="0"/>
    <x v="1"/>
    <n v="0"/>
    <n v="0"/>
    <n v="0"/>
  </r>
  <r>
    <n v="86"/>
    <s v="400403126"/>
    <n v="45421"/>
    <n v="45443"/>
    <n v="22"/>
    <n v="57"/>
    <n v="2"/>
    <n v="2"/>
    <n v="0"/>
    <n v="0"/>
    <n v="0"/>
    <n v="0"/>
    <n v="0"/>
    <n v="0"/>
    <n v="0"/>
    <m/>
    <s v="Staphylococcus epidermidis"/>
    <n v="0"/>
    <n v="1"/>
    <n v="45421"/>
    <n v="45421"/>
    <n v="0"/>
    <n v="0"/>
    <n v="0"/>
    <n v="0"/>
    <n v="0"/>
    <n v="0"/>
    <n v="0"/>
    <n v="0"/>
    <n v="0"/>
    <n v="0"/>
    <n v="1"/>
    <s v="vanc"/>
    <n v="0"/>
    <n v="1"/>
    <n v="0"/>
    <n v="0"/>
    <n v="1"/>
    <n v="0"/>
    <n v="1"/>
    <n v="1"/>
    <n v="45427"/>
    <n v="0"/>
    <x v="0"/>
    <n v="6"/>
    <x v="1"/>
    <m/>
    <m/>
    <m/>
    <m/>
    <x v="0"/>
    <x v="1"/>
    <n v="0"/>
    <n v="1"/>
    <n v="0"/>
  </r>
  <r>
    <n v="88"/>
    <s v="400489731"/>
    <n v="45423"/>
    <n v="45427"/>
    <n v="4"/>
    <n v="90"/>
    <n v="2"/>
    <n v="2"/>
    <n v="1"/>
    <n v="0"/>
    <n v="1"/>
    <n v="0"/>
    <n v="0"/>
    <n v="0"/>
    <n v="1"/>
    <s v="sev AS s/p TAVR, G2DD"/>
    <s v="Staphylococcus epidermidis"/>
    <n v="0"/>
    <n v="1"/>
    <n v="45423"/>
    <n v="45423"/>
    <n v="0"/>
    <n v="0"/>
    <n v="0"/>
    <n v="0"/>
    <n v="0"/>
    <n v="0"/>
    <n v="0"/>
    <n v="0"/>
    <n v="0"/>
    <n v="0"/>
    <n v="0"/>
    <m/>
    <n v="0"/>
    <n v="0"/>
    <n v="1"/>
    <n v="0"/>
    <n v="0"/>
    <n v="1"/>
    <n v="1"/>
    <n v="1"/>
    <n v="45427"/>
    <n v="0"/>
    <x v="1"/>
    <n v="4"/>
    <x v="1"/>
    <m/>
    <m/>
    <m/>
    <m/>
    <x v="0"/>
    <x v="1"/>
    <n v="1"/>
    <n v="0"/>
    <n v="0"/>
  </r>
  <r>
    <n v="89"/>
    <s v="404439763"/>
    <n v="45423"/>
    <n v="45426"/>
    <n v="3"/>
    <n v="83"/>
    <n v="1"/>
    <n v="2"/>
    <n v="1"/>
    <n v="0"/>
    <n v="0"/>
    <n v="0"/>
    <n v="0"/>
    <n v="0"/>
    <n v="1"/>
    <s v="G3DD"/>
    <s v="Staphylococcus epidermidis"/>
    <n v="0"/>
    <n v="1"/>
    <n v="45423"/>
    <n v="45423"/>
    <n v="0"/>
    <n v="0"/>
    <n v="0"/>
    <n v="0"/>
    <n v="0"/>
    <n v="0"/>
    <n v="0"/>
    <n v="0"/>
    <n v="0"/>
    <n v="0"/>
    <n v="1"/>
    <s v="vanc"/>
    <n v="0"/>
    <n v="0"/>
    <n v="1"/>
    <n v="0"/>
    <n v="0"/>
    <n v="1"/>
    <n v="1"/>
    <n v="1"/>
    <n v="45426"/>
    <n v="0"/>
    <x v="0"/>
    <n v="3"/>
    <x v="1"/>
    <m/>
    <m/>
    <m/>
    <m/>
    <x v="0"/>
    <x v="1"/>
    <n v="0"/>
    <n v="0"/>
    <n v="0"/>
  </r>
  <r>
    <n v="91"/>
    <s v="405018219"/>
    <n v="45425"/>
    <n v="45430"/>
    <n v="5"/>
    <n v="94"/>
    <n v="2"/>
    <n v="2"/>
    <n v="0"/>
    <n v="0"/>
    <n v="0"/>
    <n v="0"/>
    <n v="0"/>
    <n v="0"/>
    <n v="0"/>
    <m/>
    <s v="Staphylococcus epidermidis"/>
    <n v="0"/>
    <n v="1"/>
    <n v="45425"/>
    <n v="45425"/>
    <n v="0"/>
    <n v="0"/>
    <n v="0"/>
    <n v="0"/>
    <n v="0"/>
    <n v="0"/>
    <n v="0"/>
    <n v="0"/>
    <n v="0"/>
    <n v="0"/>
    <n v="1"/>
    <s v="ceftriaxone"/>
    <n v="0"/>
    <n v="0"/>
    <n v="1"/>
    <n v="0"/>
    <n v="0"/>
    <n v="1"/>
    <n v="1"/>
    <n v="1"/>
    <n v="45426"/>
    <n v="0"/>
    <x v="0"/>
    <n v="1"/>
    <x v="1"/>
    <m/>
    <m/>
    <m/>
    <m/>
    <x v="0"/>
    <x v="1"/>
    <n v="0"/>
    <n v="0"/>
    <n v="0"/>
  </r>
  <r>
    <n v="92"/>
    <s v="404871584"/>
    <n v="45427"/>
    <n v="45430"/>
    <n v="3"/>
    <n v="79"/>
    <n v="1"/>
    <n v="4"/>
    <n v="1"/>
    <n v="0"/>
    <n v="0"/>
    <n v="0"/>
    <n v="0"/>
    <n v="0"/>
    <n v="1"/>
    <s v="HFrEF, mod MR"/>
    <s v="Staphylococcus hominis"/>
    <n v="0"/>
    <n v="1"/>
    <n v="45427"/>
    <n v="45427"/>
    <n v="0"/>
    <n v="0"/>
    <n v="0"/>
    <n v="0"/>
    <n v="0"/>
    <n v="0"/>
    <n v="0"/>
    <n v="0"/>
    <n v="0"/>
    <n v="0"/>
    <n v="1"/>
    <s v="vanc ceftriaxone"/>
    <n v="0"/>
    <n v="0"/>
    <n v="1"/>
    <n v="0"/>
    <n v="0"/>
    <n v="1"/>
    <n v="1"/>
    <n v="1"/>
    <n v="45429"/>
    <n v="0"/>
    <x v="0"/>
    <n v="2"/>
    <x v="1"/>
    <m/>
    <m/>
    <m/>
    <m/>
    <x v="0"/>
    <x v="1"/>
    <n v="0"/>
    <n v="0"/>
    <n v="0"/>
  </r>
  <r>
    <n v="94"/>
    <s v="04159418"/>
    <n v="45433"/>
    <n v="45440"/>
    <n v="7"/>
    <n v="75"/>
    <n v="1"/>
    <n v="2"/>
    <n v="0"/>
    <n v="0"/>
    <n v="0"/>
    <n v="0"/>
    <n v="0"/>
    <n v="0"/>
    <n v="0"/>
    <m/>
    <s v="Staphylococcus epidermidis"/>
    <n v="0"/>
    <n v="1"/>
    <n v="45433"/>
    <n v="45433"/>
    <n v="0"/>
    <n v="0"/>
    <n v="0"/>
    <n v="0"/>
    <n v="0"/>
    <n v="0"/>
    <n v="0"/>
    <n v="0"/>
    <n v="0"/>
    <n v="0"/>
    <n v="1"/>
    <s v="ceftriaxone"/>
    <n v="0"/>
    <n v="0"/>
    <n v="1"/>
    <n v="0"/>
    <n v="0"/>
    <n v="1"/>
    <n v="1"/>
    <n v="1"/>
    <n v="45440"/>
    <n v="0"/>
    <x v="0"/>
    <n v="7"/>
    <x v="1"/>
    <m/>
    <m/>
    <m/>
    <m/>
    <x v="0"/>
    <x v="1"/>
    <n v="0"/>
    <n v="0"/>
    <n v="0"/>
  </r>
  <r>
    <n v="95"/>
    <s v="403225537"/>
    <n v="45434"/>
    <n v="45439"/>
    <n v="5"/>
    <n v="90"/>
    <n v="1"/>
    <n v="2"/>
    <n v="1"/>
    <n v="0"/>
    <n v="0"/>
    <n v="0"/>
    <n v="0"/>
    <n v="0"/>
    <n v="1"/>
    <s v="mod TR, sev biatrial enlarge"/>
    <s v="Staphylococcus epidermidis"/>
    <n v="1"/>
    <n v="2"/>
    <n v="45434"/>
    <n v="45434"/>
    <n v="0"/>
    <n v="0"/>
    <n v="0"/>
    <n v="0"/>
    <n v="0"/>
    <n v="0"/>
    <n v="0"/>
    <n v="0"/>
    <n v="0"/>
    <n v="0"/>
    <n v="1"/>
    <s v="cefepime"/>
    <n v="0"/>
    <n v="0"/>
    <n v="1"/>
    <n v="0"/>
    <n v="0"/>
    <n v="1"/>
    <n v="1"/>
    <n v="1"/>
    <n v="45436"/>
    <n v="0"/>
    <x v="0"/>
    <n v="2"/>
    <x v="1"/>
    <m/>
    <m/>
    <m/>
    <m/>
    <x v="0"/>
    <x v="1"/>
    <n v="0"/>
    <n v="0"/>
    <n v="0"/>
  </r>
  <r>
    <n v="98"/>
    <s v="405845885"/>
    <n v="45439"/>
    <n v="45445"/>
    <n v="6"/>
    <n v="75"/>
    <n v="2"/>
    <n v="3"/>
    <n v="1"/>
    <n v="0"/>
    <n v="0"/>
    <n v="0"/>
    <n v="0"/>
    <n v="0"/>
    <n v="1"/>
    <s v="HFrEF, sev thickened MV AV"/>
    <s v="Staphylococcus epidermidis"/>
    <n v="0"/>
    <n v="1"/>
    <n v="45439"/>
    <n v="45439"/>
    <n v="0"/>
    <n v="0"/>
    <n v="0"/>
    <n v="0"/>
    <n v="0"/>
    <n v="0"/>
    <n v="0"/>
    <n v="0"/>
    <n v="0"/>
    <n v="0"/>
    <n v="1"/>
    <s v="vanc"/>
    <n v="0"/>
    <n v="0"/>
    <n v="1"/>
    <n v="0"/>
    <n v="0"/>
    <n v="1"/>
    <n v="1"/>
    <n v="1"/>
    <n v="45440"/>
    <n v="0"/>
    <x v="1"/>
    <n v="1"/>
    <x v="1"/>
    <m/>
    <m/>
    <m/>
    <m/>
    <x v="0"/>
    <x v="1"/>
    <n v="0"/>
    <n v="1"/>
    <n v="0"/>
  </r>
  <r>
    <n v="103"/>
    <s v="402631279"/>
    <n v="45390"/>
    <n v="45488"/>
    <n v="98"/>
    <n v="51"/>
    <n v="1"/>
    <n v="2"/>
    <n v="1"/>
    <n v="0"/>
    <n v="0"/>
    <n v="0"/>
    <n v="1"/>
    <n v="0"/>
    <n v="1"/>
    <s v="HFrEF"/>
    <s v="Staphylococcus epidermidis"/>
    <n v="0"/>
    <n v="1"/>
    <n v="45390"/>
    <n v="45390"/>
    <n v="0"/>
    <n v="1"/>
    <n v="0"/>
    <n v="0"/>
    <n v="1"/>
    <n v="0"/>
    <n v="0"/>
    <n v="0"/>
    <n v="0"/>
    <n v="0"/>
    <n v="1"/>
    <s v="cefazolin"/>
    <n v="0"/>
    <n v="0"/>
    <n v="1"/>
    <n v="0"/>
    <n v="0"/>
    <n v="1"/>
    <n v="1"/>
    <n v="1"/>
    <n v="45391"/>
    <n v="0"/>
    <x v="0"/>
    <n v="1"/>
    <x v="1"/>
    <m/>
    <m/>
    <m/>
    <m/>
    <x v="0"/>
    <x v="1"/>
    <n v="0"/>
    <n v="1"/>
    <n v="0"/>
  </r>
  <r>
    <n v="105"/>
    <s v="400375593"/>
    <n v="45395"/>
    <n v="45401"/>
    <n v="6"/>
    <n v="81"/>
    <n v="2"/>
    <n v="2"/>
    <n v="0"/>
    <n v="0"/>
    <n v="0"/>
    <n v="0"/>
    <n v="0"/>
    <n v="0"/>
    <n v="1"/>
    <s v="G1DD"/>
    <s v="Staphylococcus epidermidis"/>
    <n v="0"/>
    <n v="1"/>
    <n v="45395"/>
    <n v="45395"/>
    <n v="0"/>
    <n v="1"/>
    <n v="0"/>
    <n v="0"/>
    <n v="0"/>
    <n v="0"/>
    <n v="0"/>
    <n v="0"/>
    <n v="1"/>
    <n v="0"/>
    <n v="1"/>
    <s v="vanc"/>
    <n v="0"/>
    <n v="0"/>
    <n v="1"/>
    <n v="0"/>
    <n v="0"/>
    <n v="1"/>
    <n v="1"/>
    <n v="1"/>
    <n v="45399"/>
    <n v="0"/>
    <x v="0"/>
    <n v="4"/>
    <x v="1"/>
    <m/>
    <m/>
    <m/>
    <m/>
    <x v="0"/>
    <x v="1"/>
    <n v="0"/>
    <n v="0"/>
    <n v="0"/>
  </r>
  <r>
    <n v="106"/>
    <s v="403146779"/>
    <n v="45396"/>
    <n v="45412"/>
    <n v="16"/>
    <n v="66"/>
    <n v="1"/>
    <n v="2"/>
    <n v="0"/>
    <n v="0"/>
    <n v="0"/>
    <n v="0"/>
    <n v="0"/>
    <n v="0"/>
    <n v="0"/>
    <m/>
    <s v="Staphylococcus haemolyticus"/>
    <n v="1"/>
    <n v="2"/>
    <n v="45396"/>
    <n v="45397"/>
    <n v="1"/>
    <n v="0"/>
    <n v="0"/>
    <n v="0"/>
    <n v="0"/>
    <n v="0"/>
    <n v="0"/>
    <n v="0"/>
    <n v="0"/>
    <n v="0"/>
    <n v="1"/>
    <s v="vanc"/>
    <n v="0"/>
    <n v="1"/>
    <n v="1"/>
    <n v="1"/>
    <n v="0"/>
    <n v="0"/>
    <n v="1"/>
    <n v="1"/>
    <n v="45401"/>
    <n v="0"/>
    <x v="0"/>
    <n v="5"/>
    <x v="1"/>
    <m/>
    <m/>
    <m/>
    <m/>
    <x v="0"/>
    <x v="1"/>
    <n v="0"/>
    <n v="0"/>
    <n v="0"/>
  </r>
  <r>
    <n v="107"/>
    <s v="404367607"/>
    <n v="45398"/>
    <n v="45401"/>
    <n v="3"/>
    <n v="79"/>
    <n v="1"/>
    <n v="2"/>
    <n v="1"/>
    <n v="0"/>
    <n v="1"/>
    <n v="0"/>
    <n v="0"/>
    <n v="0"/>
    <n v="1"/>
    <s v="G1DD, s/p TAVR"/>
    <s v="Staphylococcus epidermidis"/>
    <n v="0"/>
    <n v="1"/>
    <n v="45398"/>
    <n v="45398"/>
    <n v="0"/>
    <n v="0"/>
    <n v="0"/>
    <n v="0"/>
    <n v="0"/>
    <n v="0"/>
    <n v="0"/>
    <n v="0"/>
    <n v="0"/>
    <n v="0"/>
    <n v="1"/>
    <s v="ceftriaxone"/>
    <n v="0"/>
    <n v="0"/>
    <n v="1"/>
    <n v="0"/>
    <n v="0"/>
    <n v="1"/>
    <n v="1"/>
    <n v="1"/>
    <n v="45400"/>
    <n v="0"/>
    <x v="0"/>
    <n v="2"/>
    <x v="1"/>
    <m/>
    <m/>
    <m/>
    <m/>
    <x v="0"/>
    <x v="1"/>
    <n v="1"/>
    <n v="0"/>
    <n v="0"/>
  </r>
  <r>
    <n v="108"/>
    <s v="04414837"/>
    <n v="45398"/>
    <n v="45412"/>
    <n v="14"/>
    <n v="78"/>
    <n v="2"/>
    <n v="2"/>
    <n v="1"/>
    <n v="0"/>
    <n v="1"/>
    <n v="0"/>
    <n v="0"/>
    <n v="0"/>
    <n v="1"/>
    <s v="G2DD, s/p TAVR"/>
    <s v="Staphylococcus epidermidis"/>
    <n v="1"/>
    <n v="4"/>
    <n v="45398"/>
    <n v="45404"/>
    <n v="6"/>
    <n v="0"/>
    <n v="0"/>
    <n v="0"/>
    <n v="0"/>
    <n v="0"/>
    <n v="0"/>
    <n v="0"/>
    <n v="0"/>
    <n v="0"/>
    <n v="1"/>
    <s v="vanc"/>
    <n v="1"/>
    <n v="1"/>
    <n v="1"/>
    <n v="1"/>
    <n v="0"/>
    <n v="0"/>
    <n v="1"/>
    <n v="1"/>
    <n v="45399"/>
    <n v="0"/>
    <x v="1"/>
    <n v="1"/>
    <x v="0"/>
    <n v="45404"/>
    <n v="1"/>
    <n v="1"/>
    <n v="0"/>
    <x v="1"/>
    <x v="0"/>
    <n v="1"/>
    <n v="0"/>
    <n v="1"/>
  </r>
  <r>
    <n v="113"/>
    <s v="00813162"/>
    <n v="45407"/>
    <n v="45431"/>
    <n v="24"/>
    <n v="89"/>
    <n v="2"/>
    <n v="3"/>
    <n v="0"/>
    <n v="0"/>
    <n v="0"/>
    <n v="0"/>
    <n v="0"/>
    <n v="0"/>
    <n v="0"/>
    <m/>
    <s v="Staphylococcus hominis"/>
    <n v="0"/>
    <n v="1"/>
    <n v="45407"/>
    <n v="45407"/>
    <n v="0"/>
    <n v="0"/>
    <n v="0"/>
    <n v="0"/>
    <n v="0"/>
    <n v="0"/>
    <n v="0"/>
    <n v="0"/>
    <n v="0"/>
    <n v="0"/>
    <n v="1"/>
    <s v="cefepime"/>
    <n v="0"/>
    <n v="0"/>
    <n v="1"/>
    <n v="0"/>
    <n v="0"/>
    <n v="1"/>
    <n v="1"/>
    <n v="1"/>
    <n v="45419"/>
    <n v="0"/>
    <x v="1"/>
    <n v="12"/>
    <x v="1"/>
    <m/>
    <m/>
    <m/>
    <m/>
    <x v="0"/>
    <x v="1"/>
    <n v="0"/>
    <n v="0"/>
    <n v="0"/>
  </r>
  <r>
    <n v="114"/>
    <s v="404712166"/>
    <n v="45408"/>
    <n v="45429"/>
    <n v="21"/>
    <n v="88"/>
    <n v="2"/>
    <n v="2"/>
    <n v="1"/>
    <n v="0"/>
    <n v="0"/>
    <n v="1"/>
    <n v="0"/>
    <n v="0"/>
    <n v="1"/>
    <s v="mod TR"/>
    <s v="Staphylococcus epidermidis"/>
    <n v="0"/>
    <n v="1"/>
    <n v="45408"/>
    <n v="45408"/>
    <n v="0"/>
    <n v="0"/>
    <n v="0"/>
    <n v="0"/>
    <n v="0"/>
    <n v="0"/>
    <n v="0"/>
    <n v="0"/>
    <n v="0"/>
    <n v="0"/>
    <n v="1"/>
    <s v="vanc meropenem"/>
    <n v="0"/>
    <n v="0"/>
    <n v="1"/>
    <n v="0"/>
    <n v="0"/>
    <n v="1"/>
    <n v="0"/>
    <n v="1"/>
    <n v="45419"/>
    <n v="0"/>
    <x v="1"/>
    <n v="11"/>
    <x v="1"/>
    <m/>
    <m/>
    <m/>
    <m/>
    <x v="0"/>
    <x v="1"/>
    <n v="1"/>
    <n v="0"/>
    <n v="0"/>
  </r>
  <r>
    <n v="115"/>
    <s v="402034372"/>
    <n v="45409"/>
    <n v="45413"/>
    <n v="4"/>
    <n v="43"/>
    <n v="2"/>
    <n v="2"/>
    <n v="1"/>
    <n v="0"/>
    <n v="0"/>
    <n v="0"/>
    <n v="0"/>
    <n v="0"/>
    <n v="1"/>
    <s v="MVP s/p repair"/>
    <s v="Staphylococcus capitis"/>
    <n v="0"/>
    <n v="1"/>
    <n v="45409"/>
    <n v="45409"/>
    <n v="0"/>
    <n v="0"/>
    <n v="0"/>
    <n v="0"/>
    <n v="0"/>
    <n v="0"/>
    <n v="0"/>
    <n v="0"/>
    <n v="0"/>
    <n v="0"/>
    <n v="1"/>
    <s v="vanc"/>
    <n v="0"/>
    <n v="0"/>
    <n v="1"/>
    <n v="0"/>
    <n v="0"/>
    <n v="1"/>
    <n v="1"/>
    <n v="1"/>
    <n v="45411"/>
    <n v="0"/>
    <x v="0"/>
    <n v="2"/>
    <x v="1"/>
    <m/>
    <m/>
    <m/>
    <m/>
    <x v="0"/>
    <x v="1"/>
    <n v="0"/>
    <n v="0"/>
    <n v="0"/>
  </r>
  <r>
    <n v="119"/>
    <s v="38217733"/>
    <n v="45354"/>
    <n v="45365"/>
    <n v="11"/>
    <n v="65"/>
    <n v="1"/>
    <n v="2"/>
    <n v="0"/>
    <n v="0"/>
    <n v="0"/>
    <n v="0"/>
    <n v="0"/>
    <n v="0"/>
    <n v="0"/>
    <m/>
    <s v="Staphylococcus epidermidis"/>
    <n v="0"/>
    <n v="1"/>
    <n v="45354"/>
    <n v="45354"/>
    <n v="0"/>
    <n v="0"/>
    <n v="0"/>
    <n v="0"/>
    <n v="0"/>
    <n v="0"/>
    <n v="0"/>
    <n v="0"/>
    <n v="0"/>
    <n v="0"/>
    <n v="1"/>
    <s v="doxycycline"/>
    <n v="0"/>
    <n v="0"/>
    <n v="1"/>
    <n v="0"/>
    <n v="0"/>
    <n v="1"/>
    <n v="1"/>
    <n v="1"/>
    <n v="45357"/>
    <n v="0"/>
    <x v="0"/>
    <n v="3"/>
    <x v="1"/>
    <m/>
    <m/>
    <m/>
    <m/>
    <x v="0"/>
    <x v="1"/>
    <n v="0"/>
    <n v="0"/>
    <n v="0"/>
  </r>
  <r>
    <n v="120"/>
    <s v="03497963"/>
    <n v="45354"/>
    <n v="45358"/>
    <n v="4"/>
    <n v="77"/>
    <n v="2"/>
    <n v="3"/>
    <n v="0"/>
    <n v="0"/>
    <n v="0"/>
    <n v="0"/>
    <n v="0"/>
    <n v="0"/>
    <n v="0"/>
    <m/>
    <s v="Staphylococcus capitis"/>
    <n v="0"/>
    <n v="1"/>
    <n v="45354"/>
    <n v="45354"/>
    <n v="0"/>
    <n v="0"/>
    <n v="0"/>
    <n v="0"/>
    <n v="0"/>
    <n v="0"/>
    <n v="0"/>
    <n v="0"/>
    <n v="0"/>
    <n v="0"/>
    <n v="1"/>
    <s v="vanc"/>
    <n v="0"/>
    <n v="1"/>
    <n v="1"/>
    <n v="1"/>
    <n v="0"/>
    <n v="0"/>
    <n v="1"/>
    <n v="1"/>
    <n v="45357"/>
    <n v="0"/>
    <x v="0"/>
    <n v="3"/>
    <x v="1"/>
    <m/>
    <m/>
    <m/>
    <m/>
    <x v="0"/>
    <x v="1"/>
    <n v="0"/>
    <n v="0"/>
    <n v="0"/>
  </r>
  <r>
    <n v="121"/>
    <s v="403218530"/>
    <n v="45356"/>
    <n v="45363"/>
    <n v="7"/>
    <n v="70"/>
    <n v="1"/>
    <n v="2"/>
    <n v="0"/>
    <n v="0"/>
    <n v="0"/>
    <n v="0"/>
    <n v="0"/>
    <n v="0"/>
    <n v="0"/>
    <m/>
    <s v="Staphylococcus epidermidis"/>
    <n v="0"/>
    <n v="1"/>
    <n v="45356"/>
    <n v="45356"/>
    <n v="0"/>
    <n v="0"/>
    <n v="0"/>
    <n v="0"/>
    <n v="0"/>
    <n v="0"/>
    <n v="0"/>
    <n v="0"/>
    <n v="0"/>
    <n v="0"/>
    <n v="1"/>
    <s v="vanc cefepime"/>
    <n v="0"/>
    <n v="0"/>
    <n v="1"/>
    <n v="0"/>
    <n v="0"/>
    <n v="1"/>
    <n v="1"/>
    <n v="1"/>
    <n v="45362"/>
    <n v="0"/>
    <x v="1"/>
    <n v="6"/>
    <x v="1"/>
    <m/>
    <m/>
    <m/>
    <m/>
    <x v="0"/>
    <x v="1"/>
    <n v="0"/>
    <n v="0"/>
    <n v="0"/>
  </r>
  <r>
    <n v="123"/>
    <s v="03829259"/>
    <n v="45359"/>
    <n v="45362"/>
    <n v="3"/>
    <n v="75"/>
    <n v="1"/>
    <n v="3"/>
    <n v="1"/>
    <n v="0"/>
    <n v="0"/>
    <n v="0"/>
    <n v="0"/>
    <n v="0"/>
    <n v="1"/>
    <s v="G1DD"/>
    <s v="Staphylococcus hominis"/>
    <n v="0"/>
    <n v="1"/>
    <n v="45359"/>
    <n v="45359"/>
    <n v="0"/>
    <n v="0"/>
    <n v="0"/>
    <n v="0"/>
    <n v="0"/>
    <n v="0"/>
    <n v="0"/>
    <n v="0"/>
    <n v="0"/>
    <n v="0"/>
    <n v="1"/>
    <s v="ceftriaxone"/>
    <n v="0"/>
    <n v="0"/>
    <n v="1"/>
    <n v="0"/>
    <n v="0"/>
    <n v="1"/>
    <n v="1"/>
    <n v="1"/>
    <n v="45361"/>
    <n v="0"/>
    <x v="1"/>
    <n v="2"/>
    <x v="1"/>
    <m/>
    <m/>
    <m/>
    <m/>
    <x v="0"/>
    <x v="1"/>
    <n v="0"/>
    <n v="0"/>
    <n v="0"/>
  </r>
  <r>
    <n v="125"/>
    <s v="408179822"/>
    <n v="45361"/>
    <n v="45373"/>
    <n v="12"/>
    <n v="71"/>
    <n v="1"/>
    <n v="2"/>
    <n v="1"/>
    <n v="0"/>
    <n v="0"/>
    <n v="0"/>
    <n v="1"/>
    <n v="0"/>
    <n v="0"/>
    <m/>
    <s v="Staphylococcus epidermidis"/>
    <n v="0"/>
    <n v="1"/>
    <n v="45361"/>
    <n v="45361"/>
    <n v="0"/>
    <n v="1"/>
    <n v="0"/>
    <n v="0"/>
    <n v="1"/>
    <n v="0"/>
    <n v="0"/>
    <n v="0"/>
    <n v="0"/>
    <n v="0"/>
    <n v="1"/>
    <s v="linezolid levofloxacin"/>
    <n v="0"/>
    <n v="1"/>
    <n v="1"/>
    <n v="1"/>
    <n v="0"/>
    <n v="0"/>
    <n v="1"/>
    <n v="1"/>
    <n v="45362"/>
    <n v="0"/>
    <x v="0"/>
    <n v="1"/>
    <x v="1"/>
    <m/>
    <m/>
    <m/>
    <m/>
    <x v="0"/>
    <x v="1"/>
    <n v="0"/>
    <n v="0"/>
    <n v="0"/>
  </r>
  <r>
    <n v="126"/>
    <s v="403192947"/>
    <n v="45362"/>
    <n v="45367"/>
    <n v="5"/>
    <n v="80"/>
    <n v="2"/>
    <n v="2"/>
    <n v="1"/>
    <n v="0"/>
    <n v="0"/>
    <n v="0"/>
    <n v="0"/>
    <n v="0"/>
    <n v="1"/>
    <s v="G1DD"/>
    <s v="Staphylococcus hominis"/>
    <n v="0"/>
    <n v="1"/>
    <n v="45362"/>
    <n v="45362"/>
    <n v="0"/>
    <n v="0"/>
    <n v="0"/>
    <n v="0"/>
    <n v="0"/>
    <n v="0"/>
    <n v="0"/>
    <n v="0"/>
    <n v="0"/>
    <n v="0"/>
    <n v="1"/>
    <s v="cefuroxime"/>
    <n v="0"/>
    <n v="1"/>
    <n v="1"/>
    <n v="1"/>
    <n v="0"/>
    <n v="0"/>
    <n v="0"/>
    <n v="1"/>
    <n v="45366"/>
    <n v="0"/>
    <x v="0"/>
    <n v="4"/>
    <x v="1"/>
    <m/>
    <m/>
    <m/>
    <m/>
    <x v="0"/>
    <x v="1"/>
    <n v="0"/>
    <n v="0"/>
    <n v="0"/>
  </r>
  <r>
    <n v="127"/>
    <s v="402102847"/>
    <n v="45362"/>
    <n v="45370"/>
    <n v="8"/>
    <n v="61"/>
    <n v="1"/>
    <n v="3"/>
    <n v="0"/>
    <n v="0"/>
    <n v="0"/>
    <n v="0"/>
    <n v="0"/>
    <n v="0"/>
    <n v="0"/>
    <m/>
    <s v="Staphylococcus hominis"/>
    <n v="0"/>
    <n v="1"/>
    <n v="45362"/>
    <n v="45362"/>
    <n v="0"/>
    <n v="0"/>
    <n v="0"/>
    <n v="0"/>
    <n v="0"/>
    <n v="0"/>
    <n v="0"/>
    <n v="0"/>
    <n v="0"/>
    <n v="0"/>
    <n v="1"/>
    <s v="cefepime"/>
    <n v="0"/>
    <n v="1"/>
    <n v="1"/>
    <n v="1"/>
    <n v="0"/>
    <n v="0"/>
    <n v="1"/>
    <n v="1"/>
    <n v="45364"/>
    <n v="0"/>
    <x v="0"/>
    <n v="2"/>
    <x v="1"/>
    <m/>
    <m/>
    <m/>
    <m/>
    <x v="0"/>
    <x v="1"/>
    <n v="0"/>
    <n v="0"/>
    <n v="0"/>
  </r>
  <r>
    <n v="128"/>
    <s v="00640864"/>
    <n v="45365"/>
    <n v="45377"/>
    <n v="12"/>
    <n v="54"/>
    <n v="1"/>
    <n v="2"/>
    <n v="1"/>
    <n v="0"/>
    <n v="0"/>
    <n v="0"/>
    <n v="1"/>
    <n v="0"/>
    <n v="0"/>
    <m/>
    <s v="Staphylococcus epidermidis"/>
    <n v="0"/>
    <n v="1"/>
    <n v="45365"/>
    <n v="45365"/>
    <n v="0"/>
    <n v="1"/>
    <n v="0"/>
    <n v="0"/>
    <n v="1"/>
    <n v="0"/>
    <n v="0"/>
    <n v="0"/>
    <n v="0"/>
    <n v="0"/>
    <n v="1"/>
    <s v="Daptomycin"/>
    <n v="0"/>
    <n v="1"/>
    <n v="1"/>
    <n v="1"/>
    <n v="0"/>
    <n v="0"/>
    <n v="1"/>
    <n v="1"/>
    <n v="45370"/>
    <n v="0"/>
    <x v="0"/>
    <n v="5"/>
    <x v="1"/>
    <m/>
    <m/>
    <m/>
    <m/>
    <x v="0"/>
    <x v="1"/>
    <n v="0"/>
    <n v="0"/>
    <n v="0"/>
  </r>
  <r>
    <n v="131"/>
    <s v="408140988"/>
    <n v="45368"/>
    <n v="45376"/>
    <n v="8"/>
    <n v="23"/>
    <n v="2"/>
    <n v="2"/>
    <n v="0"/>
    <n v="0"/>
    <n v="0"/>
    <n v="0"/>
    <n v="0"/>
    <n v="0"/>
    <n v="0"/>
    <m/>
    <s v="Staphylococcus epidermidis"/>
    <n v="0"/>
    <n v="1"/>
    <n v="45368"/>
    <n v="45368"/>
    <n v="0"/>
    <n v="0"/>
    <n v="0"/>
    <n v="0"/>
    <n v="0"/>
    <n v="0"/>
    <n v="0"/>
    <n v="0"/>
    <n v="0"/>
    <n v="0"/>
    <n v="1"/>
    <s v="vanc"/>
    <n v="0"/>
    <n v="1"/>
    <n v="0"/>
    <n v="0"/>
    <n v="1"/>
    <n v="0"/>
    <n v="1"/>
    <n v="1"/>
    <n v="45373"/>
    <n v="0"/>
    <x v="0"/>
    <n v="5"/>
    <x v="1"/>
    <m/>
    <m/>
    <m/>
    <m/>
    <x v="0"/>
    <x v="1"/>
    <n v="0"/>
    <n v="0"/>
    <n v="0"/>
  </r>
  <r>
    <n v="132"/>
    <s v="04037453"/>
    <n v="45363"/>
    <n v="45401"/>
    <n v="38"/>
    <n v="41"/>
    <n v="1"/>
    <n v="3"/>
    <n v="1"/>
    <n v="0"/>
    <n v="0"/>
    <n v="0"/>
    <n v="1"/>
    <n v="0"/>
    <n v="0"/>
    <m/>
    <s v="Staphylococcus epidermidis"/>
    <n v="0"/>
    <n v="1"/>
    <n v="45370"/>
    <n v="45370"/>
    <n v="0"/>
    <n v="1"/>
    <n v="0"/>
    <n v="0"/>
    <n v="1"/>
    <n v="0"/>
    <n v="0"/>
    <n v="0"/>
    <n v="0"/>
    <n v="0"/>
    <n v="1"/>
    <s v="vanc"/>
    <n v="1"/>
    <n v="1"/>
    <n v="1"/>
    <n v="1"/>
    <n v="0"/>
    <n v="0"/>
    <n v="1"/>
    <n v="1"/>
    <n v="45372"/>
    <n v="0"/>
    <x v="0"/>
    <n v="9"/>
    <x v="1"/>
    <m/>
    <m/>
    <m/>
    <m/>
    <x v="0"/>
    <x v="1"/>
    <n v="0"/>
    <n v="0"/>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
  <r>
    <n v="1"/>
    <s v="405204614"/>
    <d v="2024-05-30T00:00:00"/>
    <d v="2024-06-19T00:00:00"/>
    <n v="20"/>
    <n v="85"/>
    <n v="1"/>
    <n v="2"/>
    <n v="1"/>
    <n v="0"/>
    <n v="1"/>
    <n v="1"/>
    <n v="0"/>
    <n v="0"/>
    <n v="1"/>
    <s v="mod TR, MR, AS w/ TAVR, CABG 2000"/>
    <s v="Methicillin-Resistant Staphylococcus aureus"/>
    <n v="1"/>
    <n v="0"/>
    <n v="0"/>
    <n v="0"/>
    <n v="1"/>
    <n v="11"/>
    <d v="2024-05-30T00:00:00"/>
    <d v="2024-06-12T00:00:00"/>
    <n v="13"/>
    <n v="0"/>
    <n v="0"/>
    <n v="0"/>
    <n v="0"/>
    <n v="0"/>
    <n v="0"/>
    <n v="0"/>
    <n v="0"/>
    <n v="0"/>
    <n v="1"/>
    <s v="Daptomycin"/>
    <n v="1"/>
    <n v="0"/>
    <n v="1"/>
    <n v="0"/>
    <n v="0"/>
    <n v="1"/>
    <n v="1"/>
    <n v="1"/>
    <d v="2024-05-31T00:00:00"/>
    <n v="0"/>
    <n v="0"/>
    <n v="1"/>
    <x v="0"/>
    <d v="2024-06-03T00:00:00"/>
    <n v="0"/>
    <n v="0"/>
    <x v="0"/>
    <n v="0"/>
    <n v="1"/>
    <n v="1"/>
    <n v="0"/>
    <n v="1"/>
  </r>
  <r>
    <n v="2"/>
    <s v="403501259"/>
    <d v="2024-06-03T00:00:00"/>
    <m/>
    <m/>
    <n v="78"/>
    <n v="1"/>
    <n v="3"/>
    <n v="0"/>
    <n v="0"/>
    <n v="0"/>
    <n v="0"/>
    <n v="0"/>
    <n v="0"/>
    <n v="0"/>
    <m/>
    <s v="Methicillin-Resistant Staphylococcus aureus"/>
    <n v="1"/>
    <n v="0"/>
    <n v="0"/>
    <n v="0"/>
    <n v="1"/>
    <n v="6"/>
    <d v="2024-06-03T00:00:00"/>
    <d v="2024-06-07T00:00:00"/>
    <n v="4"/>
    <n v="1"/>
    <n v="1"/>
    <n v="0"/>
    <n v="0"/>
    <n v="0"/>
    <n v="0"/>
    <n v="0"/>
    <n v="0"/>
    <n v="0"/>
    <n v="1"/>
    <s v="Daptomycin"/>
    <n v="1"/>
    <n v="1"/>
    <n v="1"/>
    <n v="1"/>
    <n v="0"/>
    <n v="0"/>
    <n v="1"/>
    <n v="1"/>
    <d v="2024-06-05T00:00:00"/>
    <n v="0"/>
    <n v="0"/>
    <n v="2"/>
    <x v="1"/>
    <m/>
    <m/>
    <m/>
    <x v="0"/>
    <n v="0"/>
    <n v="1"/>
    <n v="0"/>
    <n v="1"/>
    <n v="0"/>
  </r>
  <r>
    <n v="5"/>
    <s v="404853319"/>
    <d v="2024-06-10T00:00:00"/>
    <d v="2024-06-13T00:00:00"/>
    <n v="3"/>
    <n v="71"/>
    <n v="1"/>
    <n v="2"/>
    <n v="1"/>
    <n v="0"/>
    <n v="0"/>
    <n v="0"/>
    <n v="1"/>
    <n v="1"/>
    <n v="1"/>
    <s v="G3DD, sev LA dilation"/>
    <s v="Staphylococcus aureus"/>
    <n v="1"/>
    <n v="0"/>
    <n v="0"/>
    <n v="0"/>
    <n v="1"/>
    <n v="2"/>
    <d v="2024-06-10T00:00:00"/>
    <d v="2024-06-11T00:00:00"/>
    <n v="1"/>
    <n v="1"/>
    <n v="0"/>
    <n v="0"/>
    <n v="0"/>
    <n v="1"/>
    <n v="0"/>
    <n v="0"/>
    <n v="0"/>
    <n v="0"/>
    <n v="1"/>
    <s v="vanc zosyn"/>
    <n v="1"/>
    <n v="1"/>
    <n v="1"/>
    <n v="1"/>
    <n v="0"/>
    <n v="0"/>
    <n v="0"/>
    <n v="1"/>
    <d v="2024-06-11T00:00:00"/>
    <n v="1"/>
    <n v="1"/>
    <n v="1"/>
    <x v="1"/>
    <m/>
    <m/>
    <m/>
    <x v="0"/>
    <n v="1"/>
    <n v="1"/>
    <n v="0"/>
    <n v="1"/>
    <n v="0"/>
  </r>
  <r>
    <n v="7"/>
    <s v="404897779"/>
    <d v="2024-06-10T00:00:00"/>
    <d v="2024-07-12T00:00:00"/>
    <n v="32"/>
    <n v="45"/>
    <n v="2"/>
    <n v="2"/>
    <n v="0"/>
    <n v="0"/>
    <n v="0"/>
    <n v="0"/>
    <n v="0"/>
    <n v="0"/>
    <n v="0"/>
    <m/>
    <s v="Staphylococcus aureus"/>
    <n v="1"/>
    <n v="0"/>
    <n v="0"/>
    <n v="0"/>
    <n v="0"/>
    <n v="1"/>
    <d v="2024-06-12T00:00:00"/>
    <d v="2024-06-12T00:00:00"/>
    <n v="0"/>
    <n v="0"/>
    <n v="0"/>
    <n v="0"/>
    <n v="0"/>
    <n v="0"/>
    <n v="0"/>
    <n v="0"/>
    <n v="0"/>
    <n v="0"/>
    <n v="1"/>
    <s v="cefazolin"/>
    <n v="1"/>
    <n v="0"/>
    <n v="1"/>
    <n v="0"/>
    <n v="0"/>
    <n v="1"/>
    <n v="1"/>
    <n v="1"/>
    <d v="2024-06-14T00:00:00"/>
    <n v="0"/>
    <n v="0"/>
    <n v="4"/>
    <x v="1"/>
    <m/>
    <m/>
    <m/>
    <x v="0"/>
    <n v="0"/>
    <n v="0"/>
    <n v="0"/>
    <n v="1"/>
    <n v="0"/>
  </r>
  <r>
    <n v="8"/>
    <s v="405202760"/>
    <d v="2024-06-13T00:00:00"/>
    <d v="2024-06-23T00:00:00"/>
    <n v="10"/>
    <n v="60"/>
    <n v="1"/>
    <n v="3"/>
    <n v="1"/>
    <n v="0"/>
    <n v="0"/>
    <n v="0"/>
    <n v="0"/>
    <n v="0"/>
    <n v="1"/>
    <s v="G2DD"/>
    <s v="Staphylococcus aureus"/>
    <n v="1"/>
    <n v="0"/>
    <n v="0"/>
    <n v="0"/>
    <n v="1"/>
    <n v="2"/>
    <d v="2024-06-13T00:00:00"/>
    <d v="2024-06-14T00:00:00"/>
    <n v="1"/>
    <n v="1"/>
    <n v="0"/>
    <n v="0"/>
    <n v="0"/>
    <n v="1"/>
    <n v="0"/>
    <n v="0"/>
    <n v="0"/>
    <n v="0"/>
    <n v="1"/>
    <s v="cefazolin"/>
    <n v="1"/>
    <n v="1"/>
    <n v="1"/>
    <n v="1"/>
    <n v="0"/>
    <n v="0"/>
    <n v="1"/>
    <n v="1"/>
    <d v="2024-06-14T00:00:00"/>
    <n v="0"/>
    <n v="0"/>
    <n v="1"/>
    <x v="1"/>
    <m/>
    <m/>
    <m/>
    <x v="0"/>
    <n v="0"/>
    <n v="1"/>
    <n v="0"/>
    <n v="0"/>
    <n v="0"/>
  </r>
  <r>
    <n v="9"/>
    <s v="400903585"/>
    <d v="2024-06-15T00:00:00"/>
    <d v="2024-06-27T00:00:00"/>
    <n v="12"/>
    <n v="64"/>
    <n v="2"/>
    <n v="2"/>
    <n v="1"/>
    <n v="0"/>
    <n v="0"/>
    <n v="0"/>
    <n v="1"/>
    <n v="0"/>
    <n v="0"/>
    <m/>
    <s v="Staphylococcus aureus"/>
    <n v="1"/>
    <n v="0"/>
    <n v="0"/>
    <n v="0"/>
    <n v="1"/>
    <n v="2"/>
    <d v="2024-06-20T00:00:00"/>
    <d v="2024-06-21T00:00:00"/>
    <n v="1"/>
    <n v="1"/>
    <n v="0"/>
    <n v="1"/>
    <n v="0"/>
    <n v="0"/>
    <n v="0"/>
    <n v="0"/>
    <n v="0"/>
    <n v="0"/>
    <n v="1"/>
    <s v="cefazolin"/>
    <n v="1"/>
    <n v="1"/>
    <n v="1"/>
    <n v="1"/>
    <n v="0"/>
    <n v="0"/>
    <n v="1"/>
    <n v="1"/>
    <d v="2024-06-24T00:00:00"/>
    <n v="0"/>
    <n v="0"/>
    <n v="9"/>
    <x v="1"/>
    <m/>
    <m/>
    <m/>
    <x v="0"/>
    <n v="0"/>
    <n v="1"/>
    <n v="0"/>
    <n v="0"/>
    <n v="0"/>
  </r>
  <r>
    <n v="10"/>
    <s v="404330489"/>
    <d v="2024-06-25T00:00:00"/>
    <d v="2024-07-02T00:00:00"/>
    <n v="7"/>
    <n v="46"/>
    <n v="1"/>
    <n v="2"/>
    <n v="1"/>
    <n v="1"/>
    <n v="0"/>
    <n v="0"/>
    <n v="1"/>
    <n v="1"/>
    <n v="1"/>
    <s v="1/4/24 veg seen, sev TR, "/>
    <s v="Methicillin-Resistant Staphylococcus aureus"/>
    <n v="1"/>
    <n v="0"/>
    <n v="0"/>
    <n v="0"/>
    <n v="1"/>
    <n v="5"/>
    <d v="2024-06-25T00:00:00"/>
    <d v="2024-06-30T00:00:00"/>
    <n v="5"/>
    <n v="1"/>
    <n v="1"/>
    <n v="1"/>
    <n v="0"/>
    <n v="1"/>
    <n v="0"/>
    <n v="0"/>
    <n v="0"/>
    <n v="0"/>
    <n v="1"/>
    <s v="Daptomycin"/>
    <n v="1"/>
    <n v="1"/>
    <n v="1"/>
    <n v="1"/>
    <n v="0"/>
    <n v="0"/>
    <n v="1"/>
    <n v="1"/>
    <d v="2024-06-25T00:00:00"/>
    <n v="1"/>
    <n v="1"/>
    <n v="0"/>
    <x v="1"/>
    <m/>
    <m/>
    <m/>
    <x v="0"/>
    <n v="1"/>
    <n v="1"/>
    <n v="1"/>
    <n v="0"/>
    <n v="0"/>
  </r>
  <r>
    <n v="12"/>
    <s v="405482656"/>
    <d v="2024-05-01T00:00:00"/>
    <d v="2024-05-11T00:00:00"/>
    <n v="10"/>
    <n v="70"/>
    <n v="1"/>
    <n v="5"/>
    <n v="1"/>
    <n v="0"/>
    <n v="0"/>
    <n v="0"/>
    <n v="1"/>
    <n v="0"/>
    <n v="1"/>
    <s v="G1DD"/>
    <s v="Staphylococcus aureus"/>
    <n v="1"/>
    <n v="0"/>
    <n v="0"/>
    <n v="0"/>
    <n v="1"/>
    <n v="2"/>
    <d v="2024-05-01T00:00:00"/>
    <d v="2024-05-03T00:00:00"/>
    <n v="2"/>
    <n v="1"/>
    <n v="0"/>
    <n v="0"/>
    <n v="1"/>
    <n v="0"/>
    <n v="0"/>
    <n v="0"/>
    <n v="0"/>
    <n v="0"/>
    <n v="1"/>
    <s v="cefazolin"/>
    <n v="1"/>
    <n v="1"/>
    <n v="1"/>
    <n v="1"/>
    <n v="0"/>
    <n v="0"/>
    <n v="1"/>
    <n v="1"/>
    <d v="2024-05-07T00:00:00"/>
    <n v="0"/>
    <n v="1"/>
    <n v="6"/>
    <x v="1"/>
    <m/>
    <m/>
    <m/>
    <x v="0"/>
    <n v="0"/>
    <n v="1"/>
    <n v="0"/>
    <n v="0"/>
    <n v="0"/>
  </r>
  <r>
    <n v="13"/>
    <s v="403677980"/>
    <d v="2024-05-02T00:00:00"/>
    <d v="2024-05-24T00:00:00"/>
    <n v="22"/>
    <n v="91"/>
    <n v="2"/>
    <n v="2"/>
    <n v="1"/>
    <n v="0"/>
    <n v="0"/>
    <n v="0"/>
    <n v="0"/>
    <n v="0"/>
    <n v="1"/>
    <s v="HFrEF"/>
    <s v="Staphylococcus aureus"/>
    <n v="1"/>
    <n v="0"/>
    <n v="0"/>
    <n v="0"/>
    <n v="1"/>
    <n v="2"/>
    <d v="2024-05-02T00:00:00"/>
    <d v="2024-05-03T00:00:00"/>
    <n v="1"/>
    <n v="1"/>
    <n v="0"/>
    <n v="0"/>
    <n v="0"/>
    <n v="1"/>
    <n v="0"/>
    <n v="0"/>
    <n v="0"/>
    <n v="0"/>
    <n v="1"/>
    <s v="cefazolin"/>
    <n v="1"/>
    <n v="1"/>
    <n v="1"/>
    <n v="1"/>
    <n v="0"/>
    <n v="0"/>
    <n v="1"/>
    <n v="1"/>
    <d v="2024-05-06T00:00:00"/>
    <n v="0"/>
    <n v="0"/>
    <n v="4"/>
    <x v="1"/>
    <m/>
    <m/>
    <m/>
    <x v="0"/>
    <n v="0"/>
    <n v="1"/>
    <n v="0"/>
    <n v="0"/>
    <n v="0"/>
  </r>
  <r>
    <n v="14"/>
    <s v="401084542"/>
    <d v="2024-05-07T00:00:00"/>
    <d v="2024-05-21T00:00:00"/>
    <n v="14"/>
    <n v="71"/>
    <n v="2"/>
    <n v="2"/>
    <n v="1"/>
    <n v="0"/>
    <n v="0"/>
    <n v="0"/>
    <n v="1"/>
    <n v="0"/>
    <n v="0"/>
    <m/>
    <s v="Staphylococcus aureus"/>
    <n v="1"/>
    <n v="0"/>
    <n v="0"/>
    <n v="0"/>
    <n v="1"/>
    <n v="3"/>
    <d v="2024-05-07T00:00:00"/>
    <d v="2024-05-10T00:00:00"/>
    <n v="3"/>
    <n v="1"/>
    <n v="0"/>
    <n v="1"/>
    <n v="1"/>
    <n v="0"/>
    <n v="0"/>
    <n v="0"/>
    <n v="0"/>
    <n v="0"/>
    <n v="1"/>
    <s v="cefazolin"/>
    <n v="1"/>
    <n v="1"/>
    <n v="0"/>
    <n v="0"/>
    <n v="1"/>
    <n v="0"/>
    <n v="1"/>
    <n v="1"/>
    <d v="2024-05-08T00:00:00"/>
    <n v="0"/>
    <n v="0"/>
    <n v="1"/>
    <x v="1"/>
    <m/>
    <m/>
    <m/>
    <x v="0"/>
    <n v="0"/>
    <n v="1"/>
    <n v="0"/>
    <n v="0"/>
    <n v="0"/>
  </r>
  <r>
    <n v="15"/>
    <s v="00812900"/>
    <d v="2024-05-08T00:00:00"/>
    <d v="2024-05-20T00:00:00"/>
    <n v="12"/>
    <n v="77"/>
    <n v="1"/>
    <n v="2"/>
    <n v="1"/>
    <n v="0"/>
    <n v="0"/>
    <n v="0"/>
    <n v="0"/>
    <n v="0"/>
    <n v="1"/>
    <s v="at least mod TR'"/>
    <s v="Staphylococcus aureus"/>
    <n v="1"/>
    <n v="0"/>
    <n v="0"/>
    <n v="0"/>
    <n v="0"/>
    <n v="1"/>
    <d v="2024-05-08T00:00:00"/>
    <d v="2024-05-08T00:00:00"/>
    <n v="0"/>
    <n v="1"/>
    <n v="0"/>
    <n v="0"/>
    <n v="0"/>
    <n v="1"/>
    <n v="0"/>
    <n v="0"/>
    <n v="1"/>
    <n v="0"/>
    <n v="1"/>
    <s v="cefazolin"/>
    <n v="1"/>
    <n v="1"/>
    <n v="1"/>
    <n v="1"/>
    <n v="0"/>
    <n v="0"/>
    <n v="1"/>
    <n v="1"/>
    <d v="2024-05-09T00:00:00"/>
    <n v="0"/>
    <n v="0"/>
    <n v="1"/>
    <x v="0"/>
    <d v="2024-05-13T00:00:00"/>
    <n v="0"/>
    <n v="0"/>
    <x v="0"/>
    <n v="0"/>
    <n v="1"/>
    <n v="0"/>
    <n v="0"/>
    <n v="1"/>
  </r>
  <r>
    <n v="16"/>
    <s v="403662645"/>
    <d v="2024-05-08T00:00:00"/>
    <d v="2024-05-23T00:00:00"/>
    <n v="15"/>
    <n v="83"/>
    <n v="2"/>
    <n v="2"/>
    <n v="1"/>
    <n v="0"/>
    <n v="0"/>
    <n v="0"/>
    <n v="0"/>
    <n v="0"/>
    <n v="1"/>
    <s v="PFO, sev biatrial enlarge, G1DD, mod LVH"/>
    <s v="Staphylococcus aureus"/>
    <n v="1"/>
    <n v="0"/>
    <n v="0"/>
    <n v="0"/>
    <n v="1"/>
    <n v="3"/>
    <d v="2024-05-17T00:00:00"/>
    <d v="2024-05-19T00:00:00"/>
    <n v="2"/>
    <n v="0"/>
    <n v="0"/>
    <n v="0"/>
    <n v="0"/>
    <n v="0"/>
    <n v="0"/>
    <n v="0"/>
    <n v="0"/>
    <n v="0"/>
    <n v="1"/>
    <s v="nafcillin"/>
    <n v="1"/>
    <n v="1"/>
    <n v="1"/>
    <n v="1"/>
    <n v="0"/>
    <n v="0"/>
    <n v="1"/>
    <n v="1"/>
    <d v="2024-05-20T00:00:00"/>
    <n v="0"/>
    <n v="0"/>
    <n v="12"/>
    <x v="1"/>
    <m/>
    <m/>
    <m/>
    <x v="0"/>
    <n v="0"/>
    <n v="1"/>
    <n v="0"/>
    <n v="1"/>
    <n v="0"/>
  </r>
  <r>
    <n v="17"/>
    <s v="88273987"/>
    <d v="2024-05-26T00:00:00"/>
    <d v="2024-06-15T00:00:00"/>
    <n v="20"/>
    <n v="59"/>
    <n v="1"/>
    <n v="3"/>
    <n v="1"/>
    <n v="0"/>
    <n v="0"/>
    <n v="0"/>
    <n v="0"/>
    <n v="0"/>
    <n v="1"/>
    <s v="G1DD, mod mitral annular calc"/>
    <s v="Staphylococcus aureus"/>
    <n v="1"/>
    <n v="0"/>
    <n v="0"/>
    <n v="0"/>
    <n v="1"/>
    <n v="2"/>
    <d v="2024-05-28T00:00:00"/>
    <d v="2024-05-29T00:00:00"/>
    <n v="1"/>
    <n v="1"/>
    <n v="0"/>
    <n v="1"/>
    <n v="0"/>
    <n v="0"/>
    <n v="0"/>
    <n v="0"/>
    <n v="0"/>
    <n v="0"/>
    <n v="1"/>
    <s v="cefazolin"/>
    <n v="1"/>
    <n v="1"/>
    <n v="1"/>
    <n v="1"/>
    <n v="0"/>
    <n v="0"/>
    <n v="1"/>
    <n v="1"/>
    <d v="2024-05-30T00:00:00"/>
    <n v="1"/>
    <n v="0"/>
    <n v="4"/>
    <x v="1"/>
    <m/>
    <m/>
    <m/>
    <x v="0"/>
    <n v="1"/>
    <n v="1"/>
    <n v="0"/>
    <n v="0"/>
    <n v="0"/>
  </r>
  <r>
    <n v="18"/>
    <s v="405244917"/>
    <d v="2024-04-03T00:00:00"/>
    <d v="2024-04-13T00:00:00"/>
    <n v="10"/>
    <n v="51"/>
    <n v="1"/>
    <n v="3"/>
    <n v="0"/>
    <n v="0"/>
    <n v="0"/>
    <n v="0"/>
    <n v="0"/>
    <n v="0"/>
    <n v="0"/>
    <m/>
    <s v="Staphylococcus aureus"/>
    <n v="1"/>
    <n v="0"/>
    <n v="0"/>
    <n v="0"/>
    <n v="1"/>
    <n v="3"/>
    <d v="2024-04-03T00:00:00"/>
    <d v="2024-04-06T00:00:00"/>
    <n v="3"/>
    <n v="1"/>
    <n v="1"/>
    <n v="0"/>
    <n v="0"/>
    <n v="0"/>
    <n v="0"/>
    <n v="0"/>
    <n v="0"/>
    <n v="0"/>
    <n v="1"/>
    <s v="cefazolin"/>
    <n v="1"/>
    <n v="1"/>
    <n v="1"/>
    <n v="1"/>
    <n v="0"/>
    <n v="0"/>
    <n v="1"/>
    <n v="1"/>
    <d v="2024-04-05T00:00:00"/>
    <n v="0"/>
    <n v="0"/>
    <n v="2"/>
    <x v="0"/>
    <d v="2024-04-09T00:00:00"/>
    <n v="0"/>
    <n v="0"/>
    <x v="0"/>
    <n v="0"/>
    <n v="1"/>
    <n v="0"/>
    <n v="0"/>
    <n v="1"/>
  </r>
  <r>
    <n v="19"/>
    <s v="403126637"/>
    <d v="2024-04-11T00:00:00"/>
    <d v="2024-04-16T00:00:00"/>
    <n v="5"/>
    <n v="65"/>
    <n v="2"/>
    <n v="2"/>
    <n v="1"/>
    <n v="0"/>
    <n v="0"/>
    <n v="0"/>
    <n v="0"/>
    <n v="0"/>
    <n v="1"/>
    <s v="thickened AV leaf"/>
    <s v="Methicillin-Resistant Staphylococcus aureus"/>
    <n v="1"/>
    <n v="0"/>
    <n v="0"/>
    <n v="0"/>
    <n v="1"/>
    <n v="3"/>
    <d v="2024-04-11T00:00:00"/>
    <d v="2024-04-12T00:00:00"/>
    <n v="1"/>
    <n v="0"/>
    <n v="0"/>
    <n v="0"/>
    <n v="0"/>
    <n v="0"/>
    <n v="0"/>
    <n v="0"/>
    <n v="0"/>
    <n v="1"/>
    <n v="1"/>
    <s v="Daptomycin"/>
    <n v="1"/>
    <n v="0"/>
    <n v="1"/>
    <n v="0"/>
    <n v="0"/>
    <n v="1"/>
    <n v="1"/>
    <n v="1"/>
    <d v="2024-04-12T00:00:00"/>
    <n v="0"/>
    <n v="1"/>
    <n v="1"/>
    <x v="1"/>
    <m/>
    <m/>
    <m/>
    <x v="0"/>
    <n v="0"/>
    <n v="1"/>
    <n v="0"/>
    <n v="0"/>
    <n v="0"/>
  </r>
  <r>
    <n v="20"/>
    <s v="03844744"/>
    <d v="2024-04-10T00:00:00"/>
    <d v="2024-04-19T00:00:00"/>
    <n v="9"/>
    <n v="85"/>
    <n v="1"/>
    <n v="2"/>
    <n v="0"/>
    <n v="0"/>
    <n v="0"/>
    <n v="0"/>
    <n v="0"/>
    <n v="0"/>
    <n v="0"/>
    <m/>
    <s v="Staphylococcus aureus"/>
    <n v="1"/>
    <n v="0"/>
    <n v="0"/>
    <n v="0"/>
    <n v="1"/>
    <n v="2"/>
    <d v="2024-04-14T00:00:00"/>
    <d v="2024-04-14T00:00:00"/>
    <n v="0"/>
    <n v="0"/>
    <n v="0"/>
    <n v="0"/>
    <n v="0"/>
    <n v="0"/>
    <n v="0"/>
    <n v="0"/>
    <n v="0"/>
    <n v="0"/>
    <n v="1"/>
    <s v="cefazolin"/>
    <n v="1"/>
    <n v="1"/>
    <n v="1"/>
    <n v="1"/>
    <n v="0"/>
    <n v="0"/>
    <n v="1"/>
    <n v="1"/>
    <d v="2024-04-18T00:00:00"/>
    <n v="0"/>
    <n v="0"/>
    <n v="8"/>
    <x v="1"/>
    <m/>
    <m/>
    <m/>
    <x v="0"/>
    <n v="0"/>
    <n v="1"/>
    <n v="0"/>
    <n v="0"/>
    <n v="0"/>
  </r>
  <r>
    <n v="21"/>
    <s v="403917633"/>
    <d v="2024-04-18T00:00:00"/>
    <d v="2024-04-26T00:00:00"/>
    <n v="8"/>
    <n v="85"/>
    <n v="2"/>
    <n v="2"/>
    <n v="1"/>
    <n v="0"/>
    <n v="0"/>
    <n v="0"/>
    <n v="0"/>
    <n v="0"/>
    <n v="1"/>
    <s v="G1DD"/>
    <s v="Staphylococcus aureus"/>
    <n v="1"/>
    <n v="0"/>
    <n v="0"/>
    <n v="0"/>
    <n v="1"/>
    <n v="3"/>
    <d v="2024-04-18T00:00:00"/>
    <d v="2024-04-20T00:00:00"/>
    <n v="2"/>
    <n v="1"/>
    <n v="0"/>
    <n v="0"/>
    <n v="0"/>
    <n v="1"/>
    <n v="0"/>
    <n v="0"/>
    <n v="0"/>
    <n v="0"/>
    <n v="1"/>
    <s v="cefazolin"/>
    <n v="1"/>
    <n v="1"/>
    <n v="0"/>
    <n v="0"/>
    <n v="1"/>
    <n v="0"/>
    <n v="1"/>
    <n v="1"/>
    <d v="2024-04-22T00:00:00"/>
    <n v="0"/>
    <n v="1"/>
    <n v="4"/>
    <x v="1"/>
    <m/>
    <m/>
    <m/>
    <x v="0"/>
    <n v="0"/>
    <n v="1"/>
    <n v="0"/>
    <n v="0"/>
    <n v="0"/>
  </r>
  <r>
    <n v="22"/>
    <s v="403969894"/>
    <d v="2024-04-19T00:00:00"/>
    <d v="2024-04-26T00:00:00"/>
    <n v="7"/>
    <n v="79"/>
    <n v="1"/>
    <n v="2"/>
    <n v="1"/>
    <n v="0"/>
    <n v="0"/>
    <n v="1"/>
    <n v="0"/>
    <n v="0"/>
    <n v="1"/>
    <s v="G2DD"/>
    <s v="Staphylococcus aureus"/>
    <n v="1"/>
    <n v="0"/>
    <n v="0"/>
    <n v="0"/>
    <n v="1"/>
    <n v="1"/>
    <d v="2024-04-19T00:00:00"/>
    <d v="2024-04-19T00:00:00"/>
    <n v="0"/>
    <n v="0"/>
    <n v="0"/>
    <n v="0"/>
    <n v="0"/>
    <n v="0"/>
    <n v="0"/>
    <n v="0"/>
    <n v="0"/>
    <n v="1"/>
    <n v="1"/>
    <s v="cefazolin"/>
    <n v="1"/>
    <n v="1"/>
    <n v="1"/>
    <n v="1"/>
    <n v="0"/>
    <n v="0"/>
    <n v="0"/>
    <n v="1"/>
    <d v="2024-04-24T00:00:00"/>
    <n v="0"/>
    <n v="0"/>
    <n v="5"/>
    <x v="0"/>
    <d v="2024-04-26T00:00:00"/>
    <n v="0"/>
    <n v="0"/>
    <x v="0"/>
    <n v="0"/>
    <n v="1"/>
    <n v="1"/>
    <n v="0"/>
    <n v="1"/>
  </r>
  <r>
    <n v="23"/>
    <s v="403916377"/>
    <d v="2024-04-19T00:00:00"/>
    <d v="2024-06-04T00:00:00"/>
    <n v="46"/>
    <n v="46"/>
    <n v="2"/>
    <n v="2"/>
    <n v="1"/>
    <n v="1"/>
    <n v="0"/>
    <n v="0"/>
    <n v="1"/>
    <n v="0"/>
    <n v="0"/>
    <m/>
    <s v="Methicillin-Resistant Staphylococcus aureus"/>
    <n v="1"/>
    <n v="0"/>
    <n v="0"/>
    <n v="0"/>
    <n v="1"/>
    <n v="3"/>
    <d v="2024-04-19T00:00:00"/>
    <d v="2024-04-22T00:00:00"/>
    <n v="3"/>
    <n v="1"/>
    <n v="0"/>
    <n v="0"/>
    <n v="1"/>
    <n v="0"/>
    <n v="0"/>
    <n v="0"/>
    <n v="0"/>
    <n v="0"/>
    <n v="1"/>
    <s v="vanc"/>
    <n v="1"/>
    <n v="0"/>
    <n v="1"/>
    <n v="0"/>
    <n v="0"/>
    <n v="1"/>
    <n v="1"/>
    <n v="1"/>
    <d v="2024-04-24T00:00:00"/>
    <n v="0"/>
    <n v="0"/>
    <n v="5"/>
    <x v="0"/>
    <d v="2024-04-26T00:00:00"/>
    <n v="0"/>
    <n v="0"/>
    <x v="0"/>
    <n v="0"/>
    <n v="1"/>
    <n v="1"/>
    <n v="0"/>
    <n v="1"/>
  </r>
  <r>
    <n v="24"/>
    <s v="403153971"/>
    <d v="2024-04-20T00:00:00"/>
    <d v="2024-04-30T00:00:00"/>
    <n v="10"/>
    <n v="87"/>
    <n v="2"/>
    <n v="2"/>
    <n v="1"/>
    <n v="0"/>
    <n v="0"/>
    <n v="0"/>
    <n v="0"/>
    <n v="0"/>
    <n v="1"/>
    <s v="mod MS, G1DD"/>
    <s v="Staphylococcus aureus"/>
    <n v="1"/>
    <n v="0"/>
    <n v="0"/>
    <n v="0"/>
    <n v="1"/>
    <n v="2"/>
    <d v="2024-04-20T00:00:00"/>
    <d v="2024-04-21T00:00:00"/>
    <n v="1"/>
    <n v="0"/>
    <n v="0"/>
    <n v="0"/>
    <n v="0"/>
    <n v="0"/>
    <n v="0"/>
    <n v="0"/>
    <n v="0"/>
    <n v="0"/>
    <n v="1"/>
    <s v="cefazolin"/>
    <n v="1"/>
    <n v="1"/>
    <n v="1"/>
    <n v="1"/>
    <n v="0"/>
    <n v="0"/>
    <n v="1"/>
    <n v="1"/>
    <d v="2024-04-24T00:00:00"/>
    <n v="0"/>
    <n v="0"/>
    <n v="4"/>
    <x v="0"/>
    <d v="2024-04-29T00:00:00"/>
    <n v="0"/>
    <n v="0"/>
    <x v="1"/>
    <n v="0"/>
    <n v="1"/>
    <n v="0"/>
    <n v="0"/>
    <n v="1"/>
  </r>
  <r>
    <n v="25"/>
    <s v="404592781"/>
    <d v="2024-04-23T00:00:00"/>
    <d v="2024-05-11T00:00:00"/>
    <n v="18"/>
    <n v="66"/>
    <n v="1"/>
    <n v="2"/>
    <n v="1"/>
    <n v="0"/>
    <n v="0"/>
    <n v="0"/>
    <n v="0"/>
    <n v="0"/>
    <n v="1"/>
    <s v="G2DD"/>
    <s v="Staphylococcus aureus"/>
    <n v="1"/>
    <n v="0"/>
    <n v="0"/>
    <n v="0"/>
    <n v="1"/>
    <n v="4"/>
    <d v="2024-04-23T00:00:00"/>
    <d v="2024-04-26T00:00:00"/>
    <n v="3"/>
    <n v="1"/>
    <n v="1"/>
    <n v="0"/>
    <n v="0"/>
    <n v="1"/>
    <n v="0"/>
    <n v="0"/>
    <n v="0"/>
    <n v="0"/>
    <n v="1"/>
    <s v="cefazolin"/>
    <n v="1"/>
    <n v="0"/>
    <n v="1"/>
    <n v="0"/>
    <n v="0"/>
    <n v="1"/>
    <n v="0"/>
    <n v="1"/>
    <d v="2024-04-29T00:00:00"/>
    <n v="0"/>
    <n v="0"/>
    <n v="6"/>
    <x v="1"/>
    <m/>
    <m/>
    <m/>
    <x v="0"/>
    <n v="0"/>
    <n v="0"/>
    <n v="0"/>
    <n v="1"/>
    <n v="0"/>
  </r>
  <r>
    <n v="26"/>
    <s v="408299364"/>
    <d v="2024-04-24T00:00:00"/>
    <d v="2024-05-12T00:00:00"/>
    <n v="18"/>
    <n v="59"/>
    <n v="2"/>
    <n v="2"/>
    <n v="1"/>
    <n v="0"/>
    <n v="0"/>
    <n v="0"/>
    <n v="1"/>
    <n v="0"/>
    <n v="1"/>
    <s v="G1DD"/>
    <s v="Staphylococcus aureus"/>
    <n v="1"/>
    <n v="0"/>
    <n v="0"/>
    <n v="0"/>
    <n v="1"/>
    <n v="3"/>
    <d v="2024-04-24T00:00:00"/>
    <d v="2024-04-27T00:00:00"/>
    <n v="3"/>
    <n v="1"/>
    <n v="0"/>
    <n v="0"/>
    <n v="1"/>
    <n v="0"/>
    <n v="0"/>
    <n v="0"/>
    <n v="0"/>
    <n v="0"/>
    <n v="1"/>
    <s v="cefazolin"/>
    <n v="1"/>
    <n v="1"/>
    <n v="1"/>
    <n v="1"/>
    <n v="0"/>
    <n v="0"/>
    <n v="1"/>
    <n v="1"/>
    <d v="2024-05-03T00:00:00"/>
    <n v="1"/>
    <n v="0"/>
    <n v="9"/>
    <x v="1"/>
    <m/>
    <m/>
    <m/>
    <x v="0"/>
    <n v="1"/>
    <n v="1"/>
    <n v="0"/>
    <n v="1"/>
    <n v="0"/>
  </r>
  <r>
    <n v="27"/>
    <s v="03093395"/>
    <d v="2024-04-21T00:00:00"/>
    <d v="2024-04-30T00:00:00"/>
    <n v="9"/>
    <n v="72"/>
    <n v="1"/>
    <n v="2"/>
    <n v="1"/>
    <n v="0"/>
    <n v="0"/>
    <n v="0"/>
    <n v="0"/>
    <n v="0"/>
    <n v="1"/>
    <s v="anterolat hypokinesis, apical kinesis, HFmrEF"/>
    <s v="Staphylococcus aureus"/>
    <n v="1"/>
    <n v="0"/>
    <n v="0"/>
    <n v="0"/>
    <n v="1"/>
    <n v="2"/>
    <d v="2024-04-25T00:00:00"/>
    <d v="2024-04-27T00:00:00"/>
    <n v="2"/>
    <n v="1"/>
    <n v="1"/>
    <n v="0"/>
    <n v="0"/>
    <n v="0"/>
    <n v="0"/>
    <n v="0"/>
    <n v="0"/>
    <n v="1"/>
    <n v="1"/>
    <s v="cefazolin"/>
    <n v="1"/>
    <n v="1"/>
    <n v="1"/>
    <n v="1"/>
    <n v="0"/>
    <n v="0"/>
    <n v="1"/>
    <n v="1"/>
    <d v="2024-04-26T00:00:00"/>
    <n v="0"/>
    <n v="0"/>
    <n v="5"/>
    <x v="1"/>
    <m/>
    <m/>
    <m/>
    <x v="0"/>
    <n v="0"/>
    <n v="1"/>
    <n v="0"/>
    <n v="0"/>
    <n v="0"/>
  </r>
  <r>
    <n v="28"/>
    <n v="404684974"/>
    <d v="2024-04-24T00:00:00"/>
    <d v="2024-05-10T00:00:00"/>
    <n v="16"/>
    <n v="71"/>
    <n v="2"/>
    <n v="2"/>
    <n v="1"/>
    <n v="0"/>
    <n v="0"/>
    <n v="0"/>
    <n v="0"/>
    <n v="0"/>
    <n v="1"/>
    <s v="mod TR, G1DD"/>
    <s v="Staphylococcus aureus"/>
    <n v="1"/>
    <n v="0"/>
    <n v="0"/>
    <n v="0"/>
    <n v="1"/>
    <n v="2"/>
    <d v="2024-04-27T00:00:00"/>
    <d v="2024-04-28T00:00:00"/>
    <n v="1"/>
    <n v="1"/>
    <n v="1"/>
    <n v="0"/>
    <n v="0"/>
    <n v="1"/>
    <n v="0"/>
    <n v="0"/>
    <n v="0"/>
    <n v="1"/>
    <n v="1"/>
    <s v="nafcillin"/>
    <n v="1"/>
    <n v="1"/>
    <n v="1"/>
    <n v="1"/>
    <n v="0"/>
    <n v="0"/>
    <n v="1"/>
    <n v="1"/>
    <d v="2024-05-02T00:00:00"/>
    <n v="0"/>
    <n v="0"/>
    <n v="8"/>
    <x v="1"/>
    <m/>
    <m/>
    <m/>
    <x v="0"/>
    <n v="0"/>
    <n v="1"/>
    <n v="0"/>
    <n v="0"/>
    <n v="0"/>
  </r>
  <r>
    <n v="29"/>
    <s v="402354987"/>
    <d v="2024-02-25T00:00:00"/>
    <d v="2024-06-11T00:00:00"/>
    <n v="107"/>
    <n v="54"/>
    <n v="1"/>
    <n v="3"/>
    <n v="0"/>
    <n v="0"/>
    <n v="0"/>
    <n v="0"/>
    <n v="0"/>
    <n v="0"/>
    <n v="0"/>
    <m/>
    <s v="Methicillin-Resistant Staphylococcus aureus"/>
    <n v="1"/>
    <n v="0"/>
    <n v="0"/>
    <n v="0"/>
    <n v="1"/>
    <n v="4"/>
    <d v="2024-04-25T00:00:00"/>
    <d v="2024-04-28T00:00:00"/>
    <n v="3"/>
    <n v="1"/>
    <n v="0"/>
    <n v="1"/>
    <n v="0"/>
    <n v="0"/>
    <n v="0"/>
    <n v="0"/>
    <n v="0"/>
    <n v="0"/>
    <n v="1"/>
    <s v="vanc"/>
    <n v="1"/>
    <n v="1"/>
    <n v="0"/>
    <n v="0"/>
    <n v="1"/>
    <n v="0"/>
    <n v="1"/>
    <n v="1"/>
    <d v="2024-04-29T00:00:00"/>
    <n v="0"/>
    <n v="0"/>
    <n v="64"/>
    <x v="1"/>
    <m/>
    <m/>
    <m/>
    <x v="0"/>
    <n v="0"/>
    <n v="1"/>
    <n v="0"/>
    <n v="1"/>
    <n v="0"/>
  </r>
  <r>
    <n v="30"/>
    <s v="403606561"/>
    <d v="2024-02-29T00:00:00"/>
    <d v="2024-03-28T00:00:00"/>
    <n v="28"/>
    <n v="28"/>
    <n v="2"/>
    <n v="2"/>
    <n v="1"/>
    <n v="1"/>
    <n v="0"/>
    <n v="0"/>
    <n v="0"/>
    <n v="0"/>
    <n v="0"/>
    <m/>
    <s v="Methicillin-Resistant Staphylococcus aureus"/>
    <n v="1"/>
    <n v="0"/>
    <n v="0"/>
    <n v="0"/>
    <n v="1"/>
    <n v="3"/>
    <d v="2024-02-29T00:00:00"/>
    <d v="2024-03-02T00:00:00"/>
    <n v="2"/>
    <n v="1"/>
    <n v="0"/>
    <n v="0"/>
    <n v="0"/>
    <n v="0"/>
    <n v="0"/>
    <n v="1"/>
    <n v="0"/>
    <n v="0"/>
    <n v="1"/>
    <s v="vanc"/>
    <n v="1"/>
    <n v="1"/>
    <n v="0"/>
    <n v="0"/>
    <n v="1"/>
    <n v="0"/>
    <n v="1"/>
    <n v="1"/>
    <d v="2024-03-01T00:00:00"/>
    <n v="0"/>
    <n v="1"/>
    <n v="1"/>
    <x v="0"/>
    <d v="2024-03-14T00:00:00"/>
    <n v="0"/>
    <n v="1"/>
    <x v="0"/>
    <n v="0"/>
    <n v="1"/>
    <n v="1"/>
    <n v="0"/>
    <n v="1"/>
  </r>
  <r>
    <n v="31"/>
    <s v="405206835"/>
    <d v="2024-02-21T00:00:00"/>
    <d v="2024-03-17T00:00:00"/>
    <n v="25"/>
    <n v="82"/>
    <n v="1"/>
    <n v="2"/>
    <n v="1"/>
    <n v="0"/>
    <n v="0"/>
    <n v="0"/>
    <n v="1"/>
    <n v="0"/>
    <n v="1"/>
    <s v="sev AS"/>
    <s v="Staphylococcus aureus"/>
    <n v="1"/>
    <n v="0"/>
    <n v="0"/>
    <n v="0"/>
    <n v="1"/>
    <n v="2"/>
    <d v="2024-02-29T00:00:00"/>
    <d v="2024-03-01T00:00:00"/>
    <n v="1"/>
    <n v="1"/>
    <n v="0"/>
    <n v="0"/>
    <n v="1"/>
    <n v="0"/>
    <n v="0"/>
    <n v="0"/>
    <n v="1"/>
    <n v="0"/>
    <n v="1"/>
    <s v="vanc"/>
    <n v="1"/>
    <n v="0"/>
    <n v="1"/>
    <n v="0"/>
    <n v="0"/>
    <n v="1"/>
    <n v="0"/>
    <n v="1"/>
    <d v="2024-03-01T00:00:00"/>
    <n v="0"/>
    <n v="1"/>
    <n v="9"/>
    <x v="1"/>
    <m/>
    <m/>
    <m/>
    <x v="0"/>
    <n v="0"/>
    <n v="1"/>
    <n v="1"/>
    <n v="1"/>
    <n v="0"/>
  </r>
  <r>
    <n v="32"/>
    <s v="405216215"/>
    <d v="2024-03-04T00:00:00"/>
    <d v="2024-03-27T00:00:00"/>
    <n v="23"/>
    <n v="79"/>
    <n v="2"/>
    <n v="2"/>
    <n v="1"/>
    <n v="0"/>
    <n v="0"/>
    <n v="0"/>
    <n v="0"/>
    <n v="0"/>
    <n v="1"/>
    <s v="G3DD, mod RV dilation"/>
    <s v="Methicillin-Resistant Staphylococcus aureus"/>
    <n v="1"/>
    <n v="0"/>
    <n v="0"/>
    <n v="0"/>
    <n v="1"/>
    <n v="5"/>
    <d v="2024-03-04T00:00:00"/>
    <d v="2024-03-08T00:00:00"/>
    <n v="4"/>
    <n v="0"/>
    <n v="0"/>
    <n v="0"/>
    <n v="0"/>
    <n v="0"/>
    <n v="0"/>
    <n v="0"/>
    <n v="0"/>
    <n v="0"/>
    <n v="1"/>
    <s v="Daptomycin"/>
    <n v="1"/>
    <n v="1"/>
    <n v="1"/>
    <n v="1"/>
    <n v="0"/>
    <n v="0"/>
    <n v="1"/>
    <n v="1"/>
    <d v="2024-03-06T00:00:00"/>
    <n v="0"/>
    <n v="0"/>
    <n v="2"/>
    <x v="0"/>
    <d v="2024-03-13T00:00:00"/>
    <n v="0"/>
    <n v="0"/>
    <x v="0"/>
    <n v="0"/>
    <n v="1"/>
    <n v="0"/>
    <n v="0"/>
    <n v="1"/>
  </r>
  <r>
    <n v="33"/>
    <s v="406917678"/>
    <d v="2024-03-05T00:00:00"/>
    <d v="2024-04-01T00:00:00"/>
    <n v="27"/>
    <n v="77"/>
    <n v="2"/>
    <n v="3"/>
    <n v="1"/>
    <n v="0"/>
    <n v="0"/>
    <n v="1"/>
    <n v="0"/>
    <n v="0"/>
    <n v="1"/>
    <s v="sev biatrial enlarge, mod TR"/>
    <s v="Staphylococcus aureus"/>
    <n v="1"/>
    <n v="0"/>
    <n v="0"/>
    <n v="0"/>
    <n v="1"/>
    <n v="3"/>
    <d v="2024-03-13T00:00:00"/>
    <d v="2024-03-15T00:00:00"/>
    <n v="2"/>
    <n v="0"/>
    <n v="0"/>
    <n v="0"/>
    <n v="0"/>
    <n v="0"/>
    <n v="0"/>
    <n v="0"/>
    <n v="0"/>
    <n v="0"/>
    <n v="1"/>
    <s v="cefazolin"/>
    <n v="1"/>
    <n v="0"/>
    <n v="1"/>
    <n v="0"/>
    <n v="0"/>
    <n v="1"/>
    <n v="1"/>
    <n v="1"/>
    <d v="2024-03-14T00:00:00"/>
    <n v="0"/>
    <n v="0"/>
    <n v="9"/>
    <x v="0"/>
    <d v="2024-03-15T00:00:00"/>
    <n v="1"/>
    <n v="0"/>
    <x v="0"/>
    <n v="1"/>
    <n v="1"/>
    <n v="1"/>
    <n v="0"/>
    <n v="1"/>
  </r>
  <r>
    <n v="34"/>
    <s v="402108577"/>
    <d v="2024-03-13T00:00:00"/>
    <d v="2024-03-26T00:00:00"/>
    <n v="13"/>
    <n v="95"/>
    <n v="2"/>
    <n v="4"/>
    <n v="0"/>
    <n v="0"/>
    <n v="0"/>
    <n v="0"/>
    <n v="0"/>
    <n v="0"/>
    <n v="0"/>
    <m/>
    <s v="Staphylococcus aureus"/>
    <n v="1"/>
    <n v="0"/>
    <n v="0"/>
    <n v="0"/>
    <n v="1"/>
    <n v="5"/>
    <d v="2024-03-13T00:00:00"/>
    <d v="2024-03-17T00:00:00"/>
    <n v="4"/>
    <n v="1"/>
    <n v="0"/>
    <n v="0"/>
    <n v="0"/>
    <n v="0"/>
    <n v="0"/>
    <n v="0"/>
    <n v="0"/>
    <n v="1"/>
    <n v="1"/>
    <s v="cefazolin"/>
    <n v="1"/>
    <n v="1"/>
    <n v="1"/>
    <n v="1"/>
    <n v="0"/>
    <n v="0"/>
    <n v="1"/>
    <n v="1"/>
    <d v="2024-03-15T00:00:00"/>
    <n v="0"/>
    <n v="0"/>
    <n v="2"/>
    <x v="1"/>
    <m/>
    <m/>
    <m/>
    <x v="0"/>
    <n v="0"/>
    <n v="1"/>
    <n v="0"/>
    <n v="0"/>
    <n v="0"/>
  </r>
  <r>
    <n v="35"/>
    <s v="402107876"/>
    <d v="2024-04-08T00:00:00"/>
    <d v="2024-05-13T00:00:00"/>
    <n v="35"/>
    <n v="42"/>
    <n v="2"/>
    <n v="4"/>
    <n v="1"/>
    <n v="1"/>
    <n v="0"/>
    <n v="0"/>
    <n v="0"/>
    <n v="0"/>
    <n v="0"/>
    <m/>
    <s v="Methicillin-Resistant Staphylococcus aureus"/>
    <n v="1"/>
    <n v="0"/>
    <n v="0"/>
    <n v="0"/>
    <n v="1"/>
    <n v="5"/>
    <d v="2024-04-11T00:00:00"/>
    <d v="2024-04-16T00:00:00"/>
    <n v="5"/>
    <n v="1"/>
    <n v="1"/>
    <n v="1"/>
    <n v="0"/>
    <n v="0"/>
    <n v="0"/>
    <n v="0"/>
    <n v="0"/>
    <n v="0"/>
    <n v="1"/>
    <s v="Daptomycin"/>
    <n v="1"/>
    <n v="1"/>
    <n v="0"/>
    <n v="0"/>
    <n v="1"/>
    <n v="0"/>
    <n v="1"/>
    <n v="1"/>
    <d v="2024-04-15T00:00:00"/>
    <n v="0"/>
    <n v="0"/>
    <n v="7"/>
    <x v="0"/>
    <d v="2024-04-15T00:00:00"/>
    <n v="0"/>
    <n v="0"/>
    <x v="0"/>
    <n v="0"/>
    <n v="1"/>
    <n v="1"/>
    <n v="0"/>
    <n v="1"/>
  </r>
  <r>
    <n v="36"/>
    <s v="405234264"/>
    <d v="2024-03-27T00:00:00"/>
    <d v="2024-03-29T00:00:00"/>
    <n v="2"/>
    <n v="64"/>
    <n v="2"/>
    <n v="2"/>
    <n v="1"/>
    <n v="0"/>
    <n v="0"/>
    <n v="0"/>
    <n v="0"/>
    <n v="0"/>
    <n v="1"/>
    <s v="G2DD"/>
    <s v="Staphylococcus aureus"/>
    <n v="1"/>
    <n v="0"/>
    <n v="0"/>
    <n v="0"/>
    <n v="1"/>
    <n v="3"/>
    <d v="2024-03-27T00:00:00"/>
    <d v="2024-03-28T00:00:00"/>
    <n v="1"/>
    <n v="0"/>
    <n v="0"/>
    <n v="0"/>
    <n v="0"/>
    <n v="0"/>
    <n v="0"/>
    <n v="0"/>
    <n v="0"/>
    <n v="0"/>
    <n v="1"/>
    <s v="cefazolin"/>
    <n v="1"/>
    <n v="1"/>
    <n v="1"/>
    <n v="1"/>
    <n v="0"/>
    <n v="0"/>
    <n v="0"/>
    <n v="1"/>
    <d v="2024-03-28T00:00:00"/>
    <n v="1"/>
    <n v="1"/>
    <n v="1"/>
    <x v="1"/>
    <m/>
    <m/>
    <m/>
    <x v="0"/>
    <n v="1"/>
    <n v="1"/>
    <n v="0"/>
    <n v="1"/>
    <n v="0"/>
  </r>
  <r>
    <n v="37"/>
    <s v="403718040"/>
    <d v="2024-03-28T00:00:00"/>
    <d v="2024-04-08T00:00:00"/>
    <n v="11"/>
    <n v="87"/>
    <n v="2"/>
    <n v="2"/>
    <n v="1"/>
    <n v="0"/>
    <n v="0"/>
    <n v="1"/>
    <n v="0"/>
    <n v="0"/>
    <n v="0"/>
    <s v="HFrEF"/>
    <s v="Staphylococcus aureus"/>
    <n v="1"/>
    <n v="0"/>
    <n v="0"/>
    <n v="0"/>
    <n v="1"/>
    <n v="4"/>
    <d v="2024-03-28T00:00:00"/>
    <d v="2024-03-31T00:00:00"/>
    <n v="3"/>
    <n v="0"/>
    <n v="0"/>
    <n v="0"/>
    <n v="0"/>
    <n v="0"/>
    <n v="0"/>
    <n v="0"/>
    <n v="0"/>
    <n v="0"/>
    <n v="1"/>
    <s v="nafcillin"/>
    <n v="1"/>
    <n v="1"/>
    <n v="0"/>
    <n v="0"/>
    <n v="1"/>
    <n v="0"/>
    <n v="0"/>
    <n v="1"/>
    <d v="2024-04-01T00:00:00"/>
    <n v="0"/>
    <n v="0"/>
    <n v="4"/>
    <x v="1"/>
    <m/>
    <m/>
    <m/>
    <x v="0"/>
    <n v="1"/>
    <n v="1"/>
    <n v="1"/>
    <n v="0"/>
    <n v="0"/>
  </r>
  <r>
    <n v="38"/>
    <s v="04003524"/>
    <d v="2024-03-30T00:00:00"/>
    <d v="2024-04-30T00:00:00"/>
    <n v="31"/>
    <n v="69"/>
    <n v="2"/>
    <n v="3"/>
    <n v="0"/>
    <n v="0"/>
    <n v="0"/>
    <n v="0"/>
    <n v="0"/>
    <n v="0"/>
    <n v="0"/>
    <m/>
    <s v="Methicillin-Resistant Staphylococcus aureus"/>
    <n v="1"/>
    <n v="0"/>
    <n v="0"/>
    <n v="0"/>
    <n v="0"/>
    <n v="1"/>
    <d v="2024-03-30T00:00:00"/>
    <d v="2024-03-30T00:00:00"/>
    <n v="0"/>
    <n v="0"/>
    <n v="0"/>
    <n v="0"/>
    <n v="0"/>
    <n v="0"/>
    <n v="0"/>
    <n v="0"/>
    <n v="0"/>
    <n v="0"/>
    <n v="1"/>
    <s v="Daptomycin"/>
    <n v="1"/>
    <n v="1"/>
    <n v="1"/>
    <n v="1"/>
    <n v="0"/>
    <n v="0"/>
    <n v="1"/>
    <n v="1"/>
    <d v="2024-04-01T00:00:00"/>
    <n v="0"/>
    <n v="1"/>
    <n v="2"/>
    <x v="0"/>
    <d v="2024-04-03T00:00:00"/>
    <n v="0"/>
    <n v="0"/>
    <x v="1"/>
    <n v="0"/>
    <n v="1"/>
    <n v="0"/>
    <n v="0"/>
    <n v="1"/>
  </r>
  <r>
    <n v="39"/>
    <s v="404568449"/>
    <d v="2024-05-31T00:00:00"/>
    <d v="2024-06-12T00:00:00"/>
    <n v="12"/>
    <n v="70"/>
    <n v="2"/>
    <n v="2"/>
    <n v="0"/>
    <n v="0"/>
    <n v="0"/>
    <n v="0"/>
    <n v="0"/>
    <n v="0"/>
    <n v="0"/>
    <m/>
    <s v="Streptococcus mutans"/>
    <n v="0"/>
    <n v="1"/>
    <n v="0"/>
    <n v="0"/>
    <n v="0"/>
    <n v="1"/>
    <d v="2024-06-01T00:00:00"/>
    <d v="2024-06-01T00:00:00"/>
    <n v="0"/>
    <n v="1"/>
    <n v="1"/>
    <n v="0"/>
    <n v="0"/>
    <n v="0"/>
    <n v="0"/>
    <n v="0"/>
    <n v="0"/>
    <n v="0"/>
    <n v="1"/>
    <s v="ceftriaxone"/>
    <n v="1"/>
    <n v="1"/>
    <n v="1"/>
    <n v="1"/>
    <n v="0"/>
    <n v="0"/>
    <n v="1"/>
    <n v="1"/>
    <d v="2024-06-05T00:00:00"/>
    <n v="0"/>
    <n v="1"/>
    <n v="5"/>
    <x v="1"/>
    <m/>
    <m/>
    <m/>
    <x v="0"/>
    <n v="0"/>
    <n v="1"/>
    <n v="0"/>
    <n v="0"/>
    <n v="0"/>
  </r>
  <r>
    <n v="41"/>
    <s v="405164086"/>
    <d v="2024-06-07T00:00:00"/>
    <d v="2024-06-13T00:00:00"/>
    <n v="6"/>
    <n v="71"/>
    <n v="1"/>
    <n v="2"/>
    <n v="1"/>
    <n v="0"/>
    <n v="1"/>
    <n v="0"/>
    <n v="0"/>
    <n v="0"/>
    <n v="0"/>
    <m/>
    <s v="Streptococcus gordonii"/>
    <n v="0"/>
    <n v="1"/>
    <n v="0"/>
    <n v="0"/>
    <n v="0"/>
    <n v="1"/>
    <d v="2024-06-07T00:00:00"/>
    <d v="2024-06-07T00:00:00"/>
    <n v="0"/>
    <n v="0"/>
    <n v="0"/>
    <n v="0"/>
    <n v="0"/>
    <n v="0"/>
    <n v="0"/>
    <n v="0"/>
    <n v="0"/>
    <n v="0"/>
    <n v="1"/>
    <s v="ceftriaxone"/>
    <n v="1"/>
    <n v="1"/>
    <n v="1"/>
    <n v="1"/>
    <n v="0"/>
    <n v="0"/>
    <n v="1"/>
    <n v="1"/>
    <d v="2024-06-10T00:00:00"/>
    <n v="0"/>
    <n v="0"/>
    <n v="3"/>
    <x v="0"/>
    <d v="2024-06-12T00:00:00"/>
    <n v="0"/>
    <n v="1"/>
    <x v="0"/>
    <n v="0"/>
    <n v="1"/>
    <n v="1"/>
    <n v="0"/>
    <n v="1"/>
  </r>
  <r>
    <n v="42"/>
    <s v="407511258"/>
    <d v="2024-06-12T00:00:00"/>
    <d v="2024-06-19T00:00:00"/>
    <n v="7"/>
    <n v="83"/>
    <n v="1"/>
    <n v="5"/>
    <n v="0"/>
    <n v="0"/>
    <n v="0"/>
    <n v="0"/>
    <n v="0"/>
    <n v="0"/>
    <n v="0"/>
    <m/>
    <s v="Streptococcus mitis group"/>
    <n v="0"/>
    <n v="1"/>
    <n v="0"/>
    <n v="0"/>
    <n v="0"/>
    <n v="1"/>
    <d v="2024-06-12T00:00:00"/>
    <d v="2024-06-12T00:00:00"/>
    <n v="0"/>
    <n v="1"/>
    <n v="0"/>
    <n v="0"/>
    <n v="0"/>
    <n v="1"/>
    <n v="0"/>
    <n v="0"/>
    <n v="0"/>
    <n v="0"/>
    <n v="1"/>
    <s v="ceftriaxone"/>
    <n v="1"/>
    <n v="1"/>
    <n v="1"/>
    <n v="1"/>
    <n v="0"/>
    <n v="0"/>
    <n v="1"/>
    <n v="1"/>
    <d v="2024-06-14T00:00:00"/>
    <n v="1"/>
    <n v="0"/>
    <n v="2"/>
    <x v="1"/>
    <m/>
    <m/>
    <m/>
    <x v="0"/>
    <n v="1"/>
    <n v="1"/>
    <n v="0"/>
    <n v="0"/>
    <n v="0"/>
  </r>
  <r>
    <n v="46"/>
    <s v="403745148"/>
    <d v="2024-05-16T00:00:00"/>
    <d v="2024-06-05T00:00:00"/>
    <n v="20"/>
    <n v="77"/>
    <n v="1"/>
    <n v="2"/>
    <n v="0"/>
    <n v="0"/>
    <n v="0"/>
    <n v="0"/>
    <n v="0"/>
    <n v="0"/>
    <n v="0"/>
    <m/>
    <s v="Streptococcus mitis group"/>
    <n v="0"/>
    <n v="1"/>
    <n v="0"/>
    <n v="0"/>
    <n v="0"/>
    <n v="1"/>
    <d v="2024-05-17T00:00:00"/>
    <d v="2024-05-17T00:00:00"/>
    <n v="0"/>
    <n v="1"/>
    <n v="0"/>
    <n v="0"/>
    <n v="0"/>
    <n v="0"/>
    <n v="0"/>
    <n v="0"/>
    <n v="0"/>
    <n v="1"/>
    <n v="1"/>
    <s v="vanc"/>
    <n v="1"/>
    <n v="1"/>
    <n v="0"/>
    <n v="0"/>
    <n v="1"/>
    <n v="0"/>
    <n v="0"/>
    <n v="1"/>
    <d v="2024-05-21T00:00:00"/>
    <n v="0"/>
    <n v="0"/>
    <n v="5"/>
    <x v="0"/>
    <d v="2024-05-22T00:00:00"/>
    <n v="0"/>
    <n v="0"/>
    <x v="0"/>
    <n v="0"/>
    <n v="1"/>
    <n v="0"/>
    <n v="1"/>
    <n v="1"/>
  </r>
  <r>
    <n v="49"/>
    <s v="408015657"/>
    <d v="2024-04-13T00:00:00"/>
    <d v="2024-05-08T00:00:00"/>
    <n v="25"/>
    <n v="78"/>
    <n v="2"/>
    <n v="2"/>
    <n v="0"/>
    <n v="0"/>
    <n v="0"/>
    <n v="0"/>
    <n v="0"/>
    <n v="0"/>
    <n v="0"/>
    <m/>
    <s v="Streptococcus anginosus"/>
    <n v="0"/>
    <n v="1"/>
    <n v="0"/>
    <n v="0"/>
    <n v="0"/>
    <n v="1"/>
    <d v="2024-04-13T00:00:00"/>
    <d v="2024-04-13T00:00:00"/>
    <n v="0"/>
    <n v="1"/>
    <n v="0"/>
    <n v="0"/>
    <n v="0"/>
    <n v="0"/>
    <n v="0"/>
    <n v="0"/>
    <n v="0"/>
    <n v="1"/>
    <n v="1"/>
    <s v="meropenem"/>
    <n v="1"/>
    <n v="1"/>
    <n v="0"/>
    <n v="0"/>
    <n v="1"/>
    <n v="0"/>
    <n v="0"/>
    <n v="1"/>
    <d v="2024-04-20T00:00:00"/>
    <n v="0"/>
    <n v="0"/>
    <n v="7"/>
    <x v="1"/>
    <m/>
    <m/>
    <m/>
    <x v="0"/>
    <n v="0"/>
    <n v="1"/>
    <n v="0"/>
    <n v="1"/>
    <n v="0"/>
  </r>
  <r>
    <n v="50"/>
    <s v="403192966"/>
    <d v="2024-04-27T00:00:00"/>
    <d v="2024-05-23T00:00:00"/>
    <n v="26"/>
    <n v="36"/>
    <n v="1"/>
    <n v="3"/>
    <n v="0"/>
    <n v="0"/>
    <n v="0"/>
    <n v="0"/>
    <n v="0"/>
    <n v="0"/>
    <n v="0"/>
    <m/>
    <s v="Streptococcus constellatus"/>
    <n v="0"/>
    <n v="1"/>
    <n v="0"/>
    <n v="0"/>
    <n v="0"/>
    <n v="1"/>
    <d v="2024-04-27T00:00:00"/>
    <d v="2024-04-27T00:00:00"/>
    <n v="0"/>
    <n v="1"/>
    <n v="0"/>
    <n v="0"/>
    <n v="0"/>
    <n v="1"/>
    <n v="1"/>
    <n v="0"/>
    <n v="0"/>
    <n v="0"/>
    <n v="1"/>
    <s v="ceftriaxone"/>
    <n v="1"/>
    <n v="1"/>
    <n v="1"/>
    <n v="1"/>
    <n v="0"/>
    <n v="0"/>
    <n v="0"/>
    <n v="1"/>
    <d v="2024-05-01T00:00:00"/>
    <n v="0"/>
    <n v="0"/>
    <n v="4"/>
    <x v="1"/>
    <m/>
    <m/>
    <m/>
    <x v="0"/>
    <n v="0"/>
    <n v="1"/>
    <n v="0"/>
    <n v="1"/>
    <n v="0"/>
  </r>
  <r>
    <n v="52"/>
    <s v="00507392"/>
    <d v="2024-03-05T00:00:00"/>
    <d v="2024-03-15T00:00:00"/>
    <n v="10"/>
    <n v="42"/>
    <n v="1"/>
    <n v="2"/>
    <n v="1"/>
    <n v="0"/>
    <n v="0"/>
    <n v="0"/>
    <n v="0"/>
    <n v="0"/>
    <n v="1"/>
    <s v="bicuspid AV and AS"/>
    <s v="Streptococcus gordonii"/>
    <n v="0"/>
    <n v="1"/>
    <n v="0"/>
    <n v="0"/>
    <n v="1"/>
    <n v="2"/>
    <d v="2024-03-05T00:00:00"/>
    <d v="2024-03-06T00:00:00"/>
    <n v="1"/>
    <n v="0"/>
    <n v="0"/>
    <n v="0"/>
    <n v="0"/>
    <n v="0"/>
    <n v="0"/>
    <n v="0"/>
    <n v="0"/>
    <n v="0"/>
    <n v="1"/>
    <s v="ceftriaxone"/>
    <n v="1"/>
    <n v="1"/>
    <n v="1"/>
    <n v="1"/>
    <n v="0"/>
    <n v="0"/>
    <n v="1"/>
    <n v="1"/>
    <d v="2024-03-06T00:00:00"/>
    <n v="1"/>
    <n v="1"/>
    <n v="1"/>
    <x v="0"/>
    <d v="2024-03-08T00:00:00"/>
    <n v="1"/>
    <n v="1"/>
    <x v="0"/>
    <n v="1"/>
    <n v="1"/>
    <n v="0"/>
    <n v="0"/>
    <n v="1"/>
  </r>
  <r>
    <n v="53"/>
    <s v="403211112"/>
    <d v="2024-03-06T00:00:00"/>
    <d v="2024-04-03T00:00:00"/>
    <n v="28"/>
    <n v="37"/>
    <n v="2"/>
    <n v="2"/>
    <n v="0"/>
    <n v="0"/>
    <n v="0"/>
    <n v="0"/>
    <n v="0"/>
    <n v="0"/>
    <n v="0"/>
    <m/>
    <s v="Streptococcus anginosus"/>
    <n v="0"/>
    <n v="1"/>
    <n v="0"/>
    <n v="0"/>
    <n v="0"/>
    <n v="1"/>
    <d v="2024-03-06T00:00:00"/>
    <d v="2024-03-06T00:00:00"/>
    <n v="0"/>
    <n v="1"/>
    <n v="0"/>
    <n v="1"/>
    <n v="0"/>
    <n v="1"/>
    <n v="0"/>
    <n v="0"/>
    <n v="0"/>
    <n v="0"/>
    <n v="1"/>
    <s v="cefazolin levofloxacin"/>
    <n v="1"/>
    <n v="1"/>
    <n v="1"/>
    <n v="1"/>
    <n v="0"/>
    <n v="0"/>
    <n v="1"/>
    <n v="1"/>
    <d v="2024-03-08T00:00:00"/>
    <n v="0"/>
    <n v="0"/>
    <n v="2"/>
    <x v="1"/>
    <m/>
    <m/>
    <m/>
    <x v="0"/>
    <n v="0"/>
    <n v="1"/>
    <n v="0"/>
    <n v="1"/>
    <n v="0"/>
  </r>
  <r>
    <n v="55"/>
    <s v="401040528"/>
    <d v="2024-03-18T00:00:00"/>
    <d v="2024-03-26T00:00:00"/>
    <n v="8"/>
    <n v="74"/>
    <n v="2"/>
    <n v="2"/>
    <n v="0"/>
    <n v="0"/>
    <n v="0"/>
    <n v="0"/>
    <n v="0"/>
    <n v="0"/>
    <n v="1"/>
    <s v="G1DD"/>
    <s v="Streptococcus mitis group"/>
    <n v="0"/>
    <n v="1"/>
    <n v="0"/>
    <n v="0"/>
    <n v="0"/>
    <n v="1"/>
    <d v="2024-03-18T00:00:00"/>
    <d v="2024-03-18T00:00:00"/>
    <n v="0"/>
    <n v="1"/>
    <n v="0"/>
    <n v="0"/>
    <n v="0"/>
    <n v="1"/>
    <n v="0"/>
    <n v="0"/>
    <n v="0"/>
    <n v="1"/>
    <n v="1"/>
    <s v="ceftriaxone"/>
    <n v="1"/>
    <n v="0"/>
    <n v="1"/>
    <n v="0"/>
    <n v="0"/>
    <n v="1"/>
    <n v="1"/>
    <n v="0"/>
    <m/>
    <m/>
    <m/>
    <m/>
    <x v="1"/>
    <m/>
    <m/>
    <m/>
    <x v="0"/>
    <n v="0"/>
    <n v="0"/>
    <n v="0"/>
    <n v="0"/>
    <n v="0"/>
  </r>
  <r>
    <n v="57"/>
    <s v="408312962"/>
    <d v="2024-06-16T00:00:00"/>
    <m/>
    <m/>
    <n v="55"/>
    <n v="2"/>
    <n v="2"/>
    <n v="1"/>
    <n v="0"/>
    <n v="0"/>
    <n v="1"/>
    <n v="0"/>
    <n v="0"/>
    <n v="1"/>
    <s v="HCM"/>
    <s v="Enterococcus faecalis"/>
    <n v="0"/>
    <n v="0"/>
    <n v="1"/>
    <n v="0"/>
    <n v="1"/>
    <n v="4"/>
    <d v="2024-06-26T00:00:00"/>
    <d v="2024-06-29T00:00:00"/>
    <n v="3"/>
    <n v="0"/>
    <n v="0"/>
    <n v="0"/>
    <n v="0"/>
    <n v="0"/>
    <n v="0"/>
    <n v="0"/>
    <n v="0"/>
    <n v="0"/>
    <n v="1"/>
    <s v="ceftriaxone ampicillin"/>
    <n v="1"/>
    <n v="1"/>
    <n v="1"/>
    <n v="1"/>
    <n v="0"/>
    <n v="0"/>
    <n v="1"/>
    <n v="1"/>
    <d v="2024-07-12T00:00:00"/>
    <n v="0"/>
    <n v="1"/>
    <n v="26"/>
    <x v="1"/>
    <m/>
    <m/>
    <m/>
    <x v="0"/>
    <n v="1"/>
    <n v="1"/>
    <n v="1"/>
    <n v="1"/>
    <n v="0"/>
  </r>
  <r>
    <n v="59"/>
    <s v="403318421"/>
    <d v="2024-05-09T00:00:00"/>
    <d v="2024-05-16T00:00:00"/>
    <n v="7"/>
    <n v="77"/>
    <n v="2"/>
    <n v="5"/>
    <n v="0"/>
    <n v="0"/>
    <n v="0"/>
    <n v="0"/>
    <n v="1"/>
    <n v="0"/>
    <n v="1"/>
    <s v="G1DD"/>
    <s v="Vancomycin resistant Enterococcus faecalis"/>
    <n v="0"/>
    <n v="0"/>
    <n v="1"/>
    <n v="0"/>
    <n v="1"/>
    <n v="4"/>
    <d v="2024-05-09T00:00:00"/>
    <d v="2024-05-16T00:00:00"/>
    <n v="7"/>
    <n v="1"/>
    <n v="0"/>
    <n v="0"/>
    <n v="1"/>
    <n v="0"/>
    <n v="1"/>
    <n v="0"/>
    <n v="0"/>
    <n v="0"/>
    <n v="1"/>
    <s v="Daptomycin"/>
    <n v="1"/>
    <n v="0"/>
    <n v="1"/>
    <n v="0"/>
    <n v="0"/>
    <n v="1"/>
    <n v="0"/>
    <n v="1"/>
    <d v="2024-05-13T00:00:00"/>
    <n v="0"/>
    <n v="0"/>
    <n v="4"/>
    <x v="1"/>
    <m/>
    <m/>
    <m/>
    <x v="0"/>
    <n v="0"/>
    <n v="0"/>
    <n v="0"/>
    <n v="1"/>
    <n v="0"/>
  </r>
  <r>
    <n v="60"/>
    <s v="403215607"/>
    <d v="2024-05-13T00:00:00"/>
    <d v="2024-06-01T00:00:00"/>
    <n v="19"/>
    <n v="81"/>
    <n v="1"/>
    <n v="2"/>
    <n v="1"/>
    <n v="0"/>
    <n v="0"/>
    <n v="1"/>
    <n v="0"/>
    <n v="0"/>
    <n v="1"/>
    <s v="HFrEF"/>
    <s v="Enterococcus faecalis"/>
    <n v="0"/>
    <n v="0"/>
    <n v="1"/>
    <n v="0"/>
    <n v="1"/>
    <n v="2"/>
    <d v="2024-05-13T00:00:00"/>
    <d v="2024-05-14T00:00:00"/>
    <n v="1"/>
    <n v="1"/>
    <n v="0"/>
    <n v="0"/>
    <n v="0"/>
    <n v="0"/>
    <n v="1"/>
    <n v="0"/>
    <n v="0"/>
    <n v="0"/>
    <n v="1"/>
    <s v="ceftriaxone ampicillin"/>
    <n v="1"/>
    <n v="1"/>
    <n v="1"/>
    <n v="1"/>
    <n v="0"/>
    <n v="0"/>
    <n v="1"/>
    <n v="1"/>
    <d v="2024-05-17T00:00:00"/>
    <n v="0"/>
    <n v="1"/>
    <n v="4"/>
    <x v="1"/>
    <m/>
    <m/>
    <m/>
    <x v="0"/>
    <n v="0"/>
    <n v="1"/>
    <n v="1"/>
    <n v="0"/>
    <n v="0"/>
  </r>
  <r>
    <n v="61"/>
    <s v="03028979"/>
    <d v="2024-03-30T00:00:00"/>
    <d v="2024-04-05T00:00:00"/>
    <n v="6"/>
    <n v="87"/>
    <n v="2"/>
    <n v="3"/>
    <n v="1"/>
    <n v="0"/>
    <n v="0"/>
    <n v="1"/>
    <n v="0"/>
    <n v="0"/>
    <n v="1"/>
    <s v="G1DD, mod TR"/>
    <s v="Enterococcus faecalis"/>
    <n v="0"/>
    <n v="0"/>
    <n v="1"/>
    <n v="0"/>
    <n v="1"/>
    <n v="3"/>
    <d v="2024-03-31T00:00:00"/>
    <d v="2024-04-02T00:00:00"/>
    <n v="2"/>
    <n v="0"/>
    <n v="0"/>
    <n v="0"/>
    <n v="0"/>
    <n v="0"/>
    <n v="0"/>
    <n v="0"/>
    <n v="0"/>
    <n v="0"/>
    <n v="1"/>
    <s v="piperacillin tazo"/>
    <n v="1"/>
    <n v="0"/>
    <n v="1"/>
    <n v="0"/>
    <n v="0"/>
    <n v="1"/>
    <n v="1"/>
    <n v="1"/>
    <d v="2024-04-01T00:00:00"/>
    <n v="0"/>
    <n v="1"/>
    <n v="2"/>
    <x v="1"/>
    <m/>
    <m/>
    <m/>
    <x v="0"/>
    <n v="0"/>
    <n v="1"/>
    <n v="1"/>
    <n v="0"/>
    <n v="0"/>
  </r>
  <r>
    <n v="62"/>
    <s v="400617522"/>
    <d v="2024-04-16T00:00:00"/>
    <d v="2024-04-21T00:00:00"/>
    <n v="5"/>
    <n v="47"/>
    <n v="1"/>
    <n v="2"/>
    <n v="1"/>
    <n v="1"/>
    <n v="0"/>
    <n v="0"/>
    <n v="0"/>
    <n v="0"/>
    <n v="1"/>
    <s v="sev TR"/>
    <s v="Enterococcus faecalis"/>
    <n v="0"/>
    <n v="0"/>
    <n v="1"/>
    <n v="0"/>
    <n v="1"/>
    <n v="4"/>
    <d v="2024-04-16T00:00:00"/>
    <d v="2024-04-21T00:00:00"/>
    <n v="5"/>
    <n v="1"/>
    <n v="0"/>
    <n v="1"/>
    <n v="0"/>
    <n v="0"/>
    <n v="0"/>
    <n v="0"/>
    <n v="0"/>
    <n v="0"/>
    <n v="1"/>
    <s v="ceftriaxone ampicillin"/>
    <n v="1"/>
    <n v="1"/>
    <n v="1"/>
    <n v="1"/>
    <n v="0"/>
    <n v="0"/>
    <n v="1"/>
    <n v="1"/>
    <d v="2024-04-18T00:00:00"/>
    <n v="1"/>
    <n v="0"/>
    <n v="2"/>
    <x v="1"/>
    <m/>
    <m/>
    <m/>
    <x v="0"/>
    <n v="1"/>
    <n v="1"/>
    <n v="1"/>
    <n v="0"/>
    <n v="0"/>
  </r>
  <r>
    <n v="63"/>
    <s v="00640864"/>
    <d v="2024-04-16T00:00:00"/>
    <d v="2024-05-30T00:00:00"/>
    <n v="44"/>
    <n v="54"/>
    <n v="1"/>
    <n v="2"/>
    <n v="1"/>
    <n v="0"/>
    <n v="0"/>
    <n v="0"/>
    <n v="1"/>
    <n v="0"/>
    <n v="0"/>
    <m/>
    <s v="Enterococcus faecalis"/>
    <n v="0"/>
    <n v="0"/>
    <n v="1"/>
    <n v="0"/>
    <n v="1"/>
    <n v="5"/>
    <d v="2024-04-16T00:00:00"/>
    <d v="2024-04-19T00:00:00"/>
    <n v="3"/>
    <n v="1"/>
    <n v="0"/>
    <n v="0"/>
    <n v="1"/>
    <n v="0"/>
    <n v="0"/>
    <n v="0"/>
    <n v="0"/>
    <n v="0"/>
    <n v="1"/>
    <s v="ceftriaxone ampicillin"/>
    <n v="1"/>
    <n v="1"/>
    <n v="1"/>
    <n v="1"/>
    <n v="0"/>
    <n v="0"/>
    <n v="1"/>
    <n v="1"/>
    <d v="2024-04-19T00:00:00"/>
    <n v="0"/>
    <n v="0"/>
    <n v="3"/>
    <x v="1"/>
    <m/>
    <m/>
    <m/>
    <x v="0"/>
    <n v="0"/>
    <n v="1"/>
    <n v="0"/>
    <n v="1"/>
    <n v="0"/>
  </r>
  <r>
    <n v="66"/>
    <n v="404684974"/>
    <d v="2024-05-21T00:00:00"/>
    <d v="2024-05-31T00:00:00"/>
    <n v="10"/>
    <n v="71"/>
    <n v="2"/>
    <n v="2"/>
    <n v="1"/>
    <n v="0"/>
    <n v="0"/>
    <n v="0"/>
    <n v="1"/>
    <n v="0"/>
    <n v="1"/>
    <s v="mod TR, G1DD"/>
    <s v="Vancomycin resistant Enterococcus faecalis"/>
    <n v="0"/>
    <n v="0"/>
    <n v="1"/>
    <n v="0"/>
    <n v="0"/>
    <n v="1"/>
    <d v="2024-05-21T00:00:00"/>
    <d v="2024-05-21T00:00:00"/>
    <n v="0"/>
    <n v="1"/>
    <n v="0"/>
    <n v="0"/>
    <n v="1"/>
    <n v="0"/>
    <n v="0"/>
    <n v="0"/>
    <n v="0"/>
    <n v="0"/>
    <n v="1"/>
    <s v="Daptomycin"/>
    <n v="1"/>
    <n v="0"/>
    <n v="1"/>
    <n v="0"/>
    <n v="0"/>
    <n v="1"/>
    <n v="1"/>
    <n v="1"/>
    <d v="2024-05-24T00:00:00"/>
    <n v="0"/>
    <n v="0"/>
    <n v="3"/>
    <x v="1"/>
    <m/>
    <m/>
    <m/>
    <x v="0"/>
    <n v="0"/>
    <n v="0"/>
    <n v="0"/>
    <n v="0"/>
    <n v="0"/>
  </r>
  <r>
    <n v="67"/>
    <s v="00640864"/>
    <d v="2024-04-16T00:00:00"/>
    <d v="2024-05-30T00:00:00"/>
    <n v="44"/>
    <n v="54"/>
    <n v="1"/>
    <n v="2"/>
    <n v="1"/>
    <n v="0"/>
    <n v="0"/>
    <n v="0"/>
    <n v="1"/>
    <n v="0"/>
    <n v="0"/>
    <m/>
    <s v="Enterococcus faecalis"/>
    <n v="0"/>
    <n v="0"/>
    <n v="1"/>
    <n v="0"/>
    <n v="1"/>
    <n v="5"/>
    <d v="2024-04-16T00:00:00"/>
    <d v="2024-04-19T00:00:00"/>
    <n v="3"/>
    <n v="1"/>
    <n v="0"/>
    <n v="0"/>
    <n v="1"/>
    <n v="0"/>
    <n v="1"/>
    <n v="0"/>
    <n v="0"/>
    <n v="0"/>
    <n v="1"/>
    <s v="ceftriaxone ampicillin"/>
    <n v="1"/>
    <n v="1"/>
    <n v="1"/>
    <n v="1"/>
    <n v="0"/>
    <n v="0"/>
    <n v="1"/>
    <n v="1"/>
    <d v="2024-04-19T00:00:00"/>
    <n v="0"/>
    <n v="0"/>
    <n v="3"/>
    <x v="1"/>
    <m/>
    <m/>
    <m/>
    <x v="0"/>
    <n v="0"/>
    <n v="1"/>
    <n v="0"/>
    <n v="0"/>
    <n v="0"/>
  </r>
  <r>
    <n v="76"/>
    <s v="400686129"/>
    <d v="2024-06-14T00:00:00"/>
    <d v="2024-06-25T00:00:00"/>
    <n v="11"/>
    <n v="59"/>
    <n v="1"/>
    <n v="3"/>
    <n v="0"/>
    <n v="0"/>
    <n v="0"/>
    <n v="0"/>
    <n v="0"/>
    <n v="0"/>
    <n v="0"/>
    <m/>
    <s v="Staphylococcus epidermidis"/>
    <n v="0"/>
    <n v="0"/>
    <n v="0"/>
    <n v="1"/>
    <n v="1"/>
    <n v="3"/>
    <d v="2024-06-14T00:00:00"/>
    <d v="2024-06-17T00:00:00"/>
    <n v="3"/>
    <n v="1"/>
    <n v="1"/>
    <n v="1"/>
    <n v="0"/>
    <n v="0"/>
    <n v="0"/>
    <n v="0"/>
    <n v="0"/>
    <n v="0"/>
    <n v="1"/>
    <s v="cefazolin"/>
    <n v="1"/>
    <n v="1"/>
    <n v="1"/>
    <n v="1"/>
    <n v="0"/>
    <n v="0"/>
    <n v="1"/>
    <n v="1"/>
    <d v="2024-06-18T00:00:00"/>
    <n v="0"/>
    <n v="0"/>
    <n v="4"/>
    <x v="0"/>
    <d v="2024-06-20T00:00:00"/>
    <n v="0"/>
    <n v="0"/>
    <x v="0"/>
    <n v="0"/>
    <n v="0"/>
    <n v="0"/>
    <n v="0"/>
    <n v="1"/>
  </r>
  <r>
    <n v="85"/>
    <s v="403145632"/>
    <d v="2024-05-07T00:00:00"/>
    <d v="2024-05-24T00:00:00"/>
    <n v="17"/>
    <n v="57"/>
    <n v="1"/>
    <n v="2"/>
    <n v="0"/>
    <n v="0"/>
    <n v="0"/>
    <n v="0"/>
    <n v="0"/>
    <n v="0"/>
    <n v="0"/>
    <m/>
    <s v="Staphylococcus capitis"/>
    <n v="0"/>
    <n v="0"/>
    <n v="0"/>
    <n v="1"/>
    <n v="0"/>
    <n v="1"/>
    <d v="2024-05-07T00:00:00"/>
    <d v="2024-05-07T00:00:00"/>
    <n v="0"/>
    <n v="0"/>
    <n v="0"/>
    <n v="0"/>
    <n v="0"/>
    <n v="0"/>
    <n v="0"/>
    <n v="0"/>
    <n v="0"/>
    <n v="0"/>
    <n v="1"/>
    <s v="ertapenenm"/>
    <n v="1"/>
    <n v="1"/>
    <n v="0"/>
    <n v="0"/>
    <n v="1"/>
    <n v="0"/>
    <n v="0"/>
    <n v="1"/>
    <d v="2024-05-20T00:00:00"/>
    <n v="0"/>
    <n v="0"/>
    <n v="13"/>
    <x v="1"/>
    <m/>
    <m/>
    <m/>
    <x v="0"/>
    <n v="0"/>
    <n v="0"/>
    <n v="0"/>
    <n v="0"/>
    <n v="0"/>
  </r>
  <r>
    <n v="108"/>
    <s v="04414837"/>
    <d v="2024-04-16T00:00:00"/>
    <d v="2024-04-30T00:00:00"/>
    <n v="14"/>
    <n v="78"/>
    <n v="2"/>
    <n v="2"/>
    <n v="1"/>
    <n v="0"/>
    <n v="1"/>
    <n v="0"/>
    <n v="0"/>
    <n v="0"/>
    <n v="1"/>
    <s v="G2DD, s/p TAVR"/>
    <s v="Staphylococcus epidermidis"/>
    <n v="0"/>
    <n v="0"/>
    <n v="0"/>
    <n v="1"/>
    <n v="1"/>
    <n v="4"/>
    <d v="2024-04-16T00:00:00"/>
    <d v="2024-04-22T00:00:00"/>
    <n v="6"/>
    <n v="0"/>
    <n v="0"/>
    <n v="0"/>
    <n v="0"/>
    <n v="0"/>
    <n v="0"/>
    <n v="0"/>
    <n v="0"/>
    <n v="0"/>
    <n v="1"/>
    <s v="vanc"/>
    <n v="1"/>
    <n v="1"/>
    <n v="1"/>
    <n v="1"/>
    <n v="0"/>
    <n v="0"/>
    <n v="1"/>
    <n v="1"/>
    <d v="2024-04-17T00:00:00"/>
    <n v="0"/>
    <n v="1"/>
    <n v="1"/>
    <x v="0"/>
    <d v="2024-04-22T00:00:00"/>
    <n v="1"/>
    <n v="1"/>
    <x v="0"/>
    <n v="1"/>
    <n v="1"/>
    <n v="1"/>
    <n v="0"/>
    <n v="1"/>
  </r>
  <r>
    <n v="132"/>
    <s v="04037453"/>
    <d v="2024-03-12T00:00:00"/>
    <d v="2024-04-19T00:00:00"/>
    <n v="38"/>
    <n v="41"/>
    <n v="1"/>
    <n v="3"/>
    <n v="1"/>
    <n v="0"/>
    <n v="0"/>
    <n v="0"/>
    <n v="1"/>
    <n v="0"/>
    <n v="0"/>
    <m/>
    <s v="Staphylococcus epidermidis"/>
    <n v="0"/>
    <n v="0"/>
    <n v="0"/>
    <n v="1"/>
    <n v="0"/>
    <n v="1"/>
    <d v="2024-03-19T00:00:00"/>
    <d v="2024-03-19T00:00:00"/>
    <n v="0"/>
    <n v="1"/>
    <n v="0"/>
    <n v="0"/>
    <n v="1"/>
    <n v="0"/>
    <n v="0"/>
    <n v="0"/>
    <n v="0"/>
    <n v="0"/>
    <n v="1"/>
    <s v="vanc"/>
    <n v="1"/>
    <n v="1"/>
    <n v="1"/>
    <n v="1"/>
    <n v="0"/>
    <n v="0"/>
    <n v="1"/>
    <n v="1"/>
    <d v="2024-03-21T00:00:00"/>
    <n v="0"/>
    <n v="0"/>
    <n v="9"/>
    <x v="1"/>
    <m/>
    <m/>
    <m/>
    <x v="0"/>
    <n v="0"/>
    <n v="0"/>
    <n v="0"/>
    <n v="0"/>
    <n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
  <r>
    <n v="1"/>
    <s v="405204614"/>
    <d v="2024-05-30T00:00:00"/>
    <d v="2024-06-19T00:00:00"/>
    <n v="20"/>
    <n v="85"/>
    <n v="1"/>
    <n v="2"/>
    <n v="1"/>
    <n v="0"/>
    <n v="1"/>
    <n v="1"/>
    <n v="0"/>
    <n v="0"/>
    <n v="1"/>
    <s v="mod TR, MR, AS w/ TAVR, CABG 2000"/>
    <s v="Methicillin-Resistant Staphylococcus aureus"/>
    <n v="1"/>
    <n v="0"/>
    <n v="0"/>
    <n v="0"/>
    <n v="1"/>
    <n v="11"/>
    <d v="2024-05-30T00:00:00"/>
    <d v="2024-06-12T00:00:00"/>
    <n v="13"/>
    <n v="0"/>
    <n v="0"/>
    <n v="0"/>
    <n v="0"/>
    <n v="0"/>
    <n v="0"/>
    <n v="0"/>
    <n v="0"/>
    <n v="0"/>
    <n v="1"/>
    <s v="Daptomycin"/>
    <n v="1"/>
    <n v="0"/>
    <n v="1"/>
    <n v="0"/>
    <n v="0"/>
    <n v="1"/>
    <n v="1"/>
    <n v="1"/>
    <d v="2024-05-31T00:00:00"/>
    <n v="0"/>
    <n v="0"/>
    <n v="1"/>
    <x v="0"/>
    <d v="2024-06-03T00:00:00"/>
    <x v="0"/>
    <n v="0"/>
    <x v="0"/>
    <n v="0"/>
    <n v="1"/>
    <n v="1"/>
    <n v="0"/>
    <n v="1"/>
  </r>
  <r>
    <n v="2"/>
    <s v="403501259"/>
    <d v="2024-06-03T00:00:00"/>
    <m/>
    <m/>
    <n v="78"/>
    <n v="1"/>
    <n v="3"/>
    <n v="0"/>
    <n v="0"/>
    <n v="0"/>
    <n v="0"/>
    <n v="0"/>
    <n v="0"/>
    <n v="0"/>
    <m/>
    <s v="Methicillin-Resistant Staphylococcus aureus"/>
    <n v="1"/>
    <n v="0"/>
    <n v="0"/>
    <n v="0"/>
    <n v="1"/>
    <n v="6"/>
    <d v="2024-06-03T00:00:00"/>
    <d v="2024-06-07T00:00:00"/>
    <n v="4"/>
    <n v="1"/>
    <n v="1"/>
    <n v="0"/>
    <n v="0"/>
    <n v="0"/>
    <n v="0"/>
    <n v="0"/>
    <n v="0"/>
    <n v="0"/>
    <n v="1"/>
    <s v="Daptomycin"/>
    <n v="1"/>
    <n v="1"/>
    <n v="1"/>
    <n v="1"/>
    <n v="0"/>
    <n v="0"/>
    <n v="1"/>
    <n v="1"/>
    <d v="2024-06-05T00:00:00"/>
    <n v="0"/>
    <n v="0"/>
    <n v="2"/>
    <x v="1"/>
    <m/>
    <x v="1"/>
    <m/>
    <x v="0"/>
    <n v="0"/>
    <n v="1"/>
    <n v="0"/>
    <n v="1"/>
    <n v="0"/>
  </r>
  <r>
    <n v="7"/>
    <s v="404897779"/>
    <d v="2024-06-10T00:00:00"/>
    <d v="2024-07-12T00:00:00"/>
    <n v="32"/>
    <n v="45"/>
    <n v="2"/>
    <n v="2"/>
    <n v="0"/>
    <n v="0"/>
    <n v="0"/>
    <n v="0"/>
    <n v="0"/>
    <n v="0"/>
    <n v="0"/>
    <m/>
    <s v="Staphylococcus aureus"/>
    <n v="1"/>
    <n v="0"/>
    <n v="0"/>
    <n v="0"/>
    <n v="0"/>
    <n v="1"/>
    <d v="2024-06-12T00:00:00"/>
    <d v="2024-06-12T00:00:00"/>
    <n v="0"/>
    <n v="0"/>
    <n v="0"/>
    <n v="0"/>
    <n v="0"/>
    <n v="0"/>
    <n v="0"/>
    <n v="0"/>
    <n v="0"/>
    <n v="0"/>
    <n v="1"/>
    <s v="cefazolin"/>
    <n v="1"/>
    <n v="0"/>
    <n v="1"/>
    <n v="0"/>
    <n v="0"/>
    <n v="1"/>
    <n v="1"/>
    <n v="1"/>
    <d v="2024-06-14T00:00:00"/>
    <n v="0"/>
    <n v="0"/>
    <n v="4"/>
    <x v="1"/>
    <m/>
    <x v="1"/>
    <m/>
    <x v="0"/>
    <n v="0"/>
    <n v="0"/>
    <n v="0"/>
    <n v="1"/>
    <n v="0"/>
  </r>
  <r>
    <n v="8"/>
    <s v="405202760"/>
    <d v="2024-06-13T00:00:00"/>
    <d v="2024-06-23T00:00:00"/>
    <n v="10"/>
    <n v="60"/>
    <n v="1"/>
    <n v="3"/>
    <n v="1"/>
    <n v="0"/>
    <n v="0"/>
    <n v="0"/>
    <n v="0"/>
    <n v="0"/>
    <n v="1"/>
    <s v="G2DD"/>
    <s v="Staphylococcus aureus"/>
    <n v="1"/>
    <n v="0"/>
    <n v="0"/>
    <n v="0"/>
    <n v="1"/>
    <n v="2"/>
    <d v="2024-06-13T00:00:00"/>
    <d v="2024-06-14T00:00:00"/>
    <n v="1"/>
    <n v="1"/>
    <n v="0"/>
    <n v="0"/>
    <n v="0"/>
    <n v="1"/>
    <n v="0"/>
    <n v="0"/>
    <n v="0"/>
    <n v="0"/>
    <n v="1"/>
    <s v="cefazolin"/>
    <n v="1"/>
    <n v="1"/>
    <n v="1"/>
    <n v="1"/>
    <n v="0"/>
    <n v="0"/>
    <n v="1"/>
    <n v="1"/>
    <d v="2024-06-14T00:00:00"/>
    <n v="0"/>
    <n v="0"/>
    <n v="1"/>
    <x v="1"/>
    <m/>
    <x v="1"/>
    <m/>
    <x v="0"/>
    <n v="0"/>
    <n v="1"/>
    <n v="0"/>
    <n v="0"/>
    <n v="0"/>
  </r>
  <r>
    <n v="9"/>
    <s v="400903585"/>
    <d v="2024-06-15T00:00:00"/>
    <d v="2024-06-27T00:00:00"/>
    <n v="12"/>
    <n v="64"/>
    <n v="2"/>
    <n v="2"/>
    <n v="1"/>
    <n v="0"/>
    <n v="0"/>
    <n v="0"/>
    <n v="1"/>
    <n v="0"/>
    <n v="0"/>
    <m/>
    <s v="Staphylococcus aureus"/>
    <n v="1"/>
    <n v="0"/>
    <n v="0"/>
    <n v="0"/>
    <n v="1"/>
    <n v="2"/>
    <d v="2024-06-20T00:00:00"/>
    <d v="2024-06-21T00:00:00"/>
    <n v="1"/>
    <n v="1"/>
    <n v="0"/>
    <n v="1"/>
    <n v="0"/>
    <n v="0"/>
    <n v="0"/>
    <n v="0"/>
    <n v="0"/>
    <n v="0"/>
    <n v="1"/>
    <s v="cefazolin"/>
    <n v="1"/>
    <n v="1"/>
    <n v="1"/>
    <n v="1"/>
    <n v="0"/>
    <n v="0"/>
    <n v="1"/>
    <n v="1"/>
    <d v="2024-06-24T00:00:00"/>
    <n v="0"/>
    <n v="0"/>
    <n v="9"/>
    <x v="1"/>
    <m/>
    <x v="1"/>
    <m/>
    <x v="0"/>
    <n v="0"/>
    <n v="1"/>
    <n v="0"/>
    <n v="0"/>
    <n v="0"/>
  </r>
  <r>
    <n v="10"/>
    <s v="404330489"/>
    <d v="2024-06-25T00:00:00"/>
    <d v="2024-07-02T00:00:00"/>
    <n v="7"/>
    <n v="46"/>
    <n v="1"/>
    <n v="2"/>
    <n v="1"/>
    <n v="1"/>
    <n v="0"/>
    <n v="0"/>
    <n v="1"/>
    <n v="1"/>
    <n v="1"/>
    <s v="1/4/24 veg seen, sev TR, "/>
    <s v="Methicillin-Resistant Staphylococcus aureus"/>
    <n v="1"/>
    <n v="0"/>
    <n v="0"/>
    <n v="0"/>
    <n v="1"/>
    <n v="5"/>
    <d v="2024-06-25T00:00:00"/>
    <d v="2024-06-30T00:00:00"/>
    <n v="5"/>
    <n v="1"/>
    <n v="1"/>
    <n v="1"/>
    <n v="0"/>
    <n v="1"/>
    <n v="0"/>
    <n v="0"/>
    <n v="0"/>
    <n v="0"/>
    <n v="1"/>
    <s v="Daptomycin"/>
    <n v="1"/>
    <n v="1"/>
    <n v="1"/>
    <n v="1"/>
    <n v="0"/>
    <n v="0"/>
    <n v="1"/>
    <n v="1"/>
    <d v="2024-06-25T00:00:00"/>
    <n v="1"/>
    <n v="1"/>
    <n v="0"/>
    <x v="1"/>
    <m/>
    <x v="1"/>
    <m/>
    <x v="0"/>
    <n v="1"/>
    <n v="1"/>
    <n v="1"/>
    <n v="0"/>
    <n v="0"/>
  </r>
  <r>
    <n v="12"/>
    <s v="405482656"/>
    <d v="2024-05-01T00:00:00"/>
    <d v="2024-05-11T00:00:00"/>
    <n v="10"/>
    <n v="70"/>
    <n v="1"/>
    <n v="5"/>
    <n v="1"/>
    <n v="0"/>
    <n v="0"/>
    <n v="0"/>
    <n v="1"/>
    <n v="0"/>
    <n v="1"/>
    <s v="G1DD"/>
    <s v="Staphylococcus aureus"/>
    <n v="1"/>
    <n v="0"/>
    <n v="0"/>
    <n v="0"/>
    <n v="1"/>
    <n v="2"/>
    <d v="2024-05-01T00:00:00"/>
    <d v="2024-05-03T00:00:00"/>
    <n v="2"/>
    <n v="1"/>
    <n v="0"/>
    <n v="0"/>
    <n v="1"/>
    <n v="0"/>
    <n v="0"/>
    <n v="0"/>
    <n v="0"/>
    <n v="0"/>
    <n v="1"/>
    <s v="cefazolin"/>
    <n v="1"/>
    <n v="1"/>
    <n v="1"/>
    <n v="1"/>
    <n v="0"/>
    <n v="0"/>
    <n v="1"/>
    <n v="1"/>
    <d v="2024-05-07T00:00:00"/>
    <n v="0"/>
    <n v="1"/>
    <n v="6"/>
    <x v="1"/>
    <m/>
    <x v="1"/>
    <m/>
    <x v="0"/>
    <n v="0"/>
    <n v="1"/>
    <n v="0"/>
    <n v="0"/>
    <n v="0"/>
  </r>
  <r>
    <n v="13"/>
    <s v="403677980"/>
    <d v="2024-05-02T00:00:00"/>
    <d v="2024-05-24T00:00:00"/>
    <n v="22"/>
    <n v="91"/>
    <n v="2"/>
    <n v="2"/>
    <n v="1"/>
    <n v="0"/>
    <n v="0"/>
    <n v="0"/>
    <n v="0"/>
    <n v="0"/>
    <n v="1"/>
    <s v="HFrEF"/>
    <s v="Staphylococcus aureus"/>
    <n v="1"/>
    <n v="0"/>
    <n v="0"/>
    <n v="0"/>
    <n v="1"/>
    <n v="2"/>
    <d v="2024-05-02T00:00:00"/>
    <d v="2024-05-03T00:00:00"/>
    <n v="1"/>
    <n v="1"/>
    <n v="0"/>
    <n v="0"/>
    <n v="0"/>
    <n v="1"/>
    <n v="0"/>
    <n v="0"/>
    <n v="0"/>
    <n v="0"/>
    <n v="1"/>
    <s v="cefazolin"/>
    <n v="1"/>
    <n v="1"/>
    <n v="1"/>
    <n v="1"/>
    <n v="0"/>
    <n v="0"/>
    <n v="1"/>
    <n v="1"/>
    <d v="2024-05-06T00:00:00"/>
    <n v="0"/>
    <n v="0"/>
    <n v="4"/>
    <x v="1"/>
    <m/>
    <x v="1"/>
    <m/>
    <x v="0"/>
    <n v="0"/>
    <n v="1"/>
    <n v="0"/>
    <n v="0"/>
    <n v="0"/>
  </r>
  <r>
    <n v="15"/>
    <s v="00812900"/>
    <d v="2024-05-08T00:00:00"/>
    <d v="2024-05-20T00:00:00"/>
    <n v="12"/>
    <n v="77"/>
    <n v="1"/>
    <n v="2"/>
    <n v="1"/>
    <n v="0"/>
    <n v="0"/>
    <n v="0"/>
    <n v="0"/>
    <n v="0"/>
    <n v="1"/>
    <s v="at least mod TR'"/>
    <s v="Staphylococcus aureus"/>
    <n v="1"/>
    <n v="0"/>
    <n v="0"/>
    <n v="0"/>
    <n v="0"/>
    <n v="1"/>
    <d v="2024-05-08T00:00:00"/>
    <d v="2024-05-08T00:00:00"/>
    <n v="0"/>
    <n v="1"/>
    <n v="0"/>
    <n v="0"/>
    <n v="0"/>
    <n v="1"/>
    <n v="0"/>
    <n v="0"/>
    <n v="1"/>
    <n v="0"/>
    <n v="1"/>
    <s v="cefazolin"/>
    <n v="1"/>
    <n v="1"/>
    <n v="1"/>
    <n v="1"/>
    <n v="0"/>
    <n v="0"/>
    <n v="1"/>
    <n v="1"/>
    <d v="2024-05-09T00:00:00"/>
    <n v="0"/>
    <n v="0"/>
    <n v="1"/>
    <x v="0"/>
    <d v="2024-05-13T00:00:00"/>
    <x v="0"/>
    <n v="0"/>
    <x v="0"/>
    <n v="0"/>
    <n v="1"/>
    <n v="0"/>
    <n v="0"/>
    <n v="1"/>
  </r>
  <r>
    <n v="16"/>
    <s v="403662645"/>
    <d v="2024-05-08T00:00:00"/>
    <d v="2024-05-23T00:00:00"/>
    <n v="15"/>
    <n v="83"/>
    <n v="2"/>
    <n v="2"/>
    <n v="1"/>
    <n v="0"/>
    <n v="0"/>
    <n v="0"/>
    <n v="0"/>
    <n v="0"/>
    <n v="1"/>
    <s v="PFO, sev biatrial enlarge, G1DD, mod LVH"/>
    <s v="Staphylococcus aureus"/>
    <n v="1"/>
    <n v="0"/>
    <n v="0"/>
    <n v="0"/>
    <n v="1"/>
    <n v="3"/>
    <d v="2024-05-17T00:00:00"/>
    <d v="2024-05-19T00:00:00"/>
    <n v="2"/>
    <n v="0"/>
    <n v="0"/>
    <n v="0"/>
    <n v="0"/>
    <n v="0"/>
    <n v="0"/>
    <n v="0"/>
    <n v="0"/>
    <n v="0"/>
    <n v="1"/>
    <s v="nafcillin"/>
    <n v="1"/>
    <n v="1"/>
    <n v="1"/>
    <n v="1"/>
    <n v="0"/>
    <n v="0"/>
    <n v="1"/>
    <n v="1"/>
    <d v="2024-05-20T00:00:00"/>
    <n v="0"/>
    <n v="0"/>
    <n v="12"/>
    <x v="1"/>
    <m/>
    <x v="1"/>
    <m/>
    <x v="0"/>
    <n v="0"/>
    <n v="1"/>
    <n v="0"/>
    <n v="1"/>
    <n v="0"/>
  </r>
  <r>
    <n v="17"/>
    <s v="88273987"/>
    <d v="2024-05-26T00:00:00"/>
    <d v="2024-06-15T00:00:00"/>
    <n v="20"/>
    <n v="59"/>
    <n v="1"/>
    <n v="3"/>
    <n v="1"/>
    <n v="0"/>
    <n v="0"/>
    <n v="0"/>
    <n v="0"/>
    <n v="0"/>
    <n v="1"/>
    <s v="G1DD, mod mitral annular calc"/>
    <s v="Staphylococcus aureus"/>
    <n v="1"/>
    <n v="0"/>
    <n v="0"/>
    <n v="0"/>
    <n v="1"/>
    <n v="2"/>
    <d v="2024-05-28T00:00:00"/>
    <d v="2024-05-29T00:00:00"/>
    <n v="1"/>
    <n v="1"/>
    <n v="0"/>
    <n v="1"/>
    <n v="0"/>
    <n v="0"/>
    <n v="0"/>
    <n v="0"/>
    <n v="0"/>
    <n v="0"/>
    <n v="1"/>
    <s v="cefazolin"/>
    <n v="1"/>
    <n v="1"/>
    <n v="1"/>
    <n v="1"/>
    <n v="0"/>
    <n v="0"/>
    <n v="1"/>
    <n v="1"/>
    <d v="2024-05-30T00:00:00"/>
    <n v="1"/>
    <n v="0"/>
    <n v="4"/>
    <x v="1"/>
    <m/>
    <x v="1"/>
    <m/>
    <x v="0"/>
    <n v="1"/>
    <n v="1"/>
    <n v="0"/>
    <n v="0"/>
    <n v="0"/>
  </r>
  <r>
    <n v="18"/>
    <s v="405244917"/>
    <d v="2024-04-03T00:00:00"/>
    <d v="2024-04-13T00:00:00"/>
    <n v="10"/>
    <n v="51"/>
    <n v="1"/>
    <n v="3"/>
    <n v="0"/>
    <n v="0"/>
    <n v="0"/>
    <n v="0"/>
    <n v="0"/>
    <n v="0"/>
    <n v="0"/>
    <m/>
    <s v="Staphylococcus aureus"/>
    <n v="1"/>
    <n v="0"/>
    <n v="0"/>
    <n v="0"/>
    <n v="1"/>
    <n v="3"/>
    <d v="2024-04-03T00:00:00"/>
    <d v="2024-04-06T00:00:00"/>
    <n v="3"/>
    <n v="1"/>
    <n v="1"/>
    <n v="0"/>
    <n v="0"/>
    <n v="0"/>
    <n v="0"/>
    <n v="0"/>
    <n v="0"/>
    <n v="0"/>
    <n v="1"/>
    <s v="cefazolin"/>
    <n v="1"/>
    <n v="1"/>
    <n v="1"/>
    <n v="1"/>
    <n v="0"/>
    <n v="0"/>
    <n v="1"/>
    <n v="1"/>
    <d v="2024-04-05T00:00:00"/>
    <n v="0"/>
    <n v="0"/>
    <n v="2"/>
    <x v="0"/>
    <d v="2024-04-09T00:00:00"/>
    <x v="0"/>
    <n v="0"/>
    <x v="0"/>
    <n v="0"/>
    <n v="1"/>
    <n v="0"/>
    <n v="0"/>
    <n v="1"/>
  </r>
  <r>
    <n v="19"/>
    <s v="403126637"/>
    <d v="2024-04-11T00:00:00"/>
    <d v="2024-04-16T00:00:00"/>
    <n v="5"/>
    <n v="65"/>
    <n v="2"/>
    <n v="2"/>
    <n v="1"/>
    <n v="0"/>
    <n v="0"/>
    <n v="0"/>
    <n v="0"/>
    <n v="0"/>
    <n v="1"/>
    <s v="thickened AV leaf"/>
    <s v="Methicillin-Resistant Staphylococcus aureus"/>
    <n v="1"/>
    <n v="0"/>
    <n v="0"/>
    <n v="0"/>
    <n v="1"/>
    <n v="3"/>
    <d v="2024-04-11T00:00:00"/>
    <d v="2024-04-12T00:00:00"/>
    <n v="1"/>
    <n v="0"/>
    <n v="0"/>
    <n v="0"/>
    <n v="0"/>
    <n v="0"/>
    <n v="0"/>
    <n v="0"/>
    <n v="0"/>
    <n v="1"/>
    <n v="1"/>
    <s v="Daptomycin"/>
    <n v="1"/>
    <n v="0"/>
    <n v="1"/>
    <n v="0"/>
    <n v="0"/>
    <n v="1"/>
    <n v="1"/>
    <n v="1"/>
    <d v="2024-04-12T00:00:00"/>
    <n v="0"/>
    <n v="1"/>
    <n v="1"/>
    <x v="1"/>
    <m/>
    <x v="1"/>
    <m/>
    <x v="0"/>
    <n v="0"/>
    <n v="1"/>
    <n v="0"/>
    <n v="0"/>
    <n v="0"/>
  </r>
  <r>
    <n v="20"/>
    <s v="03844744"/>
    <d v="2024-04-10T00:00:00"/>
    <d v="2024-04-19T00:00:00"/>
    <n v="9"/>
    <n v="85"/>
    <n v="1"/>
    <n v="2"/>
    <n v="0"/>
    <n v="0"/>
    <n v="0"/>
    <n v="0"/>
    <n v="0"/>
    <n v="0"/>
    <n v="0"/>
    <m/>
    <s v="Staphylococcus aureus"/>
    <n v="1"/>
    <n v="0"/>
    <n v="0"/>
    <n v="0"/>
    <n v="1"/>
    <n v="2"/>
    <d v="2024-04-14T00:00:00"/>
    <d v="2024-04-14T00:00:00"/>
    <n v="0"/>
    <n v="0"/>
    <n v="0"/>
    <n v="0"/>
    <n v="0"/>
    <n v="0"/>
    <n v="0"/>
    <n v="0"/>
    <n v="0"/>
    <n v="0"/>
    <n v="1"/>
    <s v="cefazolin"/>
    <n v="1"/>
    <n v="1"/>
    <n v="1"/>
    <n v="1"/>
    <n v="0"/>
    <n v="0"/>
    <n v="1"/>
    <n v="1"/>
    <d v="2024-04-18T00:00:00"/>
    <n v="0"/>
    <n v="0"/>
    <n v="8"/>
    <x v="1"/>
    <m/>
    <x v="1"/>
    <m/>
    <x v="0"/>
    <n v="0"/>
    <n v="1"/>
    <n v="0"/>
    <n v="0"/>
    <n v="0"/>
  </r>
  <r>
    <n v="23"/>
    <s v="403916377"/>
    <d v="2024-04-19T00:00:00"/>
    <d v="2024-06-04T00:00:00"/>
    <n v="46"/>
    <n v="46"/>
    <n v="2"/>
    <n v="2"/>
    <n v="1"/>
    <n v="1"/>
    <n v="0"/>
    <n v="0"/>
    <n v="1"/>
    <n v="0"/>
    <n v="0"/>
    <m/>
    <s v="Methicillin-Resistant Staphylococcus aureus"/>
    <n v="1"/>
    <n v="0"/>
    <n v="0"/>
    <n v="0"/>
    <n v="1"/>
    <n v="3"/>
    <d v="2024-04-19T00:00:00"/>
    <d v="2024-04-22T00:00:00"/>
    <n v="3"/>
    <n v="1"/>
    <n v="0"/>
    <n v="0"/>
    <n v="1"/>
    <n v="0"/>
    <n v="0"/>
    <n v="0"/>
    <n v="0"/>
    <n v="0"/>
    <n v="1"/>
    <s v="vanc"/>
    <n v="1"/>
    <n v="0"/>
    <n v="1"/>
    <n v="0"/>
    <n v="0"/>
    <n v="1"/>
    <n v="1"/>
    <n v="1"/>
    <d v="2024-04-24T00:00:00"/>
    <n v="0"/>
    <n v="0"/>
    <n v="5"/>
    <x v="0"/>
    <d v="2024-04-26T00:00:00"/>
    <x v="0"/>
    <n v="0"/>
    <x v="0"/>
    <n v="0"/>
    <n v="1"/>
    <n v="1"/>
    <n v="0"/>
    <n v="1"/>
  </r>
  <r>
    <n v="24"/>
    <s v="403153971"/>
    <d v="2024-04-20T00:00:00"/>
    <d v="2024-04-30T00:00:00"/>
    <n v="10"/>
    <n v="87"/>
    <n v="2"/>
    <n v="2"/>
    <n v="1"/>
    <n v="0"/>
    <n v="0"/>
    <n v="0"/>
    <n v="0"/>
    <n v="0"/>
    <n v="1"/>
    <s v="mod MS, G1DD"/>
    <s v="Staphylococcus aureus"/>
    <n v="1"/>
    <n v="0"/>
    <n v="0"/>
    <n v="0"/>
    <n v="1"/>
    <n v="2"/>
    <d v="2024-04-20T00:00:00"/>
    <d v="2024-04-21T00:00:00"/>
    <n v="1"/>
    <n v="0"/>
    <n v="0"/>
    <n v="0"/>
    <n v="0"/>
    <n v="0"/>
    <n v="0"/>
    <n v="0"/>
    <n v="0"/>
    <n v="0"/>
    <n v="1"/>
    <s v="cefazolin"/>
    <n v="1"/>
    <n v="1"/>
    <n v="1"/>
    <n v="1"/>
    <n v="0"/>
    <n v="0"/>
    <n v="1"/>
    <n v="1"/>
    <d v="2024-04-24T00:00:00"/>
    <n v="0"/>
    <n v="0"/>
    <n v="4"/>
    <x v="0"/>
    <d v="2024-04-29T00:00:00"/>
    <x v="0"/>
    <n v="0"/>
    <x v="1"/>
    <n v="0"/>
    <n v="1"/>
    <n v="0"/>
    <n v="0"/>
    <n v="1"/>
  </r>
  <r>
    <n v="26"/>
    <s v="408299364"/>
    <d v="2024-04-24T00:00:00"/>
    <d v="2024-05-12T00:00:00"/>
    <n v="18"/>
    <n v="59"/>
    <n v="2"/>
    <n v="2"/>
    <n v="1"/>
    <n v="0"/>
    <n v="0"/>
    <n v="0"/>
    <n v="1"/>
    <n v="0"/>
    <n v="1"/>
    <s v="G1DD"/>
    <s v="Staphylococcus aureus"/>
    <n v="1"/>
    <n v="0"/>
    <n v="0"/>
    <n v="0"/>
    <n v="1"/>
    <n v="3"/>
    <d v="2024-04-24T00:00:00"/>
    <d v="2024-04-27T00:00:00"/>
    <n v="3"/>
    <n v="1"/>
    <n v="0"/>
    <n v="0"/>
    <n v="1"/>
    <n v="0"/>
    <n v="0"/>
    <n v="0"/>
    <n v="0"/>
    <n v="0"/>
    <n v="1"/>
    <s v="cefazolin"/>
    <n v="1"/>
    <n v="1"/>
    <n v="1"/>
    <n v="1"/>
    <n v="0"/>
    <n v="0"/>
    <n v="1"/>
    <n v="1"/>
    <d v="2024-05-03T00:00:00"/>
    <n v="1"/>
    <n v="0"/>
    <n v="9"/>
    <x v="1"/>
    <m/>
    <x v="1"/>
    <m/>
    <x v="0"/>
    <n v="1"/>
    <n v="1"/>
    <n v="0"/>
    <n v="1"/>
    <n v="0"/>
  </r>
  <r>
    <n v="27"/>
    <s v="03093395"/>
    <d v="2024-04-21T00:00:00"/>
    <d v="2024-04-30T00:00:00"/>
    <n v="9"/>
    <n v="72"/>
    <n v="1"/>
    <n v="2"/>
    <n v="1"/>
    <n v="0"/>
    <n v="0"/>
    <n v="0"/>
    <n v="0"/>
    <n v="0"/>
    <n v="1"/>
    <s v="anterolat hypokinesis, apical kinesis, HFmrEF"/>
    <s v="Staphylococcus aureus"/>
    <n v="1"/>
    <n v="0"/>
    <n v="0"/>
    <n v="0"/>
    <n v="1"/>
    <n v="2"/>
    <d v="2024-04-25T00:00:00"/>
    <d v="2024-04-27T00:00:00"/>
    <n v="2"/>
    <n v="1"/>
    <n v="1"/>
    <n v="0"/>
    <n v="0"/>
    <n v="0"/>
    <n v="0"/>
    <n v="0"/>
    <n v="0"/>
    <n v="1"/>
    <n v="1"/>
    <s v="cefazolin"/>
    <n v="1"/>
    <n v="1"/>
    <n v="1"/>
    <n v="1"/>
    <n v="0"/>
    <n v="0"/>
    <n v="1"/>
    <n v="1"/>
    <d v="2024-04-26T00:00:00"/>
    <n v="0"/>
    <n v="0"/>
    <n v="5"/>
    <x v="1"/>
    <m/>
    <x v="1"/>
    <m/>
    <x v="0"/>
    <n v="0"/>
    <n v="1"/>
    <n v="0"/>
    <n v="0"/>
    <n v="0"/>
  </r>
  <r>
    <n v="28"/>
    <n v="404684974"/>
    <d v="2024-04-24T00:00:00"/>
    <d v="2024-05-10T00:00:00"/>
    <n v="16"/>
    <n v="71"/>
    <n v="2"/>
    <n v="2"/>
    <n v="1"/>
    <n v="0"/>
    <n v="0"/>
    <n v="0"/>
    <n v="0"/>
    <n v="0"/>
    <n v="1"/>
    <s v="mod TR, G1DD"/>
    <s v="Staphylococcus aureus"/>
    <n v="1"/>
    <n v="0"/>
    <n v="0"/>
    <n v="0"/>
    <n v="1"/>
    <n v="2"/>
    <d v="2024-04-27T00:00:00"/>
    <d v="2024-04-28T00:00:00"/>
    <n v="1"/>
    <n v="1"/>
    <n v="1"/>
    <n v="0"/>
    <n v="0"/>
    <n v="1"/>
    <n v="0"/>
    <n v="0"/>
    <n v="0"/>
    <n v="1"/>
    <n v="1"/>
    <s v="nafcillin"/>
    <n v="1"/>
    <n v="1"/>
    <n v="1"/>
    <n v="1"/>
    <n v="0"/>
    <n v="0"/>
    <n v="1"/>
    <n v="1"/>
    <d v="2024-05-02T00:00:00"/>
    <n v="0"/>
    <n v="0"/>
    <n v="8"/>
    <x v="1"/>
    <m/>
    <x v="1"/>
    <m/>
    <x v="0"/>
    <n v="0"/>
    <n v="1"/>
    <n v="0"/>
    <n v="0"/>
    <n v="0"/>
  </r>
  <r>
    <n v="32"/>
    <s v="405216215"/>
    <d v="2024-03-04T00:00:00"/>
    <d v="2024-03-27T00:00:00"/>
    <n v="23"/>
    <n v="79"/>
    <n v="2"/>
    <n v="2"/>
    <n v="1"/>
    <n v="0"/>
    <n v="0"/>
    <n v="0"/>
    <n v="0"/>
    <n v="0"/>
    <n v="1"/>
    <s v="G3DD, mod RV dilation"/>
    <s v="Methicillin-Resistant Staphylococcus aureus"/>
    <n v="1"/>
    <n v="0"/>
    <n v="0"/>
    <n v="0"/>
    <n v="1"/>
    <n v="5"/>
    <d v="2024-03-04T00:00:00"/>
    <d v="2024-03-08T00:00:00"/>
    <n v="4"/>
    <n v="0"/>
    <n v="0"/>
    <n v="0"/>
    <n v="0"/>
    <n v="0"/>
    <n v="0"/>
    <n v="0"/>
    <n v="0"/>
    <n v="0"/>
    <n v="1"/>
    <s v="Daptomycin"/>
    <n v="1"/>
    <n v="1"/>
    <n v="1"/>
    <n v="1"/>
    <n v="0"/>
    <n v="0"/>
    <n v="1"/>
    <n v="1"/>
    <d v="2024-03-06T00:00:00"/>
    <n v="0"/>
    <n v="0"/>
    <n v="2"/>
    <x v="0"/>
    <d v="2024-03-13T00:00:00"/>
    <x v="0"/>
    <n v="0"/>
    <x v="0"/>
    <n v="0"/>
    <n v="1"/>
    <n v="0"/>
    <n v="0"/>
    <n v="1"/>
  </r>
  <r>
    <n v="33"/>
    <s v="406917678"/>
    <d v="2024-03-05T00:00:00"/>
    <d v="2024-04-01T00:00:00"/>
    <n v="27"/>
    <n v="77"/>
    <n v="2"/>
    <n v="3"/>
    <n v="1"/>
    <n v="0"/>
    <n v="0"/>
    <n v="1"/>
    <n v="0"/>
    <n v="0"/>
    <n v="1"/>
    <s v="sev biatrial enlarge, mod TR"/>
    <s v="Staphylococcus aureus"/>
    <n v="1"/>
    <n v="0"/>
    <n v="0"/>
    <n v="0"/>
    <n v="1"/>
    <n v="3"/>
    <d v="2024-03-13T00:00:00"/>
    <d v="2024-03-15T00:00:00"/>
    <n v="2"/>
    <n v="0"/>
    <n v="0"/>
    <n v="0"/>
    <n v="0"/>
    <n v="0"/>
    <n v="0"/>
    <n v="0"/>
    <n v="0"/>
    <n v="0"/>
    <n v="1"/>
    <s v="cefazolin"/>
    <n v="1"/>
    <n v="0"/>
    <n v="1"/>
    <n v="0"/>
    <n v="0"/>
    <n v="1"/>
    <n v="1"/>
    <n v="1"/>
    <d v="2024-03-14T00:00:00"/>
    <n v="0"/>
    <n v="0"/>
    <n v="9"/>
    <x v="0"/>
    <d v="2024-03-15T00:00:00"/>
    <x v="2"/>
    <n v="0"/>
    <x v="0"/>
    <n v="1"/>
    <n v="1"/>
    <n v="1"/>
    <n v="0"/>
    <n v="1"/>
  </r>
  <r>
    <n v="34"/>
    <s v="402108577"/>
    <d v="2024-03-13T00:00:00"/>
    <d v="2024-03-26T00:00:00"/>
    <n v="13"/>
    <n v="95"/>
    <n v="2"/>
    <n v="4"/>
    <n v="0"/>
    <n v="0"/>
    <n v="0"/>
    <n v="0"/>
    <n v="0"/>
    <n v="0"/>
    <n v="0"/>
    <m/>
    <s v="Staphylococcus aureus"/>
    <n v="1"/>
    <n v="0"/>
    <n v="0"/>
    <n v="0"/>
    <n v="1"/>
    <n v="5"/>
    <d v="2024-03-13T00:00:00"/>
    <d v="2024-03-17T00:00:00"/>
    <n v="4"/>
    <n v="1"/>
    <n v="0"/>
    <n v="0"/>
    <n v="0"/>
    <n v="0"/>
    <n v="0"/>
    <n v="0"/>
    <n v="0"/>
    <n v="1"/>
    <n v="1"/>
    <s v="cefazolin"/>
    <n v="1"/>
    <n v="1"/>
    <n v="1"/>
    <n v="1"/>
    <n v="0"/>
    <n v="0"/>
    <n v="1"/>
    <n v="1"/>
    <d v="2024-03-15T00:00:00"/>
    <n v="0"/>
    <n v="0"/>
    <n v="2"/>
    <x v="1"/>
    <m/>
    <x v="1"/>
    <m/>
    <x v="0"/>
    <n v="0"/>
    <n v="1"/>
    <n v="0"/>
    <n v="0"/>
    <n v="0"/>
  </r>
  <r>
    <n v="38"/>
    <s v="04003524"/>
    <d v="2024-03-30T00:00:00"/>
    <d v="2024-04-30T00:00:00"/>
    <n v="31"/>
    <n v="69"/>
    <n v="2"/>
    <n v="3"/>
    <n v="0"/>
    <n v="0"/>
    <n v="0"/>
    <n v="0"/>
    <n v="0"/>
    <n v="0"/>
    <n v="0"/>
    <m/>
    <s v="Methicillin-Resistant Staphylococcus aureus"/>
    <n v="1"/>
    <n v="0"/>
    <n v="0"/>
    <n v="0"/>
    <n v="0"/>
    <n v="1"/>
    <d v="2024-03-30T00:00:00"/>
    <d v="2024-03-30T00:00:00"/>
    <n v="0"/>
    <n v="0"/>
    <n v="0"/>
    <n v="0"/>
    <n v="0"/>
    <n v="0"/>
    <n v="0"/>
    <n v="0"/>
    <n v="0"/>
    <n v="0"/>
    <n v="1"/>
    <s v="Daptomycin"/>
    <n v="1"/>
    <n v="1"/>
    <n v="1"/>
    <n v="1"/>
    <n v="0"/>
    <n v="0"/>
    <n v="1"/>
    <n v="1"/>
    <d v="2024-04-01T00:00:00"/>
    <n v="0"/>
    <n v="1"/>
    <n v="2"/>
    <x v="0"/>
    <d v="2024-04-03T00:00:00"/>
    <x v="0"/>
    <n v="0"/>
    <x v="1"/>
    <n v="0"/>
    <n v="1"/>
    <n v="0"/>
    <n v="0"/>
    <n v="1"/>
  </r>
  <r>
    <n v="39"/>
    <s v="404568449"/>
    <d v="2024-05-31T00:00:00"/>
    <d v="2024-06-12T00:00:00"/>
    <n v="12"/>
    <n v="70"/>
    <n v="2"/>
    <n v="2"/>
    <n v="0"/>
    <n v="0"/>
    <n v="0"/>
    <n v="0"/>
    <n v="0"/>
    <n v="0"/>
    <n v="0"/>
    <m/>
    <s v="Streptococcus mutans"/>
    <n v="0"/>
    <n v="1"/>
    <n v="0"/>
    <n v="0"/>
    <n v="0"/>
    <n v="1"/>
    <d v="2024-06-01T00:00:00"/>
    <d v="2024-06-01T00:00:00"/>
    <n v="0"/>
    <n v="1"/>
    <n v="1"/>
    <n v="0"/>
    <n v="0"/>
    <n v="0"/>
    <n v="0"/>
    <n v="0"/>
    <n v="0"/>
    <n v="0"/>
    <n v="1"/>
    <s v="ceftriaxone"/>
    <n v="1"/>
    <n v="1"/>
    <n v="1"/>
    <n v="1"/>
    <n v="0"/>
    <n v="0"/>
    <n v="1"/>
    <n v="1"/>
    <d v="2024-06-05T00:00:00"/>
    <n v="0"/>
    <n v="1"/>
    <n v="5"/>
    <x v="1"/>
    <m/>
    <x v="1"/>
    <m/>
    <x v="0"/>
    <n v="0"/>
    <n v="1"/>
    <n v="0"/>
    <n v="0"/>
    <n v="0"/>
  </r>
  <r>
    <n v="41"/>
    <s v="405164086"/>
    <d v="2024-06-07T00:00:00"/>
    <d v="2024-06-13T00:00:00"/>
    <n v="6"/>
    <n v="71"/>
    <n v="1"/>
    <n v="2"/>
    <n v="1"/>
    <n v="0"/>
    <n v="1"/>
    <n v="0"/>
    <n v="0"/>
    <n v="0"/>
    <n v="0"/>
    <m/>
    <s v="Streptococcus gordonii"/>
    <n v="0"/>
    <n v="1"/>
    <n v="0"/>
    <n v="0"/>
    <n v="0"/>
    <n v="1"/>
    <d v="2024-06-07T00:00:00"/>
    <d v="2024-06-07T00:00:00"/>
    <n v="0"/>
    <n v="0"/>
    <n v="0"/>
    <n v="0"/>
    <n v="0"/>
    <n v="0"/>
    <n v="0"/>
    <n v="0"/>
    <n v="0"/>
    <n v="0"/>
    <n v="1"/>
    <s v="ceftriaxone"/>
    <n v="1"/>
    <n v="1"/>
    <n v="1"/>
    <n v="1"/>
    <n v="0"/>
    <n v="0"/>
    <n v="1"/>
    <n v="1"/>
    <d v="2024-06-10T00:00:00"/>
    <n v="0"/>
    <n v="0"/>
    <n v="3"/>
    <x v="0"/>
    <d v="2024-06-12T00:00:00"/>
    <x v="0"/>
    <n v="1"/>
    <x v="0"/>
    <n v="0"/>
    <n v="1"/>
    <n v="1"/>
    <n v="0"/>
    <n v="1"/>
  </r>
  <r>
    <n v="42"/>
    <s v="407511258"/>
    <d v="2024-06-12T00:00:00"/>
    <d v="2024-06-19T00:00:00"/>
    <n v="7"/>
    <n v="83"/>
    <n v="1"/>
    <n v="5"/>
    <n v="0"/>
    <n v="0"/>
    <n v="0"/>
    <n v="0"/>
    <n v="0"/>
    <n v="0"/>
    <n v="0"/>
    <m/>
    <s v="Streptococcus mitis group"/>
    <n v="0"/>
    <n v="1"/>
    <n v="0"/>
    <n v="0"/>
    <n v="0"/>
    <n v="1"/>
    <d v="2024-06-12T00:00:00"/>
    <d v="2024-06-12T00:00:00"/>
    <n v="0"/>
    <n v="1"/>
    <n v="0"/>
    <n v="0"/>
    <n v="0"/>
    <n v="1"/>
    <n v="0"/>
    <n v="0"/>
    <n v="0"/>
    <n v="0"/>
    <n v="1"/>
    <s v="ceftriaxone"/>
    <n v="1"/>
    <n v="1"/>
    <n v="1"/>
    <n v="1"/>
    <n v="0"/>
    <n v="0"/>
    <n v="1"/>
    <n v="1"/>
    <d v="2024-06-14T00:00:00"/>
    <n v="1"/>
    <n v="0"/>
    <n v="2"/>
    <x v="1"/>
    <m/>
    <x v="1"/>
    <m/>
    <x v="0"/>
    <n v="1"/>
    <n v="1"/>
    <n v="0"/>
    <n v="0"/>
    <n v="0"/>
  </r>
  <r>
    <n v="52"/>
    <s v="00507392"/>
    <d v="2024-03-05T00:00:00"/>
    <d v="2024-03-15T00:00:00"/>
    <n v="10"/>
    <n v="42"/>
    <n v="1"/>
    <n v="2"/>
    <n v="1"/>
    <n v="0"/>
    <n v="0"/>
    <n v="0"/>
    <n v="0"/>
    <n v="0"/>
    <n v="1"/>
    <s v="bicuspid AV and AS"/>
    <s v="Streptococcus gordonii"/>
    <n v="0"/>
    <n v="1"/>
    <n v="0"/>
    <n v="0"/>
    <n v="1"/>
    <n v="2"/>
    <d v="2024-03-05T00:00:00"/>
    <d v="2024-03-06T00:00:00"/>
    <n v="1"/>
    <n v="0"/>
    <n v="0"/>
    <n v="0"/>
    <n v="0"/>
    <n v="0"/>
    <n v="0"/>
    <n v="0"/>
    <n v="0"/>
    <n v="0"/>
    <n v="1"/>
    <s v="ceftriaxone"/>
    <n v="1"/>
    <n v="1"/>
    <n v="1"/>
    <n v="1"/>
    <n v="0"/>
    <n v="0"/>
    <n v="1"/>
    <n v="1"/>
    <d v="2024-03-06T00:00:00"/>
    <n v="1"/>
    <n v="1"/>
    <n v="1"/>
    <x v="0"/>
    <d v="2024-03-08T00:00:00"/>
    <x v="2"/>
    <n v="1"/>
    <x v="0"/>
    <n v="1"/>
    <n v="1"/>
    <n v="0"/>
    <n v="0"/>
    <n v="1"/>
  </r>
  <r>
    <n v="53"/>
    <s v="403211112"/>
    <d v="2024-03-06T00:00:00"/>
    <d v="2024-04-03T00:00:00"/>
    <n v="28"/>
    <n v="37"/>
    <n v="2"/>
    <n v="2"/>
    <n v="0"/>
    <n v="0"/>
    <n v="0"/>
    <n v="0"/>
    <n v="0"/>
    <n v="0"/>
    <n v="0"/>
    <m/>
    <s v="Streptococcus anginosus"/>
    <n v="0"/>
    <n v="1"/>
    <n v="0"/>
    <n v="0"/>
    <n v="0"/>
    <n v="1"/>
    <d v="2024-03-06T00:00:00"/>
    <d v="2024-03-06T00:00:00"/>
    <n v="0"/>
    <n v="1"/>
    <n v="0"/>
    <n v="1"/>
    <n v="0"/>
    <n v="1"/>
    <n v="0"/>
    <n v="0"/>
    <n v="0"/>
    <n v="0"/>
    <n v="1"/>
    <s v="cefazolin levofloxacin"/>
    <n v="1"/>
    <n v="1"/>
    <n v="1"/>
    <n v="1"/>
    <n v="0"/>
    <n v="0"/>
    <n v="1"/>
    <n v="1"/>
    <d v="2024-03-08T00:00:00"/>
    <n v="0"/>
    <n v="0"/>
    <n v="2"/>
    <x v="1"/>
    <m/>
    <x v="1"/>
    <m/>
    <x v="0"/>
    <n v="0"/>
    <n v="1"/>
    <n v="0"/>
    <n v="1"/>
    <n v="0"/>
  </r>
  <r>
    <n v="55"/>
    <s v="401040528"/>
    <d v="2024-03-18T00:00:00"/>
    <d v="2024-03-26T00:00:00"/>
    <n v="8"/>
    <n v="74"/>
    <n v="2"/>
    <n v="2"/>
    <n v="0"/>
    <n v="0"/>
    <n v="0"/>
    <n v="0"/>
    <n v="0"/>
    <n v="0"/>
    <n v="1"/>
    <s v="G1DD"/>
    <s v="Streptococcus mitis group"/>
    <n v="0"/>
    <n v="1"/>
    <n v="0"/>
    <n v="0"/>
    <n v="0"/>
    <n v="1"/>
    <d v="2024-03-18T00:00:00"/>
    <d v="2024-03-18T00:00:00"/>
    <n v="0"/>
    <n v="1"/>
    <n v="0"/>
    <n v="0"/>
    <n v="0"/>
    <n v="1"/>
    <n v="0"/>
    <n v="0"/>
    <n v="0"/>
    <n v="1"/>
    <n v="1"/>
    <s v="ceftriaxone"/>
    <n v="1"/>
    <n v="0"/>
    <n v="1"/>
    <n v="0"/>
    <n v="0"/>
    <n v="1"/>
    <n v="1"/>
    <n v="0"/>
    <m/>
    <m/>
    <m/>
    <m/>
    <x v="1"/>
    <m/>
    <x v="1"/>
    <m/>
    <x v="0"/>
    <n v="0"/>
    <n v="0"/>
    <n v="0"/>
    <n v="0"/>
    <n v="0"/>
  </r>
  <r>
    <n v="57"/>
    <s v="408312962"/>
    <d v="2024-06-16T00:00:00"/>
    <m/>
    <m/>
    <n v="55"/>
    <n v="2"/>
    <n v="2"/>
    <n v="1"/>
    <n v="0"/>
    <n v="0"/>
    <n v="1"/>
    <n v="0"/>
    <n v="0"/>
    <n v="1"/>
    <s v="HCM"/>
    <s v="Enterococcus faecalis"/>
    <n v="0"/>
    <n v="0"/>
    <n v="1"/>
    <n v="0"/>
    <n v="1"/>
    <n v="4"/>
    <d v="2024-06-26T00:00:00"/>
    <d v="2024-06-29T00:00:00"/>
    <n v="3"/>
    <n v="0"/>
    <n v="0"/>
    <n v="0"/>
    <n v="0"/>
    <n v="0"/>
    <n v="0"/>
    <n v="0"/>
    <n v="0"/>
    <n v="0"/>
    <n v="1"/>
    <s v="ceftriaxone ampicillin"/>
    <n v="1"/>
    <n v="1"/>
    <n v="1"/>
    <n v="1"/>
    <n v="0"/>
    <n v="0"/>
    <n v="1"/>
    <n v="1"/>
    <d v="2024-07-12T00:00:00"/>
    <n v="0"/>
    <n v="1"/>
    <n v="26"/>
    <x v="1"/>
    <m/>
    <x v="1"/>
    <m/>
    <x v="0"/>
    <n v="1"/>
    <n v="1"/>
    <n v="1"/>
    <n v="1"/>
    <n v="0"/>
  </r>
  <r>
    <n v="60"/>
    <s v="403215607"/>
    <d v="2024-05-13T00:00:00"/>
    <d v="2024-06-01T00:00:00"/>
    <n v="19"/>
    <n v="81"/>
    <n v="1"/>
    <n v="2"/>
    <n v="1"/>
    <n v="0"/>
    <n v="0"/>
    <n v="1"/>
    <n v="0"/>
    <n v="0"/>
    <n v="1"/>
    <s v="HFrEF"/>
    <s v="Enterococcus faecalis"/>
    <n v="0"/>
    <n v="0"/>
    <n v="1"/>
    <n v="0"/>
    <n v="1"/>
    <n v="2"/>
    <d v="2024-05-13T00:00:00"/>
    <d v="2024-05-14T00:00:00"/>
    <n v="1"/>
    <n v="1"/>
    <n v="0"/>
    <n v="0"/>
    <n v="0"/>
    <n v="0"/>
    <n v="1"/>
    <n v="0"/>
    <n v="0"/>
    <n v="0"/>
    <n v="1"/>
    <s v="ceftriaxone ampicillin"/>
    <n v="1"/>
    <n v="1"/>
    <n v="1"/>
    <n v="1"/>
    <n v="0"/>
    <n v="0"/>
    <n v="1"/>
    <n v="1"/>
    <d v="2024-05-17T00:00:00"/>
    <n v="0"/>
    <n v="1"/>
    <n v="4"/>
    <x v="1"/>
    <m/>
    <x v="1"/>
    <m/>
    <x v="0"/>
    <n v="0"/>
    <n v="1"/>
    <n v="1"/>
    <n v="0"/>
    <n v="0"/>
  </r>
  <r>
    <n v="61"/>
    <s v="03028979"/>
    <d v="2024-03-30T00:00:00"/>
    <d v="2024-04-05T00:00:00"/>
    <n v="6"/>
    <n v="87"/>
    <n v="2"/>
    <n v="3"/>
    <n v="1"/>
    <n v="0"/>
    <n v="0"/>
    <n v="1"/>
    <n v="0"/>
    <n v="0"/>
    <n v="1"/>
    <s v="G1DD, mod TR"/>
    <s v="Enterococcus faecalis"/>
    <n v="0"/>
    <n v="0"/>
    <n v="1"/>
    <n v="0"/>
    <n v="1"/>
    <n v="3"/>
    <d v="2024-03-31T00:00:00"/>
    <d v="2024-04-02T00:00:00"/>
    <n v="2"/>
    <n v="0"/>
    <n v="0"/>
    <n v="0"/>
    <n v="0"/>
    <n v="0"/>
    <n v="0"/>
    <n v="0"/>
    <n v="0"/>
    <n v="0"/>
    <n v="1"/>
    <s v="piperacillin tazo"/>
    <n v="1"/>
    <n v="0"/>
    <n v="1"/>
    <n v="0"/>
    <n v="0"/>
    <n v="1"/>
    <n v="1"/>
    <n v="1"/>
    <d v="2024-04-01T00:00:00"/>
    <n v="0"/>
    <n v="1"/>
    <n v="2"/>
    <x v="1"/>
    <m/>
    <x v="1"/>
    <m/>
    <x v="0"/>
    <n v="0"/>
    <n v="1"/>
    <n v="1"/>
    <n v="0"/>
    <n v="0"/>
  </r>
  <r>
    <n v="62"/>
    <s v="400617522"/>
    <d v="2024-04-16T00:00:00"/>
    <d v="2024-04-21T00:00:00"/>
    <n v="5"/>
    <n v="47"/>
    <n v="1"/>
    <n v="2"/>
    <n v="1"/>
    <n v="1"/>
    <n v="0"/>
    <n v="0"/>
    <n v="0"/>
    <n v="0"/>
    <n v="1"/>
    <s v="sev TR"/>
    <s v="Enterococcus faecalis"/>
    <n v="0"/>
    <n v="0"/>
    <n v="1"/>
    <n v="0"/>
    <n v="1"/>
    <n v="4"/>
    <d v="2024-04-16T00:00:00"/>
    <d v="2024-04-21T00:00:00"/>
    <n v="5"/>
    <n v="1"/>
    <n v="0"/>
    <n v="1"/>
    <n v="0"/>
    <n v="0"/>
    <n v="0"/>
    <n v="0"/>
    <n v="0"/>
    <n v="0"/>
    <n v="1"/>
    <s v="ceftriaxone ampicillin"/>
    <n v="1"/>
    <n v="1"/>
    <n v="1"/>
    <n v="1"/>
    <n v="0"/>
    <n v="0"/>
    <n v="1"/>
    <n v="1"/>
    <d v="2024-04-18T00:00:00"/>
    <n v="1"/>
    <n v="0"/>
    <n v="2"/>
    <x v="1"/>
    <m/>
    <x v="1"/>
    <m/>
    <x v="0"/>
    <n v="1"/>
    <n v="1"/>
    <n v="1"/>
    <n v="0"/>
    <n v="0"/>
  </r>
  <r>
    <n v="63"/>
    <s v="00640864"/>
    <d v="2024-04-16T00:00:00"/>
    <d v="2024-05-30T00:00:00"/>
    <n v="44"/>
    <n v="54"/>
    <n v="1"/>
    <n v="2"/>
    <n v="1"/>
    <n v="0"/>
    <n v="0"/>
    <n v="0"/>
    <n v="1"/>
    <n v="0"/>
    <n v="0"/>
    <m/>
    <s v="Enterococcus faecalis"/>
    <n v="0"/>
    <n v="0"/>
    <n v="1"/>
    <n v="0"/>
    <n v="1"/>
    <n v="5"/>
    <d v="2024-04-16T00:00:00"/>
    <d v="2024-04-19T00:00:00"/>
    <n v="3"/>
    <n v="1"/>
    <n v="0"/>
    <n v="0"/>
    <n v="1"/>
    <n v="0"/>
    <n v="0"/>
    <n v="0"/>
    <n v="0"/>
    <n v="0"/>
    <n v="1"/>
    <s v="ceftriaxone ampicillin"/>
    <n v="1"/>
    <n v="1"/>
    <n v="1"/>
    <n v="1"/>
    <n v="0"/>
    <n v="0"/>
    <n v="1"/>
    <n v="1"/>
    <d v="2024-04-19T00:00:00"/>
    <n v="0"/>
    <n v="0"/>
    <n v="3"/>
    <x v="1"/>
    <m/>
    <x v="1"/>
    <m/>
    <x v="0"/>
    <n v="0"/>
    <n v="1"/>
    <n v="0"/>
    <n v="1"/>
    <n v="0"/>
  </r>
  <r>
    <n v="66"/>
    <n v="404684974"/>
    <d v="2024-05-21T00:00:00"/>
    <d v="2024-05-31T00:00:00"/>
    <n v="10"/>
    <n v="71"/>
    <n v="2"/>
    <n v="2"/>
    <n v="1"/>
    <n v="0"/>
    <n v="0"/>
    <n v="0"/>
    <n v="1"/>
    <n v="0"/>
    <n v="1"/>
    <s v="mod TR, G1DD"/>
    <s v="Vancomycin resistant Enterococcus faecalis"/>
    <n v="0"/>
    <n v="0"/>
    <n v="1"/>
    <n v="0"/>
    <n v="0"/>
    <n v="1"/>
    <d v="2024-05-21T00:00:00"/>
    <d v="2024-05-21T00:00:00"/>
    <n v="0"/>
    <n v="1"/>
    <n v="0"/>
    <n v="0"/>
    <n v="1"/>
    <n v="0"/>
    <n v="0"/>
    <n v="0"/>
    <n v="0"/>
    <n v="0"/>
    <n v="1"/>
    <s v="Daptomycin"/>
    <n v="1"/>
    <n v="0"/>
    <n v="1"/>
    <n v="0"/>
    <n v="0"/>
    <n v="1"/>
    <n v="1"/>
    <n v="1"/>
    <d v="2024-05-24T00:00:00"/>
    <n v="0"/>
    <n v="0"/>
    <n v="3"/>
    <x v="1"/>
    <m/>
    <x v="1"/>
    <m/>
    <x v="0"/>
    <n v="0"/>
    <n v="0"/>
    <n v="0"/>
    <n v="0"/>
    <n v="0"/>
  </r>
  <r>
    <n v="67"/>
    <s v="00640864"/>
    <d v="2024-04-16T00:00:00"/>
    <d v="2024-05-30T00:00:00"/>
    <n v="44"/>
    <n v="54"/>
    <n v="1"/>
    <n v="2"/>
    <n v="1"/>
    <n v="0"/>
    <n v="0"/>
    <n v="0"/>
    <n v="1"/>
    <n v="0"/>
    <n v="0"/>
    <m/>
    <s v="Enterococcus faecalis"/>
    <n v="0"/>
    <n v="0"/>
    <n v="1"/>
    <n v="0"/>
    <n v="1"/>
    <n v="5"/>
    <d v="2024-04-16T00:00:00"/>
    <d v="2024-04-19T00:00:00"/>
    <n v="3"/>
    <n v="1"/>
    <n v="0"/>
    <n v="0"/>
    <n v="1"/>
    <n v="0"/>
    <n v="1"/>
    <n v="0"/>
    <n v="0"/>
    <n v="0"/>
    <n v="1"/>
    <s v="ceftriaxone ampicillin"/>
    <n v="1"/>
    <n v="1"/>
    <n v="1"/>
    <n v="1"/>
    <n v="0"/>
    <n v="0"/>
    <n v="1"/>
    <n v="1"/>
    <d v="2024-04-19T00:00:00"/>
    <n v="0"/>
    <n v="0"/>
    <n v="3"/>
    <x v="1"/>
    <m/>
    <x v="1"/>
    <m/>
    <x v="0"/>
    <n v="0"/>
    <n v="1"/>
    <n v="0"/>
    <n v="0"/>
    <n v="0"/>
  </r>
  <r>
    <n v="76"/>
    <s v="400686129"/>
    <d v="2024-06-14T00:00:00"/>
    <d v="2024-06-25T00:00:00"/>
    <n v="11"/>
    <n v="59"/>
    <n v="1"/>
    <n v="3"/>
    <n v="0"/>
    <n v="0"/>
    <n v="0"/>
    <n v="0"/>
    <n v="0"/>
    <n v="0"/>
    <n v="0"/>
    <m/>
    <s v="Staphylococcus epidermidis"/>
    <n v="0"/>
    <n v="0"/>
    <n v="0"/>
    <n v="1"/>
    <n v="1"/>
    <n v="3"/>
    <d v="2024-06-14T00:00:00"/>
    <d v="2024-06-17T00:00:00"/>
    <n v="3"/>
    <n v="1"/>
    <n v="1"/>
    <n v="1"/>
    <n v="0"/>
    <n v="0"/>
    <n v="0"/>
    <n v="0"/>
    <n v="0"/>
    <n v="0"/>
    <n v="1"/>
    <s v="cefazolin"/>
    <n v="1"/>
    <n v="1"/>
    <n v="1"/>
    <n v="1"/>
    <n v="0"/>
    <n v="0"/>
    <n v="1"/>
    <n v="1"/>
    <d v="2024-06-18T00:00:00"/>
    <n v="0"/>
    <n v="0"/>
    <n v="4"/>
    <x v="0"/>
    <d v="2024-06-20T00:00:00"/>
    <x v="0"/>
    <n v="0"/>
    <x v="0"/>
    <n v="0"/>
    <n v="0"/>
    <n v="0"/>
    <n v="0"/>
    <n v="1"/>
  </r>
  <r>
    <n v="108"/>
    <s v="04414837"/>
    <d v="2024-04-16T00:00:00"/>
    <d v="2024-04-30T00:00:00"/>
    <n v="14"/>
    <n v="78"/>
    <n v="2"/>
    <n v="2"/>
    <n v="1"/>
    <n v="0"/>
    <n v="1"/>
    <n v="0"/>
    <n v="0"/>
    <n v="0"/>
    <n v="1"/>
    <s v="G2DD, s/p TAVR"/>
    <s v="Staphylococcus epidermidis"/>
    <n v="0"/>
    <n v="0"/>
    <n v="0"/>
    <n v="1"/>
    <n v="1"/>
    <n v="4"/>
    <d v="2024-04-16T00:00:00"/>
    <d v="2024-04-22T00:00:00"/>
    <n v="6"/>
    <n v="0"/>
    <n v="0"/>
    <n v="0"/>
    <n v="0"/>
    <n v="0"/>
    <n v="0"/>
    <n v="0"/>
    <n v="0"/>
    <n v="0"/>
    <n v="1"/>
    <s v="vanc"/>
    <n v="1"/>
    <n v="1"/>
    <n v="1"/>
    <n v="1"/>
    <n v="0"/>
    <n v="0"/>
    <n v="1"/>
    <n v="1"/>
    <d v="2024-04-17T00:00:00"/>
    <n v="0"/>
    <n v="1"/>
    <n v="1"/>
    <x v="0"/>
    <d v="2024-04-22T00:00:00"/>
    <x v="2"/>
    <n v="1"/>
    <x v="0"/>
    <n v="1"/>
    <n v="1"/>
    <n v="1"/>
    <n v="0"/>
    <n v="1"/>
  </r>
  <r>
    <n v="132"/>
    <s v="04037453"/>
    <d v="2024-03-12T00:00:00"/>
    <d v="2024-04-19T00:00:00"/>
    <n v="38"/>
    <n v="41"/>
    <n v="1"/>
    <n v="3"/>
    <n v="1"/>
    <n v="0"/>
    <n v="0"/>
    <n v="0"/>
    <n v="1"/>
    <n v="0"/>
    <n v="0"/>
    <m/>
    <s v="Staphylococcus epidermidis"/>
    <n v="0"/>
    <n v="0"/>
    <n v="0"/>
    <n v="1"/>
    <n v="0"/>
    <n v="1"/>
    <d v="2024-03-19T00:00:00"/>
    <d v="2024-03-19T00:00:00"/>
    <n v="0"/>
    <n v="1"/>
    <n v="0"/>
    <n v="0"/>
    <n v="1"/>
    <n v="0"/>
    <n v="0"/>
    <n v="0"/>
    <n v="0"/>
    <n v="0"/>
    <n v="1"/>
    <s v="vanc"/>
    <n v="1"/>
    <n v="1"/>
    <n v="1"/>
    <n v="1"/>
    <n v="0"/>
    <n v="0"/>
    <n v="1"/>
    <n v="1"/>
    <d v="2024-03-21T00:00:00"/>
    <n v="0"/>
    <n v="0"/>
    <n v="9"/>
    <x v="1"/>
    <m/>
    <x v="1"/>
    <m/>
    <x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2087EBC-C816-42FD-834F-93AC34BCF37B}" name="PivotTable68"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X58:BA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3"/>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8D25344F-FB4C-4D68-84F6-E2795AB745BC}" name="PivotTable18"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R28:BU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s>
  <rowFields count="1">
    <field x="57"/>
  </rowFields>
  <rowItems count="3">
    <i>
      <x/>
    </i>
    <i>
      <x v="1"/>
    </i>
    <i t="grand">
      <x/>
    </i>
  </rowItems>
  <colFields count="1">
    <field x="53"/>
  </colFields>
  <colItems count="3">
    <i>
      <x/>
    </i>
    <i>
      <x v="1"/>
    </i>
    <i t="grand">
      <x/>
    </i>
  </colItems>
  <dataFields count="1">
    <dataField name="Count of Subject #" fld="0" subtotal="count" baseField="0" baseItem="0"/>
  </dataFields>
  <formats count="10">
    <format dxfId="297">
      <pivotArea type="all" dataOnly="0" outline="0" fieldPosition="0"/>
    </format>
    <format dxfId="298">
      <pivotArea outline="0" collapsedLevelsAreSubtotals="1" fieldPosition="0"/>
    </format>
    <format dxfId="299">
      <pivotArea type="origin" dataOnly="0" labelOnly="1" outline="0" fieldPosition="0"/>
    </format>
    <format dxfId="300">
      <pivotArea field="53" type="button" dataOnly="0" labelOnly="1" outline="0" axis="axisCol" fieldPosition="0"/>
    </format>
    <format dxfId="301">
      <pivotArea type="topRight" dataOnly="0" labelOnly="1" outline="0" fieldPosition="0"/>
    </format>
    <format dxfId="302">
      <pivotArea field="57" type="button" dataOnly="0" labelOnly="1" outline="0" axis="axisRow" fieldPosition="0"/>
    </format>
    <format dxfId="303">
      <pivotArea dataOnly="0" labelOnly="1" outline="0" fieldPosition="0">
        <references count="1">
          <reference field="57" count="0"/>
        </references>
      </pivotArea>
    </format>
    <format dxfId="304">
      <pivotArea dataOnly="0" labelOnly="1" grandRow="1" outline="0" fieldPosition="0"/>
    </format>
    <format dxfId="305">
      <pivotArea dataOnly="0" labelOnly="1" outline="0" fieldPosition="0">
        <references count="1">
          <reference field="53" count="0"/>
        </references>
      </pivotArea>
    </format>
    <format dxfId="306">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0.xml><?xml version="1.0" encoding="utf-8"?>
<pivotTableDefinition xmlns="http://schemas.openxmlformats.org/spreadsheetml/2006/main" xmlns:mc="http://schemas.openxmlformats.org/markup-compatibility/2006" xmlns:xr="http://schemas.microsoft.com/office/spreadsheetml/2014/revision" mc:Ignorable="xr" xr:uid="{A60C68B1-9294-4EA4-AFF7-E851650613E5}" name="PivotTable7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W117:AZ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0"/>
  </rowFields>
  <rowItems count="3">
    <i>
      <x/>
    </i>
    <i>
      <x v="1"/>
    </i>
    <i t="grand">
      <x/>
    </i>
  </rowItems>
  <colFields count="1">
    <field x="3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1.xml><?xml version="1.0" encoding="utf-8"?>
<pivotTableDefinition xmlns="http://schemas.openxmlformats.org/spreadsheetml/2006/main" xmlns:mc="http://schemas.openxmlformats.org/markup-compatibility/2006" xmlns:xr="http://schemas.microsoft.com/office/spreadsheetml/2014/revision" mc:Ignorable="xr" xr:uid="{B7DA81E3-0094-4317-8657-08D899E014F9}" name="PivotTable8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Q79:DT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12"/>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2.xml><?xml version="1.0" encoding="utf-8"?>
<pivotTableDefinition xmlns="http://schemas.openxmlformats.org/spreadsheetml/2006/main" xmlns:mc="http://schemas.openxmlformats.org/markup-compatibility/2006" xmlns:xr="http://schemas.microsoft.com/office/spreadsheetml/2014/revision" mc:Ignorable="xr" xr:uid="{8580E36D-863C-47D7-BCE3-30A15A188098}" name="PivotTable1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E79:AH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37"/>
  </rowFields>
  <rowItems count="3">
    <i>
      <x/>
    </i>
    <i>
      <x v="1"/>
    </i>
    <i t="grand">
      <x/>
    </i>
  </rowItems>
  <colFields count="1">
    <field x="59"/>
  </colFields>
  <colItems count="3">
    <i>
      <x/>
    </i>
    <i>
      <x v="1"/>
    </i>
    <i t="grand">
      <x/>
    </i>
  </colItems>
  <dataFields count="1">
    <dataField name="Count of Subject #" fld="0" subtotal="count" baseField="0" baseItem="0"/>
  </dataFields>
  <formats count="10">
    <format dxfId="112">
      <pivotArea type="all" dataOnly="0" outline="0" fieldPosition="0"/>
    </format>
    <format dxfId="113">
      <pivotArea outline="0" collapsedLevelsAreSubtotals="1" fieldPosition="0"/>
    </format>
    <format dxfId="114">
      <pivotArea type="origin" dataOnly="0" labelOnly="1" outline="0" fieldPosition="0"/>
    </format>
    <format dxfId="115">
      <pivotArea field="59" type="button" dataOnly="0" labelOnly="1" outline="0" axis="axisCol" fieldPosition="0"/>
    </format>
    <format dxfId="116">
      <pivotArea type="topRight" dataOnly="0" labelOnly="1" outline="0" fieldPosition="0"/>
    </format>
    <format dxfId="117">
      <pivotArea field="37" type="button" dataOnly="0" labelOnly="1" outline="0" axis="axisRow" fieldPosition="0"/>
    </format>
    <format dxfId="118">
      <pivotArea dataOnly="0" labelOnly="1" outline="0" fieldPosition="0">
        <references count="1">
          <reference field="37" count="0"/>
        </references>
      </pivotArea>
    </format>
    <format dxfId="119">
      <pivotArea dataOnly="0" labelOnly="1" grandRow="1" outline="0" fieldPosition="0"/>
    </format>
    <format dxfId="120">
      <pivotArea dataOnly="0" labelOnly="1" outline="0" fieldPosition="0">
        <references count="1">
          <reference field="59" count="0"/>
        </references>
      </pivotArea>
    </format>
    <format dxfId="121">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3.xml><?xml version="1.0" encoding="utf-8"?>
<pivotTableDefinition xmlns="http://schemas.openxmlformats.org/spreadsheetml/2006/main" xmlns:mc="http://schemas.openxmlformats.org/markup-compatibility/2006" xmlns:xr="http://schemas.microsoft.com/office/spreadsheetml/2014/revision" mc:Ignorable="xr" xr:uid="{414A0D4A-8698-4854-B835-68E8FB245EF3}" name="PivotTable4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N79:BQ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40"/>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4.xml><?xml version="1.0" encoding="utf-8"?>
<pivotTableDefinition xmlns="http://schemas.openxmlformats.org/spreadsheetml/2006/main" xmlns:mc="http://schemas.openxmlformats.org/markup-compatibility/2006" xmlns:xr="http://schemas.microsoft.com/office/spreadsheetml/2014/revision" mc:Ignorable="xr" xr:uid="{6F1D7C72-279D-476A-804E-E72DEC342394}" name="PivotTable4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X3:CA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7"/>
  </rowFields>
  <rowItems count="3">
    <i>
      <x/>
    </i>
    <i>
      <x v="1"/>
    </i>
    <i t="grand">
      <x/>
    </i>
  </rowItems>
  <colFields count="1">
    <field x="49"/>
  </colFields>
  <colItems count="3">
    <i>
      <x/>
    </i>
    <i>
      <x v="1"/>
    </i>
    <i t="grand">
      <x/>
    </i>
  </colItems>
  <dataFields count="1">
    <dataField name="Count of Subject #" fld="0" subtotal="count" baseField="0" baseItem="0"/>
  </dataFields>
  <formats count="10">
    <format dxfId="102">
      <pivotArea type="all" dataOnly="0" outline="0" fieldPosition="0"/>
    </format>
    <format dxfId="103">
      <pivotArea outline="0" collapsedLevelsAreSubtotals="1" fieldPosition="0"/>
    </format>
    <format dxfId="104">
      <pivotArea type="origin" dataOnly="0" labelOnly="1" outline="0" fieldPosition="0"/>
    </format>
    <format dxfId="105">
      <pivotArea field="49" type="button" dataOnly="0" labelOnly="1" outline="0" axis="axisCol" fieldPosition="0"/>
    </format>
    <format dxfId="106">
      <pivotArea type="topRight" dataOnly="0" labelOnly="1" outline="0" fieldPosition="0"/>
    </format>
    <format dxfId="107">
      <pivotArea field="17" type="button" dataOnly="0" labelOnly="1" outline="0" axis="axisRow" fieldPosition="0"/>
    </format>
    <format dxfId="108">
      <pivotArea dataOnly="0" labelOnly="1" outline="0" fieldPosition="0">
        <references count="1">
          <reference field="17" count="0"/>
        </references>
      </pivotArea>
    </format>
    <format dxfId="109">
      <pivotArea dataOnly="0" labelOnly="1" grandRow="1" outline="0" fieldPosition="0"/>
    </format>
    <format dxfId="110">
      <pivotArea dataOnly="0" labelOnly="1" outline="0" fieldPosition="0">
        <references count="1">
          <reference field="49" count="0"/>
        </references>
      </pivotArea>
    </format>
    <format dxfId="111">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5.xml><?xml version="1.0" encoding="utf-8"?>
<pivotTableDefinition xmlns="http://schemas.openxmlformats.org/spreadsheetml/2006/main" xmlns:mc="http://schemas.openxmlformats.org/markup-compatibility/2006" xmlns:xr="http://schemas.microsoft.com/office/spreadsheetml/2014/revision" mc:Ignorable="xr" xr:uid="{CC54C51A-E332-4547-A3A4-4E01F7DF45E6}" name="PivotTable2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U41:X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axis="axisCol" compact="0" outline="0" showAll="0">
      <items count="3">
        <item x="0"/>
        <item x="1"/>
        <item t="default"/>
      </items>
    </pivotField>
    <pivotField compact="0" outline="0" showAll="0"/>
    <pivotField compact="0" outline="0" showAll="0"/>
  </pivotFields>
  <rowFields count="1">
    <field x="56"/>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6.xml><?xml version="1.0" encoding="utf-8"?>
<pivotTableDefinition xmlns="http://schemas.openxmlformats.org/spreadsheetml/2006/main" xmlns:mc="http://schemas.openxmlformats.org/markup-compatibility/2006" xmlns:xr="http://schemas.microsoft.com/office/spreadsheetml/2014/revision" mc:Ignorable="xr" xr:uid="{872B040F-9C96-401D-9490-831654DD0632}" name="PivotTable6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X41:CA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17"/>
  </rowFields>
  <rowItems count="3">
    <i>
      <x/>
    </i>
    <i>
      <x v="1"/>
    </i>
    <i t="grand">
      <x/>
    </i>
  </rowItems>
  <colFields count="1">
    <field x="58"/>
  </colFields>
  <colItems count="3">
    <i>
      <x/>
    </i>
    <i>
      <x v="1"/>
    </i>
    <i t="grand">
      <x/>
    </i>
  </colItems>
  <dataFields count="1">
    <dataField name="Count of Subject #" fld="0" subtotal="count" baseField="0" baseItem="0"/>
  </dataFields>
  <formats count="10">
    <format dxfId="92">
      <pivotArea type="all" dataOnly="0" outline="0" fieldPosition="0"/>
    </format>
    <format dxfId="93">
      <pivotArea outline="0" collapsedLevelsAreSubtotals="1" fieldPosition="0"/>
    </format>
    <format dxfId="94">
      <pivotArea type="origin" dataOnly="0" labelOnly="1" outline="0" fieldPosition="0"/>
    </format>
    <format dxfId="95">
      <pivotArea field="58" type="button" dataOnly="0" labelOnly="1" outline="0" axis="axisCol" fieldPosition="0"/>
    </format>
    <format dxfId="96">
      <pivotArea type="topRight" dataOnly="0" labelOnly="1" outline="0" fieldPosition="0"/>
    </format>
    <format dxfId="97">
      <pivotArea field="17" type="button" dataOnly="0" labelOnly="1" outline="0" axis="axisRow" fieldPosition="0"/>
    </format>
    <format dxfId="98">
      <pivotArea dataOnly="0" labelOnly="1" outline="0" fieldPosition="0">
        <references count="1">
          <reference field="17" count="0"/>
        </references>
      </pivotArea>
    </format>
    <format dxfId="99">
      <pivotArea dataOnly="0" labelOnly="1" grandRow="1" outline="0" fieldPosition="0"/>
    </format>
    <format dxfId="100">
      <pivotArea dataOnly="0" labelOnly="1" outline="0" fieldPosition="0">
        <references count="1">
          <reference field="58" count="0"/>
        </references>
      </pivotArea>
    </format>
    <format dxfId="101">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7.xml><?xml version="1.0" encoding="utf-8"?>
<pivotTableDefinition xmlns="http://schemas.openxmlformats.org/spreadsheetml/2006/main" xmlns:mc="http://schemas.openxmlformats.org/markup-compatibility/2006" xmlns:xr="http://schemas.microsoft.com/office/spreadsheetml/2014/revision" mc:Ignorable="xr" xr:uid="{66F16F6D-3922-4217-B1E9-C4A0FE40636A}" name="PivotTable6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X79:CA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17"/>
  </rowFields>
  <rowItems count="3">
    <i>
      <x/>
    </i>
    <i>
      <x v="1"/>
    </i>
    <i t="grand">
      <x/>
    </i>
  </rowItems>
  <colFields count="1">
    <field x="59"/>
  </colFields>
  <colItems count="3">
    <i>
      <x/>
    </i>
    <i>
      <x v="1"/>
    </i>
    <i t="grand">
      <x/>
    </i>
  </colItems>
  <dataFields count="1">
    <dataField name="Count of Subject #" fld="0" subtotal="count" baseField="0" baseItem="0"/>
  </dataFields>
  <formats count="10">
    <format dxfId="82">
      <pivotArea type="all" dataOnly="0" outline="0" fieldPosition="0"/>
    </format>
    <format dxfId="83">
      <pivotArea outline="0" collapsedLevelsAreSubtotals="1" fieldPosition="0"/>
    </format>
    <format dxfId="84">
      <pivotArea type="origin" dataOnly="0" labelOnly="1" outline="0" fieldPosition="0"/>
    </format>
    <format dxfId="85">
      <pivotArea field="59" type="button" dataOnly="0" labelOnly="1" outline="0" axis="axisCol" fieldPosition="0"/>
    </format>
    <format dxfId="86">
      <pivotArea type="topRight" dataOnly="0" labelOnly="1" outline="0" fieldPosition="0"/>
    </format>
    <format dxfId="87">
      <pivotArea field="17" type="button" dataOnly="0" labelOnly="1" outline="0" axis="axisRow" fieldPosition="0"/>
    </format>
    <format dxfId="88">
      <pivotArea dataOnly="0" labelOnly="1" outline="0" fieldPosition="0">
        <references count="1">
          <reference field="17" count="0"/>
        </references>
      </pivotArea>
    </format>
    <format dxfId="89">
      <pivotArea dataOnly="0" labelOnly="1" grandRow="1" outline="0" fieldPosition="0"/>
    </format>
    <format dxfId="90">
      <pivotArea dataOnly="0" labelOnly="1" outline="0" fieldPosition="0">
        <references count="1">
          <reference field="59" count="0"/>
        </references>
      </pivotArea>
    </format>
    <format dxfId="91">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8.xml><?xml version="1.0" encoding="utf-8"?>
<pivotTableDefinition xmlns="http://schemas.openxmlformats.org/spreadsheetml/2006/main" xmlns:mc="http://schemas.openxmlformats.org/markup-compatibility/2006" xmlns:xr="http://schemas.microsoft.com/office/spreadsheetml/2014/revision" mc:Ignorable="xr" xr:uid="{66FB4453-E60E-4B44-BCD2-7B722E579B09}" name="PivotTable8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L79:DO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9"/>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9.xml><?xml version="1.0" encoding="utf-8"?>
<pivotTableDefinition xmlns="http://schemas.openxmlformats.org/spreadsheetml/2006/main" xmlns:mc="http://schemas.openxmlformats.org/markup-compatibility/2006" xmlns:xr="http://schemas.microsoft.com/office/spreadsheetml/2014/revision" mc:Ignorable="xr" xr:uid="{388B63D6-21C3-4415-8ADB-3EE5E86E8498}" name="PivotTable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P3:S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3"/>
  </rowFields>
  <rowItems count="3">
    <i>
      <x/>
    </i>
    <i>
      <x v="1"/>
    </i>
    <i t="grand">
      <x/>
    </i>
  </rowItems>
  <colFields count="1">
    <field x="49"/>
  </colFields>
  <colItems count="3">
    <i>
      <x/>
    </i>
    <i>
      <x v="1"/>
    </i>
    <i t="grand">
      <x/>
    </i>
  </colItems>
  <dataFields count="1">
    <dataField name="Count of Subject #" fld="0" subtotal="count" baseField="0" baseItem="0"/>
  </dataFields>
  <formats count="1">
    <format dxfId="81">
      <pivotArea outline="0" fieldPosition="0">
        <references count="2">
          <reference field="43" count="1" selected="0">
            <x v="0"/>
          </reference>
          <reference field="49" count="1" selected="0">
            <x v="1"/>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2249FA84-EB32-4D70-A508-41B2F33BE3E7}" name="PivotTable4"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X28:BA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3"/>
  </rowFields>
  <rowItems count="3">
    <i>
      <x/>
    </i>
    <i>
      <x v="1"/>
    </i>
    <i t="grand">
      <x/>
    </i>
  </rowItems>
  <colFields count="1">
    <field x="5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0.xml><?xml version="1.0" encoding="utf-8"?>
<pivotTableDefinition xmlns="http://schemas.openxmlformats.org/spreadsheetml/2006/main" xmlns:mc="http://schemas.openxmlformats.org/markup-compatibility/2006" xmlns:xr="http://schemas.microsoft.com/office/spreadsheetml/2014/revision" mc:Ignorable="xr" xr:uid="{BCE677C8-1FA8-4DB3-A02E-4DD69A02A150}" name="PivotTable5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H3:CK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9"/>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1.xml><?xml version="1.0" encoding="utf-8"?>
<pivotTableDefinition xmlns="http://schemas.openxmlformats.org/spreadsheetml/2006/main" xmlns:mc="http://schemas.openxmlformats.org/markup-compatibility/2006" xmlns:xr="http://schemas.microsoft.com/office/spreadsheetml/2014/revision" mc:Ignorable="xr" xr:uid="{6AFD920D-4CAD-4619-8062-AFBD200A40A4}" name="PivotTable3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Z79:AC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axis="axisCol" compact="0" outline="0" showAll="0">
      <items count="3">
        <item x="1"/>
        <item x="0"/>
        <item t="default"/>
      </items>
    </pivotField>
    <pivotField compact="0" outline="0" showAll="0"/>
  </pivotFields>
  <rowFields count="1">
    <field x="57"/>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2.xml><?xml version="1.0" encoding="utf-8"?>
<pivotTableDefinition xmlns="http://schemas.openxmlformats.org/spreadsheetml/2006/main" xmlns:mc="http://schemas.openxmlformats.org/markup-compatibility/2006" xmlns:xr="http://schemas.microsoft.com/office/spreadsheetml/2014/revision" mc:Ignorable="xr" xr:uid="{B861F6E0-0D20-4A36-A204-E53FCF1BBA1B}" name="PivotTable9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G79:DJ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11"/>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3.xml><?xml version="1.0" encoding="utf-8"?>
<pivotTableDefinition xmlns="http://schemas.openxmlformats.org/spreadsheetml/2006/main" xmlns:mc="http://schemas.openxmlformats.org/markup-compatibility/2006" xmlns:xr="http://schemas.microsoft.com/office/spreadsheetml/2014/revision" mc:Ignorable="xr" xr:uid="{E247C0D9-E9A8-46F9-BD59-709F0CF4616F}" name="PivotTable6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H41:CK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19"/>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4.xml><?xml version="1.0" encoding="utf-8"?>
<pivotTableDefinition xmlns="http://schemas.openxmlformats.org/spreadsheetml/2006/main" xmlns:mc="http://schemas.openxmlformats.org/markup-compatibility/2006" xmlns:xr="http://schemas.microsoft.com/office/spreadsheetml/2014/revision" mc:Ignorable="xr" xr:uid="{3BDA3418-7841-4110-9A93-C05921410F7D}" name="PivotTable4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S79:BV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41"/>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5.xml><?xml version="1.0" encoding="utf-8"?>
<pivotTableDefinition xmlns="http://schemas.openxmlformats.org/spreadsheetml/2006/main" xmlns:mc="http://schemas.openxmlformats.org/markup-compatibility/2006" xmlns:xr="http://schemas.microsoft.com/office/spreadsheetml/2014/revision" mc:Ignorable="xr" xr:uid="{0CDF9428-A238-4E09-A0AB-3C93CB1C9067}" name="PivotTable7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S117:V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8"/>
  </rowFields>
  <rowItems count="3">
    <i>
      <x/>
    </i>
    <i>
      <x v="1"/>
    </i>
    <i t="grand">
      <x/>
    </i>
  </rowItems>
  <colFields count="1">
    <field x="3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6.xml><?xml version="1.0" encoding="utf-8"?>
<pivotTableDefinition xmlns="http://schemas.openxmlformats.org/spreadsheetml/2006/main" xmlns:mc="http://schemas.openxmlformats.org/markup-compatibility/2006" xmlns:xr="http://schemas.microsoft.com/office/spreadsheetml/2014/revision" mc:Ignorable="xr" xr:uid="{2D8E2C90-762E-4463-A0C4-D5129AD0E109}" name="PivotTable1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O3:AR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s>
  <rowFields count="1">
    <field x="55"/>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7.xml><?xml version="1.0" encoding="utf-8"?>
<pivotTableDefinition xmlns="http://schemas.openxmlformats.org/spreadsheetml/2006/main" xmlns:mc="http://schemas.openxmlformats.org/markup-compatibility/2006" xmlns:xr="http://schemas.microsoft.com/office/spreadsheetml/2014/revision" mc:Ignorable="xr" xr:uid="{E88BBDCB-7106-4D65-A551-7E37302C3175}" name="PivotTable9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EA3:ED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3"/>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8.xml><?xml version="1.0" encoding="utf-8"?>
<pivotTableDefinition xmlns="http://schemas.openxmlformats.org/spreadsheetml/2006/main" xmlns:mc="http://schemas.openxmlformats.org/markup-compatibility/2006" xmlns:xr="http://schemas.microsoft.com/office/spreadsheetml/2014/revision" mc:Ignorable="xr" xr:uid="{E82255EB-5BB5-4E51-8853-CDF24BDD8DF3}" name="PivotTable3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
  <location ref="K79:N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39"/>
  </rowFields>
  <rowItems count="3">
    <i>
      <x/>
    </i>
    <i>
      <x v="1"/>
    </i>
    <i t="grand">
      <x/>
    </i>
  </rowItems>
  <colFields count="1">
    <field x="59"/>
  </colFields>
  <colItems count="3">
    <i>
      <x/>
    </i>
    <i>
      <x v="1"/>
    </i>
    <i t="grand">
      <x/>
    </i>
  </colItems>
  <dataFields count="1">
    <dataField name="Count of Subject #" fld="0" subtotal="count" baseField="0" baseItem="0"/>
  </dataFields>
  <formats count="10">
    <format dxfId="71">
      <pivotArea type="all" dataOnly="0" outline="0" fieldPosition="0"/>
    </format>
    <format dxfId="72">
      <pivotArea outline="0" collapsedLevelsAreSubtotals="1" fieldPosition="0"/>
    </format>
    <format dxfId="73">
      <pivotArea type="origin" dataOnly="0" labelOnly="1" outline="0" fieldPosition="0"/>
    </format>
    <format dxfId="74">
      <pivotArea field="59" type="button" dataOnly="0" labelOnly="1" outline="0" axis="axisCol" fieldPosition="0"/>
    </format>
    <format dxfId="75">
      <pivotArea type="topRight" dataOnly="0" labelOnly="1" outline="0" fieldPosition="0"/>
    </format>
    <format dxfId="76">
      <pivotArea field="39" type="button" dataOnly="0" labelOnly="1" outline="0" axis="axisRow" fieldPosition="0"/>
    </format>
    <format dxfId="77">
      <pivotArea dataOnly="0" labelOnly="1" outline="0" fieldPosition="0">
        <references count="1">
          <reference field="39" count="0"/>
        </references>
      </pivotArea>
    </format>
    <format dxfId="78">
      <pivotArea dataOnly="0" labelOnly="1" grandRow="1" outline="0" fieldPosition="0"/>
    </format>
    <format dxfId="79">
      <pivotArea dataOnly="0" labelOnly="1" outline="0" fieldPosition="0">
        <references count="1">
          <reference field="59" count="0"/>
        </references>
      </pivotArea>
    </format>
    <format dxfId="80">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9.xml><?xml version="1.0" encoding="utf-8"?>
<pivotTableDefinition xmlns="http://schemas.openxmlformats.org/spreadsheetml/2006/main" xmlns:mc="http://schemas.openxmlformats.org/markup-compatibility/2006" xmlns:xr="http://schemas.microsoft.com/office/spreadsheetml/2014/revision" mc:Ignorable="xr" xr:uid="{A91C9C8C-9204-484B-97EA-3BE9C90A9983}" name="PivotTable6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C79:CF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18"/>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DF1A23F4-E0B2-4276-941C-DFA4403FE831}" name="PivotTable54"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R58:BU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s>
  <rowFields count="1">
    <field x="59"/>
  </rowFields>
  <rowItems count="3">
    <i>
      <x/>
    </i>
    <i>
      <x v="1"/>
    </i>
    <i t="grand">
      <x/>
    </i>
  </rowItems>
  <colFields count="1">
    <field x="52"/>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0.xml><?xml version="1.0" encoding="utf-8"?>
<pivotTableDefinition xmlns="http://schemas.openxmlformats.org/spreadsheetml/2006/main" xmlns:mc="http://schemas.openxmlformats.org/markup-compatibility/2006" xmlns:xr="http://schemas.microsoft.com/office/spreadsheetml/2014/revision" mc:Ignorable="xr" xr:uid="{5A23F387-BC87-4C4E-872E-5D978370841F}" name="PivotTable4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C3:CF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8"/>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1.xml><?xml version="1.0" encoding="utf-8"?>
<pivotTableDefinition xmlns="http://schemas.openxmlformats.org/spreadsheetml/2006/main" xmlns:mc="http://schemas.openxmlformats.org/markup-compatibility/2006" xmlns:xr="http://schemas.microsoft.com/office/spreadsheetml/2014/revision" mc:Ignorable="xr" xr:uid="{6409D9F0-A390-4850-89AB-D4CCF419DD09}" name="PivotTable9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V41:DY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14"/>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2.xml><?xml version="1.0" encoding="utf-8"?>
<pivotTableDefinition xmlns="http://schemas.openxmlformats.org/spreadsheetml/2006/main" xmlns:mc="http://schemas.openxmlformats.org/markup-compatibility/2006" xmlns:xr="http://schemas.microsoft.com/office/spreadsheetml/2014/revision" mc:Ignorable="xr" xr:uid="{7D190148-3C15-4BCC-BF4A-F25484347721}" name="PivotTable5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L41:DO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9"/>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3.xml><?xml version="1.0" encoding="utf-8"?>
<pivotTableDefinition xmlns="http://schemas.openxmlformats.org/spreadsheetml/2006/main" xmlns:mc="http://schemas.openxmlformats.org/markup-compatibility/2006" xmlns:xr="http://schemas.microsoft.com/office/spreadsheetml/2014/revision" mc:Ignorable="xr" xr:uid="{059BE779-3775-494D-86AA-C266CB373C87}" name="PivotTable8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W79:CZ8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axis="axisRow" compact="0" outline="0" showAll="0">
      <items count="5">
        <item x="0"/>
        <item x="1"/>
        <item x="3"/>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7"/>
  </rowFields>
  <rowItems count="5">
    <i>
      <x/>
    </i>
    <i>
      <x v="1"/>
    </i>
    <i>
      <x v="2"/>
    </i>
    <i>
      <x v="3"/>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4.xml><?xml version="1.0" encoding="utf-8"?>
<pivotTableDefinition xmlns="http://schemas.openxmlformats.org/spreadsheetml/2006/main" xmlns:mc="http://schemas.openxmlformats.org/markup-compatibility/2006" xmlns:xr="http://schemas.microsoft.com/office/spreadsheetml/2014/revision" mc:Ignorable="xr" xr:uid="{06F64C2A-EBF7-4BCC-AC18-77DA1A495A4C}" name="PivotTable3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I79:BL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49"/>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5.xml><?xml version="1.0" encoding="utf-8"?>
<pivotTableDefinition xmlns="http://schemas.openxmlformats.org/spreadsheetml/2006/main" xmlns:mc="http://schemas.openxmlformats.org/markup-compatibility/2006" xmlns:xr="http://schemas.microsoft.com/office/spreadsheetml/2014/revision" mc:Ignorable="xr" xr:uid="{D788B807-DFC9-47B5-BF40-57BC87F753AF}" name="PivotTable7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Q117:BT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0"/>
  </rowFields>
  <rowItems count="3">
    <i>
      <x/>
    </i>
    <i>
      <x v="1"/>
    </i>
    <i t="grand">
      <x/>
    </i>
  </rowItems>
  <colFields count="1">
    <field x="44"/>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6.xml><?xml version="1.0" encoding="utf-8"?>
<pivotTableDefinition xmlns="http://schemas.openxmlformats.org/spreadsheetml/2006/main" xmlns:mc="http://schemas.openxmlformats.org/markup-compatibility/2006" xmlns:xr="http://schemas.microsoft.com/office/spreadsheetml/2014/revision" mc:Ignorable="xr" xr:uid="{069171FA-8FDB-4251-A784-06D4ED096960}" name="PivotTable2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E41:AH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37"/>
  </rowFields>
  <rowItems count="3">
    <i>
      <x/>
    </i>
    <i>
      <x v="1"/>
    </i>
    <i t="grand">
      <x/>
    </i>
  </rowItems>
  <colFields count="1">
    <field x="58"/>
  </colFields>
  <colItems count="3">
    <i>
      <x/>
    </i>
    <i>
      <x v="1"/>
    </i>
    <i t="grand">
      <x/>
    </i>
  </colItems>
  <dataFields count="1">
    <dataField name="Count of Subject #" fld="0" subtotal="count" baseField="0" baseItem="0"/>
  </dataFields>
  <formats count="10">
    <format dxfId="61">
      <pivotArea type="all" dataOnly="0" outline="0" fieldPosition="0"/>
    </format>
    <format dxfId="62">
      <pivotArea outline="0" collapsedLevelsAreSubtotals="1" fieldPosition="0"/>
    </format>
    <format dxfId="63">
      <pivotArea type="origin" dataOnly="0" labelOnly="1" outline="0" fieldPosition="0"/>
    </format>
    <format dxfId="64">
      <pivotArea field="58" type="button" dataOnly="0" labelOnly="1" outline="0" axis="axisCol" fieldPosition="0"/>
    </format>
    <format dxfId="65">
      <pivotArea type="topRight" dataOnly="0" labelOnly="1" outline="0" fieldPosition="0"/>
    </format>
    <format dxfId="66">
      <pivotArea field="37" type="button" dataOnly="0" labelOnly="1" outline="0" axis="axisRow" fieldPosition="0"/>
    </format>
    <format dxfId="67">
      <pivotArea dataOnly="0" labelOnly="1" outline="0" fieldPosition="0">
        <references count="1">
          <reference field="37" count="0"/>
        </references>
      </pivotArea>
    </format>
    <format dxfId="68">
      <pivotArea dataOnly="0" labelOnly="1" grandRow="1" outline="0" fieldPosition="0"/>
    </format>
    <format dxfId="69">
      <pivotArea dataOnly="0" labelOnly="1" outline="0" fieldPosition="0">
        <references count="1">
          <reference field="58" count="0"/>
        </references>
      </pivotArea>
    </format>
    <format dxfId="70">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7.xml><?xml version="1.0" encoding="utf-8"?>
<pivotTableDefinition xmlns="http://schemas.openxmlformats.org/spreadsheetml/2006/main" xmlns:mc="http://schemas.openxmlformats.org/markup-compatibility/2006" xmlns:xr="http://schemas.microsoft.com/office/spreadsheetml/2014/revision" mc:Ignorable="xr" xr:uid="{BC7A0771-A05C-4637-BD91-A3464A71B5B7}" name="PivotTable2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O79:AR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55"/>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8.xml><?xml version="1.0" encoding="utf-8"?>
<pivotTableDefinition xmlns="http://schemas.openxmlformats.org/spreadsheetml/2006/main" xmlns:mc="http://schemas.openxmlformats.org/markup-compatibility/2006" xmlns:xr="http://schemas.microsoft.com/office/spreadsheetml/2014/revision" mc:Ignorable="xr" xr:uid="{66832C39-C4A1-45B7-B062-EB46D03087BB}" name="PivotTable3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D41:BG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44"/>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9.xml><?xml version="1.0" encoding="utf-8"?>
<pivotTableDefinition xmlns="http://schemas.openxmlformats.org/spreadsheetml/2006/main" xmlns:mc="http://schemas.openxmlformats.org/markup-compatibility/2006" xmlns:xr="http://schemas.microsoft.com/office/spreadsheetml/2014/revision" mc:Ignorable="xr" xr:uid="{92DC8C2E-AA4C-4941-BDBF-0824B4065500}" name="PivotTable6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X117:AA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9"/>
  </rowFields>
  <rowItems count="3">
    <i>
      <x/>
    </i>
    <i>
      <x v="1"/>
    </i>
    <i t="grand">
      <x/>
    </i>
  </rowItems>
  <colFields count="1">
    <field x="3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D2CB7E23-CB98-423F-9B61-43D827618CCF}" name="PivotTable5"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C28:BF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8"/>
  </rowFields>
  <rowItems count="3">
    <i>
      <x/>
    </i>
    <i>
      <x v="1"/>
    </i>
    <i t="grand">
      <x/>
    </i>
  </rowItems>
  <colFields count="1">
    <field x="53"/>
  </colFields>
  <colItems count="3">
    <i>
      <x/>
    </i>
    <i>
      <x v="1"/>
    </i>
    <i t="grand">
      <x/>
    </i>
  </colItems>
  <dataFields count="1">
    <dataField name="Count of Subject #" fld="0" subtotal="count" baseField="0" baseItem="0"/>
  </dataFields>
  <formats count="1">
    <format dxfId="296">
      <pivotArea outline="0" fieldPosition="0">
        <references count="2">
          <reference field="8" count="1" selected="0">
            <x v="0"/>
          </reference>
          <reference field="53" count="1" selected="0">
            <x v="1"/>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0.xml><?xml version="1.0" encoding="utf-8"?>
<pivotTableDefinition xmlns="http://schemas.openxmlformats.org/spreadsheetml/2006/main" xmlns:mc="http://schemas.openxmlformats.org/markup-compatibility/2006" xmlns:xr="http://schemas.microsoft.com/office/spreadsheetml/2014/revision" mc:Ignorable="xr" xr:uid="{FD633554-656A-41C1-8728-7C3C718C9047}" name="PivotTable2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79:D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8"/>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40B6A72A-6953-4E40-A80A-234E3C0067BA}" name="PivotTable16"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M43:BP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7"/>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FCFE181A-720D-40FF-85B7-E1EE26726A06}" name="PivotTable3"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S28:AV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2"/>
  </rowFields>
  <rowItems count="3">
    <i>
      <x/>
    </i>
    <i>
      <x v="1"/>
    </i>
    <i t="grand">
      <x/>
    </i>
  </rowItems>
  <colFields count="1">
    <field x="5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C8E55784-1B6E-47A1-AD13-18EF88847492}" name="PivotTable69"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C58:BF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8"/>
  </rowFields>
  <rowItems count="3">
    <i>
      <x/>
    </i>
    <i>
      <x v="1"/>
    </i>
    <i t="grand">
      <x/>
    </i>
  </rowItems>
  <colFields count="1">
    <field x="52"/>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8CA2D614-F085-48D6-9783-3E54B64436A8}" name="PivotTable1"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D28:AG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s>
  <rowFields count="1">
    <field x="56"/>
  </rowFields>
  <rowItems count="3">
    <i>
      <x/>
    </i>
    <i>
      <x v="1"/>
    </i>
    <i t="grand">
      <x/>
    </i>
  </rowItems>
  <colFields count="1">
    <field x="5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9F72E07A-A308-40B7-90E7-852300B94052}" name="PivotTable2"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I28:AL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s>
  <rowFields count="1">
    <field x="57"/>
  </rowFields>
  <rowItems count="3">
    <i>
      <x/>
    </i>
    <i>
      <x v="1"/>
    </i>
    <i t="grand">
      <x/>
    </i>
  </rowItems>
  <colFields count="1">
    <field x="5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913A85C6-70AC-41C0-BA77-01E00CC05570}" name="PivotTable67"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S58:AV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2"/>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D8B6569-4559-450B-96F3-B9FCACBCAD2A}" name="PivotTable9"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X43:BA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3"/>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D0B714AE-BEFC-414D-8D2F-F7AB00539CC5}" name="PivotTable13"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N43:AQ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8"/>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34EEE42B-47BE-44AE-8D6B-D1AE61A93EB1}" name="PivotTable12"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D43:AG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s>
  <rowFields count="1">
    <field x="56"/>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BBC369C3-CDF0-4E76-84DF-62A9A6A852F1}" name="PivotTable7"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H43:BK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6"/>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555FD21A-656E-4411-83CD-A74454E47A57}" name="PivotTable15"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M28:BP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7"/>
  </rowFields>
  <rowItems count="3">
    <i>
      <x/>
    </i>
    <i>
      <x v="1"/>
    </i>
    <i t="grand">
      <x/>
    </i>
  </rowItems>
  <colFields count="1">
    <field x="53"/>
  </colFields>
  <colItems count="3">
    <i>
      <x/>
    </i>
    <i>
      <x v="1"/>
    </i>
    <i t="grand">
      <x/>
    </i>
  </colItems>
  <dataFields count="1">
    <dataField name="Count of Subject #" fld="0" subtotal="count" baseField="0" baseItem="0"/>
  </dataFields>
  <formats count="10">
    <format dxfId="286">
      <pivotArea type="all" dataOnly="0" outline="0" fieldPosition="0"/>
    </format>
    <format dxfId="287">
      <pivotArea outline="0" collapsedLevelsAreSubtotals="1" fieldPosition="0"/>
    </format>
    <format dxfId="288">
      <pivotArea type="origin" dataOnly="0" labelOnly="1" outline="0" fieldPosition="0"/>
    </format>
    <format dxfId="289">
      <pivotArea field="53" type="button" dataOnly="0" labelOnly="1" outline="0" axis="axisCol" fieldPosition="0"/>
    </format>
    <format dxfId="290">
      <pivotArea type="topRight" dataOnly="0" labelOnly="1" outline="0" fieldPosition="0"/>
    </format>
    <format dxfId="291">
      <pivotArea field="37" type="button" dataOnly="0" labelOnly="1" outline="0" axis="axisRow" fieldPosition="0"/>
    </format>
    <format dxfId="292">
      <pivotArea dataOnly="0" labelOnly="1" outline="0" fieldPosition="0">
        <references count="1">
          <reference field="37" count="0"/>
        </references>
      </pivotArea>
    </format>
    <format dxfId="293">
      <pivotArea dataOnly="0" labelOnly="1" grandRow="1" outline="0" fieldPosition="0"/>
    </format>
    <format dxfId="294">
      <pivotArea dataOnly="0" labelOnly="1" outline="0" fieldPosition="0">
        <references count="1">
          <reference field="53" count="0"/>
        </references>
      </pivotArea>
    </format>
    <format dxfId="295">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18AB3B77-E476-4549-9817-3579FDC92C13}" name="PivotTable17"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R43:BU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53"/>
  </rowFields>
  <rowItems count="3">
    <i>
      <x/>
    </i>
    <i>
      <x v="1"/>
    </i>
    <i t="grand">
      <x/>
    </i>
  </rowItems>
  <colFields count="1">
    <field x="51"/>
  </colFields>
  <colItems count="3">
    <i>
      <x/>
    </i>
    <i>
      <x v="1"/>
    </i>
    <i t="grand">
      <x/>
    </i>
  </colItems>
  <dataFields count="1">
    <dataField name="Count of Subject #" fld="0" subtotal="count" baseField="0" baseItem="0"/>
  </dataFields>
  <formats count="10">
    <format dxfId="276">
      <pivotArea type="all" dataOnly="0" outline="0" fieldPosition="0"/>
    </format>
    <format dxfId="277">
      <pivotArea outline="0" collapsedLevelsAreSubtotals="1" fieldPosition="0"/>
    </format>
    <format dxfId="278">
      <pivotArea type="origin" dataOnly="0" labelOnly="1" outline="0" fieldPosition="0"/>
    </format>
    <format dxfId="279">
      <pivotArea field="51" type="button" dataOnly="0" labelOnly="1" outline="0" axis="axisCol" fieldPosition="0"/>
    </format>
    <format dxfId="280">
      <pivotArea type="topRight" dataOnly="0" labelOnly="1" outline="0" fieldPosition="0"/>
    </format>
    <format dxfId="281">
      <pivotArea field="53" type="button" dataOnly="0" labelOnly="1" outline="0" axis="axisRow" fieldPosition="0"/>
    </format>
    <format dxfId="282">
      <pivotArea dataOnly="0" labelOnly="1" outline="0" fieldPosition="0">
        <references count="1">
          <reference field="53" count="0"/>
        </references>
      </pivotArea>
    </format>
    <format dxfId="283">
      <pivotArea dataOnly="0" labelOnly="1" grandRow="1" outline="0" fieldPosition="0"/>
    </format>
    <format dxfId="284">
      <pivotArea dataOnly="0" labelOnly="1" outline="0" fieldPosition="0">
        <references count="1">
          <reference field="51" count="0"/>
        </references>
      </pivotArea>
    </format>
    <format dxfId="285">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BEA2DDD5-C38A-438C-8F13-4473830A41B9}" name="PivotTable66"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N58:AQ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8"/>
  </rowFields>
  <rowItems count="3">
    <i>
      <x/>
    </i>
    <i>
      <x v="1"/>
    </i>
    <i t="grand">
      <x/>
    </i>
  </rowItems>
  <colFields count="1">
    <field x="52"/>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47998C21-75D9-4FC6-965F-C9C0F62E6059}" name="PivotTable6"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H28:BK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6"/>
  </rowFields>
  <rowItems count="3">
    <i>
      <x/>
    </i>
    <i>
      <x v="1"/>
    </i>
    <i t="grand">
      <x/>
    </i>
  </rowItems>
  <colFields count="1">
    <field x="5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B8C0BA96-1C22-448B-97DA-EA82482C5CF1}" name="PivotTable10"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S43:AV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2"/>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5D5A20D7-0CC0-428B-804E-BAB695C70C5C}" name="PivotTable102" cacheId="8417"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J60:M64" firstHeaderRow="1" firstDataRow="2" firstDataCol="1"/>
  <pivotFields count="59">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s>
  <rowFields count="1">
    <field x="53"/>
  </rowFields>
  <rowItems count="3">
    <i>
      <x/>
    </i>
    <i>
      <x v="1"/>
    </i>
    <i t="grand">
      <x/>
    </i>
  </rowItems>
  <colFields count="1">
    <field x="49"/>
  </colFields>
  <colItems count="3">
    <i>
      <x/>
    </i>
    <i>
      <x v="1"/>
    </i>
    <i t="grand">
      <x/>
    </i>
  </colItems>
  <dataFields count="1">
    <dataField name="Count of Subject #" fld="0" subtotal="count" baseField="0" baseItem="0"/>
  </dataFields>
  <formats count="10">
    <format dxfId="266">
      <pivotArea type="all" dataOnly="0" outline="0" fieldPosition="0"/>
    </format>
    <format dxfId="267">
      <pivotArea outline="0" collapsedLevelsAreSubtotals="1" fieldPosition="0"/>
    </format>
    <format dxfId="268">
      <pivotArea type="origin" dataOnly="0" labelOnly="1" outline="0" fieldPosition="0"/>
    </format>
    <format dxfId="269">
      <pivotArea field="49" type="button" dataOnly="0" labelOnly="1" outline="0" axis="axisCol" fieldPosition="0"/>
    </format>
    <format dxfId="270">
      <pivotArea type="topRight" dataOnly="0" labelOnly="1" outline="0" fieldPosition="0"/>
    </format>
    <format dxfId="271">
      <pivotArea field="53" type="button" dataOnly="0" labelOnly="1" outline="0" axis="axisRow" fieldPosition="0"/>
    </format>
    <format dxfId="272">
      <pivotArea dataOnly="0" labelOnly="1" outline="0" fieldPosition="0">
        <references count="1">
          <reference field="53" count="0"/>
        </references>
      </pivotArea>
    </format>
    <format dxfId="273">
      <pivotArea dataOnly="0" labelOnly="1" grandRow="1" outline="0" fieldPosition="0"/>
    </format>
    <format dxfId="274">
      <pivotArea dataOnly="0" labelOnly="1" outline="0" fieldPosition="0">
        <references count="1">
          <reference field="49" count="0"/>
        </references>
      </pivotArea>
    </format>
    <format dxfId="275">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F5006DC5-2C0C-46DD-BA4D-8EB7B67B3C01}" name="PivotTable1" cacheId="8418"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M56:P60" firstHeaderRow="1" firstDataRow="2" firstDataCol="1"/>
  <pivotFields count="59">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s>
  <rowFields count="1">
    <field x="53"/>
  </rowFields>
  <rowItems count="3">
    <i>
      <x/>
    </i>
    <i>
      <x v="1"/>
    </i>
    <i t="grand">
      <x/>
    </i>
  </rowItems>
  <colFields count="1">
    <field x="49"/>
  </colFields>
  <colItems count="3">
    <i>
      <x/>
    </i>
    <i>
      <x v="1"/>
    </i>
    <i t="grand">
      <x/>
    </i>
  </colItems>
  <dataFields count="1">
    <dataField name="Count of Subject #" fld="0" subtotal="count" baseField="0" baseItem="0"/>
  </dataFields>
  <formats count="10">
    <format dxfId="256">
      <pivotArea type="all" dataOnly="0" outline="0" fieldPosition="0"/>
    </format>
    <format dxfId="257">
      <pivotArea outline="0" collapsedLevelsAreSubtotals="1" fieldPosition="0"/>
    </format>
    <format dxfId="258">
      <pivotArea type="origin" dataOnly="0" labelOnly="1" outline="0" fieldPosition="0"/>
    </format>
    <format dxfId="259">
      <pivotArea field="49" type="button" dataOnly="0" labelOnly="1" outline="0" axis="axisCol" fieldPosition="0"/>
    </format>
    <format dxfId="260">
      <pivotArea type="topRight" dataOnly="0" labelOnly="1" outline="0" fieldPosition="0"/>
    </format>
    <format dxfId="261">
      <pivotArea field="53" type="button" dataOnly="0" labelOnly="1" outline="0" axis="axisRow" fieldPosition="0"/>
    </format>
    <format dxfId="262">
      <pivotArea dataOnly="0" labelOnly="1" outline="0" fieldPosition="0">
        <references count="1">
          <reference field="53" count="0"/>
        </references>
      </pivotArea>
    </format>
    <format dxfId="263">
      <pivotArea dataOnly="0" labelOnly="1" grandRow="1" outline="0" fieldPosition="0"/>
    </format>
    <format dxfId="264">
      <pivotArea dataOnly="0" labelOnly="1" outline="0" fieldPosition="0">
        <references count="1">
          <reference field="49" count="0"/>
        </references>
      </pivotArea>
    </format>
    <format dxfId="265">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649BB14-5A2C-464A-9836-B40700D03FCA}" name="PivotTable70"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H58:BK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6"/>
  </rowFields>
  <rowItems count="3">
    <i>
      <x/>
    </i>
    <i>
      <x v="1"/>
    </i>
    <i t="grand">
      <x/>
    </i>
  </rowItems>
  <colFields count="1">
    <field x="52"/>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6AF12B69-1DE2-4F46-A58B-440BECEE6EA9}" name="PivotTable56" cacheId="8416"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G106:J110" firstHeaderRow="1" firstDataRow="2" firstDataCol="1"/>
  <pivotFields count="55">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s>
  <rowFields count="1">
    <field x="51"/>
  </rowFields>
  <rowItems count="3">
    <i>
      <x/>
    </i>
    <i>
      <x v="1"/>
    </i>
    <i t="grand">
      <x/>
    </i>
  </rowItems>
  <colFields count="1">
    <field x="4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BFE6D16D-AE19-4FEF-9DC9-02BEB089D843}" name="PivotTable55" cacheId="8416"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106:E110" firstHeaderRow="1" firstDataRow="2" firstDataCol="1"/>
  <pivotFields count="55">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s>
  <rowFields count="1">
    <field x="50"/>
  </rowFields>
  <rowItems count="3">
    <i>
      <x/>
    </i>
    <i>
      <x v="1"/>
    </i>
    <i t="grand">
      <x/>
    </i>
  </rowItems>
  <colFields count="1">
    <field x="4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B4C7DED9-E590-4473-B2A4-10841B907B25}" name="PivotTable57" cacheId="8416"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L106:O110" firstHeaderRow="1" firstDataRow="2" firstDataCol="1"/>
  <pivotFields count="55">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5"/>
  </rowFields>
  <rowItems count="3">
    <i>
      <x/>
    </i>
    <i>
      <x v="1"/>
    </i>
    <i t="grand">
      <x/>
    </i>
  </rowItems>
  <colFields count="1">
    <field x="4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D5CDC70B-8E7D-478B-A576-FDA12C4F6263}" name="PivotTable3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P79:S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43"/>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9B058B80-51A2-4A66-B2BA-98188BA0AB58}" name="PivotTable6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H79:CK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19"/>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E8146D6E-C337-4456-A14E-0D1612B9E2BC}" name="PivotTable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E3:AH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7"/>
  </rowFields>
  <rowItems count="3">
    <i>
      <x/>
    </i>
    <i>
      <x v="1"/>
    </i>
    <i t="grand">
      <x/>
    </i>
  </rowItems>
  <colFields count="1">
    <field x="49"/>
  </colFields>
  <colItems count="3">
    <i>
      <x/>
    </i>
    <i>
      <x v="1"/>
    </i>
    <i t="grand">
      <x/>
    </i>
  </colItems>
  <dataFields count="1">
    <dataField name="Count of Subject #" fld="0" subtotal="count" baseField="0" baseItem="0"/>
  </dataFields>
  <formats count="11">
    <format dxfId="245">
      <pivotArea outline="0" fieldPosition="0">
        <references count="2">
          <reference field="37" count="1" selected="0">
            <x v="1"/>
          </reference>
          <reference field="49" count="1" selected="0">
            <x v="1"/>
          </reference>
        </references>
      </pivotArea>
    </format>
    <format dxfId="246">
      <pivotArea type="all" dataOnly="0" outline="0" fieldPosition="0"/>
    </format>
    <format dxfId="247">
      <pivotArea outline="0" collapsedLevelsAreSubtotals="1" fieldPosition="0"/>
    </format>
    <format dxfId="248">
      <pivotArea type="origin" dataOnly="0" labelOnly="1" outline="0" fieldPosition="0"/>
    </format>
    <format dxfId="249">
      <pivotArea field="49" type="button" dataOnly="0" labelOnly="1" outline="0" axis="axisCol" fieldPosition="0"/>
    </format>
    <format dxfId="250">
      <pivotArea type="topRight" dataOnly="0" labelOnly="1" outline="0" fieldPosition="0"/>
    </format>
    <format dxfId="251">
      <pivotArea field="37" type="button" dataOnly="0" labelOnly="1" outline="0" axis="axisRow" fieldPosition="0"/>
    </format>
    <format dxfId="252">
      <pivotArea dataOnly="0" labelOnly="1" outline="0" fieldPosition="0">
        <references count="1">
          <reference field="37" count="0"/>
        </references>
      </pivotArea>
    </format>
    <format dxfId="253">
      <pivotArea dataOnly="0" labelOnly="1" grandRow="1" outline="0" fieldPosition="0"/>
    </format>
    <format dxfId="254">
      <pivotArea dataOnly="0" labelOnly="1" outline="0" fieldPosition="0">
        <references count="1">
          <reference field="49" count="0"/>
        </references>
      </pivotArea>
    </format>
    <format dxfId="255">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99D42B84-51BB-4C25-80A2-C432F4664ED3}" name="PivotTable3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Y79:BB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axis="axisRow" compact="0" outline="0" showAll="0">
      <items count="3">
        <item x="1"/>
        <item x="0"/>
        <item t="default"/>
      </items>
    </pivotField>
  </pivotFields>
  <rowFields count="1">
    <field x="60"/>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BB55B590-4282-4307-8D98-18403E9A7B6E}" name="PivotTable6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M79:CP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20"/>
  </rowFields>
  <rowItems count="3">
    <i>
      <x/>
    </i>
    <i>
      <x v="1"/>
    </i>
    <i t="grand">
      <x/>
    </i>
  </rowItems>
  <colFields count="1">
    <field x="59"/>
  </colFields>
  <colItems count="3">
    <i>
      <x/>
    </i>
    <i>
      <x v="1"/>
    </i>
    <i t="grand">
      <x/>
    </i>
  </colItems>
  <dataFields count="1">
    <dataField name="Count of Subject #" fld="0" subtotal="count" baseField="0" baseItem="0"/>
  </dataFields>
  <formats count="10">
    <format dxfId="235">
      <pivotArea type="all" dataOnly="0" outline="0" fieldPosition="0"/>
    </format>
    <format dxfId="236">
      <pivotArea outline="0" collapsedLevelsAreSubtotals="1" fieldPosition="0"/>
    </format>
    <format dxfId="237">
      <pivotArea type="origin" dataOnly="0" labelOnly="1" outline="0" fieldPosition="0"/>
    </format>
    <format dxfId="238">
      <pivotArea field="59" type="button" dataOnly="0" labelOnly="1" outline="0" axis="axisCol" fieldPosition="0"/>
    </format>
    <format dxfId="239">
      <pivotArea type="topRight" dataOnly="0" labelOnly="1" outline="0" fieldPosition="0"/>
    </format>
    <format dxfId="240">
      <pivotArea field="20" type="button" dataOnly="0" labelOnly="1" outline="0" axis="axisRow" fieldPosition="0"/>
    </format>
    <format dxfId="241">
      <pivotArea dataOnly="0" labelOnly="1" outline="0" fieldPosition="0">
        <references count="1">
          <reference field="20" count="0"/>
        </references>
      </pivotArea>
    </format>
    <format dxfId="242">
      <pivotArea dataOnly="0" labelOnly="1" grandRow="1" outline="0" fieldPosition="0"/>
    </format>
    <format dxfId="243">
      <pivotArea dataOnly="0" labelOnly="1" outline="0" fieldPosition="0">
        <references count="1">
          <reference field="59" count="0"/>
        </references>
      </pivotArea>
    </format>
    <format dxfId="244">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8.xml><?xml version="1.0" encoding="utf-8"?>
<pivotTableDefinition xmlns="http://schemas.openxmlformats.org/spreadsheetml/2006/main" xmlns:mc="http://schemas.openxmlformats.org/markup-compatibility/2006" xmlns:xr="http://schemas.microsoft.com/office/spreadsheetml/2014/revision" mc:Ignorable="xr" xr:uid="{AE92B22D-48A3-44E5-A346-9202789F4514}" name="PivotTable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D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8"/>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9.xml><?xml version="1.0" encoding="utf-8"?>
<pivotTableDefinition xmlns="http://schemas.openxmlformats.org/spreadsheetml/2006/main" xmlns:mc="http://schemas.openxmlformats.org/markup-compatibility/2006" xmlns:xr="http://schemas.microsoft.com/office/spreadsheetml/2014/revision" mc:Ignorable="xr" xr:uid="{5EEC318B-C042-46B7-8DCC-6805136B0198}" name="PivotTable4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N3:BQ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0"/>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58D271D-A7B3-4248-9693-319EBD5A1996}" name="PivotTable53"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M58:BP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s>
  <rowFields count="1">
    <field x="58"/>
  </rowFields>
  <rowItems count="3">
    <i>
      <x/>
    </i>
    <i>
      <x v="1"/>
    </i>
    <i t="grand">
      <x/>
    </i>
  </rowItems>
  <colFields count="1">
    <field x="52"/>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0.xml><?xml version="1.0" encoding="utf-8"?>
<pivotTableDefinition xmlns="http://schemas.openxmlformats.org/spreadsheetml/2006/main" xmlns:mc="http://schemas.openxmlformats.org/markup-compatibility/2006" xmlns:xr="http://schemas.microsoft.com/office/spreadsheetml/2014/revision" mc:Ignorable="xr" xr:uid="{0FE1FEB1-FBCE-4C30-BB96-CB51771A9441}" name="PivotTable4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S3:BV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1"/>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1.xml><?xml version="1.0" encoding="utf-8"?>
<pivotTableDefinition xmlns="http://schemas.openxmlformats.org/spreadsheetml/2006/main" xmlns:mc="http://schemas.openxmlformats.org/markup-compatibility/2006" xmlns:xr="http://schemas.microsoft.com/office/spreadsheetml/2014/revision" mc:Ignorable="xr" xr:uid="{AE6773EE-C391-4014-A149-FE943A1A0A6B}" name="PivotTable1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
  <location ref="K41:N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39"/>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2.xml><?xml version="1.0" encoding="utf-8"?>
<pivotTableDefinition xmlns="http://schemas.openxmlformats.org/spreadsheetml/2006/main" xmlns:mc="http://schemas.openxmlformats.org/markup-compatibility/2006" xmlns:xr="http://schemas.microsoft.com/office/spreadsheetml/2014/revision" mc:Ignorable="xr" xr:uid="{8D2666C8-ABA1-45EB-B135-E8F623DE710D}" name="PivotTable2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Z41:AC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axis="axisCol" compact="0" outline="0" showAll="0">
      <items count="3">
        <item x="0"/>
        <item x="1"/>
        <item t="default"/>
      </items>
    </pivotField>
    <pivotField compact="0" outline="0" showAll="0"/>
    <pivotField compact="0" outline="0" showAll="0"/>
  </pivotFields>
  <rowFields count="1">
    <field x="57"/>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3.xml><?xml version="1.0" encoding="utf-8"?>
<pivotTableDefinition xmlns="http://schemas.openxmlformats.org/spreadsheetml/2006/main" xmlns:mc="http://schemas.openxmlformats.org/markup-compatibility/2006" xmlns:xr="http://schemas.microsoft.com/office/spreadsheetml/2014/revision" mc:Ignorable="xr" xr:uid="{2B15D093-0405-4CB9-A515-D241A0EEB2B8}" name="PivotTable1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I3:BL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s>
  <rowFields count="1">
    <field x="59"/>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4.xml><?xml version="1.0" encoding="utf-8"?>
<pivotTableDefinition xmlns="http://schemas.openxmlformats.org/spreadsheetml/2006/main" xmlns:mc="http://schemas.openxmlformats.org/markup-compatibility/2006" xmlns:xr="http://schemas.microsoft.com/office/spreadsheetml/2014/revision" mc:Ignorable="xr" xr:uid="{CA99C5CF-E256-450D-99DE-F2CD628F18A5}" name="PivotTable7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M117:AP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8"/>
  </rowFields>
  <rowItems count="3">
    <i>
      <x/>
    </i>
    <i>
      <x v="1"/>
    </i>
    <i t="grand">
      <x/>
    </i>
  </rowItems>
  <colFields count="1">
    <field x="3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5.xml><?xml version="1.0" encoding="utf-8"?>
<pivotTableDefinition xmlns="http://schemas.openxmlformats.org/spreadsheetml/2006/main" xmlns:mc="http://schemas.openxmlformats.org/markup-compatibility/2006" xmlns:xr="http://schemas.microsoft.com/office/spreadsheetml/2014/revision" mc:Ignorable="xr" xr:uid="{D2798D78-51F8-47BB-902E-EA7F6337A72B}" name="PivotTable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U3:X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s>
  <rowFields count="1">
    <field x="56"/>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6.xml><?xml version="1.0" encoding="utf-8"?>
<pivotTableDefinition xmlns="http://schemas.openxmlformats.org/spreadsheetml/2006/main" xmlns:mc="http://schemas.openxmlformats.org/markup-compatibility/2006" xmlns:xr="http://schemas.microsoft.com/office/spreadsheetml/2014/revision" mc:Ignorable="xr" xr:uid="{CA532993-887D-4CA5-A684-34AD8FA1DD68}" name="PivotTable4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117:E121" firstHeaderRow="1" firstDataRow="2" firstDataCol="1"/>
  <pivotFields count="61">
    <pivotField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dataField="1" compact="0" outline="0" showAll="0">
      <items count="4">
        <item x="0"/>
        <item x="1"/>
        <item x="2"/>
        <item t="default"/>
      </items>
    </pivotField>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9"/>
  </rowFields>
  <rowItems count="3">
    <i>
      <x/>
    </i>
    <i>
      <x v="1"/>
    </i>
    <i t="grand">
      <x/>
    </i>
  </rowItems>
  <colFields count="1">
    <field x="46"/>
  </colFields>
  <colItems count="4">
    <i>
      <x/>
    </i>
    <i>
      <x v="1"/>
    </i>
    <i>
      <x v="2"/>
    </i>
    <i t="grand">
      <x/>
    </i>
  </colItems>
  <dataFields count="1">
    <dataField name="Count of TTE new valvular veg?" fld="46"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7.xml><?xml version="1.0" encoding="utf-8"?>
<pivotTableDefinition xmlns="http://schemas.openxmlformats.org/spreadsheetml/2006/main" xmlns:mc="http://schemas.openxmlformats.org/markup-compatibility/2006" xmlns:xr="http://schemas.microsoft.com/office/spreadsheetml/2014/revision" mc:Ignorable="xr" xr:uid="{FBB53AB4-9E79-4EC5-828E-78C2C862B8C4}" name="PivotTable7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N117:Q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7"/>
  </rowFields>
  <rowItems count="3">
    <i>
      <x/>
    </i>
    <i>
      <x v="1"/>
    </i>
    <i t="grand">
      <x/>
    </i>
  </rowItems>
  <colFields count="1">
    <field x="3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8.xml><?xml version="1.0" encoding="utf-8"?>
<pivotTableDefinition xmlns="http://schemas.openxmlformats.org/spreadsheetml/2006/main" xmlns:mc="http://schemas.openxmlformats.org/markup-compatibility/2006" xmlns:xr="http://schemas.microsoft.com/office/spreadsheetml/2014/revision" mc:Ignorable="xr" xr:uid="{90D27D76-C4D2-4CCC-A764-5F7A99128CB0}" name="PivotTable5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M3:CP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0"/>
  </rowFields>
  <rowItems count="3">
    <i>
      <x/>
    </i>
    <i>
      <x v="1"/>
    </i>
    <i t="grand">
      <x/>
    </i>
  </rowItems>
  <colFields count="1">
    <field x="49"/>
  </colFields>
  <colItems count="3">
    <i>
      <x/>
    </i>
    <i>
      <x v="1"/>
    </i>
    <i t="grand">
      <x/>
    </i>
  </colItems>
  <dataFields count="1">
    <dataField name="Count of Subject #" fld="0" subtotal="count" baseField="0" baseItem="0"/>
  </dataFields>
  <formats count="10">
    <format dxfId="225">
      <pivotArea type="all" dataOnly="0" outline="0" fieldPosition="0"/>
    </format>
    <format dxfId="226">
      <pivotArea outline="0" collapsedLevelsAreSubtotals="1" fieldPosition="0"/>
    </format>
    <format dxfId="227">
      <pivotArea type="origin" dataOnly="0" labelOnly="1" outline="0" fieldPosition="0"/>
    </format>
    <format dxfId="228">
      <pivotArea field="49" type="button" dataOnly="0" labelOnly="1" outline="0" axis="axisCol" fieldPosition="0"/>
    </format>
    <format dxfId="229">
      <pivotArea type="topRight" dataOnly="0" labelOnly="1" outline="0" fieldPosition="0"/>
    </format>
    <format dxfId="230">
      <pivotArea field="20" type="button" dataOnly="0" labelOnly="1" outline="0" axis="axisRow" fieldPosition="0"/>
    </format>
    <format dxfId="231">
      <pivotArea dataOnly="0" labelOnly="1" outline="0" fieldPosition="0">
        <references count="1">
          <reference field="20" count="0"/>
        </references>
      </pivotArea>
    </format>
    <format dxfId="232">
      <pivotArea dataOnly="0" labelOnly="1" grandRow="1" outline="0" fieldPosition="0"/>
    </format>
    <format dxfId="233">
      <pivotArea dataOnly="0" labelOnly="1" outline="0" fieldPosition="0">
        <references count="1">
          <reference field="49" count="0"/>
        </references>
      </pivotArea>
    </format>
    <format dxfId="234">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9.xml><?xml version="1.0" encoding="utf-8"?>
<pivotTableDefinition xmlns="http://schemas.openxmlformats.org/spreadsheetml/2006/main" xmlns:mc="http://schemas.openxmlformats.org/markup-compatibility/2006" xmlns:xr="http://schemas.microsoft.com/office/spreadsheetml/2014/revision" mc:Ignorable="xr" xr:uid="{A98A1818-2DC1-4E19-866A-419A6CEADD69}" name="PivotTable4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S41:BV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41"/>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69BDC70-0C00-42B5-8E32-E98FF1C5FE2A}" name="PivotTable14"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N28:AQ3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8"/>
  </rowFields>
  <rowItems count="3">
    <i>
      <x/>
    </i>
    <i>
      <x v="1"/>
    </i>
    <i t="grand">
      <x/>
    </i>
  </rowItems>
  <colFields count="1">
    <field x="53"/>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0.xml><?xml version="1.0" encoding="utf-8"?>
<pivotTableDefinition xmlns="http://schemas.openxmlformats.org/spreadsheetml/2006/main" xmlns:mc="http://schemas.openxmlformats.org/markup-compatibility/2006" xmlns:xr="http://schemas.microsoft.com/office/spreadsheetml/2014/revision" mc:Ignorable="xr" xr:uid="{AC77A36D-C14B-4AD9-BAD3-AC868DBB39AD}" name="PivotTable2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T41:AW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38"/>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1.xml><?xml version="1.0" encoding="utf-8"?>
<pivotTableDefinition xmlns="http://schemas.openxmlformats.org/spreadsheetml/2006/main" xmlns:mc="http://schemas.openxmlformats.org/markup-compatibility/2006" xmlns:xr="http://schemas.microsoft.com/office/spreadsheetml/2014/revision" mc:Ignorable="xr" xr:uid="{C4816042-46DA-42C0-A3D9-62BF1CFB2633}" name="PivotTable8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W41:CZ4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axis="axisRow" compact="0" outline="0" showAll="0">
      <items count="5">
        <item x="0"/>
        <item x="1"/>
        <item x="3"/>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7"/>
  </rowFields>
  <rowItems count="5">
    <i>
      <x/>
    </i>
    <i>
      <x v="1"/>
    </i>
    <i>
      <x v="2"/>
    </i>
    <i>
      <x v="3"/>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2.xml><?xml version="1.0" encoding="utf-8"?>
<pivotTableDefinition xmlns="http://schemas.openxmlformats.org/spreadsheetml/2006/main" xmlns:mc="http://schemas.openxmlformats.org/markup-compatibility/2006" xmlns:xr="http://schemas.microsoft.com/office/spreadsheetml/2014/revision" mc:Ignorable="xr" xr:uid="{4CCCC2F5-D995-418F-8B0E-5CC4CB65BE0B}" name="PivotTable5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G3:DJ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1"/>
  </rowFields>
  <rowItems count="3">
    <i>
      <x/>
    </i>
    <i>
      <x v="1"/>
    </i>
    <i t="grand">
      <x/>
    </i>
  </rowItems>
  <colFields count="1">
    <field x="49"/>
  </colFields>
  <colItems count="3">
    <i>
      <x/>
    </i>
    <i>
      <x v="1"/>
    </i>
    <i t="grand">
      <x/>
    </i>
  </colItems>
  <dataFields count="1">
    <dataField name="Count of Subject #" fld="0" subtotal="count" baseField="0" baseItem="0"/>
  </dataFields>
  <formats count="10">
    <format dxfId="215">
      <pivotArea type="all" dataOnly="0" outline="0" fieldPosition="0"/>
    </format>
    <format dxfId="216">
      <pivotArea outline="0" collapsedLevelsAreSubtotals="1" fieldPosition="0"/>
    </format>
    <format dxfId="217">
      <pivotArea type="origin" dataOnly="0" labelOnly="1" outline="0" fieldPosition="0"/>
    </format>
    <format dxfId="218">
      <pivotArea field="49" type="button" dataOnly="0" labelOnly="1" outline="0" axis="axisCol" fieldPosition="0"/>
    </format>
    <format dxfId="219">
      <pivotArea type="topRight" dataOnly="0" labelOnly="1" outline="0" fieldPosition="0"/>
    </format>
    <format dxfId="220">
      <pivotArea field="11" type="button" dataOnly="0" labelOnly="1" outline="0" axis="axisRow" fieldPosition="0"/>
    </format>
    <format dxfId="221">
      <pivotArea dataOnly="0" labelOnly="1" outline="0" fieldPosition="0">
        <references count="1">
          <reference field="11" count="0"/>
        </references>
      </pivotArea>
    </format>
    <format dxfId="222">
      <pivotArea dataOnly="0" labelOnly="1" grandRow="1" outline="0" fieldPosition="0"/>
    </format>
    <format dxfId="223">
      <pivotArea dataOnly="0" labelOnly="1" outline="0" fieldPosition="0">
        <references count="1">
          <reference field="49" count="0"/>
        </references>
      </pivotArea>
    </format>
    <format dxfId="224">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3.xml><?xml version="1.0" encoding="utf-8"?>
<pivotTableDefinition xmlns="http://schemas.openxmlformats.org/spreadsheetml/2006/main" xmlns:mc="http://schemas.openxmlformats.org/markup-compatibility/2006" xmlns:xr="http://schemas.microsoft.com/office/spreadsheetml/2014/revision" mc:Ignorable="xr" xr:uid="{049A2DD1-F9AE-4BDF-862D-346982BF63FB}" name="PivotTable8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G41:DJ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11"/>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4.xml><?xml version="1.0" encoding="utf-8"?>
<pivotTableDefinition xmlns="http://schemas.openxmlformats.org/spreadsheetml/2006/main" xmlns:mc="http://schemas.openxmlformats.org/markup-compatibility/2006" xmlns:xr="http://schemas.microsoft.com/office/spreadsheetml/2014/revision" mc:Ignorable="xr" xr:uid="{FB37E1B7-CD34-4E96-9C08-C15FB04BFDB6}" name="PivotTable2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F79:I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26"/>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5.xml><?xml version="1.0" encoding="utf-8"?>
<pivotTableDefinition xmlns="http://schemas.openxmlformats.org/spreadsheetml/2006/main" xmlns:mc="http://schemas.openxmlformats.org/markup-compatibility/2006" xmlns:xr="http://schemas.microsoft.com/office/spreadsheetml/2014/revision" mc:Ignorable="xr" xr:uid="{B3F5DE77-F6C0-4D54-89E8-B7FE78B23C45}" name="PivotTable9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V3:DY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4"/>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6.xml><?xml version="1.0" encoding="utf-8"?>
<pivotTableDefinition xmlns="http://schemas.openxmlformats.org/spreadsheetml/2006/main" xmlns:mc="http://schemas.openxmlformats.org/markup-compatibility/2006" xmlns:xr="http://schemas.microsoft.com/office/spreadsheetml/2014/revision" mc:Ignorable="xr" xr:uid="{D1B546C0-C099-4F22-B23D-B2D6006963B5}" name="PivotTable8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R3:CU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6"/>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7.xml><?xml version="1.0" encoding="utf-8"?>
<pivotTableDefinition xmlns="http://schemas.openxmlformats.org/spreadsheetml/2006/main" xmlns:mc="http://schemas.openxmlformats.org/markup-compatibility/2006" xmlns:xr="http://schemas.microsoft.com/office/spreadsheetml/2014/revision" mc:Ignorable="xr" xr:uid="{30D1AC3D-4324-4879-934D-FD0FB4B47E02}" name="PivotTable9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V79:DY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14"/>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8.xml><?xml version="1.0" encoding="utf-8"?>
<pivotTableDefinition xmlns="http://schemas.openxmlformats.org/spreadsheetml/2006/main" xmlns:mc="http://schemas.openxmlformats.org/markup-compatibility/2006" xmlns:xr="http://schemas.microsoft.com/office/spreadsheetml/2014/revision" mc:Ignorable="xr" xr:uid="{2D0D3269-4257-40FD-9154-92B2881C0C00}" name="PivotTable4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N41:BQ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40"/>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9.xml><?xml version="1.0" encoding="utf-8"?>
<pivotTableDefinition xmlns="http://schemas.openxmlformats.org/spreadsheetml/2006/main" xmlns:mc="http://schemas.openxmlformats.org/markup-compatibility/2006" xmlns:xr="http://schemas.microsoft.com/office/spreadsheetml/2014/revision" mc:Ignorable="xr" xr:uid="{74E0B4AC-21F7-45FE-A94C-7DDAF43052AE}" name="PivotTable1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41:D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8"/>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DDB6493-E399-4B98-955F-D746BBCBE6B5}" name="PivotTable8"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C43:BF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8"/>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0.xml><?xml version="1.0" encoding="utf-8"?>
<pivotTableDefinition xmlns="http://schemas.openxmlformats.org/spreadsheetml/2006/main" xmlns:mc="http://schemas.openxmlformats.org/markup-compatibility/2006" xmlns:xr="http://schemas.microsoft.com/office/spreadsheetml/2014/revision" mc:Ignorable="xr" xr:uid="{3B1731E4-825D-4E0B-B51E-DBB5C0E7F799}" name="PivotTable5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A117:CD12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axis="axisRow" compact="0" outline="0" showAll="0">
      <items count="5">
        <item x="0"/>
        <item x="1"/>
        <item x="3"/>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7"/>
  </rowFields>
  <rowItems count="5">
    <i>
      <x/>
    </i>
    <i>
      <x v="1"/>
    </i>
    <i>
      <x v="2"/>
    </i>
    <i>
      <x v="3"/>
    </i>
    <i t="grand">
      <x/>
    </i>
  </rowItems>
  <colFields count="1">
    <field x="44"/>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1.xml><?xml version="1.0" encoding="utf-8"?>
<pivotTableDefinition xmlns="http://schemas.openxmlformats.org/spreadsheetml/2006/main" xmlns:mc="http://schemas.openxmlformats.org/markup-compatibility/2006" xmlns:xr="http://schemas.microsoft.com/office/spreadsheetml/2014/revision" mc:Ignorable="xr" xr:uid="{3C3CDA6D-8E62-452B-AF33-00A4C1419AE2}" name="PivotTable1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F41:I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26"/>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2.xml><?xml version="1.0" encoding="utf-8"?>
<pivotTableDefinition xmlns="http://schemas.openxmlformats.org/spreadsheetml/2006/main" xmlns:mc="http://schemas.openxmlformats.org/markup-compatibility/2006" xmlns:xr="http://schemas.microsoft.com/office/spreadsheetml/2014/revision" mc:Ignorable="xr" xr:uid="{D3156933-7107-45A2-9841-B82816F9C64A}" name="PivotTable1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J79:AM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21"/>
  </rowFields>
  <rowItems count="3">
    <i>
      <x/>
    </i>
    <i>
      <x v="1"/>
    </i>
    <i t="grand">
      <x/>
    </i>
  </rowItems>
  <colFields count="1">
    <field x="59"/>
  </colFields>
  <colItems count="3">
    <i>
      <x/>
    </i>
    <i>
      <x v="1"/>
    </i>
    <i t="grand">
      <x/>
    </i>
  </colItems>
  <dataFields count="1">
    <dataField name="Count of Subject #" fld="0" subtotal="count" baseField="0" baseItem="0"/>
  </dataFields>
  <formats count="10">
    <format dxfId="205">
      <pivotArea type="all" dataOnly="0" outline="0" fieldPosition="0"/>
    </format>
    <format dxfId="206">
      <pivotArea outline="0" collapsedLevelsAreSubtotals="1" fieldPosition="0"/>
    </format>
    <format dxfId="207">
      <pivotArea type="origin" dataOnly="0" labelOnly="1" outline="0" fieldPosition="0"/>
    </format>
    <format dxfId="208">
      <pivotArea field="59" type="button" dataOnly="0" labelOnly="1" outline="0" axis="axisCol" fieldPosition="0"/>
    </format>
    <format dxfId="209">
      <pivotArea type="topRight" dataOnly="0" labelOnly="1" outline="0" fieldPosition="0"/>
    </format>
    <format dxfId="210">
      <pivotArea field="21" type="button" dataOnly="0" labelOnly="1" outline="0" axis="axisRow" fieldPosition="0"/>
    </format>
    <format dxfId="211">
      <pivotArea dataOnly="0" labelOnly="1" outline="0" fieldPosition="0">
        <references count="1">
          <reference field="21" count="0"/>
        </references>
      </pivotArea>
    </format>
    <format dxfId="212">
      <pivotArea dataOnly="0" labelOnly="1" grandRow="1" outline="0" fieldPosition="0"/>
    </format>
    <format dxfId="213">
      <pivotArea dataOnly="0" labelOnly="1" outline="0" fieldPosition="0">
        <references count="1">
          <reference field="59" count="0"/>
        </references>
      </pivotArea>
    </format>
    <format dxfId="214">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3.xml><?xml version="1.0" encoding="utf-8"?>
<pivotTableDefinition xmlns="http://schemas.openxmlformats.org/spreadsheetml/2006/main" xmlns:mc="http://schemas.openxmlformats.org/markup-compatibility/2006" xmlns:xr="http://schemas.microsoft.com/office/spreadsheetml/2014/revision" mc:Ignorable="xr" xr:uid="{183D1F35-5033-45BD-9A60-37D1A9488759}" name="PivotTable2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J41:AM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21"/>
  </rowFields>
  <rowItems count="3">
    <i>
      <x/>
    </i>
    <i>
      <x v="1"/>
    </i>
    <i t="grand">
      <x/>
    </i>
  </rowItems>
  <colFields count="1">
    <field x="58"/>
  </colFields>
  <colItems count="3">
    <i>
      <x/>
    </i>
    <i>
      <x v="1"/>
    </i>
    <i t="grand">
      <x/>
    </i>
  </colItems>
  <dataFields count="1">
    <dataField name="Count of Subject #" fld="0" subtotal="count" baseField="0" baseItem="0"/>
  </dataFields>
  <formats count="10">
    <format dxfId="195">
      <pivotArea type="all" dataOnly="0" outline="0" fieldPosition="0"/>
    </format>
    <format dxfId="196">
      <pivotArea outline="0" collapsedLevelsAreSubtotals="1" fieldPosition="0"/>
    </format>
    <format dxfId="197">
      <pivotArea type="origin" dataOnly="0" labelOnly="1" outline="0" fieldPosition="0"/>
    </format>
    <format dxfId="198">
      <pivotArea field="58" type="button" dataOnly="0" labelOnly="1" outline="0" axis="axisCol" fieldPosition="0"/>
    </format>
    <format dxfId="199">
      <pivotArea type="topRight" dataOnly="0" labelOnly="1" outline="0" fieldPosition="0"/>
    </format>
    <format dxfId="200">
      <pivotArea field="21" type="button" dataOnly="0" labelOnly="1" outline="0" axis="axisRow" fieldPosition="0"/>
    </format>
    <format dxfId="201">
      <pivotArea dataOnly="0" labelOnly="1" outline="0" fieldPosition="0">
        <references count="1">
          <reference field="21" count="0"/>
        </references>
      </pivotArea>
    </format>
    <format dxfId="202">
      <pivotArea dataOnly="0" labelOnly="1" grandRow="1" outline="0" fieldPosition="0"/>
    </format>
    <format dxfId="203">
      <pivotArea dataOnly="0" labelOnly="1" outline="0" fieldPosition="0">
        <references count="1">
          <reference field="58" count="0"/>
        </references>
      </pivotArea>
    </format>
    <format dxfId="204">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4.xml><?xml version="1.0" encoding="utf-8"?>
<pivotTableDefinition xmlns="http://schemas.openxmlformats.org/spreadsheetml/2006/main" xmlns:mc="http://schemas.openxmlformats.org/markup-compatibility/2006" xmlns:xr="http://schemas.microsoft.com/office/spreadsheetml/2014/revision" mc:Ignorable="xr" xr:uid="{F76EE3BF-7BE6-499A-9F9A-1D62E9E72DE4}" name="PivotTable5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V117:BY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6"/>
  </rowFields>
  <rowItems count="3">
    <i>
      <x/>
    </i>
    <i>
      <x v="1"/>
    </i>
    <i t="grand">
      <x/>
    </i>
  </rowItems>
  <colFields count="1">
    <field x="44"/>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5.xml><?xml version="1.0" encoding="utf-8"?>
<pivotTableDefinition xmlns="http://schemas.openxmlformats.org/spreadsheetml/2006/main" xmlns:mc="http://schemas.openxmlformats.org/markup-compatibility/2006" xmlns:xr="http://schemas.microsoft.com/office/spreadsheetml/2014/revision" mc:Ignorable="xr" xr:uid="{7AA52DF9-09F2-4A0E-A662-71EB794BADF6}" name="PivotTable9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B79:DE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10"/>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6.xml><?xml version="1.0" encoding="utf-8"?>
<pivotTableDefinition xmlns="http://schemas.openxmlformats.org/spreadsheetml/2006/main" xmlns:mc="http://schemas.openxmlformats.org/markup-compatibility/2006" xmlns:xr="http://schemas.microsoft.com/office/spreadsheetml/2014/revision" mc:Ignorable="xr" xr:uid="{5B50075E-6096-42AF-A4CF-30EF28469D36}" name="PivotTable9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EA41:ED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13"/>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7.xml><?xml version="1.0" encoding="utf-8"?>
<pivotTableDefinition xmlns="http://schemas.openxmlformats.org/spreadsheetml/2006/main" xmlns:mc="http://schemas.openxmlformats.org/markup-compatibility/2006" xmlns:xr="http://schemas.microsoft.com/office/spreadsheetml/2014/revision" mc:Ignorable="xr" xr:uid="{A9059D4F-5FF5-4144-AECD-0CAF47C2D2DF}" name="PivotTable5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L3:DO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9"/>
  </rowFields>
  <rowItems count="3">
    <i>
      <x/>
    </i>
    <i>
      <x v="1"/>
    </i>
    <i t="grand">
      <x/>
    </i>
  </rowItems>
  <colFields count="1">
    <field x="49"/>
  </colFields>
  <colItems count="3">
    <i>
      <x/>
    </i>
    <i>
      <x v="1"/>
    </i>
    <i t="grand">
      <x/>
    </i>
  </colItems>
  <dataFields count="1">
    <dataField name="Count of Subject #" fld="0" subtotal="count" baseField="0" baseItem="0"/>
  </dataFields>
  <formats count="10">
    <format dxfId="185">
      <pivotArea type="all" dataOnly="0" outline="0" fieldPosition="0"/>
    </format>
    <format dxfId="186">
      <pivotArea outline="0" collapsedLevelsAreSubtotals="1" fieldPosition="0"/>
    </format>
    <format dxfId="187">
      <pivotArea type="origin" dataOnly="0" labelOnly="1" outline="0" fieldPosition="0"/>
    </format>
    <format dxfId="188">
      <pivotArea field="49" type="button" dataOnly="0" labelOnly="1" outline="0" axis="axisCol" fieldPosition="0"/>
    </format>
    <format dxfId="189">
      <pivotArea type="topRight" dataOnly="0" labelOnly="1" outline="0" fieldPosition="0"/>
    </format>
    <format dxfId="190">
      <pivotArea field="9" type="button" dataOnly="0" labelOnly="1" outline="0" axis="axisRow" fieldPosition="0"/>
    </format>
    <format dxfId="191">
      <pivotArea dataOnly="0" labelOnly="1" outline="0" fieldPosition="0">
        <references count="1">
          <reference field="9" count="0"/>
        </references>
      </pivotArea>
    </format>
    <format dxfId="192">
      <pivotArea dataOnly="0" labelOnly="1" grandRow="1" outline="0" fieldPosition="0"/>
    </format>
    <format dxfId="193">
      <pivotArea dataOnly="0" labelOnly="1" outline="0" fieldPosition="0">
        <references count="1">
          <reference field="49" count="0"/>
        </references>
      </pivotArea>
    </format>
    <format dxfId="194">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8.xml><?xml version="1.0" encoding="utf-8"?>
<pivotTableDefinition xmlns="http://schemas.openxmlformats.org/spreadsheetml/2006/main" xmlns:mc="http://schemas.openxmlformats.org/markup-compatibility/2006" xmlns:xr="http://schemas.microsoft.com/office/spreadsheetml/2014/revision" mc:Ignorable="xr" xr:uid="{372B9132-1694-4F2B-90BC-C76CA6241EA4}" name="PivotTable7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R117:AU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9"/>
  </rowFields>
  <rowItems count="3">
    <i>
      <x/>
    </i>
    <i>
      <x v="1"/>
    </i>
    <i t="grand">
      <x/>
    </i>
  </rowItems>
  <colFields count="1">
    <field x="3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9.xml><?xml version="1.0" encoding="utf-8"?>
<pivotTableDefinition xmlns="http://schemas.openxmlformats.org/spreadsheetml/2006/main" xmlns:mc="http://schemas.openxmlformats.org/markup-compatibility/2006" xmlns:xr="http://schemas.microsoft.com/office/spreadsheetml/2014/revision" mc:Ignorable="xr" xr:uid="{3BA37A5B-B1F4-42CC-9104-C4D8727DD30E}" name="PivotTable3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D79:BG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44"/>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2BCEA5E-831D-4E00-B421-0745229C20F8}" name="PivotTable64"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D58:AG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s>
  <rowFields count="1">
    <field x="56"/>
  </rowFields>
  <rowItems count="3">
    <i>
      <x/>
    </i>
    <i>
      <x v="1"/>
    </i>
    <i t="grand">
      <x/>
    </i>
  </rowItems>
  <colFields count="1">
    <field x="52"/>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0.xml><?xml version="1.0" encoding="utf-8"?>
<pivotTableDefinition xmlns="http://schemas.openxmlformats.org/spreadsheetml/2006/main" xmlns:mc="http://schemas.openxmlformats.org/markup-compatibility/2006" xmlns:xr="http://schemas.microsoft.com/office/spreadsheetml/2014/revision" mc:Ignorable="xr" xr:uid="{BA25D06E-E87F-42DE-BAFD-3AD108DB4314}" name="PivotTable2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O41:AR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55"/>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1.xml><?xml version="1.0" encoding="utf-8"?>
<pivotTableDefinition xmlns="http://schemas.openxmlformats.org/spreadsheetml/2006/main" xmlns:mc="http://schemas.openxmlformats.org/markup-compatibility/2006" xmlns:xr="http://schemas.microsoft.com/office/spreadsheetml/2014/revision" mc:Ignorable="xr" xr:uid="{E7330717-5336-4C7E-A2AC-C6FB499A2C4D}" name="PivotTable5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B3:DE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0"/>
  </rowFields>
  <rowItems count="3">
    <i>
      <x/>
    </i>
    <i>
      <x v="1"/>
    </i>
    <i t="grand">
      <x/>
    </i>
  </rowItems>
  <colFields count="1">
    <field x="49"/>
  </colFields>
  <colItems count="3">
    <i>
      <x/>
    </i>
    <i>
      <x v="1"/>
    </i>
    <i t="grand">
      <x/>
    </i>
  </colItems>
  <dataFields count="1">
    <dataField name="Count of Subject #" fld="0" subtotal="count" baseField="0" baseItem="0"/>
  </dataFields>
  <formats count="10">
    <format dxfId="175">
      <pivotArea type="all" dataOnly="0" outline="0" fieldPosition="0"/>
    </format>
    <format dxfId="176">
      <pivotArea outline="0" collapsedLevelsAreSubtotals="1" fieldPosition="0"/>
    </format>
    <format dxfId="177">
      <pivotArea type="origin" dataOnly="0" labelOnly="1" outline="0" fieldPosition="0"/>
    </format>
    <format dxfId="178">
      <pivotArea field="49" type="button" dataOnly="0" labelOnly="1" outline="0" axis="axisCol" fieldPosition="0"/>
    </format>
    <format dxfId="179">
      <pivotArea type="topRight" dataOnly="0" labelOnly="1" outline="0" fieldPosition="0"/>
    </format>
    <format dxfId="180">
      <pivotArea field="10" type="button" dataOnly="0" labelOnly="1" outline="0" axis="axisRow" fieldPosition="0"/>
    </format>
    <format dxfId="181">
      <pivotArea dataOnly="0" labelOnly="1" outline="0" fieldPosition="0">
        <references count="1">
          <reference field="10" count="0"/>
        </references>
      </pivotArea>
    </format>
    <format dxfId="182">
      <pivotArea dataOnly="0" labelOnly="1" grandRow="1" outline="0" fieldPosition="0"/>
    </format>
    <format dxfId="183">
      <pivotArea dataOnly="0" labelOnly="1" outline="0" fieldPosition="0">
        <references count="1">
          <reference field="49" count="0"/>
        </references>
      </pivotArea>
    </format>
    <format dxfId="184">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2.xml><?xml version="1.0" encoding="utf-8"?>
<pivotTableDefinition xmlns="http://schemas.openxmlformats.org/spreadsheetml/2006/main" xmlns:mc="http://schemas.openxmlformats.org/markup-compatibility/2006" xmlns:xr="http://schemas.microsoft.com/office/spreadsheetml/2014/revision" mc:Ignorable="xr" xr:uid="{ADD5CA4C-5E28-4226-881B-C4E98A8F31FA}" name="PivotTable1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J3:AM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1"/>
  </rowFields>
  <rowItems count="3">
    <i>
      <x/>
    </i>
    <i>
      <x v="1"/>
    </i>
    <i t="grand">
      <x/>
    </i>
  </rowItems>
  <colFields count="1">
    <field x="49"/>
  </colFields>
  <colItems count="3">
    <i>
      <x/>
    </i>
    <i>
      <x v="1"/>
    </i>
    <i t="grand">
      <x/>
    </i>
  </colItems>
  <dataFields count="1">
    <dataField name="Count of Subject #" fld="0" subtotal="count" baseField="0" baseItem="0"/>
  </dataFields>
  <formats count="11">
    <format dxfId="164">
      <pivotArea outline="0" fieldPosition="0">
        <references count="2">
          <reference field="21" count="1" selected="0">
            <x v="1"/>
          </reference>
          <reference field="49" count="1" selected="0">
            <x v="1"/>
          </reference>
        </references>
      </pivotArea>
    </format>
    <format dxfId="165">
      <pivotArea type="all" dataOnly="0" outline="0" fieldPosition="0"/>
    </format>
    <format dxfId="166">
      <pivotArea outline="0" collapsedLevelsAreSubtotals="1" fieldPosition="0"/>
    </format>
    <format dxfId="167">
      <pivotArea type="origin" dataOnly="0" labelOnly="1" outline="0" fieldPosition="0"/>
    </format>
    <format dxfId="168">
      <pivotArea field="49" type="button" dataOnly="0" labelOnly="1" outline="0" axis="axisCol" fieldPosition="0"/>
    </format>
    <format dxfId="169">
      <pivotArea type="topRight" dataOnly="0" labelOnly="1" outline="0" fieldPosition="0"/>
    </format>
    <format dxfId="170">
      <pivotArea field="21" type="button" dataOnly="0" labelOnly="1" outline="0" axis="axisRow" fieldPosition="0"/>
    </format>
    <format dxfId="171">
      <pivotArea dataOnly="0" labelOnly="1" outline="0" fieldPosition="0">
        <references count="1">
          <reference field="21" count="0"/>
        </references>
      </pivotArea>
    </format>
    <format dxfId="172">
      <pivotArea dataOnly="0" labelOnly="1" grandRow="1" outline="0" fieldPosition="0"/>
    </format>
    <format dxfId="173">
      <pivotArea dataOnly="0" labelOnly="1" outline="0" fieldPosition="0">
        <references count="1">
          <reference field="49" count="0"/>
        </references>
      </pivotArea>
    </format>
    <format dxfId="174">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3.xml><?xml version="1.0" encoding="utf-8"?>
<pivotTableDefinition xmlns="http://schemas.openxmlformats.org/spreadsheetml/2006/main" xmlns:mc="http://schemas.openxmlformats.org/markup-compatibility/2006" xmlns:xr="http://schemas.microsoft.com/office/spreadsheetml/2014/revision" mc:Ignorable="xr" xr:uid="{876439AF-6C91-459B-B446-DBAD863B6285}" name="PivotTable8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R79:CU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6"/>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4.xml><?xml version="1.0" encoding="utf-8"?>
<pivotTableDefinition xmlns="http://schemas.openxmlformats.org/spreadsheetml/2006/main" xmlns:mc="http://schemas.openxmlformats.org/markup-compatibility/2006" xmlns:xr="http://schemas.microsoft.com/office/spreadsheetml/2014/revision" mc:Ignorable="xr" xr:uid="{30D10670-9E22-428A-8119-35843F9F1E73}" name="PivotTable6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C41:CF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18"/>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5.xml><?xml version="1.0" encoding="utf-8"?>
<pivotTableDefinition xmlns="http://schemas.openxmlformats.org/spreadsheetml/2006/main" xmlns:mc="http://schemas.openxmlformats.org/markup-compatibility/2006" xmlns:xr="http://schemas.microsoft.com/office/spreadsheetml/2014/revision" mc:Ignorable="xr" xr:uid="{42556C7A-573A-43AB-ABA9-3FB95AECE438}" name="PivotTable5"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chartFormat="1">
  <location ref="K3:N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9"/>
  </rowFields>
  <rowItems count="3">
    <i>
      <x/>
    </i>
    <i>
      <x v="1"/>
    </i>
    <i t="grand">
      <x/>
    </i>
  </rowItems>
  <colFields count="1">
    <field x="49"/>
  </colFields>
  <colItems count="3">
    <i>
      <x/>
    </i>
    <i>
      <x v="1"/>
    </i>
    <i t="grand">
      <x/>
    </i>
  </colItems>
  <dataFields count="1">
    <dataField name="Count of Subject #" fld="0" subtotal="count" baseField="0" baseItem="0"/>
  </dataFields>
  <formats count="11">
    <format dxfId="153">
      <pivotArea outline="0" fieldPosition="0">
        <references count="2">
          <reference field="39" count="1" selected="0">
            <x v="0"/>
          </reference>
          <reference field="49" count="1" selected="0">
            <x v="1"/>
          </reference>
        </references>
      </pivotArea>
    </format>
    <format dxfId="154">
      <pivotArea type="all" dataOnly="0" outline="0" fieldPosition="0"/>
    </format>
    <format dxfId="155">
      <pivotArea outline="0" collapsedLevelsAreSubtotals="1" fieldPosition="0"/>
    </format>
    <format dxfId="156">
      <pivotArea type="origin" dataOnly="0" labelOnly="1" outline="0" fieldPosition="0"/>
    </format>
    <format dxfId="157">
      <pivotArea field="49" type="button" dataOnly="0" labelOnly="1" outline="0" axis="axisCol" fieldPosition="0"/>
    </format>
    <format dxfId="158">
      <pivotArea type="topRight" dataOnly="0" labelOnly="1" outline="0" fieldPosition="0"/>
    </format>
    <format dxfId="159">
      <pivotArea field="39" type="button" dataOnly="0" labelOnly="1" outline="0" axis="axisRow" fieldPosition="0"/>
    </format>
    <format dxfId="160">
      <pivotArea dataOnly="0" labelOnly="1" outline="0" fieldPosition="0">
        <references count="1">
          <reference field="39" count="0"/>
        </references>
      </pivotArea>
    </format>
    <format dxfId="161">
      <pivotArea dataOnly="0" labelOnly="1" grandRow="1" outline="0" fieldPosition="0"/>
    </format>
    <format dxfId="162">
      <pivotArea dataOnly="0" labelOnly="1" outline="0" fieldPosition="0">
        <references count="1">
          <reference field="49" count="0"/>
        </references>
      </pivotArea>
    </format>
    <format dxfId="163">
      <pivotArea dataOnly="0" labelOnly="1" grandCol="1" outline="0" fieldPosition="0"/>
    </format>
  </formats>
  <chartFormats count="2">
    <chartFormat chart="0" format="0" series="1">
      <pivotArea type="data" outline="0" fieldPosition="0">
        <references count="2">
          <reference field="4294967294" count="1" selected="0">
            <x v="0"/>
          </reference>
          <reference field="49" count="1" selected="0">
            <x v="0"/>
          </reference>
        </references>
      </pivotArea>
    </chartFormat>
    <chartFormat chart="0" format="1" series="1">
      <pivotArea type="data" outline="0" fieldPosition="0">
        <references count="2">
          <reference field="4294967294" count="1" selected="0">
            <x v="0"/>
          </reference>
          <reference field="49"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6.xml><?xml version="1.0" encoding="utf-8"?>
<pivotTableDefinition xmlns="http://schemas.openxmlformats.org/spreadsheetml/2006/main" xmlns:mc="http://schemas.openxmlformats.org/markup-compatibility/2006" xmlns:xr="http://schemas.microsoft.com/office/spreadsheetml/2014/revision" mc:Ignorable="xr" xr:uid="{92DB8113-A38A-4B9F-B5FA-B4A2DB8CC0B9}" name="PivotTable9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EA79:ED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13"/>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7.xml><?xml version="1.0" encoding="utf-8"?>
<pivotTableDefinition xmlns="http://schemas.openxmlformats.org/spreadsheetml/2006/main" xmlns:mc="http://schemas.openxmlformats.org/markup-compatibility/2006" xmlns:xr="http://schemas.microsoft.com/office/spreadsheetml/2014/revision" mc:Ignorable="xr" xr:uid="{1334725B-DF57-4EAD-9C63-49E46AF1A259}" name="PivotTable60"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M41:CP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20"/>
  </rowFields>
  <rowItems count="3">
    <i>
      <x/>
    </i>
    <i>
      <x v="1"/>
    </i>
    <i t="grand">
      <x/>
    </i>
  </rowItems>
  <colFields count="1">
    <field x="58"/>
  </colFields>
  <colItems count="3">
    <i>
      <x/>
    </i>
    <i>
      <x v="1"/>
    </i>
    <i t="grand">
      <x/>
    </i>
  </colItems>
  <dataFields count="1">
    <dataField name="Count of Subject #" fld="0" subtotal="count" baseField="0" baseItem="0"/>
  </dataFields>
  <formats count="10">
    <format dxfId="143">
      <pivotArea type="all" dataOnly="0" outline="0" fieldPosition="0"/>
    </format>
    <format dxfId="144">
      <pivotArea outline="0" collapsedLevelsAreSubtotals="1" fieldPosition="0"/>
    </format>
    <format dxfId="145">
      <pivotArea type="origin" dataOnly="0" labelOnly="1" outline="0" fieldPosition="0"/>
    </format>
    <format dxfId="146">
      <pivotArea field="58" type="button" dataOnly="0" labelOnly="1" outline="0" axis="axisCol" fieldPosition="0"/>
    </format>
    <format dxfId="147">
      <pivotArea type="topRight" dataOnly="0" labelOnly="1" outline="0" fieldPosition="0"/>
    </format>
    <format dxfId="148">
      <pivotArea field="20" type="button" dataOnly="0" labelOnly="1" outline="0" axis="axisRow" fieldPosition="0"/>
    </format>
    <format dxfId="149">
      <pivotArea dataOnly="0" labelOnly="1" outline="0" fieldPosition="0">
        <references count="1">
          <reference field="20" count="0"/>
        </references>
      </pivotArea>
    </format>
    <format dxfId="150">
      <pivotArea dataOnly="0" labelOnly="1" grandRow="1" outline="0" fieldPosition="0"/>
    </format>
    <format dxfId="151">
      <pivotArea dataOnly="0" labelOnly="1" outline="0" fieldPosition="0">
        <references count="1">
          <reference field="58" count="0"/>
        </references>
      </pivotArea>
    </format>
    <format dxfId="152">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8.xml><?xml version="1.0" encoding="utf-8"?>
<pivotTableDefinition xmlns="http://schemas.openxmlformats.org/spreadsheetml/2006/main" xmlns:mc="http://schemas.openxmlformats.org/markup-compatibility/2006" xmlns:xr="http://schemas.microsoft.com/office/spreadsheetml/2014/revision" mc:Ignorable="xr" xr:uid="{46FFA22C-FEDE-4E2F-BDE1-CA776D22794D}" name="PivotTable3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U79:X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axis="axisCol" compact="0" outline="0" showAll="0">
      <items count="3">
        <item x="1"/>
        <item x="0"/>
        <item t="default"/>
      </items>
    </pivotField>
    <pivotField compact="0" outline="0" showAll="0"/>
  </pivotFields>
  <rowFields count="1">
    <field x="56"/>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9.xml><?xml version="1.0" encoding="utf-8"?>
<pivotTableDefinition xmlns="http://schemas.openxmlformats.org/spreadsheetml/2006/main" xmlns:mc="http://schemas.openxmlformats.org/markup-compatibility/2006" xmlns:xr="http://schemas.microsoft.com/office/spreadsheetml/2014/revision" mc:Ignorable="xr" xr:uid="{C3383FCA-F8E4-43AC-AFD9-AC3D053A0532}" name="PivotTable4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G117:K121" firstHeaderRow="1" firstDataRow="2" firstDataCol="1"/>
  <pivotFields count="61">
    <pivotField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dataField="1" compact="0" outline="0" showAll="0">
      <items count="4">
        <item x="0"/>
        <item x="1"/>
        <item x="2"/>
        <item t="default"/>
      </items>
    </pivotField>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9"/>
  </rowFields>
  <rowItems count="3">
    <i>
      <x/>
    </i>
    <i>
      <x v="1"/>
    </i>
    <i t="grand">
      <x/>
    </i>
  </rowItems>
  <colFields count="1">
    <field x="47"/>
  </colFields>
  <colItems count="4">
    <i>
      <x/>
    </i>
    <i>
      <x v="1"/>
    </i>
    <i>
      <x v="2"/>
    </i>
    <i t="grand">
      <x/>
    </i>
  </colItems>
  <dataFields count="1">
    <dataField name="Count of TTE new worsened fxnl findings from previous TTEs?" fld="47"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48D5952-1BD0-4D43-BF5D-F44F87481A11}" name="PivotTable65"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I58:AL62"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s>
  <rowFields count="1">
    <field x="57"/>
  </rowFields>
  <rowItems count="3">
    <i>
      <x/>
    </i>
    <i>
      <x v="1"/>
    </i>
    <i t="grand">
      <x/>
    </i>
  </rowItems>
  <colFields count="1">
    <field x="52"/>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0.xml><?xml version="1.0" encoding="utf-8"?>
<pivotTableDefinition xmlns="http://schemas.openxmlformats.org/spreadsheetml/2006/main" xmlns:mc="http://schemas.openxmlformats.org/markup-compatibility/2006" xmlns:xr="http://schemas.microsoft.com/office/spreadsheetml/2014/revision" mc:Ignorable="xr" xr:uid="{78BB4DE2-E329-4D16-87CE-2C71BC2FA4DF}" name="PivotTable8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B41:DE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10"/>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1.xml><?xml version="1.0" encoding="utf-8"?>
<pivotTableDefinition xmlns="http://schemas.openxmlformats.org/spreadsheetml/2006/main" xmlns:mc="http://schemas.openxmlformats.org/markup-compatibility/2006" xmlns:xr="http://schemas.microsoft.com/office/spreadsheetml/2014/revision" mc:Ignorable="xr" xr:uid="{889D15E1-F48B-42CA-A8A5-22EAE05A9C4F}" name="PivotTable1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P41:S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43"/>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2.xml><?xml version="1.0" encoding="utf-8"?>
<pivotTableDefinition xmlns="http://schemas.openxmlformats.org/spreadsheetml/2006/main" xmlns:mc="http://schemas.openxmlformats.org/markup-compatibility/2006" xmlns:xr="http://schemas.microsoft.com/office/spreadsheetml/2014/revision" mc:Ignorable="xr" xr:uid="{403A1AA4-94FE-48BF-BC5D-053EA7982D51}" name="PivotTable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Y3:BB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s>
  <rowFields count="1">
    <field x="60"/>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3.xml><?xml version="1.0" encoding="utf-8"?>
<pivotTableDefinition xmlns="http://schemas.openxmlformats.org/spreadsheetml/2006/main" xmlns:mc="http://schemas.openxmlformats.org/markup-compatibility/2006" xmlns:xr="http://schemas.microsoft.com/office/spreadsheetml/2014/revision" mc:Ignorable="xr" xr:uid="{DCE713DE-BA88-4C92-AD15-8648CB150385}" name="PivotTable79"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B117:BE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7"/>
  </rowFields>
  <rowItems count="3">
    <i>
      <x/>
    </i>
    <i>
      <x v="1"/>
    </i>
    <i t="grand">
      <x/>
    </i>
  </rowItems>
  <colFields count="1">
    <field x="44"/>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4.xml><?xml version="1.0" encoding="utf-8"?>
<pivotTableDefinition xmlns="http://schemas.openxmlformats.org/spreadsheetml/2006/main" xmlns:mc="http://schemas.openxmlformats.org/markup-compatibility/2006" xmlns:xr="http://schemas.microsoft.com/office/spreadsheetml/2014/revision" mc:Ignorable="xr" xr:uid="{301CF718-D141-4480-ACAA-31A2A987378C}" name="PivotTable7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H117:AK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7"/>
  </rowFields>
  <rowItems count="3">
    <i>
      <x/>
    </i>
    <i>
      <x v="1"/>
    </i>
    <i t="grand">
      <x/>
    </i>
  </rowItems>
  <colFields count="1">
    <field x="3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5.xml><?xml version="1.0" encoding="utf-8"?>
<pivotTableDefinition xmlns="http://schemas.openxmlformats.org/spreadsheetml/2006/main" xmlns:mc="http://schemas.openxmlformats.org/markup-compatibility/2006" xmlns:xr="http://schemas.microsoft.com/office/spreadsheetml/2014/revision" mc:Ignorable="xr" xr:uid="{57757DD8-C756-4FF1-9BDE-E6A3DB95494C}" name="PivotTable83"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W3:CZ9"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axis="axisRow" compact="0" outline="0" showAll="0">
      <items count="5">
        <item x="0"/>
        <item x="1"/>
        <item x="3"/>
        <item x="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7"/>
  </rowFields>
  <rowItems count="5">
    <i>
      <x/>
    </i>
    <i>
      <x v="1"/>
    </i>
    <i>
      <x v="2"/>
    </i>
    <i>
      <x v="3"/>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6.xml><?xml version="1.0" encoding="utf-8"?>
<pivotTableDefinition xmlns="http://schemas.openxmlformats.org/spreadsheetml/2006/main" xmlns:mc="http://schemas.openxmlformats.org/markup-compatibility/2006" xmlns:xr="http://schemas.microsoft.com/office/spreadsheetml/2014/revision" mc:Ignorable="xr" xr:uid="{0979F424-9BD5-4A62-A82B-23BB0A3A2393}" name="PivotTable7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L117:BO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9"/>
  </rowFields>
  <rowItems count="3">
    <i>
      <x/>
    </i>
    <i>
      <x v="1"/>
    </i>
    <i t="grand">
      <x/>
    </i>
  </rowItems>
  <colFields count="1">
    <field x="44"/>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7.xml><?xml version="1.0" encoding="utf-8"?>
<pivotTableDefinition xmlns="http://schemas.openxmlformats.org/spreadsheetml/2006/main" xmlns:mc="http://schemas.openxmlformats.org/markup-compatibility/2006" xmlns:xr="http://schemas.microsoft.com/office/spreadsheetml/2014/revision" mc:Ignorable="xr" xr:uid="{462A8ED2-28E8-438D-9C72-57B19BEE4476}" name="PivotTable3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T79:AW83"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s>
  <rowFields count="1">
    <field x="38"/>
  </rowFields>
  <rowItems count="3">
    <i>
      <x/>
    </i>
    <i>
      <x v="1"/>
    </i>
    <i t="grand">
      <x/>
    </i>
  </rowItems>
  <colFields count="1">
    <field x="5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8.xml><?xml version="1.0" encoding="utf-8"?>
<pivotTableDefinition xmlns="http://schemas.openxmlformats.org/spreadsheetml/2006/main" xmlns:mc="http://schemas.openxmlformats.org/markup-compatibility/2006" xmlns:xr="http://schemas.microsoft.com/office/spreadsheetml/2014/revision" mc:Ignorable="xr" xr:uid="{161A3DD3-D7DA-447A-9AFA-E1C1C4C3B5CC}" name="PivotTable7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G117:BJ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8"/>
  </rowFields>
  <rowItems count="3">
    <i>
      <x/>
    </i>
    <i>
      <x v="1"/>
    </i>
    <i t="grand">
      <x/>
    </i>
  </rowItems>
  <colFields count="1">
    <field x="44"/>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9.xml><?xml version="1.0" encoding="utf-8"?>
<pivotTableDefinition xmlns="http://schemas.openxmlformats.org/spreadsheetml/2006/main" xmlns:mc="http://schemas.openxmlformats.org/markup-compatibility/2006" xmlns:xr="http://schemas.microsoft.com/office/spreadsheetml/2014/revision" mc:Ignorable="xr" xr:uid="{F3BFD7B4-F126-4878-8401-9EF269F0DC1D}" name="PivotTable5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Q3:DT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2"/>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BC43BF9F-92C8-4C8A-85EC-68CBF3809717}" name="PivotTable11" cacheId="8415"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I43:AL47" firstHeaderRow="1" firstDataRow="2" firstDataCol="1"/>
  <pivotFields count="61">
    <pivotField dataField="1" compact="0" outline="0" showAll="0"/>
    <pivotField compact="0" outline="0" showAll="0"/>
    <pivotField compact="0" numFmtId="14"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s>
  <rowFields count="1">
    <field x="57"/>
  </rowFields>
  <rowItems count="3">
    <i>
      <x/>
    </i>
    <i>
      <x v="1"/>
    </i>
    <i t="grand">
      <x/>
    </i>
  </rowItems>
  <colFields count="1">
    <field x="51"/>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0.xml><?xml version="1.0" encoding="utf-8"?>
<pivotTableDefinition xmlns="http://schemas.openxmlformats.org/spreadsheetml/2006/main" xmlns:mc="http://schemas.openxmlformats.org/markup-compatibility/2006" xmlns:xr="http://schemas.microsoft.com/office/spreadsheetml/2014/revision" mc:Ignorable="xr" xr:uid="{7E06DF9B-8301-4AD6-9950-FE089E1C6DC7}" name="PivotTable12"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D3:BG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s>
  <rowFields count="1">
    <field x="58"/>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1.xml><?xml version="1.0" encoding="utf-8"?>
<pivotTableDefinition xmlns="http://schemas.openxmlformats.org/spreadsheetml/2006/main" xmlns:mc="http://schemas.openxmlformats.org/markup-compatibility/2006" xmlns:xr="http://schemas.microsoft.com/office/spreadsheetml/2014/revision" mc:Ignorable="xr" xr:uid="{6B4F981D-7F09-4118-932A-7FDC251BDD17}" name="PivotTable9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EF3:EI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0"/>
  </rowFields>
  <rowItems count="3">
    <i>
      <x/>
    </i>
    <i>
      <x v="1"/>
    </i>
    <i t="grand">
      <x/>
    </i>
  </rowItems>
  <colFields count="1">
    <field x="44"/>
  </colFields>
  <colItems count="3">
    <i>
      <x/>
    </i>
    <i>
      <x v="1"/>
    </i>
    <i t="grand">
      <x/>
    </i>
  </colItems>
  <dataFields count="1">
    <dataField name="Count of Subject #" fld="0" subtotal="count" baseField="0" baseItem="0"/>
  </dataFields>
  <formats count="10">
    <format dxfId="133">
      <pivotArea type="all" dataOnly="0" outline="0" fieldPosition="0"/>
    </format>
    <format dxfId="134">
      <pivotArea outline="0" collapsedLevelsAreSubtotals="1" fieldPosition="0"/>
    </format>
    <format dxfId="135">
      <pivotArea type="origin" dataOnly="0" labelOnly="1" outline="0" fieldPosition="0"/>
    </format>
    <format dxfId="136">
      <pivotArea field="44" type="button" dataOnly="0" labelOnly="1" outline="0" axis="axisCol" fieldPosition="0"/>
    </format>
    <format dxfId="137">
      <pivotArea type="topRight" dataOnly="0" labelOnly="1" outline="0" fieldPosition="0"/>
    </format>
    <format dxfId="138">
      <pivotArea field="20" type="button" dataOnly="0" labelOnly="1" outline="0" axis="axisRow" fieldPosition="0"/>
    </format>
    <format dxfId="139">
      <pivotArea dataOnly="0" labelOnly="1" outline="0" fieldPosition="0">
        <references count="1">
          <reference field="20" count="0"/>
        </references>
      </pivotArea>
    </format>
    <format dxfId="140">
      <pivotArea dataOnly="0" labelOnly="1" grandRow="1" outline="0" fieldPosition="0"/>
    </format>
    <format dxfId="141">
      <pivotArea dataOnly="0" labelOnly="1" outline="0" fieldPosition="0">
        <references count="1">
          <reference field="44" count="0"/>
        </references>
      </pivotArea>
    </format>
    <format dxfId="142">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2.xml><?xml version="1.0" encoding="utf-8"?>
<pivotTableDefinition xmlns="http://schemas.openxmlformats.org/spreadsheetml/2006/main" xmlns:mc="http://schemas.openxmlformats.org/markup-compatibility/2006" xmlns:xr="http://schemas.microsoft.com/office/spreadsheetml/2014/revision" mc:Ignorable="xr" xr:uid="{FCB1305D-62A1-47D0-827B-7DA502246AC0}" name="PivotTable26"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Y41:BB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axis="axisRow" compact="0" outline="0" showAll="0">
      <items count="3">
        <item x="1"/>
        <item x="0"/>
        <item t="default"/>
      </items>
    </pivotField>
  </pivotFields>
  <rowFields count="1">
    <field x="60"/>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3.xml><?xml version="1.0" encoding="utf-8"?>
<pivotTableDefinition xmlns="http://schemas.openxmlformats.org/spreadsheetml/2006/main" xmlns:mc="http://schemas.openxmlformats.org/markup-compatibility/2006" xmlns:xr="http://schemas.microsoft.com/office/spreadsheetml/2014/revision" mc:Ignorable="xr" xr:uid="{FE58F9A7-B80B-437C-B587-D697AA9F67EA}" name="PivotTable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Z3:AC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s>
  <rowFields count="1">
    <field x="57"/>
  </rowFields>
  <rowItems count="3">
    <i>
      <x/>
    </i>
    <i>
      <x v="1"/>
    </i>
    <i t="grand">
      <x/>
    </i>
  </rowItems>
  <colFields count="1">
    <field x="49"/>
  </colFields>
  <colItems count="3">
    <i>
      <x/>
    </i>
    <i>
      <x v="1"/>
    </i>
    <i t="grand">
      <x/>
    </i>
  </colItems>
  <dataFields count="1">
    <dataField name="Count of Subject #" fld="0" subtotal="count" baseField="0" baseItem="0"/>
  </dataFields>
  <formats count="10">
    <format dxfId="123">
      <pivotArea type="all" dataOnly="0" outline="0" fieldPosition="0"/>
    </format>
    <format dxfId="124">
      <pivotArea outline="0" collapsedLevelsAreSubtotals="1" fieldPosition="0"/>
    </format>
    <format dxfId="125">
      <pivotArea type="origin" dataOnly="0" labelOnly="1" outline="0" fieldPosition="0"/>
    </format>
    <format dxfId="126">
      <pivotArea field="49" type="button" dataOnly="0" labelOnly="1" outline="0" axis="axisCol" fieldPosition="0"/>
    </format>
    <format dxfId="127">
      <pivotArea type="topRight" dataOnly="0" labelOnly="1" outline="0" fieldPosition="0"/>
    </format>
    <format dxfId="128">
      <pivotArea field="57" type="button" dataOnly="0" labelOnly="1" outline="0" axis="axisRow" fieldPosition="0"/>
    </format>
    <format dxfId="129">
      <pivotArea dataOnly="0" labelOnly="1" outline="0" fieldPosition="0">
        <references count="1">
          <reference field="57" count="0"/>
        </references>
      </pivotArea>
    </format>
    <format dxfId="130">
      <pivotArea dataOnly="0" labelOnly="1" grandRow="1" outline="0" fieldPosition="0"/>
    </format>
    <format dxfId="131">
      <pivotArea dataOnly="0" labelOnly="1" outline="0" fieldPosition="0">
        <references count="1">
          <reference field="49" count="0"/>
        </references>
      </pivotArea>
    </format>
    <format dxfId="132">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4.xml><?xml version="1.0" encoding="utf-8"?>
<pivotTableDefinition xmlns="http://schemas.openxmlformats.org/spreadsheetml/2006/main" xmlns:mc="http://schemas.openxmlformats.org/markup-compatibility/2006" xmlns:xr="http://schemas.microsoft.com/office/spreadsheetml/2014/revision" mc:Ignorable="xr" xr:uid="{6700FD56-8D00-4130-8490-FCFB213DD155}" name="PivotTable6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C117:AF121"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0"/>
  </rowFields>
  <rowItems count="3">
    <i>
      <x/>
    </i>
    <i>
      <x v="1"/>
    </i>
    <i t="grand">
      <x/>
    </i>
  </rowItems>
  <colFields count="1">
    <field x="3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5.xml><?xml version="1.0" encoding="utf-8"?>
<pivotTableDefinition xmlns="http://schemas.openxmlformats.org/spreadsheetml/2006/main" xmlns:mc="http://schemas.openxmlformats.org/markup-compatibility/2006" xmlns:xr="http://schemas.microsoft.com/office/spreadsheetml/2014/revision" mc:Ignorable="xr" xr:uid="{9A2134E3-F6A0-4EDF-8D94-4D5C85D6A830}" name="PivotTable37"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BI41:BL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49"/>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6.xml><?xml version="1.0" encoding="utf-8"?>
<pivotTableDefinition xmlns="http://schemas.openxmlformats.org/spreadsheetml/2006/main" xmlns:mc="http://schemas.openxmlformats.org/markup-compatibility/2006" xmlns:xr="http://schemas.microsoft.com/office/spreadsheetml/2014/revision" mc:Ignorable="xr" xr:uid="{B618AC0B-220A-4347-9EFD-CD70E38F4922}" name="PivotTable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T3:AW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8"/>
  </rowFields>
  <rowItems count="3">
    <i>
      <x/>
    </i>
    <i>
      <x v="1"/>
    </i>
    <i t="grand">
      <x/>
    </i>
  </rowItems>
  <colFields count="1">
    <field x="49"/>
  </colFields>
  <colItems count="3">
    <i>
      <x/>
    </i>
    <i>
      <x v="1"/>
    </i>
    <i t="grand">
      <x/>
    </i>
  </colItems>
  <dataFields count="1">
    <dataField name="Count of Subject #" fld="0" subtotal="count" baseField="0" baseItem="0"/>
  </dataFields>
  <formats count="1">
    <format dxfId="122">
      <pivotArea outline="0" fieldPosition="0">
        <references count="2">
          <reference field="38" count="1" selected="0">
            <x v="1"/>
          </reference>
          <reference field="49" count="1" selected="0">
            <x v="1"/>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7.xml><?xml version="1.0" encoding="utf-8"?>
<pivotTableDefinition xmlns="http://schemas.openxmlformats.org/spreadsheetml/2006/main" xmlns:mc="http://schemas.openxmlformats.org/markup-compatibility/2006" xmlns:xr="http://schemas.microsoft.com/office/spreadsheetml/2014/revision" mc:Ignorable="xr" xr:uid="{2EF8D8D6-A9CB-46DE-BF68-0E1A101BF850}" name="PivotTable58"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Q41:DT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12"/>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8.xml><?xml version="1.0" encoding="utf-8"?>
<pivotTableDefinition xmlns="http://schemas.openxmlformats.org/spreadsheetml/2006/main" xmlns:mc="http://schemas.openxmlformats.org/markup-compatibility/2006" xmlns:xr="http://schemas.microsoft.com/office/spreadsheetml/2014/revision" mc:Ignorable="xr" xr:uid="{C7105FD7-A311-476E-BD5C-608CB1BE0AFF}" name="PivotTable81"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CR41:CU45"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0"/>
        <item x="1"/>
        <item t="default"/>
      </items>
    </pivotField>
    <pivotField compact="0" outline="0" showAll="0"/>
    <pivotField compact="0" outline="0" showAll="0"/>
  </pivotFields>
  <rowFields count="1">
    <field x="6"/>
  </rowFields>
  <rowItems count="3">
    <i>
      <x/>
    </i>
    <i>
      <x v="1"/>
    </i>
    <i t="grand">
      <x/>
    </i>
  </rowItems>
  <colFields count="1">
    <field x="58"/>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9.xml><?xml version="1.0" encoding="utf-8"?>
<pivotTableDefinition xmlns="http://schemas.openxmlformats.org/spreadsheetml/2006/main" xmlns:mc="http://schemas.openxmlformats.org/markup-compatibility/2006" xmlns:xr="http://schemas.microsoft.com/office/spreadsheetml/2014/revision" mc:Ignorable="xr" xr:uid="{B8A24A92-32EB-4F8E-B728-A0646BA2E3EF}" name="PivotTable4" cacheId="84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F3:I7" firstHeaderRow="1" firstDataRow="2" firstDataCol="1"/>
  <pivotFields count="61">
    <pivotField dataField="1"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4" outline="0" showAll="0"/>
    <pivotField compact="0" numFmtId="14" outline="0" showAll="0"/>
    <pivotField compact="0" numFmtId="1" outline="0" showAll="0"/>
    <pivotField axis="axisRow"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6"/>
  </rowFields>
  <rowItems count="3">
    <i>
      <x/>
    </i>
    <i>
      <x v="1"/>
    </i>
    <i t="grand">
      <x/>
    </i>
  </rowItems>
  <colFields count="1">
    <field x="49"/>
  </colFields>
  <colItems count="3">
    <i>
      <x/>
    </i>
    <i>
      <x v="1"/>
    </i>
    <i t="grand">
      <x/>
    </i>
  </colItems>
  <dataFields count="1">
    <dataField name="Count of Subject #" fld="0" subtotal="count" baseField="0" baseItem="0"/>
  </dataField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0798C47-9F1B-4CCC-89A5-982A50407CE2}" name="Table2" displayName="Table2" ref="A1:BH135" totalsRowShown="0" headerRowDxfId="60" dataDxfId="59">
  <autoFilter ref="A1:BH135" xr:uid="{10798C47-9F1B-4CCC-89A5-982A50407CE2}"/>
  <tableColumns count="60">
    <tableColumn id="1" xr3:uid="{E0BC79F4-B86D-4154-AC97-B8379D6E01DF}" name="Subject #" dataDxfId="58"/>
    <tableColumn id="3" xr3:uid="{AE7022F9-69F8-4274-9726-3B289D4E1C40}" name="Admission Date" dataDxfId="57"/>
    <tableColumn id="4" xr3:uid="{8594BC24-1578-4FC1-BFC5-7867FEA11346}" name="Discharge Date" dataDxfId="56"/>
    <tableColumn id="5" xr3:uid="{6B2E6D91-7874-4755-A2A3-44418F5E1D27}" name="LOS" dataDxfId="55">
      <calculatedColumnFormula>C2-B2</calculatedColumnFormula>
    </tableColumn>
    <tableColumn id="6" xr3:uid="{A08F9287-9173-4065-8048-BC2E3B5649AE}" name="Age" dataDxfId="54"/>
    <tableColumn id="7" xr3:uid="{67777900-F8E0-4EFE-B0B4-40A3E8171E7D}" name="Sex" dataDxfId="53"/>
    <tableColumn id="8" xr3:uid="{56295BD2-2DA3-4F18-A20E-089344D07FF7}" name="Race" dataDxfId="52"/>
    <tableColumn id="9" xr3:uid="{F4433645-BAC5-486F-B892-AAB5A4374608}" name="Comorbidity present (at least 1)?" dataDxfId="51"/>
    <tableColumn id="10" xr3:uid="{4E8393AC-5312-4E12-BF72-8C89451EB51D}" name="IVDU" dataDxfId="50"/>
    <tableColumn id="11" xr3:uid="{F00EF958-61F0-439D-ABE5-018DA841CA25}" name="Prosthetic Valve" dataDxfId="49"/>
    <tableColumn id="12" xr3:uid="{F04D0796-F1F8-4D56-A7AB-2BF47AFE8507}" name="Intracardiac device" dataDxfId="48"/>
    <tableColumn id="13" xr3:uid="{DFC56A1F-E5BA-4D02-8285-502B82CB387C}" name="Chronic in-line cath" dataDxfId="47"/>
    <tableColumn id="14" xr3:uid="{6FFD13A2-D113-4373-BEA6-252D14FB8B09}" name="Previous IE" dataDxfId="46"/>
    <tableColumn id="15" xr3:uid="{5B735894-250E-4436-9B66-C67C23A190F9}" name="Cardio-structural abnormality" dataDxfId="45"/>
    <tableColumn id="16" xr3:uid="{FAABDFDD-BB33-40E0-854D-8D425B6E66E0}" name="Type of abnormality" dataDxfId="44"/>
    <tableColumn id="17" xr3:uid="{945DFE9B-AE95-4FF0-9414-E0E330E3C56D}" name="Bcx initial"/>
    <tableColumn id="58" xr3:uid="{5BE1730E-C208-4EC3-ACAC-0609EC44DD0F}" name="Staph aureus" dataDxfId="43"/>
    <tableColumn id="59" xr3:uid="{A5EB220A-2F76-473B-BD85-181E422549D7}" name="Viridans" dataDxfId="42"/>
    <tableColumn id="60" xr3:uid="{80CC03B1-C6ED-43F0-9EC0-7D9CB6263369}" name="Enterococcus" dataDxfId="41"/>
    <tableColumn id="61" xr3:uid="{876E2B1A-13F6-4D8E-804D-80F68EECCFA2}" name="CoNS" dataDxfId="40"/>
    <tableColumn id="18" xr3:uid="{C27986DF-B9DD-4CDA-84A9-312E3824A299}" name="Bcx repeat positive?" dataDxfId="39"/>
    <tableColumn id="19" xr3:uid="{BE2F9C73-B353-4EED-AA44-51ED1E7EDC0A}" name="Total sets of positive Bcx" dataDxfId="38"/>
    <tableColumn id="20" xr3:uid="{5A93A6E2-4CB8-488F-AB76-8E1B0C590E6B}" name="Date initial positive Bcx" dataDxfId="37"/>
    <tableColumn id="21" xr3:uid="{4D9F21D4-5D1F-4ED1-82E7-6869E746E59D}" name="Date last positive Bcx" dataDxfId="36"/>
    <tableColumn id="22" xr3:uid="{C03546CB-A14C-44E4-85BD-C4438B887B0A}" name="Days Bcx positive" dataDxfId="35">
      <calculatedColumnFormula>X2-W2</calculatedColumnFormula>
    </tableColumn>
    <tableColumn id="23" xr3:uid="{7BA92CE2-A517-4494-AEEC-6413F8662726}" name="Alternative source of infx?" dataDxfId="34"/>
    <tableColumn id="24" xr3:uid="{66986D15-EC56-4C66-91C8-E82F556D7B94}" name="OM?" dataDxfId="33"/>
    <tableColumn id="25" xr3:uid="{177575AB-3170-40D6-AC38-813E98DDA8A4}" name="Cellulitis or open wound?" dataDxfId="32"/>
    <tableColumn id="26" xr3:uid="{98987412-EC1B-4832-BC34-9F0223CDFBC6}" name="Line related?" dataDxfId="31"/>
    <tableColumn id="27" xr3:uid="{7EA891C5-1050-4B89-AFCC-81224F973264}" name="Abscess?" dataDxfId="30"/>
    <tableColumn id="28" xr3:uid="{C88B9073-C16B-4D77-A01F-5F242F6AB0CD}" name="Intra-abdominal?" dataDxfId="29"/>
    <tableColumn id="29" xr3:uid="{C43927E2-A7B1-4C4C-9483-AE7AD3DC6B96}" name="PNA?" dataDxfId="28"/>
    <tableColumn id="30" xr3:uid="{A7FC7EFF-381F-4F3E-A6FE-CE1CE8603A8A}" name="UTI?" dataDxfId="27"/>
    <tableColumn id="31" xr3:uid="{F50FE5E1-A1AA-4E3F-9E48-AD3697ABD514}" name="Other" dataDxfId="26"/>
    <tableColumn id="32" xr3:uid="{D96BD426-3AD7-48C9-A030-5AEACECA4725}" name="Abx used?" dataDxfId="25"/>
    <tableColumn id="33" xr3:uid="{FB94816C-4F63-4B96-8EE2-54988D2A6B3D}" name="Abx tx? (ended w/)" dataDxfId="24"/>
    <tableColumn id="34" xr3:uid="{C3B25ED3-4F6D-49E8-8833-57B4DDBE614C}" name="Planned longterm abx tx (~4-6wks) +/- PICC?" dataDxfId="23"/>
    <tableColumn id="35" xr3:uid="{97DC2662-8CE7-44AB-B974-D8CAFAC224D5}" name="fever?" dataDxfId="22"/>
    <tableColumn id="36" xr3:uid="{A46D8E8E-9813-49C2-AE05-FB7ABBA5356E}" name="&lt; 3 days defervescence or remained afebrile?" dataDxfId="21"/>
    <tableColumn id="55" xr3:uid="{E3C2ABE9-E2D6-43CC-8B1C-BF6DCC5B196B}" name="defervesced" dataDxfId="20"/>
    <tableColumn id="56" xr3:uid="{CAC995DF-0EA0-4686-93F4-DCAAFE8AE188}" name="not defervesced" dataDxfId="19"/>
    <tableColumn id="57" xr3:uid="{B3A063A6-6AD2-44F5-99C0-5AFAD525E63C}" name="remained afebrile" dataDxfId="18"/>
    <tableColumn id="37" xr3:uid="{90D6A892-A168-4684-ABF8-2B782964EFFB}" name="WBC downtrend or remained nrml?" dataDxfId="17"/>
    <tableColumn id="38" xr3:uid="{665791CD-2645-4BBD-A59A-22A1779AA7D0}" name="TTE used?" dataDxfId="16"/>
    <tableColumn id="39" xr3:uid="{A9AD6517-7F4B-477B-B323-2B2611F797CB}" name="TTE date" dataDxfId="15"/>
    <tableColumn id="40" xr3:uid="{3672F364-8FA1-46C7-91D1-388493483BF8}" name="TTE new valvular veg?" dataDxfId="14"/>
    <tableColumn id="41" xr3:uid="{38AF8C7E-4906-406A-8D14-80123AF4A0D7}" name="TTE new worsened fxnl findings from previous TTEs?" dataDxfId="13"/>
    <tableColumn id="51" xr3:uid="{5E0B22F7-18D5-488E-9A5D-3CC45D05162A}" name="Time to TTE" dataDxfId="12">
      <calculatedColumnFormula>Table2[[#This Row],[TTE date]]-Table2[[#This Row],[Date initial positive Bcx]]</calculatedColumnFormula>
    </tableColumn>
    <tableColumn id="42" xr3:uid="{C31897B9-ABF4-46E1-A062-8B8F9C91DA59}" name="TEE used?" dataDxfId="11"/>
    <tableColumn id="43" xr3:uid="{5AE82E3B-7EDA-4BFE-8E56-BE2C13D03ED7}" name="TEE date" dataDxfId="10"/>
    <tableColumn id="44" xr3:uid="{3EBE2CAA-0594-4C80-882F-8E3019B07610}" name="TEE new valvular veg?" dataDxfId="9"/>
    <tableColumn id="45" xr3:uid="{1A469154-071B-4C8E-948D-CE05916A7266}" name="TEE new anatomical/fxnl findings?" dataDxfId="8"/>
    <tableColumn id="46" xr3:uid="{C6EA29FD-ADB3-49E9-8D9A-2DDB1734140D}" name="Abx/tx changed based off TEE?" dataDxfId="7"/>
    <tableColumn id="50" xr3:uid="{478895A3-5814-4E80-957C-FECBC08D42EE}" name="Time to TEE" dataDxfId="6">
      <calculatedColumnFormula>Table2[[#This Row],[TEE date]]-Table2[[#This Row],[Date initial positive Bcx]]</calculatedColumnFormula>
    </tableColumn>
    <tableColumn id="47" xr3:uid="{54813A7A-80C2-4FCD-9900-E80515DC4A93}" name="Pt required ICU level of care?" dataDxfId="5"/>
    <tableColumn id="48" xr3:uid="{2FA93DBE-72A5-4A4F-901C-D7E9FE245885}" name="No comorbid, Alt source infxn, Abx used, Defervesced, WBC resolve/nrml" dataDxfId="4">
      <calculatedColumnFormula>COUNTIFS(Table2[[#This Row],[Comorbidity present (at least 1)?]], "0",Table2[[#This Row],[Alternative source of infx?]], "1",Table2[[#This Row],[Abx used?]], "1", Table2[[#This Row],[&lt; 3 days defervescence or remained afebrile?]], "1",Table2[[#This Row],[WBC downtrend or remained nrml?]], "1")</calculatedColumnFormula>
    </tableColumn>
    <tableColumn id="49" xr3:uid="{5623F6A8-0926-4D3B-8623-376ADB40078F}" name="Defervesced, WBC resolve/nrml" dataDxfId="3">
      <calculatedColumnFormula>COUNTIFS(Table2[[#This Row],[&lt; 3 days defervescence or remained afebrile?]], "1",Table2[[#This Row],[WBC downtrend or remained nrml?]], "1")</calculatedColumnFormula>
    </tableColumn>
    <tableColumn id="52" xr3:uid="{8F84ABA5-DDF1-4800-8EE3-8B8CE8C8A9D2}" name="DEFINITE IE dx made (Dukes criteria 2 maj or 1 maj + 3 minor)" dataDxfId="2"/>
    <tableColumn id="53" xr3:uid="{3784DAB6-E18B-4E91-98C6-7FA691E8692B}" name="POSS IE Dukes cirteria (1 maj + 1 minor or 3 minor)" dataDxfId="1"/>
    <tableColumn id="54" xr3:uid="{FECB5E34-6D34-42FB-9ABA-5F44821E57E9}" name="cardiac predisposition per Dukes" dataDxfId="0"/>
  </tableColumns>
  <tableStyleInfo name="TableStyleLight1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32.xml"/><Relationship Id="rId2" Type="http://schemas.openxmlformats.org/officeDocument/2006/relationships/pivotTable" Target="../pivotTables/pivotTable31.xml"/><Relationship Id="rId1" Type="http://schemas.openxmlformats.org/officeDocument/2006/relationships/pivotTable" Target="../pivotTables/pivotTable30.xml"/></Relationships>
</file>

<file path=xl/worksheets/_rels/sheet11.xml.rels><?xml version="1.0" encoding="UTF-8" standalone="yes"?>
<Relationships xmlns="http://schemas.openxmlformats.org/package/2006/relationships"><Relationship Id="rId26" Type="http://schemas.openxmlformats.org/officeDocument/2006/relationships/pivotTable" Target="../pivotTables/pivotTable58.xml"/><Relationship Id="rId21" Type="http://schemas.openxmlformats.org/officeDocument/2006/relationships/pivotTable" Target="../pivotTables/pivotTable53.xml"/><Relationship Id="rId42" Type="http://schemas.openxmlformats.org/officeDocument/2006/relationships/pivotTable" Target="../pivotTables/pivotTable74.xml"/><Relationship Id="rId47" Type="http://schemas.openxmlformats.org/officeDocument/2006/relationships/pivotTable" Target="../pivotTables/pivotTable79.xml"/><Relationship Id="rId63" Type="http://schemas.openxmlformats.org/officeDocument/2006/relationships/pivotTable" Target="../pivotTables/pivotTable95.xml"/><Relationship Id="rId68" Type="http://schemas.openxmlformats.org/officeDocument/2006/relationships/pivotTable" Target="../pivotTables/pivotTable100.xml"/><Relationship Id="rId84" Type="http://schemas.openxmlformats.org/officeDocument/2006/relationships/pivotTable" Target="../pivotTables/pivotTable116.xml"/><Relationship Id="rId89" Type="http://schemas.openxmlformats.org/officeDocument/2006/relationships/pivotTable" Target="../pivotTables/pivotTable121.xml"/><Relationship Id="rId16" Type="http://schemas.openxmlformats.org/officeDocument/2006/relationships/pivotTable" Target="../pivotTables/pivotTable48.xml"/><Relationship Id="rId11" Type="http://schemas.openxmlformats.org/officeDocument/2006/relationships/pivotTable" Target="../pivotTables/pivotTable43.xml"/><Relationship Id="rId32" Type="http://schemas.openxmlformats.org/officeDocument/2006/relationships/pivotTable" Target="../pivotTables/pivotTable64.xml"/><Relationship Id="rId37" Type="http://schemas.openxmlformats.org/officeDocument/2006/relationships/pivotTable" Target="../pivotTables/pivotTable69.xml"/><Relationship Id="rId53" Type="http://schemas.openxmlformats.org/officeDocument/2006/relationships/pivotTable" Target="../pivotTables/pivotTable85.xml"/><Relationship Id="rId58" Type="http://schemas.openxmlformats.org/officeDocument/2006/relationships/pivotTable" Target="../pivotTables/pivotTable90.xml"/><Relationship Id="rId74" Type="http://schemas.openxmlformats.org/officeDocument/2006/relationships/pivotTable" Target="../pivotTables/pivotTable106.xml"/><Relationship Id="rId79" Type="http://schemas.openxmlformats.org/officeDocument/2006/relationships/pivotTable" Target="../pivotTables/pivotTable111.xml"/><Relationship Id="rId5" Type="http://schemas.openxmlformats.org/officeDocument/2006/relationships/pivotTable" Target="../pivotTables/pivotTable37.xml"/><Relationship Id="rId90" Type="http://schemas.openxmlformats.org/officeDocument/2006/relationships/pivotTable" Target="../pivotTables/pivotTable122.xml"/><Relationship Id="rId95" Type="http://schemas.openxmlformats.org/officeDocument/2006/relationships/pivotTable" Target="../pivotTables/pivotTable127.xml"/><Relationship Id="rId22" Type="http://schemas.openxmlformats.org/officeDocument/2006/relationships/pivotTable" Target="../pivotTables/pivotTable54.xml"/><Relationship Id="rId27" Type="http://schemas.openxmlformats.org/officeDocument/2006/relationships/pivotTable" Target="../pivotTables/pivotTable59.xml"/><Relationship Id="rId43" Type="http://schemas.openxmlformats.org/officeDocument/2006/relationships/pivotTable" Target="../pivotTables/pivotTable75.xml"/><Relationship Id="rId48" Type="http://schemas.openxmlformats.org/officeDocument/2006/relationships/pivotTable" Target="../pivotTables/pivotTable80.xml"/><Relationship Id="rId64" Type="http://schemas.openxmlformats.org/officeDocument/2006/relationships/pivotTable" Target="../pivotTables/pivotTable96.xml"/><Relationship Id="rId69" Type="http://schemas.openxmlformats.org/officeDocument/2006/relationships/pivotTable" Target="../pivotTables/pivotTable101.xml"/><Relationship Id="rId80" Type="http://schemas.openxmlformats.org/officeDocument/2006/relationships/pivotTable" Target="../pivotTables/pivotTable112.xml"/><Relationship Id="rId85" Type="http://schemas.openxmlformats.org/officeDocument/2006/relationships/pivotTable" Target="../pivotTables/pivotTable117.xml"/><Relationship Id="rId3" Type="http://schemas.openxmlformats.org/officeDocument/2006/relationships/pivotTable" Target="../pivotTables/pivotTable35.xml"/><Relationship Id="rId12" Type="http://schemas.openxmlformats.org/officeDocument/2006/relationships/pivotTable" Target="../pivotTables/pivotTable44.xml"/><Relationship Id="rId17" Type="http://schemas.openxmlformats.org/officeDocument/2006/relationships/pivotTable" Target="../pivotTables/pivotTable49.xml"/><Relationship Id="rId25" Type="http://schemas.openxmlformats.org/officeDocument/2006/relationships/pivotTable" Target="../pivotTables/pivotTable57.xml"/><Relationship Id="rId33" Type="http://schemas.openxmlformats.org/officeDocument/2006/relationships/pivotTable" Target="../pivotTables/pivotTable65.xml"/><Relationship Id="rId38" Type="http://schemas.openxmlformats.org/officeDocument/2006/relationships/pivotTable" Target="../pivotTables/pivotTable70.xml"/><Relationship Id="rId46" Type="http://schemas.openxmlformats.org/officeDocument/2006/relationships/pivotTable" Target="../pivotTables/pivotTable78.xml"/><Relationship Id="rId59" Type="http://schemas.openxmlformats.org/officeDocument/2006/relationships/pivotTable" Target="../pivotTables/pivotTable91.xml"/><Relationship Id="rId67" Type="http://schemas.openxmlformats.org/officeDocument/2006/relationships/pivotTable" Target="../pivotTables/pivotTable99.xml"/><Relationship Id="rId20" Type="http://schemas.openxmlformats.org/officeDocument/2006/relationships/pivotTable" Target="../pivotTables/pivotTable52.xml"/><Relationship Id="rId41" Type="http://schemas.openxmlformats.org/officeDocument/2006/relationships/pivotTable" Target="../pivotTables/pivotTable73.xml"/><Relationship Id="rId54" Type="http://schemas.openxmlformats.org/officeDocument/2006/relationships/pivotTable" Target="../pivotTables/pivotTable86.xml"/><Relationship Id="rId62" Type="http://schemas.openxmlformats.org/officeDocument/2006/relationships/pivotTable" Target="../pivotTables/pivotTable94.xml"/><Relationship Id="rId70" Type="http://schemas.openxmlformats.org/officeDocument/2006/relationships/pivotTable" Target="../pivotTables/pivotTable102.xml"/><Relationship Id="rId75" Type="http://schemas.openxmlformats.org/officeDocument/2006/relationships/pivotTable" Target="../pivotTables/pivotTable107.xml"/><Relationship Id="rId83" Type="http://schemas.openxmlformats.org/officeDocument/2006/relationships/pivotTable" Target="../pivotTables/pivotTable115.xml"/><Relationship Id="rId88" Type="http://schemas.openxmlformats.org/officeDocument/2006/relationships/pivotTable" Target="../pivotTables/pivotTable120.xml"/><Relationship Id="rId91" Type="http://schemas.openxmlformats.org/officeDocument/2006/relationships/pivotTable" Target="../pivotTables/pivotTable123.xml"/><Relationship Id="rId96" Type="http://schemas.openxmlformats.org/officeDocument/2006/relationships/pivotTable" Target="../pivotTables/pivotTable128.xml"/><Relationship Id="rId1" Type="http://schemas.openxmlformats.org/officeDocument/2006/relationships/pivotTable" Target="../pivotTables/pivotTable33.xml"/><Relationship Id="rId6" Type="http://schemas.openxmlformats.org/officeDocument/2006/relationships/pivotTable" Target="../pivotTables/pivotTable38.xml"/><Relationship Id="rId15" Type="http://schemas.openxmlformats.org/officeDocument/2006/relationships/pivotTable" Target="../pivotTables/pivotTable47.xml"/><Relationship Id="rId23" Type="http://schemas.openxmlformats.org/officeDocument/2006/relationships/pivotTable" Target="../pivotTables/pivotTable55.xml"/><Relationship Id="rId28" Type="http://schemas.openxmlformats.org/officeDocument/2006/relationships/pivotTable" Target="../pivotTables/pivotTable60.xml"/><Relationship Id="rId36" Type="http://schemas.openxmlformats.org/officeDocument/2006/relationships/pivotTable" Target="../pivotTables/pivotTable68.xml"/><Relationship Id="rId49" Type="http://schemas.openxmlformats.org/officeDocument/2006/relationships/pivotTable" Target="../pivotTables/pivotTable81.xml"/><Relationship Id="rId57" Type="http://schemas.openxmlformats.org/officeDocument/2006/relationships/pivotTable" Target="../pivotTables/pivotTable89.xml"/><Relationship Id="rId10" Type="http://schemas.openxmlformats.org/officeDocument/2006/relationships/pivotTable" Target="../pivotTables/pivotTable42.xml"/><Relationship Id="rId31" Type="http://schemas.openxmlformats.org/officeDocument/2006/relationships/pivotTable" Target="../pivotTables/pivotTable63.xml"/><Relationship Id="rId44" Type="http://schemas.openxmlformats.org/officeDocument/2006/relationships/pivotTable" Target="../pivotTables/pivotTable76.xml"/><Relationship Id="rId52" Type="http://schemas.openxmlformats.org/officeDocument/2006/relationships/pivotTable" Target="../pivotTables/pivotTable84.xml"/><Relationship Id="rId60" Type="http://schemas.openxmlformats.org/officeDocument/2006/relationships/pivotTable" Target="../pivotTables/pivotTable92.xml"/><Relationship Id="rId65" Type="http://schemas.openxmlformats.org/officeDocument/2006/relationships/pivotTable" Target="../pivotTables/pivotTable97.xml"/><Relationship Id="rId73" Type="http://schemas.openxmlformats.org/officeDocument/2006/relationships/pivotTable" Target="../pivotTables/pivotTable105.xml"/><Relationship Id="rId78" Type="http://schemas.openxmlformats.org/officeDocument/2006/relationships/pivotTable" Target="../pivotTables/pivotTable110.xml"/><Relationship Id="rId81" Type="http://schemas.openxmlformats.org/officeDocument/2006/relationships/pivotTable" Target="../pivotTables/pivotTable113.xml"/><Relationship Id="rId86" Type="http://schemas.openxmlformats.org/officeDocument/2006/relationships/pivotTable" Target="../pivotTables/pivotTable118.xml"/><Relationship Id="rId94" Type="http://schemas.openxmlformats.org/officeDocument/2006/relationships/pivotTable" Target="../pivotTables/pivotTable126.xml"/><Relationship Id="rId99" Type="http://schemas.openxmlformats.org/officeDocument/2006/relationships/drawing" Target="../drawings/drawing3.xml"/><Relationship Id="rId4" Type="http://schemas.openxmlformats.org/officeDocument/2006/relationships/pivotTable" Target="../pivotTables/pivotTable36.xml"/><Relationship Id="rId9" Type="http://schemas.openxmlformats.org/officeDocument/2006/relationships/pivotTable" Target="../pivotTables/pivotTable41.xml"/><Relationship Id="rId13" Type="http://schemas.openxmlformats.org/officeDocument/2006/relationships/pivotTable" Target="../pivotTables/pivotTable45.xml"/><Relationship Id="rId18" Type="http://schemas.openxmlformats.org/officeDocument/2006/relationships/pivotTable" Target="../pivotTables/pivotTable50.xml"/><Relationship Id="rId39" Type="http://schemas.openxmlformats.org/officeDocument/2006/relationships/pivotTable" Target="../pivotTables/pivotTable71.xml"/><Relationship Id="rId34" Type="http://schemas.openxmlformats.org/officeDocument/2006/relationships/pivotTable" Target="../pivotTables/pivotTable66.xml"/><Relationship Id="rId50" Type="http://schemas.openxmlformats.org/officeDocument/2006/relationships/pivotTable" Target="../pivotTables/pivotTable82.xml"/><Relationship Id="rId55" Type="http://schemas.openxmlformats.org/officeDocument/2006/relationships/pivotTable" Target="../pivotTables/pivotTable87.xml"/><Relationship Id="rId76" Type="http://schemas.openxmlformats.org/officeDocument/2006/relationships/pivotTable" Target="../pivotTables/pivotTable108.xml"/><Relationship Id="rId97" Type="http://schemas.openxmlformats.org/officeDocument/2006/relationships/pivotTable" Target="../pivotTables/pivotTable129.xml"/><Relationship Id="rId7" Type="http://schemas.openxmlformats.org/officeDocument/2006/relationships/pivotTable" Target="../pivotTables/pivotTable39.xml"/><Relationship Id="rId71" Type="http://schemas.openxmlformats.org/officeDocument/2006/relationships/pivotTable" Target="../pivotTables/pivotTable103.xml"/><Relationship Id="rId92" Type="http://schemas.openxmlformats.org/officeDocument/2006/relationships/pivotTable" Target="../pivotTables/pivotTable124.xml"/><Relationship Id="rId2" Type="http://schemas.openxmlformats.org/officeDocument/2006/relationships/pivotTable" Target="../pivotTables/pivotTable34.xml"/><Relationship Id="rId29" Type="http://schemas.openxmlformats.org/officeDocument/2006/relationships/pivotTable" Target="../pivotTables/pivotTable61.xml"/><Relationship Id="rId24" Type="http://schemas.openxmlformats.org/officeDocument/2006/relationships/pivotTable" Target="../pivotTables/pivotTable56.xml"/><Relationship Id="rId40" Type="http://schemas.openxmlformats.org/officeDocument/2006/relationships/pivotTable" Target="../pivotTables/pivotTable72.xml"/><Relationship Id="rId45" Type="http://schemas.openxmlformats.org/officeDocument/2006/relationships/pivotTable" Target="../pivotTables/pivotTable77.xml"/><Relationship Id="rId66" Type="http://schemas.openxmlformats.org/officeDocument/2006/relationships/pivotTable" Target="../pivotTables/pivotTable98.xml"/><Relationship Id="rId87" Type="http://schemas.openxmlformats.org/officeDocument/2006/relationships/pivotTable" Target="../pivotTables/pivotTable119.xml"/><Relationship Id="rId61" Type="http://schemas.openxmlformats.org/officeDocument/2006/relationships/pivotTable" Target="../pivotTables/pivotTable93.xml"/><Relationship Id="rId82" Type="http://schemas.openxmlformats.org/officeDocument/2006/relationships/pivotTable" Target="../pivotTables/pivotTable114.xml"/><Relationship Id="rId19" Type="http://schemas.openxmlformats.org/officeDocument/2006/relationships/pivotTable" Target="../pivotTables/pivotTable51.xml"/><Relationship Id="rId14" Type="http://schemas.openxmlformats.org/officeDocument/2006/relationships/pivotTable" Target="../pivotTables/pivotTable46.xml"/><Relationship Id="rId30" Type="http://schemas.openxmlformats.org/officeDocument/2006/relationships/pivotTable" Target="../pivotTables/pivotTable62.xml"/><Relationship Id="rId35" Type="http://schemas.openxmlformats.org/officeDocument/2006/relationships/pivotTable" Target="../pivotTables/pivotTable67.xml"/><Relationship Id="rId56" Type="http://schemas.openxmlformats.org/officeDocument/2006/relationships/pivotTable" Target="../pivotTables/pivotTable88.xml"/><Relationship Id="rId77" Type="http://schemas.openxmlformats.org/officeDocument/2006/relationships/pivotTable" Target="../pivotTables/pivotTable109.xml"/><Relationship Id="rId8" Type="http://schemas.openxmlformats.org/officeDocument/2006/relationships/pivotTable" Target="../pivotTables/pivotTable40.xml"/><Relationship Id="rId51" Type="http://schemas.openxmlformats.org/officeDocument/2006/relationships/pivotTable" Target="../pivotTables/pivotTable83.xml"/><Relationship Id="rId72" Type="http://schemas.openxmlformats.org/officeDocument/2006/relationships/pivotTable" Target="../pivotTables/pivotTable104.xml"/><Relationship Id="rId93" Type="http://schemas.openxmlformats.org/officeDocument/2006/relationships/pivotTable" Target="../pivotTables/pivotTable125.xml"/><Relationship Id="rId98" Type="http://schemas.openxmlformats.org/officeDocument/2006/relationships/pivotTable" Target="../pivotTables/pivotTable130.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26" Type="http://schemas.openxmlformats.org/officeDocument/2006/relationships/pivotTable" Target="../pivotTables/pivotTable26.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5" Type="http://schemas.openxmlformats.org/officeDocument/2006/relationships/pivotTable" Target="../pivotTables/pivotTable25.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24" Type="http://schemas.openxmlformats.org/officeDocument/2006/relationships/pivotTable" Target="../pivotTables/pivotTable24.xml"/><Relationship Id="rId5" Type="http://schemas.openxmlformats.org/officeDocument/2006/relationships/pivotTable" Target="../pivotTables/pivotTable5.xml"/><Relationship Id="rId15" Type="http://schemas.openxmlformats.org/officeDocument/2006/relationships/pivotTable" Target="../pivotTables/pivotTable15.xml"/><Relationship Id="rId23" Type="http://schemas.openxmlformats.org/officeDocument/2006/relationships/pivotTable" Target="../pivotTables/pivotTable23.xml"/><Relationship Id="rId28" Type="http://schemas.openxmlformats.org/officeDocument/2006/relationships/drawing" Target="../drawings/drawing1.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ivotTable" Target="../pivotTables/pivotTable22.xml"/><Relationship Id="rId27" Type="http://schemas.openxmlformats.org/officeDocument/2006/relationships/pivotTable" Target="../pivotTables/pivotTable2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8.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149"/>
  <sheetViews>
    <sheetView workbookViewId="0">
      <pane xSplit="2" ySplit="1" topLeftCell="Q115" activePane="bottomRight" state="frozen"/>
      <selection pane="bottomRight" activeCell="B1" sqref="B1:B149"/>
      <selection pane="bottomLeft"/>
      <selection pane="topRight"/>
    </sheetView>
  </sheetViews>
  <sheetFormatPr defaultRowHeight="15"/>
  <cols>
    <col min="1" max="1" width="7.42578125" style="2" customWidth="1"/>
    <col min="2" max="2" width="14.42578125" style="2" customWidth="1"/>
    <col min="3" max="3" width="12.140625" style="2" customWidth="1"/>
    <col min="4" max="4" width="12.5703125" style="2" customWidth="1"/>
    <col min="5" max="8" width="9.140625" style="2"/>
    <col min="9" max="12" width="13.140625" style="2" customWidth="1"/>
    <col min="13" max="14" width="15.140625" style="2" customWidth="1"/>
    <col min="15" max="15" width="16.5703125" style="2" customWidth="1"/>
    <col min="16" max="16" width="16.7109375" style="2" customWidth="1"/>
    <col min="17" max="17" width="40.42578125" style="2" customWidth="1"/>
    <col min="18" max="18" width="11.42578125" style="2" customWidth="1"/>
    <col min="19" max="19" width="12.140625" style="2" customWidth="1"/>
    <col min="20" max="21" width="12.42578125" style="2" customWidth="1"/>
    <col min="22" max="31" width="17.42578125" style="2" customWidth="1"/>
    <col min="32" max="32" width="12.7109375" style="2" customWidth="1"/>
    <col min="33" max="33" width="14.42578125" style="2" customWidth="1"/>
    <col min="34" max="34" width="12.7109375" style="2" customWidth="1"/>
    <col min="35" max="35" width="18.7109375" style="2" customWidth="1"/>
    <col min="36" max="36" width="17" style="2" customWidth="1"/>
    <col min="37" max="38" width="12.140625" style="2" customWidth="1"/>
    <col min="39" max="39" width="13.28515625" style="2" customWidth="1"/>
    <col min="40" max="40" width="17.28515625" style="2" customWidth="1"/>
    <col min="41" max="41" width="9.140625" style="2"/>
    <col min="42" max="42" width="11.28515625" style="2" customWidth="1"/>
    <col min="43" max="43" width="13.85546875" style="2" customWidth="1"/>
    <col min="44" max="44" width="16.42578125" style="2" customWidth="1"/>
    <col min="45" max="45" width="15.5703125" style="2" customWidth="1"/>
    <col min="46" max="46" width="13" style="2" customWidth="1"/>
    <col min="47" max="47" width="67.7109375" style="2" customWidth="1"/>
    <col min="48" max="16384" width="9.140625" style="2"/>
  </cols>
  <sheetData>
    <row r="1" spans="1:46" s="1" customFormat="1" ht="63.75" customHeight="1">
      <c r="A1" s="1" t="s">
        <v>0</v>
      </c>
      <c r="B1" s="3" t="s">
        <v>1</v>
      </c>
      <c r="C1" s="3" t="s">
        <v>2</v>
      </c>
      <c r="D1" s="3" t="s">
        <v>3</v>
      </c>
      <c r="E1" s="3" t="s">
        <v>4</v>
      </c>
      <c r="F1" s="3" t="s">
        <v>5</v>
      </c>
      <c r="G1" s="3" t="s">
        <v>6</v>
      </c>
      <c r="H1" s="1" t="s">
        <v>7</v>
      </c>
      <c r="I1" s="1" t="s">
        <v>8</v>
      </c>
      <c r="J1" s="1" t="s">
        <v>9</v>
      </c>
      <c r="K1" s="1" t="s">
        <v>10</v>
      </c>
      <c r="L1" s="1" t="s">
        <v>11</v>
      </c>
      <c r="M1" s="1" t="s">
        <v>12</v>
      </c>
      <c r="N1" s="1" t="s">
        <v>13</v>
      </c>
      <c r="O1" s="1" t="s">
        <v>14</v>
      </c>
      <c r="P1" s="4" t="s">
        <v>15</v>
      </c>
      <c r="Q1" s="1" t="s">
        <v>16</v>
      </c>
      <c r="R1" s="1" t="s">
        <v>17</v>
      </c>
      <c r="S1" s="1" t="s">
        <v>18</v>
      </c>
      <c r="T1" s="1" t="s">
        <v>19</v>
      </c>
      <c r="U1" s="1" t="s">
        <v>20</v>
      </c>
      <c r="V1" s="1" t="s">
        <v>21</v>
      </c>
      <c r="W1" s="1" t="s">
        <v>22</v>
      </c>
      <c r="X1" s="1" t="s">
        <v>23</v>
      </c>
      <c r="Y1" s="1" t="s">
        <v>24</v>
      </c>
      <c r="Z1" s="1" t="s">
        <v>25</v>
      </c>
      <c r="AA1" s="1" t="s">
        <v>26</v>
      </c>
      <c r="AB1" s="1" t="s">
        <v>27</v>
      </c>
      <c r="AC1" s="1" t="s">
        <v>28</v>
      </c>
      <c r="AD1" s="4" t="s">
        <v>29</v>
      </c>
      <c r="AE1" s="1" t="s">
        <v>30</v>
      </c>
      <c r="AF1" s="1" t="s">
        <v>31</v>
      </c>
      <c r="AG1" s="1" t="s">
        <v>32</v>
      </c>
      <c r="AH1" s="1" t="s">
        <v>33</v>
      </c>
      <c r="AI1" s="1" t="s">
        <v>34</v>
      </c>
      <c r="AJ1" s="4" t="s">
        <v>35</v>
      </c>
      <c r="AK1" s="4" t="s">
        <v>36</v>
      </c>
      <c r="AL1" s="1" t="s">
        <v>37</v>
      </c>
      <c r="AM1" s="1" t="s">
        <v>38</v>
      </c>
      <c r="AN1" s="3" t="s">
        <v>39</v>
      </c>
      <c r="AO1" s="3" t="s">
        <v>40</v>
      </c>
      <c r="AP1" s="1" t="s">
        <v>41</v>
      </c>
      <c r="AQ1" s="1" t="s">
        <v>42</v>
      </c>
      <c r="AR1" s="1" t="s">
        <v>43</v>
      </c>
      <c r="AS1" s="1" t="s">
        <v>44</v>
      </c>
      <c r="AT1" s="1" t="s">
        <v>45</v>
      </c>
    </row>
    <row r="2" spans="1:46">
      <c r="A2" s="2">
        <v>1</v>
      </c>
      <c r="B2" s="5">
        <v>45442</v>
      </c>
      <c r="C2" s="5">
        <v>45462</v>
      </c>
      <c r="D2" s="2">
        <f>C2-B2</f>
        <v>20</v>
      </c>
      <c r="E2" s="2">
        <v>85</v>
      </c>
      <c r="F2" s="2">
        <v>1</v>
      </c>
      <c r="G2" s="2">
        <v>2</v>
      </c>
      <c r="H2" s="2">
        <v>1</v>
      </c>
      <c r="I2" s="2">
        <v>0</v>
      </c>
      <c r="J2" s="2">
        <v>1</v>
      </c>
      <c r="K2" s="2">
        <v>1</v>
      </c>
      <c r="L2" s="2">
        <v>0</v>
      </c>
      <c r="M2" s="2">
        <v>0</v>
      </c>
      <c r="N2" s="2">
        <v>1</v>
      </c>
      <c r="O2" s="2" t="s">
        <v>46</v>
      </c>
      <c r="P2" t="s">
        <v>47</v>
      </c>
      <c r="Q2" s="2">
        <v>1</v>
      </c>
      <c r="R2" s="2">
        <v>11</v>
      </c>
      <c r="S2" s="5">
        <v>45442</v>
      </c>
      <c r="T2" s="5">
        <v>45455</v>
      </c>
      <c r="U2" s="2">
        <v>0</v>
      </c>
      <c r="V2" s="2">
        <v>0</v>
      </c>
      <c r="W2" s="2">
        <v>0</v>
      </c>
      <c r="X2" s="2">
        <v>0</v>
      </c>
      <c r="Y2" s="2">
        <v>0</v>
      </c>
      <c r="Z2" s="2">
        <v>0</v>
      </c>
      <c r="AA2" s="2">
        <v>0</v>
      </c>
      <c r="AB2" s="2">
        <v>0</v>
      </c>
      <c r="AC2" s="2">
        <v>0</v>
      </c>
      <c r="AD2" s="2">
        <v>1</v>
      </c>
      <c r="AE2" s="2" t="s">
        <v>48</v>
      </c>
      <c r="AF2" s="2">
        <v>1</v>
      </c>
      <c r="AG2" s="2">
        <v>0</v>
      </c>
      <c r="AH2" s="2">
        <v>1</v>
      </c>
      <c r="AI2" s="2">
        <v>1</v>
      </c>
      <c r="AJ2" s="2">
        <v>1</v>
      </c>
      <c r="AK2" s="5">
        <v>45443</v>
      </c>
      <c r="AL2" s="2">
        <v>0</v>
      </c>
      <c r="AM2" s="11">
        <v>0</v>
      </c>
      <c r="AN2" s="2">
        <v>1</v>
      </c>
      <c r="AO2" s="5">
        <v>45446</v>
      </c>
      <c r="AP2" s="2">
        <v>0</v>
      </c>
      <c r="AQ2" s="2">
        <v>0</v>
      </c>
      <c r="AR2" s="2">
        <v>0</v>
      </c>
      <c r="AS2" s="2">
        <v>0</v>
      </c>
      <c r="AT2" s="2" t="s">
        <v>49</v>
      </c>
    </row>
    <row r="3" spans="1:46">
      <c r="A3" s="2">
        <v>2</v>
      </c>
      <c r="B3" s="5">
        <v>45446</v>
      </c>
      <c r="E3" s="2">
        <v>78</v>
      </c>
      <c r="F3" s="2">
        <v>1</v>
      </c>
      <c r="G3" s="2">
        <v>3</v>
      </c>
      <c r="H3" s="2">
        <v>0</v>
      </c>
      <c r="I3" s="2">
        <v>0</v>
      </c>
      <c r="J3" s="2">
        <v>0</v>
      </c>
      <c r="K3" s="2">
        <v>0</v>
      </c>
      <c r="L3" s="2">
        <v>0</v>
      </c>
      <c r="M3" s="2">
        <v>0</v>
      </c>
      <c r="N3" s="2">
        <v>0</v>
      </c>
      <c r="P3" t="s">
        <v>47</v>
      </c>
      <c r="Q3" s="2">
        <v>1</v>
      </c>
      <c r="R3" s="2">
        <v>6</v>
      </c>
      <c r="S3" s="5">
        <v>45446</v>
      </c>
      <c r="T3" s="5">
        <v>45450</v>
      </c>
      <c r="U3" s="2">
        <v>1</v>
      </c>
      <c r="V3" s="2">
        <v>1</v>
      </c>
      <c r="W3" s="2">
        <v>0</v>
      </c>
      <c r="X3" s="2">
        <v>0</v>
      </c>
      <c r="Y3" s="2">
        <v>0</v>
      </c>
      <c r="Z3" s="2">
        <v>0</v>
      </c>
      <c r="AA3" s="2">
        <v>0</v>
      </c>
      <c r="AB3" s="2">
        <v>0</v>
      </c>
      <c r="AC3" s="2">
        <v>0</v>
      </c>
      <c r="AD3" s="2">
        <v>1</v>
      </c>
      <c r="AE3" s="2" t="s">
        <v>48</v>
      </c>
      <c r="AF3" s="2">
        <v>1</v>
      </c>
      <c r="AG3" s="2">
        <v>1</v>
      </c>
      <c r="AH3" s="2">
        <v>1</v>
      </c>
      <c r="AI3" s="2">
        <v>1</v>
      </c>
      <c r="AJ3" s="2">
        <v>1</v>
      </c>
      <c r="AK3" s="5">
        <v>45448</v>
      </c>
      <c r="AL3" s="2">
        <v>0</v>
      </c>
      <c r="AM3" s="2">
        <v>0</v>
      </c>
      <c r="AN3" s="2">
        <v>0</v>
      </c>
      <c r="AS3" s="2">
        <v>1</v>
      </c>
      <c r="AT3" s="2" t="s">
        <v>50</v>
      </c>
    </row>
    <row r="4" spans="1:46">
      <c r="A4" s="8">
        <v>3</v>
      </c>
      <c r="B4" s="5">
        <v>45448</v>
      </c>
      <c r="C4" s="6">
        <v>45465</v>
      </c>
      <c r="D4" s="2">
        <f t="shared" ref="D3:D62" si="0">C4-B4</f>
        <v>17</v>
      </c>
      <c r="E4" s="2">
        <v>62</v>
      </c>
      <c r="F4" s="2">
        <v>1</v>
      </c>
      <c r="G4" s="2">
        <v>2</v>
      </c>
      <c r="H4" s="2">
        <v>1</v>
      </c>
      <c r="I4" s="2">
        <v>0</v>
      </c>
      <c r="J4" s="2">
        <v>0</v>
      </c>
      <c r="K4" s="2">
        <v>0</v>
      </c>
      <c r="L4" s="2">
        <v>0</v>
      </c>
      <c r="M4" s="2">
        <v>0</v>
      </c>
      <c r="N4" s="2">
        <v>1</v>
      </c>
      <c r="O4" s="2" t="s">
        <v>51</v>
      </c>
      <c r="P4" t="s">
        <v>52</v>
      </c>
      <c r="Q4" s="2">
        <v>1</v>
      </c>
      <c r="R4" s="2">
        <v>5</v>
      </c>
      <c r="S4" s="5">
        <v>45448</v>
      </c>
      <c r="T4" s="5">
        <v>45454</v>
      </c>
      <c r="U4" s="2">
        <v>0</v>
      </c>
      <c r="V4" s="2">
        <v>0</v>
      </c>
      <c r="W4" s="2">
        <v>0</v>
      </c>
      <c r="X4" s="2">
        <v>0</v>
      </c>
      <c r="Y4" s="2">
        <v>0</v>
      </c>
      <c r="Z4" s="2">
        <v>0</v>
      </c>
      <c r="AA4" s="2">
        <v>0</v>
      </c>
      <c r="AB4" s="2">
        <v>0</v>
      </c>
      <c r="AC4" s="2">
        <v>1</v>
      </c>
      <c r="AD4" s="2">
        <v>1</v>
      </c>
      <c r="AE4" s="2" t="s">
        <v>53</v>
      </c>
      <c r="AF4" s="2">
        <v>0</v>
      </c>
      <c r="AG4" s="2">
        <v>1</v>
      </c>
      <c r="AH4" s="2">
        <v>0</v>
      </c>
      <c r="AI4" s="2">
        <v>1</v>
      </c>
      <c r="AJ4" s="2">
        <v>1</v>
      </c>
      <c r="AK4" s="5">
        <v>45448</v>
      </c>
      <c r="AL4" s="2">
        <v>0</v>
      </c>
      <c r="AM4" s="2">
        <v>0</v>
      </c>
      <c r="AN4" s="2">
        <v>1</v>
      </c>
      <c r="AO4" s="5">
        <v>45455</v>
      </c>
      <c r="AP4" s="2">
        <v>0</v>
      </c>
      <c r="AQ4" s="2">
        <v>1</v>
      </c>
      <c r="AR4" s="2">
        <v>0</v>
      </c>
      <c r="AS4" s="2">
        <v>1</v>
      </c>
      <c r="AT4" s="2" t="s">
        <v>54</v>
      </c>
    </row>
    <row r="5" spans="1:46">
      <c r="A5" s="2">
        <v>4</v>
      </c>
      <c r="B5" s="5">
        <v>45449</v>
      </c>
      <c r="C5" s="5">
        <v>45455</v>
      </c>
      <c r="D5" s="2">
        <f t="shared" si="0"/>
        <v>6</v>
      </c>
      <c r="E5" s="2">
        <v>77</v>
      </c>
      <c r="F5" s="2">
        <v>1</v>
      </c>
      <c r="G5" s="2">
        <v>2</v>
      </c>
      <c r="H5" s="2">
        <v>0</v>
      </c>
      <c r="I5" s="2">
        <v>0</v>
      </c>
      <c r="J5" s="2">
        <v>0</v>
      </c>
      <c r="K5" s="2">
        <v>0</v>
      </c>
      <c r="L5" s="2">
        <v>0</v>
      </c>
      <c r="M5" s="2">
        <v>0</v>
      </c>
      <c r="N5" s="2">
        <v>0</v>
      </c>
      <c r="P5" t="s">
        <v>52</v>
      </c>
      <c r="Q5" s="2">
        <v>1</v>
      </c>
      <c r="R5" s="2">
        <v>2</v>
      </c>
      <c r="S5" s="5">
        <v>45449</v>
      </c>
      <c r="T5" s="5">
        <v>45450</v>
      </c>
      <c r="U5" s="2">
        <v>1</v>
      </c>
      <c r="V5" s="2">
        <v>0</v>
      </c>
      <c r="W5" s="2">
        <v>0</v>
      </c>
      <c r="X5" s="2">
        <v>0</v>
      </c>
      <c r="Y5" s="2">
        <v>0</v>
      </c>
      <c r="Z5" s="2">
        <v>0</v>
      </c>
      <c r="AA5" s="2">
        <v>0</v>
      </c>
      <c r="AB5" s="2">
        <v>1</v>
      </c>
      <c r="AC5" s="2">
        <v>1</v>
      </c>
      <c r="AD5" s="2">
        <v>1</v>
      </c>
      <c r="AE5" s="2" t="s">
        <v>55</v>
      </c>
      <c r="AF5" s="2">
        <v>0</v>
      </c>
      <c r="AG5" s="2">
        <v>1</v>
      </c>
      <c r="AH5" s="2">
        <v>1</v>
      </c>
      <c r="AI5" s="2">
        <v>1</v>
      </c>
      <c r="AJ5" s="2">
        <v>1</v>
      </c>
      <c r="AK5" s="5">
        <v>45450</v>
      </c>
      <c r="AL5" s="2">
        <v>0</v>
      </c>
      <c r="AM5" s="2">
        <v>0</v>
      </c>
      <c r="AN5" s="2">
        <v>1</v>
      </c>
      <c r="AO5" s="5">
        <v>45453</v>
      </c>
      <c r="AP5" s="2">
        <v>0</v>
      </c>
      <c r="AQ5" s="2">
        <v>0</v>
      </c>
      <c r="AR5" s="2">
        <v>0</v>
      </c>
      <c r="AS5" s="2">
        <v>0</v>
      </c>
      <c r="AT5" s="2" t="s">
        <v>56</v>
      </c>
    </row>
    <row r="6" spans="1:46">
      <c r="A6" s="8">
        <v>5</v>
      </c>
      <c r="B6" s="5">
        <v>45453</v>
      </c>
      <c r="C6" s="6">
        <v>45456</v>
      </c>
      <c r="D6" s="2">
        <f t="shared" si="0"/>
        <v>3</v>
      </c>
      <c r="E6" s="2">
        <v>71</v>
      </c>
      <c r="F6" s="2">
        <v>1</v>
      </c>
      <c r="G6" s="2">
        <v>2</v>
      </c>
      <c r="H6" s="2">
        <v>1</v>
      </c>
      <c r="I6" s="2">
        <v>0</v>
      </c>
      <c r="J6" s="2">
        <v>0</v>
      </c>
      <c r="K6" s="2">
        <v>0</v>
      </c>
      <c r="L6" s="2">
        <v>1</v>
      </c>
      <c r="M6" s="2">
        <v>1</v>
      </c>
      <c r="N6" s="2">
        <v>1</v>
      </c>
      <c r="O6" s="2" t="s">
        <v>57</v>
      </c>
      <c r="P6" t="s">
        <v>52</v>
      </c>
      <c r="Q6" s="2">
        <v>1</v>
      </c>
      <c r="R6" s="2">
        <v>2</v>
      </c>
      <c r="S6" s="5">
        <v>45453</v>
      </c>
      <c r="T6" s="5">
        <v>45454</v>
      </c>
      <c r="U6" s="2">
        <v>1</v>
      </c>
      <c r="V6" s="2">
        <v>0</v>
      </c>
      <c r="W6" s="2">
        <v>0</v>
      </c>
      <c r="X6" s="2">
        <v>0</v>
      </c>
      <c r="Y6" s="2">
        <v>1</v>
      </c>
      <c r="Z6" s="2">
        <v>0</v>
      </c>
      <c r="AA6" s="2">
        <v>0</v>
      </c>
      <c r="AB6" s="2">
        <v>0</v>
      </c>
      <c r="AC6" s="2">
        <v>0</v>
      </c>
      <c r="AD6" s="2">
        <v>1</v>
      </c>
      <c r="AE6" s="2" t="s">
        <v>58</v>
      </c>
      <c r="AF6" s="2">
        <v>1</v>
      </c>
      <c r="AG6" s="2">
        <v>1</v>
      </c>
      <c r="AH6" s="2">
        <v>1</v>
      </c>
      <c r="AI6" s="2">
        <v>0</v>
      </c>
      <c r="AJ6" s="2">
        <v>1</v>
      </c>
      <c r="AK6" s="5">
        <v>45454</v>
      </c>
      <c r="AL6" s="2">
        <v>1</v>
      </c>
      <c r="AM6" s="2">
        <v>1</v>
      </c>
      <c r="AN6" s="2">
        <v>0</v>
      </c>
      <c r="AS6" s="2">
        <v>1</v>
      </c>
      <c r="AT6" s="2" t="s">
        <v>59</v>
      </c>
    </row>
    <row r="7" spans="1:46">
      <c r="A7" s="8">
        <v>6</v>
      </c>
      <c r="B7" s="5">
        <v>45454</v>
      </c>
      <c r="C7" s="6">
        <v>45465</v>
      </c>
      <c r="D7" s="2">
        <f t="shared" si="0"/>
        <v>11</v>
      </c>
      <c r="E7" s="2">
        <v>81</v>
      </c>
      <c r="F7" s="2">
        <v>1</v>
      </c>
      <c r="G7" s="2">
        <v>2</v>
      </c>
      <c r="H7" s="2">
        <v>1</v>
      </c>
      <c r="I7" s="2">
        <v>0</v>
      </c>
      <c r="J7" s="2">
        <v>0</v>
      </c>
      <c r="K7" s="2">
        <v>0</v>
      </c>
      <c r="L7" s="2">
        <v>0</v>
      </c>
      <c r="M7" s="2">
        <v>0</v>
      </c>
      <c r="N7" s="2">
        <v>1</v>
      </c>
      <c r="O7" s="2" t="s">
        <v>60</v>
      </c>
      <c r="P7" t="s">
        <v>52</v>
      </c>
      <c r="Q7" s="2">
        <v>1</v>
      </c>
      <c r="R7" s="2">
        <v>4</v>
      </c>
      <c r="S7" s="5">
        <v>45454</v>
      </c>
      <c r="T7" s="5">
        <v>45458</v>
      </c>
      <c r="U7" s="2">
        <v>1</v>
      </c>
      <c r="V7" s="2">
        <v>0</v>
      </c>
      <c r="W7" s="2">
        <v>1</v>
      </c>
      <c r="X7" s="2">
        <v>0</v>
      </c>
      <c r="Y7" s="2">
        <v>0</v>
      </c>
      <c r="Z7" s="2">
        <v>1</v>
      </c>
      <c r="AA7" s="2">
        <v>0</v>
      </c>
      <c r="AB7" s="2">
        <v>0</v>
      </c>
      <c r="AC7" s="2">
        <v>0</v>
      </c>
      <c r="AD7" s="2">
        <v>1</v>
      </c>
      <c r="AE7" s="2" t="s">
        <v>61</v>
      </c>
      <c r="AF7" s="2">
        <v>0</v>
      </c>
      <c r="AG7" s="2">
        <v>1</v>
      </c>
      <c r="AH7" s="2">
        <v>1</v>
      </c>
      <c r="AI7" s="2">
        <v>0</v>
      </c>
      <c r="AJ7" s="2">
        <v>1</v>
      </c>
      <c r="AK7" s="5">
        <v>45455</v>
      </c>
      <c r="AL7" s="2">
        <v>0</v>
      </c>
      <c r="AM7" s="2">
        <v>0</v>
      </c>
      <c r="AN7" s="2">
        <v>0</v>
      </c>
      <c r="AS7" s="2">
        <v>1</v>
      </c>
      <c r="AT7" s="2" t="s">
        <v>62</v>
      </c>
    </row>
    <row r="8" spans="1:46">
      <c r="A8" s="8">
        <v>7</v>
      </c>
      <c r="B8" s="5">
        <v>45453</v>
      </c>
      <c r="C8" s="6">
        <v>45485</v>
      </c>
      <c r="D8" s="2">
        <f t="shared" si="0"/>
        <v>32</v>
      </c>
      <c r="E8" s="2">
        <v>45</v>
      </c>
      <c r="F8" s="2">
        <v>2</v>
      </c>
      <c r="G8" s="2">
        <v>2</v>
      </c>
      <c r="H8" s="2">
        <v>0</v>
      </c>
      <c r="I8" s="2">
        <v>0</v>
      </c>
      <c r="J8" s="2">
        <v>0</v>
      </c>
      <c r="K8" s="2">
        <v>0</v>
      </c>
      <c r="L8" s="2">
        <v>0</v>
      </c>
      <c r="M8" s="2">
        <v>0</v>
      </c>
      <c r="N8" s="2">
        <v>0</v>
      </c>
      <c r="P8" t="s">
        <v>52</v>
      </c>
      <c r="Q8" s="2">
        <v>0</v>
      </c>
      <c r="R8" s="2">
        <v>1</v>
      </c>
      <c r="S8" s="5">
        <v>45455</v>
      </c>
      <c r="T8" s="5">
        <v>45455</v>
      </c>
      <c r="U8" s="2">
        <v>0</v>
      </c>
      <c r="V8" s="2">
        <v>0</v>
      </c>
      <c r="W8" s="2">
        <v>0</v>
      </c>
      <c r="X8" s="2">
        <v>0</v>
      </c>
      <c r="Y8" s="2">
        <v>0</v>
      </c>
      <c r="Z8" s="2">
        <v>0</v>
      </c>
      <c r="AA8" s="2">
        <v>0</v>
      </c>
      <c r="AB8" s="2">
        <v>0</v>
      </c>
      <c r="AC8" s="2">
        <v>0</v>
      </c>
      <c r="AD8" s="2">
        <v>1</v>
      </c>
      <c r="AE8" s="2" t="s">
        <v>55</v>
      </c>
      <c r="AF8" s="2">
        <v>1</v>
      </c>
      <c r="AG8" s="2">
        <v>0</v>
      </c>
      <c r="AH8" s="2">
        <v>1</v>
      </c>
      <c r="AI8" s="2">
        <v>1</v>
      </c>
      <c r="AJ8" s="2">
        <v>1</v>
      </c>
      <c r="AK8" s="5">
        <v>45457</v>
      </c>
      <c r="AL8" s="2">
        <v>0</v>
      </c>
      <c r="AM8" s="2">
        <v>0</v>
      </c>
      <c r="AN8" s="2">
        <v>0</v>
      </c>
      <c r="AS8" s="2">
        <v>1</v>
      </c>
      <c r="AT8" s="2" t="s">
        <v>62</v>
      </c>
    </row>
    <row r="9" spans="1:46">
      <c r="A9" s="2">
        <v>8</v>
      </c>
      <c r="B9" s="5">
        <v>45456</v>
      </c>
      <c r="C9" s="5">
        <v>45466</v>
      </c>
      <c r="D9" s="2">
        <f t="shared" si="0"/>
        <v>10</v>
      </c>
      <c r="E9" s="2">
        <v>60</v>
      </c>
      <c r="F9" s="2">
        <v>1</v>
      </c>
      <c r="G9" s="2">
        <v>3</v>
      </c>
      <c r="H9" s="2">
        <v>1</v>
      </c>
      <c r="I9" s="2">
        <v>0</v>
      </c>
      <c r="J9" s="2">
        <v>0</v>
      </c>
      <c r="K9" s="2">
        <v>0</v>
      </c>
      <c r="L9" s="2">
        <v>0</v>
      </c>
      <c r="M9" s="2">
        <v>0</v>
      </c>
      <c r="N9" s="2">
        <v>1</v>
      </c>
      <c r="O9" s="2" t="s">
        <v>63</v>
      </c>
      <c r="P9" t="s">
        <v>52</v>
      </c>
      <c r="Q9" s="2">
        <v>1</v>
      </c>
      <c r="R9" s="2">
        <v>2</v>
      </c>
      <c r="S9" s="5">
        <v>45456</v>
      </c>
      <c r="T9" s="5">
        <v>45457</v>
      </c>
      <c r="U9" s="2">
        <v>1</v>
      </c>
      <c r="V9" s="2">
        <v>0</v>
      </c>
      <c r="W9" s="2">
        <v>0</v>
      </c>
      <c r="X9" s="2">
        <v>0</v>
      </c>
      <c r="Y9" s="2">
        <v>1</v>
      </c>
      <c r="Z9" s="2">
        <v>0</v>
      </c>
      <c r="AA9" s="2">
        <v>0</v>
      </c>
      <c r="AB9" s="2">
        <v>0</v>
      </c>
      <c r="AC9" s="2">
        <v>0</v>
      </c>
      <c r="AD9" s="2">
        <v>1</v>
      </c>
      <c r="AE9" s="2" t="s">
        <v>55</v>
      </c>
      <c r="AF9" s="2">
        <v>1</v>
      </c>
      <c r="AG9" s="2">
        <v>1</v>
      </c>
      <c r="AH9" s="2">
        <v>1</v>
      </c>
      <c r="AI9" s="2">
        <v>1</v>
      </c>
      <c r="AJ9" s="2">
        <v>1</v>
      </c>
      <c r="AK9" s="5">
        <v>45457</v>
      </c>
      <c r="AL9" s="2">
        <v>0</v>
      </c>
      <c r="AM9" s="2">
        <v>0</v>
      </c>
      <c r="AN9" s="2">
        <v>0</v>
      </c>
      <c r="AS9" s="2">
        <v>0</v>
      </c>
    </row>
    <row r="10" spans="1:46">
      <c r="A10" s="2">
        <v>9</v>
      </c>
      <c r="B10" s="5">
        <v>45458</v>
      </c>
      <c r="C10" s="5">
        <v>45470</v>
      </c>
      <c r="D10" s="2">
        <f t="shared" si="0"/>
        <v>12</v>
      </c>
      <c r="E10" s="2">
        <v>64</v>
      </c>
      <c r="F10" s="2">
        <v>2</v>
      </c>
      <c r="G10" s="2">
        <v>2</v>
      </c>
      <c r="H10" s="2">
        <v>1</v>
      </c>
      <c r="I10" s="2">
        <v>0</v>
      </c>
      <c r="J10" s="2">
        <v>0</v>
      </c>
      <c r="K10" s="2">
        <v>0</v>
      </c>
      <c r="L10" s="2">
        <v>1</v>
      </c>
      <c r="M10" s="2">
        <v>0</v>
      </c>
      <c r="N10" s="2">
        <v>0</v>
      </c>
      <c r="P10" t="s">
        <v>52</v>
      </c>
      <c r="Q10" s="2">
        <v>1</v>
      </c>
      <c r="R10" s="2">
        <v>2</v>
      </c>
      <c r="S10" s="5">
        <v>45463</v>
      </c>
      <c r="T10" s="5">
        <v>45464</v>
      </c>
      <c r="U10" s="2">
        <v>1</v>
      </c>
      <c r="V10" s="2">
        <v>0</v>
      </c>
      <c r="W10" s="2">
        <v>1</v>
      </c>
      <c r="X10" s="2">
        <v>0</v>
      </c>
      <c r="Y10" s="2">
        <v>0</v>
      </c>
      <c r="Z10" s="2">
        <v>0</v>
      </c>
      <c r="AA10" s="2">
        <v>0</v>
      </c>
      <c r="AB10" s="2">
        <v>0</v>
      </c>
      <c r="AC10" s="2">
        <v>0</v>
      </c>
      <c r="AD10" s="2">
        <v>1</v>
      </c>
      <c r="AE10" s="2" t="s">
        <v>55</v>
      </c>
      <c r="AF10" s="2">
        <v>1</v>
      </c>
      <c r="AG10" s="2">
        <v>1</v>
      </c>
      <c r="AH10" s="2">
        <v>1</v>
      </c>
      <c r="AI10" s="2">
        <v>1</v>
      </c>
      <c r="AJ10" s="2">
        <v>1</v>
      </c>
      <c r="AK10" s="5">
        <v>45467</v>
      </c>
      <c r="AL10" s="2">
        <v>0</v>
      </c>
      <c r="AM10" s="2">
        <v>0</v>
      </c>
      <c r="AN10" s="2">
        <v>0</v>
      </c>
      <c r="AS10" s="2">
        <v>0</v>
      </c>
      <c r="AT10" s="2" t="s">
        <v>64</v>
      </c>
    </row>
    <row r="11" spans="1:46">
      <c r="A11" s="7">
        <v>10</v>
      </c>
      <c r="B11" s="5">
        <v>45468</v>
      </c>
      <c r="C11" s="5">
        <v>45475</v>
      </c>
      <c r="D11" s="2">
        <f t="shared" si="0"/>
        <v>7</v>
      </c>
      <c r="E11" s="2">
        <v>46</v>
      </c>
      <c r="F11" s="2">
        <v>1</v>
      </c>
      <c r="G11" s="2">
        <v>2</v>
      </c>
      <c r="H11" s="2">
        <v>1</v>
      </c>
      <c r="I11" s="2">
        <v>1</v>
      </c>
      <c r="J11" s="2">
        <v>0</v>
      </c>
      <c r="K11" s="2">
        <v>0</v>
      </c>
      <c r="L11" s="2">
        <v>1</v>
      </c>
      <c r="M11" s="2">
        <v>1</v>
      </c>
      <c r="N11" s="2">
        <v>1</v>
      </c>
      <c r="O11" s="2" t="s">
        <v>65</v>
      </c>
      <c r="P11" t="s">
        <v>47</v>
      </c>
      <c r="Q11" s="2">
        <v>1</v>
      </c>
      <c r="R11" s="2">
        <v>5</v>
      </c>
      <c r="S11" s="5">
        <v>45468</v>
      </c>
      <c r="T11" s="5">
        <v>45473</v>
      </c>
      <c r="U11" s="2">
        <v>1</v>
      </c>
      <c r="V11" s="2">
        <v>1</v>
      </c>
      <c r="W11" s="2">
        <v>1</v>
      </c>
      <c r="X11" s="2">
        <v>0</v>
      </c>
      <c r="Y11" s="2">
        <v>1</v>
      </c>
      <c r="Z11" s="2">
        <v>0</v>
      </c>
      <c r="AA11" s="2">
        <v>0</v>
      </c>
      <c r="AB11" s="2">
        <v>0</v>
      </c>
      <c r="AC11" s="2">
        <v>0</v>
      </c>
      <c r="AD11" s="2">
        <v>1</v>
      </c>
      <c r="AE11" s="2" t="s">
        <v>48</v>
      </c>
      <c r="AF11" s="2">
        <v>1</v>
      </c>
      <c r="AG11" s="2">
        <v>1</v>
      </c>
      <c r="AH11" s="2">
        <v>1</v>
      </c>
      <c r="AI11" s="2">
        <v>1</v>
      </c>
      <c r="AJ11" s="2">
        <v>1</v>
      </c>
      <c r="AK11" s="5">
        <v>45468</v>
      </c>
      <c r="AL11" s="2">
        <v>1</v>
      </c>
      <c r="AM11" s="2">
        <v>1</v>
      </c>
      <c r="AN11" s="2">
        <v>0</v>
      </c>
      <c r="AS11" s="2">
        <v>0</v>
      </c>
      <c r="AT11" s="2" t="s">
        <v>66</v>
      </c>
    </row>
    <row r="12" spans="1:46">
      <c r="A12" s="2">
        <v>11</v>
      </c>
      <c r="B12" s="5">
        <v>45470</v>
      </c>
      <c r="C12" s="5">
        <v>45501</v>
      </c>
      <c r="E12" s="2">
        <v>74</v>
      </c>
      <c r="F12" s="2">
        <v>1</v>
      </c>
      <c r="G12" s="2">
        <v>2</v>
      </c>
      <c r="H12" s="2">
        <v>1</v>
      </c>
      <c r="I12" s="2">
        <v>0</v>
      </c>
      <c r="J12" s="2">
        <v>0</v>
      </c>
      <c r="K12" s="2">
        <v>0</v>
      </c>
      <c r="L12" s="2">
        <v>0</v>
      </c>
      <c r="M12" s="2">
        <v>0</v>
      </c>
      <c r="N12" s="2">
        <v>1</v>
      </c>
      <c r="O12" s="2" t="s">
        <v>67</v>
      </c>
      <c r="P12" t="s">
        <v>52</v>
      </c>
      <c r="Q12" s="2">
        <v>0</v>
      </c>
      <c r="R12" s="2">
        <v>1</v>
      </c>
      <c r="S12" s="5">
        <v>45470</v>
      </c>
      <c r="T12" s="5">
        <v>45470</v>
      </c>
      <c r="U12" s="2">
        <v>1</v>
      </c>
      <c r="V12" s="2">
        <v>0</v>
      </c>
      <c r="W12" s="2">
        <v>1</v>
      </c>
      <c r="X12" s="2">
        <v>0</v>
      </c>
      <c r="Y12" s="2">
        <v>0</v>
      </c>
      <c r="Z12" s="2">
        <v>0</v>
      </c>
      <c r="AA12" s="2">
        <v>1</v>
      </c>
      <c r="AB12" s="2">
        <v>0</v>
      </c>
      <c r="AC12" s="2">
        <v>0</v>
      </c>
      <c r="AD12" s="2">
        <v>1</v>
      </c>
      <c r="AE12" s="2" t="s">
        <v>68</v>
      </c>
      <c r="AF12" s="2">
        <v>0</v>
      </c>
      <c r="AG12" s="2">
        <v>1</v>
      </c>
      <c r="AH12" s="2">
        <v>1</v>
      </c>
      <c r="AI12" s="2">
        <v>0</v>
      </c>
      <c r="AJ12" s="2">
        <v>1</v>
      </c>
      <c r="AK12" s="5">
        <v>45471</v>
      </c>
      <c r="AL12" s="2">
        <v>0</v>
      </c>
      <c r="AM12" s="2">
        <v>1</v>
      </c>
      <c r="AN12" s="2">
        <v>0</v>
      </c>
      <c r="AS12" s="2">
        <v>1</v>
      </c>
      <c r="AT12" s="2" t="s">
        <v>69</v>
      </c>
    </row>
    <row r="13" spans="1:46">
      <c r="A13" s="2">
        <v>12</v>
      </c>
      <c r="B13" s="5">
        <v>45413</v>
      </c>
      <c r="C13" s="5">
        <v>45423</v>
      </c>
      <c r="D13" s="2">
        <f t="shared" si="0"/>
        <v>10</v>
      </c>
      <c r="E13" s="2">
        <v>70</v>
      </c>
      <c r="F13" s="2">
        <v>1</v>
      </c>
      <c r="G13" s="2">
        <v>5</v>
      </c>
      <c r="H13" s="2">
        <v>1</v>
      </c>
      <c r="I13" s="2">
        <v>0</v>
      </c>
      <c r="J13" s="2">
        <v>0</v>
      </c>
      <c r="K13" s="2">
        <v>0</v>
      </c>
      <c r="L13" s="2">
        <v>1</v>
      </c>
      <c r="M13" s="2">
        <v>0</v>
      </c>
      <c r="N13" s="2">
        <v>1</v>
      </c>
      <c r="O13" s="2" t="s">
        <v>70</v>
      </c>
      <c r="P13" t="s">
        <v>52</v>
      </c>
      <c r="Q13" s="2">
        <v>1</v>
      </c>
      <c r="R13" s="2">
        <v>2</v>
      </c>
      <c r="S13" s="5">
        <v>45413</v>
      </c>
      <c r="T13" s="5">
        <v>45415</v>
      </c>
      <c r="U13" s="2">
        <v>1</v>
      </c>
      <c r="V13" s="2">
        <v>0</v>
      </c>
      <c r="W13" s="2">
        <v>0</v>
      </c>
      <c r="X13" s="2">
        <v>1</v>
      </c>
      <c r="Y13" s="2">
        <v>0</v>
      </c>
      <c r="Z13" s="2">
        <v>0</v>
      </c>
      <c r="AA13" s="2">
        <v>0</v>
      </c>
      <c r="AB13" s="2">
        <v>0</v>
      </c>
      <c r="AC13" s="2">
        <v>0</v>
      </c>
      <c r="AD13" s="2">
        <v>1</v>
      </c>
      <c r="AE13" s="2" t="s">
        <v>55</v>
      </c>
      <c r="AF13" s="2">
        <v>1</v>
      </c>
      <c r="AG13" s="2">
        <v>1</v>
      </c>
      <c r="AH13" s="2">
        <v>1</v>
      </c>
      <c r="AI13" s="2">
        <v>1</v>
      </c>
      <c r="AJ13" s="2">
        <v>1</v>
      </c>
      <c r="AK13" s="5">
        <v>45419</v>
      </c>
      <c r="AL13" s="2">
        <v>0</v>
      </c>
      <c r="AM13" s="2">
        <v>1</v>
      </c>
      <c r="AN13" s="2">
        <v>0</v>
      </c>
      <c r="AS13" s="2">
        <v>0</v>
      </c>
      <c r="AT13" s="2" t="s">
        <v>71</v>
      </c>
    </row>
    <row r="14" spans="1:46">
      <c r="A14" s="2">
        <v>13</v>
      </c>
      <c r="B14" s="5">
        <v>45414</v>
      </c>
      <c r="C14" s="5">
        <v>45436</v>
      </c>
      <c r="D14" s="2">
        <f t="shared" si="0"/>
        <v>22</v>
      </c>
      <c r="E14" s="2">
        <v>91</v>
      </c>
      <c r="F14" s="2">
        <v>2</v>
      </c>
      <c r="G14" s="2">
        <v>2</v>
      </c>
      <c r="H14" s="2">
        <v>1</v>
      </c>
      <c r="I14" s="2">
        <v>0</v>
      </c>
      <c r="J14" s="2">
        <v>0</v>
      </c>
      <c r="K14" s="2">
        <v>0</v>
      </c>
      <c r="L14" s="2">
        <v>0</v>
      </c>
      <c r="M14" s="2">
        <v>0</v>
      </c>
      <c r="N14" s="2">
        <v>1</v>
      </c>
      <c r="O14" s="2" t="s">
        <v>72</v>
      </c>
      <c r="P14" t="s">
        <v>52</v>
      </c>
      <c r="Q14" s="2">
        <v>1</v>
      </c>
      <c r="R14" s="2">
        <v>2</v>
      </c>
      <c r="S14" s="5">
        <v>45414</v>
      </c>
      <c r="T14" s="5">
        <v>45415</v>
      </c>
      <c r="U14" s="2">
        <v>1</v>
      </c>
      <c r="V14" s="2">
        <v>0</v>
      </c>
      <c r="W14" s="2">
        <v>0</v>
      </c>
      <c r="X14" s="2">
        <v>0</v>
      </c>
      <c r="Y14" s="2">
        <v>1</v>
      </c>
      <c r="Z14" s="2">
        <v>0</v>
      </c>
      <c r="AA14" s="2">
        <v>0</v>
      </c>
      <c r="AB14" s="2">
        <v>0</v>
      </c>
      <c r="AC14" s="2">
        <v>0</v>
      </c>
      <c r="AD14" s="2">
        <v>1</v>
      </c>
      <c r="AE14" s="2" t="s">
        <v>55</v>
      </c>
      <c r="AF14" s="11">
        <v>1</v>
      </c>
      <c r="AG14" s="2">
        <v>1</v>
      </c>
      <c r="AH14" s="2">
        <v>1</v>
      </c>
      <c r="AI14" s="2">
        <v>1</v>
      </c>
      <c r="AJ14" s="2">
        <v>1</v>
      </c>
      <c r="AK14" s="5">
        <v>45418</v>
      </c>
      <c r="AL14" s="2">
        <v>0</v>
      </c>
      <c r="AM14" s="2">
        <v>0</v>
      </c>
      <c r="AN14" s="2">
        <v>0</v>
      </c>
      <c r="AS14" s="2">
        <v>0</v>
      </c>
      <c r="AT14" s="2" t="s">
        <v>73</v>
      </c>
    </row>
    <row r="15" spans="1:46" s="8" customFormat="1">
      <c r="A15" s="8">
        <v>14</v>
      </c>
      <c r="B15" s="6">
        <v>45419</v>
      </c>
      <c r="C15" s="6">
        <v>45420</v>
      </c>
      <c r="D15" s="8">
        <f t="shared" si="0"/>
        <v>1</v>
      </c>
      <c r="E15" s="8">
        <v>79</v>
      </c>
      <c r="F15" s="8">
        <v>2</v>
      </c>
      <c r="G15" s="8">
        <v>2</v>
      </c>
      <c r="H15" s="8">
        <v>0</v>
      </c>
      <c r="I15" s="8">
        <v>0</v>
      </c>
      <c r="J15" s="8">
        <v>0</v>
      </c>
      <c r="K15" s="8">
        <v>0</v>
      </c>
      <c r="L15" s="8">
        <v>0</v>
      </c>
      <c r="M15" s="8">
        <v>0</v>
      </c>
      <c r="N15" s="8">
        <v>0</v>
      </c>
      <c r="P15" s="9" t="s">
        <v>52</v>
      </c>
      <c r="Q15" s="8">
        <v>0</v>
      </c>
      <c r="R15" s="8">
        <v>1</v>
      </c>
      <c r="S15" s="6">
        <v>45419</v>
      </c>
      <c r="T15" s="6">
        <v>45419</v>
      </c>
      <c r="U15" s="8">
        <v>1</v>
      </c>
      <c r="V15" s="8">
        <v>0</v>
      </c>
      <c r="W15" s="8">
        <v>0</v>
      </c>
      <c r="X15" s="8">
        <v>0</v>
      </c>
      <c r="Y15" s="8">
        <v>0</v>
      </c>
      <c r="Z15" s="8">
        <v>1</v>
      </c>
      <c r="AA15" s="8">
        <v>0</v>
      </c>
      <c r="AB15" s="8">
        <v>0</v>
      </c>
      <c r="AC15" s="8">
        <v>0</v>
      </c>
      <c r="AD15" s="8">
        <v>0</v>
      </c>
      <c r="AJ15" s="8">
        <v>0</v>
      </c>
      <c r="AS15" s="8">
        <v>0</v>
      </c>
      <c r="AT15" s="8" t="s">
        <v>74</v>
      </c>
    </row>
    <row r="16" spans="1:46">
      <c r="A16" s="2">
        <v>15</v>
      </c>
      <c r="B16" s="5">
        <v>45419</v>
      </c>
      <c r="C16" s="5">
        <v>45433</v>
      </c>
      <c r="D16" s="2">
        <f t="shared" si="0"/>
        <v>14</v>
      </c>
      <c r="E16" s="2">
        <v>71</v>
      </c>
      <c r="F16" s="2">
        <v>2</v>
      </c>
      <c r="G16" s="2">
        <v>2</v>
      </c>
      <c r="H16" s="2">
        <v>1</v>
      </c>
      <c r="I16" s="2">
        <v>0</v>
      </c>
      <c r="J16" s="2">
        <v>0</v>
      </c>
      <c r="K16" s="2">
        <v>0</v>
      </c>
      <c r="L16" s="2">
        <v>1</v>
      </c>
      <c r="M16" s="2">
        <v>0</v>
      </c>
      <c r="N16" s="2">
        <v>0</v>
      </c>
      <c r="P16" t="s">
        <v>52</v>
      </c>
      <c r="Q16" s="2">
        <v>1</v>
      </c>
      <c r="R16" s="2">
        <v>3</v>
      </c>
      <c r="S16" s="5">
        <v>45419</v>
      </c>
      <c r="T16" s="5">
        <v>45422</v>
      </c>
      <c r="U16" s="2">
        <v>1</v>
      </c>
      <c r="V16" s="2">
        <v>0</v>
      </c>
      <c r="W16" s="2">
        <v>1</v>
      </c>
      <c r="X16" s="2">
        <v>1</v>
      </c>
      <c r="Y16" s="2">
        <v>0</v>
      </c>
      <c r="Z16" s="2">
        <v>0</v>
      </c>
      <c r="AA16" s="2">
        <v>0</v>
      </c>
      <c r="AB16" s="2">
        <v>0</v>
      </c>
      <c r="AC16" s="2">
        <v>0</v>
      </c>
      <c r="AD16" s="2">
        <v>1</v>
      </c>
      <c r="AE16" s="2" t="s">
        <v>55</v>
      </c>
      <c r="AF16" s="2">
        <v>1</v>
      </c>
      <c r="AG16" s="2">
        <v>1</v>
      </c>
      <c r="AH16" s="2">
        <v>0</v>
      </c>
      <c r="AI16" s="2">
        <v>1</v>
      </c>
      <c r="AJ16" s="2">
        <v>1</v>
      </c>
      <c r="AK16" s="5">
        <v>45420</v>
      </c>
      <c r="AL16" s="2">
        <v>0</v>
      </c>
      <c r="AM16" s="2">
        <v>0</v>
      </c>
      <c r="AN16" s="2">
        <v>0</v>
      </c>
      <c r="AS16" s="2">
        <v>0</v>
      </c>
      <c r="AT16" s="2" t="s">
        <v>75</v>
      </c>
    </row>
    <row r="17" spans="1:46">
      <c r="A17" s="2">
        <v>16</v>
      </c>
      <c r="B17" s="5">
        <v>45420</v>
      </c>
      <c r="C17" s="5">
        <v>45432</v>
      </c>
      <c r="D17" s="2">
        <f t="shared" si="0"/>
        <v>12</v>
      </c>
      <c r="E17" s="2">
        <v>77</v>
      </c>
      <c r="F17" s="2">
        <v>1</v>
      </c>
      <c r="G17" s="2">
        <v>2</v>
      </c>
      <c r="H17" s="2">
        <v>1</v>
      </c>
      <c r="I17" s="2">
        <v>0</v>
      </c>
      <c r="J17" s="2">
        <v>0</v>
      </c>
      <c r="K17" s="2">
        <v>0</v>
      </c>
      <c r="L17" s="2">
        <v>0</v>
      </c>
      <c r="M17" s="2">
        <v>0</v>
      </c>
      <c r="N17" s="2">
        <v>1</v>
      </c>
      <c r="O17" s="10" t="s">
        <v>76</v>
      </c>
      <c r="P17" t="s">
        <v>52</v>
      </c>
      <c r="Q17" s="2">
        <v>0</v>
      </c>
      <c r="R17" s="2">
        <v>1</v>
      </c>
      <c r="S17" s="5">
        <v>45420</v>
      </c>
      <c r="T17" s="5">
        <v>45420</v>
      </c>
      <c r="U17" s="2">
        <v>1</v>
      </c>
      <c r="V17" s="2">
        <v>0</v>
      </c>
      <c r="W17" s="2">
        <v>0</v>
      </c>
      <c r="X17" s="2">
        <v>0</v>
      </c>
      <c r="Y17" s="2">
        <v>1</v>
      </c>
      <c r="Z17" s="2">
        <v>0</v>
      </c>
      <c r="AA17" s="2">
        <v>0</v>
      </c>
      <c r="AB17" s="2">
        <v>1</v>
      </c>
      <c r="AC17" s="2">
        <v>0</v>
      </c>
      <c r="AD17" s="2">
        <v>1</v>
      </c>
      <c r="AE17" s="2" t="s">
        <v>55</v>
      </c>
      <c r="AF17" s="2">
        <v>1</v>
      </c>
      <c r="AG17" s="2">
        <v>1</v>
      </c>
      <c r="AH17" s="2">
        <v>1</v>
      </c>
      <c r="AI17" s="2">
        <v>1</v>
      </c>
      <c r="AJ17" s="2">
        <v>1</v>
      </c>
      <c r="AK17" s="5">
        <v>45421</v>
      </c>
      <c r="AL17" s="2">
        <v>0</v>
      </c>
      <c r="AM17" s="2">
        <v>0</v>
      </c>
      <c r="AN17" s="2">
        <v>1</v>
      </c>
      <c r="AO17" s="5">
        <v>45425</v>
      </c>
      <c r="AP17" s="2">
        <v>0</v>
      </c>
      <c r="AQ17" s="2">
        <v>0</v>
      </c>
      <c r="AR17" s="2">
        <v>0</v>
      </c>
      <c r="AS17" s="2">
        <v>0</v>
      </c>
      <c r="AT17" s="2" t="s">
        <v>77</v>
      </c>
    </row>
    <row r="18" spans="1:46">
      <c r="A18" s="8">
        <v>17</v>
      </c>
      <c r="B18" s="5">
        <v>45420</v>
      </c>
      <c r="C18" s="6">
        <v>45435</v>
      </c>
      <c r="D18" s="2">
        <f t="shared" si="0"/>
        <v>15</v>
      </c>
      <c r="E18" s="2">
        <v>83</v>
      </c>
      <c r="F18" s="2">
        <v>2</v>
      </c>
      <c r="G18" s="2">
        <v>2</v>
      </c>
      <c r="H18" s="2">
        <v>1</v>
      </c>
      <c r="I18" s="2">
        <v>0</v>
      </c>
      <c r="J18" s="2">
        <v>0</v>
      </c>
      <c r="K18" s="2">
        <v>0</v>
      </c>
      <c r="L18" s="2">
        <v>0</v>
      </c>
      <c r="M18" s="2">
        <v>0</v>
      </c>
      <c r="N18" s="2">
        <v>1</v>
      </c>
      <c r="O18" s="2" t="s">
        <v>78</v>
      </c>
      <c r="P18" t="s">
        <v>52</v>
      </c>
      <c r="Q18" s="2">
        <v>1</v>
      </c>
      <c r="R18" s="2">
        <v>3</v>
      </c>
      <c r="S18" s="5">
        <v>45429</v>
      </c>
      <c r="T18" s="5">
        <v>45431</v>
      </c>
      <c r="U18" s="2">
        <v>0</v>
      </c>
      <c r="V18" s="2">
        <v>0</v>
      </c>
      <c r="W18" s="2">
        <v>0</v>
      </c>
      <c r="X18" s="2">
        <v>0</v>
      </c>
      <c r="Y18" s="2">
        <v>0</v>
      </c>
      <c r="Z18" s="2">
        <v>0</v>
      </c>
      <c r="AA18" s="2">
        <v>0</v>
      </c>
      <c r="AB18" s="2">
        <v>0</v>
      </c>
      <c r="AC18" s="2">
        <v>0</v>
      </c>
      <c r="AD18" s="2">
        <v>1</v>
      </c>
      <c r="AE18" s="2" t="s">
        <v>79</v>
      </c>
      <c r="AF18" s="2">
        <v>1</v>
      </c>
      <c r="AG18" s="2">
        <v>1</v>
      </c>
      <c r="AH18" s="2">
        <v>1</v>
      </c>
      <c r="AI18" s="2">
        <v>1</v>
      </c>
      <c r="AJ18" s="2">
        <v>1</v>
      </c>
      <c r="AK18" s="5">
        <v>45432</v>
      </c>
      <c r="AL18" s="2">
        <v>0</v>
      </c>
      <c r="AM18" s="2">
        <v>0</v>
      </c>
      <c r="AN18" s="2">
        <v>0</v>
      </c>
      <c r="AS18" s="2">
        <v>1</v>
      </c>
      <c r="AT18" s="2" t="s">
        <v>80</v>
      </c>
    </row>
    <row r="19" spans="1:46">
      <c r="A19" s="2">
        <v>18</v>
      </c>
      <c r="B19" s="5">
        <v>45438</v>
      </c>
      <c r="C19" s="5">
        <v>45458</v>
      </c>
      <c r="D19" s="2">
        <f t="shared" si="0"/>
        <v>20</v>
      </c>
      <c r="E19" s="2">
        <v>59</v>
      </c>
      <c r="F19" s="2">
        <v>1</v>
      </c>
      <c r="G19" s="2">
        <v>3</v>
      </c>
      <c r="H19" s="2">
        <v>1</v>
      </c>
      <c r="I19" s="2">
        <v>0</v>
      </c>
      <c r="J19" s="2">
        <v>0</v>
      </c>
      <c r="K19" s="2">
        <v>0</v>
      </c>
      <c r="L19" s="2">
        <v>0</v>
      </c>
      <c r="M19" s="2">
        <v>0</v>
      </c>
      <c r="N19" s="2">
        <v>1</v>
      </c>
      <c r="O19" s="2" t="s">
        <v>81</v>
      </c>
      <c r="P19" t="s">
        <v>52</v>
      </c>
      <c r="Q19" s="2">
        <v>1</v>
      </c>
      <c r="R19" s="2">
        <v>2</v>
      </c>
      <c r="S19" s="5">
        <v>45440</v>
      </c>
      <c r="T19" s="5">
        <v>45441</v>
      </c>
      <c r="U19" s="2">
        <v>1</v>
      </c>
      <c r="V19" s="2">
        <v>0</v>
      </c>
      <c r="W19" s="2">
        <v>1</v>
      </c>
      <c r="X19" s="2">
        <v>0</v>
      </c>
      <c r="Y19" s="2">
        <v>0</v>
      </c>
      <c r="Z19" s="2">
        <v>0</v>
      </c>
      <c r="AA19" s="2">
        <v>0</v>
      </c>
      <c r="AB19" s="2">
        <v>0</v>
      </c>
      <c r="AC19" s="2">
        <v>0</v>
      </c>
      <c r="AD19" s="2">
        <v>1</v>
      </c>
      <c r="AE19" s="2" t="s">
        <v>55</v>
      </c>
      <c r="AF19" s="2">
        <v>1</v>
      </c>
      <c r="AG19" s="2">
        <v>1</v>
      </c>
      <c r="AH19" s="2">
        <v>1</v>
      </c>
      <c r="AI19" s="2">
        <v>1</v>
      </c>
      <c r="AJ19" s="2">
        <v>1</v>
      </c>
      <c r="AK19" s="5">
        <v>45442</v>
      </c>
      <c r="AL19" s="2">
        <v>1</v>
      </c>
      <c r="AM19" s="2">
        <v>0</v>
      </c>
      <c r="AN19" s="11">
        <v>0</v>
      </c>
      <c r="AS19" s="2">
        <v>0</v>
      </c>
      <c r="AT19" s="2" t="s">
        <v>82</v>
      </c>
    </row>
    <row r="20" spans="1:46">
      <c r="A20" s="2">
        <v>19</v>
      </c>
      <c r="B20" s="5">
        <v>45385</v>
      </c>
      <c r="C20" s="5">
        <v>45395</v>
      </c>
      <c r="D20" s="2">
        <f t="shared" si="0"/>
        <v>10</v>
      </c>
      <c r="E20" s="2">
        <v>51</v>
      </c>
      <c r="F20" s="2">
        <v>1</v>
      </c>
      <c r="G20" s="2">
        <v>3</v>
      </c>
      <c r="H20" s="2">
        <v>0</v>
      </c>
      <c r="I20" s="2">
        <v>0</v>
      </c>
      <c r="J20" s="2">
        <v>0</v>
      </c>
      <c r="K20" s="2">
        <v>0</v>
      </c>
      <c r="L20" s="2">
        <v>0</v>
      </c>
      <c r="M20" s="2">
        <v>0</v>
      </c>
      <c r="N20" s="2">
        <v>0</v>
      </c>
      <c r="P20" t="s">
        <v>52</v>
      </c>
      <c r="Q20" s="2">
        <v>1</v>
      </c>
      <c r="R20" s="2">
        <v>3</v>
      </c>
      <c r="S20" s="5">
        <v>45385</v>
      </c>
      <c r="T20" s="5">
        <v>45388</v>
      </c>
      <c r="U20" s="2">
        <v>1</v>
      </c>
      <c r="V20" s="2">
        <v>1</v>
      </c>
      <c r="W20" s="2">
        <v>0</v>
      </c>
      <c r="X20" s="2">
        <v>0</v>
      </c>
      <c r="Y20" s="2">
        <v>0</v>
      </c>
      <c r="Z20" s="2">
        <v>0</v>
      </c>
      <c r="AA20" s="2">
        <v>0</v>
      </c>
      <c r="AB20" s="2">
        <v>0</v>
      </c>
      <c r="AC20" s="2">
        <v>0</v>
      </c>
      <c r="AD20" s="2">
        <v>1</v>
      </c>
      <c r="AE20" s="2" t="s">
        <v>55</v>
      </c>
      <c r="AF20" s="2">
        <v>1</v>
      </c>
      <c r="AG20" s="2">
        <v>1</v>
      </c>
      <c r="AH20" s="2">
        <v>1</v>
      </c>
      <c r="AI20" s="2">
        <v>1</v>
      </c>
      <c r="AJ20" s="2">
        <v>1</v>
      </c>
      <c r="AK20" s="5">
        <v>45387</v>
      </c>
      <c r="AL20" s="2">
        <v>0</v>
      </c>
      <c r="AM20" s="2">
        <v>0</v>
      </c>
      <c r="AN20" s="2">
        <v>1</v>
      </c>
      <c r="AO20" s="5">
        <v>45391</v>
      </c>
      <c r="AP20" s="2">
        <v>0</v>
      </c>
      <c r="AQ20" s="2">
        <v>0</v>
      </c>
      <c r="AR20" s="2">
        <v>0</v>
      </c>
      <c r="AS20" s="2">
        <v>0</v>
      </c>
      <c r="AT20" s="2" t="s">
        <v>83</v>
      </c>
    </row>
    <row r="21" spans="1:46" s="8" customFormat="1">
      <c r="A21" s="8">
        <v>20</v>
      </c>
      <c r="B21" s="6">
        <v>45392</v>
      </c>
      <c r="C21" s="6">
        <v>45393</v>
      </c>
      <c r="D21" s="8">
        <f t="shared" si="0"/>
        <v>1</v>
      </c>
      <c r="E21" s="8">
        <v>71</v>
      </c>
      <c r="F21" s="8">
        <v>1</v>
      </c>
      <c r="H21" s="8">
        <v>1</v>
      </c>
      <c r="I21" s="8">
        <v>0</v>
      </c>
      <c r="J21" s="8">
        <v>0</v>
      </c>
      <c r="K21" s="8">
        <v>0</v>
      </c>
      <c r="L21" s="8">
        <v>1</v>
      </c>
      <c r="M21" s="8">
        <v>0</v>
      </c>
      <c r="N21" s="8">
        <v>1</v>
      </c>
      <c r="O21" s="8" t="s">
        <v>84</v>
      </c>
      <c r="P21" s="9" t="s">
        <v>47</v>
      </c>
      <c r="Q21" s="8">
        <v>0</v>
      </c>
      <c r="R21" s="8">
        <v>1</v>
      </c>
      <c r="S21" s="6">
        <v>45393</v>
      </c>
      <c r="T21" s="6">
        <v>45393</v>
      </c>
      <c r="U21" s="8">
        <v>1</v>
      </c>
      <c r="V21" s="8">
        <v>0</v>
      </c>
      <c r="W21" s="8">
        <v>1</v>
      </c>
      <c r="X21" s="8">
        <v>1</v>
      </c>
      <c r="Y21" s="8">
        <v>0</v>
      </c>
      <c r="Z21" s="8">
        <v>0</v>
      </c>
      <c r="AA21" s="8">
        <v>0</v>
      </c>
      <c r="AB21" s="8">
        <v>0</v>
      </c>
      <c r="AC21" s="8">
        <v>0</v>
      </c>
      <c r="AD21" s="8">
        <v>1</v>
      </c>
      <c r="AE21" s="8" t="s">
        <v>68</v>
      </c>
      <c r="AF21" s="8">
        <v>0</v>
      </c>
      <c r="AG21" s="8">
        <v>0</v>
      </c>
      <c r="AH21" s="8">
        <v>1</v>
      </c>
      <c r="AJ21" s="8">
        <v>0</v>
      </c>
      <c r="AS21" s="8">
        <v>1</v>
      </c>
      <c r="AT21" s="8" t="s">
        <v>85</v>
      </c>
    </row>
    <row r="22" spans="1:46">
      <c r="A22" s="8">
        <v>21</v>
      </c>
      <c r="B22" s="5">
        <v>45393</v>
      </c>
      <c r="C22" s="6">
        <v>45398</v>
      </c>
      <c r="D22" s="2">
        <f t="shared" si="0"/>
        <v>5</v>
      </c>
      <c r="E22" s="2">
        <v>65</v>
      </c>
      <c r="F22" s="2">
        <v>2</v>
      </c>
      <c r="G22" s="2">
        <v>2</v>
      </c>
      <c r="H22" s="2">
        <v>1</v>
      </c>
      <c r="I22" s="2">
        <v>0</v>
      </c>
      <c r="J22" s="2">
        <v>0</v>
      </c>
      <c r="K22" s="2">
        <v>0</v>
      </c>
      <c r="L22" s="2">
        <v>0</v>
      </c>
      <c r="M22" s="2">
        <v>0</v>
      </c>
      <c r="N22" s="2">
        <v>1</v>
      </c>
      <c r="O22" s="2" t="s">
        <v>51</v>
      </c>
      <c r="P22" t="s">
        <v>47</v>
      </c>
      <c r="Q22" s="2">
        <v>1</v>
      </c>
      <c r="R22" s="2">
        <v>3</v>
      </c>
      <c r="S22" s="5">
        <v>45393</v>
      </c>
      <c r="T22" s="5">
        <v>45394</v>
      </c>
      <c r="U22" s="2">
        <v>0</v>
      </c>
      <c r="V22" s="2">
        <v>0</v>
      </c>
      <c r="W22" s="2">
        <v>0</v>
      </c>
      <c r="X22" s="2">
        <v>0</v>
      </c>
      <c r="Y22" s="2">
        <v>0</v>
      </c>
      <c r="Z22" s="2">
        <v>0</v>
      </c>
      <c r="AA22" s="2">
        <v>0</v>
      </c>
      <c r="AB22" s="2">
        <v>0</v>
      </c>
      <c r="AC22" s="2">
        <v>1</v>
      </c>
      <c r="AD22" s="2">
        <v>1</v>
      </c>
      <c r="AE22" s="2" t="s">
        <v>48</v>
      </c>
      <c r="AF22" s="2">
        <v>1</v>
      </c>
      <c r="AG22" s="2">
        <v>0</v>
      </c>
      <c r="AH22" s="2">
        <v>1</v>
      </c>
      <c r="AI22" s="2">
        <v>1</v>
      </c>
      <c r="AJ22" s="2">
        <v>1</v>
      </c>
      <c r="AK22" s="5">
        <v>45394</v>
      </c>
      <c r="AL22" s="2">
        <v>0</v>
      </c>
      <c r="AM22" s="2">
        <v>1</v>
      </c>
      <c r="AN22" s="2">
        <v>0</v>
      </c>
      <c r="AS22" s="2">
        <v>0</v>
      </c>
      <c r="AT22" s="2" t="s">
        <v>86</v>
      </c>
    </row>
    <row r="23" spans="1:46" s="8" customFormat="1">
      <c r="A23" s="8">
        <v>22</v>
      </c>
      <c r="B23" s="6">
        <v>45395</v>
      </c>
      <c r="C23" s="6">
        <v>45396</v>
      </c>
      <c r="D23" s="8">
        <f t="shared" si="0"/>
        <v>1</v>
      </c>
      <c r="E23" s="8">
        <v>88</v>
      </c>
      <c r="F23" s="8">
        <v>2</v>
      </c>
      <c r="G23" s="8">
        <v>2</v>
      </c>
      <c r="H23" s="8">
        <v>0</v>
      </c>
      <c r="I23" s="8">
        <v>0</v>
      </c>
      <c r="J23" s="8">
        <v>0</v>
      </c>
      <c r="K23" s="8">
        <v>0</v>
      </c>
      <c r="L23" s="8">
        <v>0</v>
      </c>
      <c r="M23" s="8">
        <v>0</v>
      </c>
      <c r="N23" s="8">
        <v>0</v>
      </c>
      <c r="P23" s="9" t="s">
        <v>52</v>
      </c>
      <c r="Q23" s="8">
        <v>0</v>
      </c>
      <c r="R23" s="8">
        <v>1</v>
      </c>
      <c r="S23" s="6">
        <v>45395</v>
      </c>
      <c r="T23" s="6">
        <v>45395</v>
      </c>
      <c r="U23" s="8">
        <v>1</v>
      </c>
      <c r="V23" s="8">
        <v>0</v>
      </c>
      <c r="W23" s="8">
        <v>0</v>
      </c>
      <c r="X23" s="8">
        <v>0</v>
      </c>
      <c r="Y23" s="8">
        <v>0</v>
      </c>
      <c r="Z23" s="8">
        <v>0</v>
      </c>
      <c r="AA23" s="8">
        <v>1</v>
      </c>
      <c r="AB23" s="8">
        <v>0</v>
      </c>
      <c r="AC23" s="8">
        <v>0</v>
      </c>
      <c r="AD23" s="8">
        <v>1</v>
      </c>
      <c r="AE23" s="8" t="s">
        <v>68</v>
      </c>
      <c r="AF23" s="8">
        <v>0</v>
      </c>
      <c r="AG23" s="8">
        <v>0</v>
      </c>
      <c r="AH23" s="8">
        <v>0</v>
      </c>
      <c r="AJ23" s="8">
        <v>0</v>
      </c>
      <c r="AT23" s="8" t="s">
        <v>87</v>
      </c>
    </row>
    <row r="24" spans="1:46">
      <c r="A24" s="2">
        <v>23</v>
      </c>
      <c r="B24" s="5">
        <v>45392</v>
      </c>
      <c r="C24" s="5">
        <v>45401</v>
      </c>
      <c r="D24" s="2">
        <f t="shared" si="0"/>
        <v>9</v>
      </c>
      <c r="E24" s="2">
        <v>85</v>
      </c>
      <c r="F24" s="2">
        <v>1</v>
      </c>
      <c r="G24" s="2">
        <v>2</v>
      </c>
      <c r="H24" s="2">
        <v>0</v>
      </c>
      <c r="I24" s="2">
        <v>0</v>
      </c>
      <c r="J24" s="2">
        <v>0</v>
      </c>
      <c r="K24" s="2">
        <v>0</v>
      </c>
      <c r="L24" s="2">
        <v>0</v>
      </c>
      <c r="M24" s="2">
        <v>0</v>
      </c>
      <c r="N24" s="2">
        <v>0</v>
      </c>
      <c r="P24" t="s">
        <v>52</v>
      </c>
      <c r="Q24" s="2">
        <v>1</v>
      </c>
      <c r="R24" s="2">
        <v>2</v>
      </c>
      <c r="S24" s="5">
        <v>45396</v>
      </c>
      <c r="T24" s="5">
        <v>45396</v>
      </c>
      <c r="U24" s="2">
        <v>0</v>
      </c>
      <c r="V24" s="2">
        <v>0</v>
      </c>
      <c r="W24" s="2">
        <v>0</v>
      </c>
      <c r="X24" s="2">
        <v>0</v>
      </c>
      <c r="Y24" s="2">
        <v>0</v>
      </c>
      <c r="Z24" s="2">
        <v>0</v>
      </c>
      <c r="AA24" s="2">
        <v>0</v>
      </c>
      <c r="AB24" s="2">
        <v>0</v>
      </c>
      <c r="AC24" s="2">
        <v>0</v>
      </c>
      <c r="AD24" s="2">
        <v>1</v>
      </c>
      <c r="AE24" s="2" t="s">
        <v>55</v>
      </c>
      <c r="AF24" s="11">
        <v>1</v>
      </c>
      <c r="AG24" s="2">
        <v>1</v>
      </c>
      <c r="AH24" s="2">
        <v>1</v>
      </c>
      <c r="AI24" s="2">
        <v>1</v>
      </c>
      <c r="AJ24" s="2">
        <v>1</v>
      </c>
      <c r="AK24" s="5">
        <v>45400</v>
      </c>
      <c r="AL24" s="2">
        <v>0</v>
      </c>
      <c r="AM24" s="2">
        <v>0</v>
      </c>
      <c r="AN24" s="2">
        <v>0</v>
      </c>
      <c r="AS24" s="2">
        <v>0</v>
      </c>
      <c r="AT24" s="2" t="s">
        <v>88</v>
      </c>
    </row>
    <row r="25" spans="1:46">
      <c r="A25" s="2">
        <v>24</v>
      </c>
      <c r="B25" s="5">
        <v>45400</v>
      </c>
      <c r="C25" s="5">
        <v>45408</v>
      </c>
      <c r="D25" s="2">
        <f t="shared" si="0"/>
        <v>8</v>
      </c>
      <c r="E25" s="2">
        <v>85</v>
      </c>
      <c r="F25" s="2">
        <v>2</v>
      </c>
      <c r="G25" s="2">
        <v>2</v>
      </c>
      <c r="H25" s="2">
        <v>1</v>
      </c>
      <c r="I25" s="2">
        <v>0</v>
      </c>
      <c r="J25" s="2">
        <v>0</v>
      </c>
      <c r="K25" s="2">
        <v>0</v>
      </c>
      <c r="L25" s="2">
        <v>0</v>
      </c>
      <c r="M25" s="2">
        <v>0</v>
      </c>
      <c r="N25" s="2">
        <v>1</v>
      </c>
      <c r="O25" s="2" t="s">
        <v>70</v>
      </c>
      <c r="P25" t="s">
        <v>52</v>
      </c>
      <c r="Q25" s="2">
        <v>1</v>
      </c>
      <c r="R25" s="2">
        <v>3</v>
      </c>
      <c r="S25" s="5">
        <v>45400</v>
      </c>
      <c r="T25" s="5">
        <v>45402</v>
      </c>
      <c r="U25" s="2">
        <v>1</v>
      </c>
      <c r="V25" s="2">
        <v>0</v>
      </c>
      <c r="W25" s="2">
        <v>0</v>
      </c>
      <c r="X25" s="2">
        <v>0</v>
      </c>
      <c r="Y25" s="2">
        <v>1</v>
      </c>
      <c r="Z25" s="2">
        <v>0</v>
      </c>
      <c r="AA25" s="2">
        <v>0</v>
      </c>
      <c r="AB25" s="2">
        <v>0</v>
      </c>
      <c r="AC25" s="2">
        <v>0</v>
      </c>
      <c r="AD25" s="2">
        <v>1</v>
      </c>
      <c r="AE25" s="2" t="s">
        <v>55</v>
      </c>
      <c r="AF25" s="2">
        <v>1</v>
      </c>
      <c r="AG25" s="2">
        <v>1</v>
      </c>
      <c r="AH25" s="11">
        <v>0</v>
      </c>
      <c r="AI25" s="2">
        <v>1</v>
      </c>
      <c r="AJ25" s="2">
        <v>1</v>
      </c>
      <c r="AK25" s="5">
        <v>45404</v>
      </c>
      <c r="AL25" s="2">
        <v>0</v>
      </c>
      <c r="AM25" s="2">
        <v>1</v>
      </c>
      <c r="AN25" s="2">
        <v>0</v>
      </c>
      <c r="AS25" s="2">
        <v>0</v>
      </c>
      <c r="AT25" s="2" t="s">
        <v>89</v>
      </c>
    </row>
    <row r="26" spans="1:46">
      <c r="A26" s="2">
        <v>25</v>
      </c>
      <c r="B26" s="5">
        <v>45401</v>
      </c>
      <c r="C26" s="5">
        <v>45408</v>
      </c>
      <c r="D26" s="2">
        <f t="shared" si="0"/>
        <v>7</v>
      </c>
      <c r="E26" s="2">
        <v>79</v>
      </c>
      <c r="F26" s="2">
        <v>1</v>
      </c>
      <c r="G26" s="2">
        <v>2</v>
      </c>
      <c r="H26" s="2">
        <v>1</v>
      </c>
      <c r="I26" s="2">
        <v>0</v>
      </c>
      <c r="J26" s="2">
        <v>0</v>
      </c>
      <c r="K26" s="2">
        <v>1</v>
      </c>
      <c r="L26" s="2">
        <v>0</v>
      </c>
      <c r="M26" s="2">
        <v>0</v>
      </c>
      <c r="N26" s="2">
        <v>1</v>
      </c>
      <c r="O26" s="2" t="s">
        <v>63</v>
      </c>
      <c r="P26" t="s">
        <v>52</v>
      </c>
      <c r="Q26" s="2">
        <v>1</v>
      </c>
      <c r="R26" s="2">
        <v>1</v>
      </c>
      <c r="S26" s="5">
        <v>45401</v>
      </c>
      <c r="T26" s="5">
        <v>45401</v>
      </c>
      <c r="U26" s="2">
        <v>0</v>
      </c>
      <c r="V26" s="2">
        <v>0</v>
      </c>
      <c r="W26" s="2">
        <v>0</v>
      </c>
      <c r="X26" s="2">
        <v>0</v>
      </c>
      <c r="Y26" s="2">
        <v>0</v>
      </c>
      <c r="Z26" s="2">
        <v>0</v>
      </c>
      <c r="AA26" s="2">
        <v>0</v>
      </c>
      <c r="AB26" s="2">
        <v>0</v>
      </c>
      <c r="AC26" s="2">
        <v>1</v>
      </c>
      <c r="AD26" s="2">
        <v>1</v>
      </c>
      <c r="AE26" s="2" t="s">
        <v>55</v>
      </c>
      <c r="AF26" s="2">
        <v>1</v>
      </c>
      <c r="AG26" s="2">
        <v>1</v>
      </c>
      <c r="AH26" s="2">
        <v>1</v>
      </c>
      <c r="AI26" s="2">
        <v>0</v>
      </c>
      <c r="AJ26" s="2">
        <v>1</v>
      </c>
      <c r="AK26" s="5">
        <v>45406</v>
      </c>
      <c r="AL26" s="2">
        <v>0</v>
      </c>
      <c r="AM26" s="2">
        <v>0</v>
      </c>
      <c r="AN26" s="2">
        <v>1</v>
      </c>
      <c r="AO26" s="5">
        <v>45408</v>
      </c>
      <c r="AP26" s="2">
        <v>0</v>
      </c>
      <c r="AQ26" s="2">
        <v>0</v>
      </c>
      <c r="AR26" s="2">
        <v>0</v>
      </c>
      <c r="AS26" s="2">
        <v>0</v>
      </c>
      <c r="AT26" s="2" t="s">
        <v>90</v>
      </c>
    </row>
    <row r="27" spans="1:46">
      <c r="A27" s="2">
        <v>26</v>
      </c>
      <c r="B27" s="5">
        <v>45401</v>
      </c>
      <c r="C27" s="5">
        <v>45447</v>
      </c>
      <c r="D27" s="2">
        <f t="shared" si="0"/>
        <v>46</v>
      </c>
      <c r="E27" s="2">
        <v>46</v>
      </c>
      <c r="F27" s="2">
        <v>2</v>
      </c>
      <c r="G27" s="2">
        <v>2</v>
      </c>
      <c r="H27" s="2">
        <v>1</v>
      </c>
      <c r="I27" s="2">
        <v>1</v>
      </c>
      <c r="J27" s="2">
        <v>0</v>
      </c>
      <c r="K27" s="2">
        <v>0</v>
      </c>
      <c r="L27" s="2">
        <v>1</v>
      </c>
      <c r="M27" s="2">
        <v>0</v>
      </c>
      <c r="N27" s="2">
        <v>0</v>
      </c>
      <c r="P27" t="s">
        <v>47</v>
      </c>
      <c r="Q27" s="2">
        <v>1</v>
      </c>
      <c r="R27" s="2">
        <v>3</v>
      </c>
      <c r="S27" s="5">
        <v>45401</v>
      </c>
      <c r="T27" s="5">
        <v>45404</v>
      </c>
      <c r="U27" s="2">
        <v>1</v>
      </c>
      <c r="V27" s="2">
        <v>0</v>
      </c>
      <c r="W27" s="2">
        <v>0</v>
      </c>
      <c r="X27" s="2">
        <v>1</v>
      </c>
      <c r="Y27" s="2">
        <v>0</v>
      </c>
      <c r="Z27" s="2">
        <v>0</v>
      </c>
      <c r="AA27" s="2">
        <v>0</v>
      </c>
      <c r="AB27" s="2">
        <v>0</v>
      </c>
      <c r="AC27" s="2">
        <v>0</v>
      </c>
      <c r="AD27" s="2">
        <v>1</v>
      </c>
      <c r="AE27" s="2" t="s">
        <v>91</v>
      </c>
      <c r="AF27" s="2">
        <v>1</v>
      </c>
      <c r="AG27" s="2">
        <v>0</v>
      </c>
      <c r="AH27" s="2">
        <v>1</v>
      </c>
      <c r="AI27" s="2">
        <v>1</v>
      </c>
      <c r="AJ27" s="2">
        <v>1</v>
      </c>
      <c r="AK27" s="5">
        <v>45406</v>
      </c>
      <c r="AL27" s="2">
        <v>0</v>
      </c>
      <c r="AM27" s="2">
        <v>0</v>
      </c>
      <c r="AN27" s="2">
        <v>1</v>
      </c>
      <c r="AO27" s="5">
        <v>45408</v>
      </c>
      <c r="AP27" s="2">
        <v>0</v>
      </c>
      <c r="AQ27" s="2">
        <v>0</v>
      </c>
      <c r="AR27" s="2">
        <v>0</v>
      </c>
      <c r="AS27" s="2">
        <v>0</v>
      </c>
      <c r="AT27" s="2" t="s">
        <v>92</v>
      </c>
    </row>
    <row r="28" spans="1:46">
      <c r="A28" s="2">
        <v>27</v>
      </c>
      <c r="B28" s="5">
        <v>45402</v>
      </c>
      <c r="C28" s="5">
        <v>45412</v>
      </c>
      <c r="D28" s="2">
        <f t="shared" si="0"/>
        <v>10</v>
      </c>
      <c r="E28" s="2">
        <v>87</v>
      </c>
      <c r="F28" s="2">
        <v>2</v>
      </c>
      <c r="G28" s="2">
        <v>2</v>
      </c>
      <c r="H28" s="2">
        <v>1</v>
      </c>
      <c r="I28" s="2">
        <v>0</v>
      </c>
      <c r="J28" s="2">
        <v>0</v>
      </c>
      <c r="K28" s="2">
        <v>0</v>
      </c>
      <c r="L28" s="2">
        <v>0</v>
      </c>
      <c r="M28" s="2">
        <v>0</v>
      </c>
      <c r="N28" s="2">
        <v>1</v>
      </c>
      <c r="O28" s="2" t="s">
        <v>93</v>
      </c>
      <c r="P28" t="s">
        <v>52</v>
      </c>
      <c r="Q28" s="2">
        <v>1</v>
      </c>
      <c r="R28" s="2">
        <v>2</v>
      </c>
      <c r="S28" s="5">
        <v>45402</v>
      </c>
      <c r="T28" s="5">
        <v>45403</v>
      </c>
      <c r="U28" s="2">
        <v>0</v>
      </c>
      <c r="V28" s="2">
        <v>0</v>
      </c>
      <c r="W28" s="2">
        <v>0</v>
      </c>
      <c r="X28" s="2">
        <v>0</v>
      </c>
      <c r="Y28" s="2">
        <v>0</v>
      </c>
      <c r="Z28" s="2">
        <v>0</v>
      </c>
      <c r="AA28" s="2">
        <v>0</v>
      </c>
      <c r="AB28" s="2">
        <v>0</v>
      </c>
      <c r="AC28" s="2">
        <v>0</v>
      </c>
      <c r="AD28" s="2">
        <v>1</v>
      </c>
      <c r="AE28" s="2" t="s">
        <v>55</v>
      </c>
      <c r="AF28" s="11">
        <v>1</v>
      </c>
      <c r="AG28" s="2">
        <v>1</v>
      </c>
      <c r="AH28" s="2">
        <v>1</v>
      </c>
      <c r="AI28" s="2">
        <v>1</v>
      </c>
      <c r="AJ28" s="2">
        <v>1</v>
      </c>
      <c r="AK28" s="5">
        <v>45406</v>
      </c>
      <c r="AL28" s="2">
        <v>0</v>
      </c>
      <c r="AM28" s="2">
        <v>0</v>
      </c>
      <c r="AN28" s="2">
        <v>1</v>
      </c>
      <c r="AO28" s="5">
        <v>45411</v>
      </c>
      <c r="AP28" s="2">
        <v>0</v>
      </c>
      <c r="AQ28" s="2">
        <v>0</v>
      </c>
      <c r="AR28" s="2">
        <v>1</v>
      </c>
      <c r="AS28" s="2">
        <v>0</v>
      </c>
      <c r="AT28" s="2" t="s">
        <v>94</v>
      </c>
    </row>
    <row r="29" spans="1:46">
      <c r="A29" s="2">
        <v>28</v>
      </c>
      <c r="B29" s="5">
        <v>45405</v>
      </c>
      <c r="C29" s="5">
        <v>45423</v>
      </c>
      <c r="D29" s="2">
        <f t="shared" si="0"/>
        <v>18</v>
      </c>
      <c r="E29" s="2">
        <v>66</v>
      </c>
      <c r="F29" s="2">
        <v>1</v>
      </c>
      <c r="G29" s="2">
        <v>2</v>
      </c>
      <c r="H29" s="2">
        <v>1</v>
      </c>
      <c r="I29" s="2">
        <v>0</v>
      </c>
      <c r="J29" s="2">
        <v>0</v>
      </c>
      <c r="K29" s="2">
        <v>0</v>
      </c>
      <c r="L29" s="2">
        <v>0</v>
      </c>
      <c r="M29" s="2">
        <v>0</v>
      </c>
      <c r="N29" s="2">
        <v>1</v>
      </c>
      <c r="O29" s="2" t="s">
        <v>63</v>
      </c>
      <c r="P29" t="s">
        <v>52</v>
      </c>
      <c r="Q29" s="2">
        <v>1</v>
      </c>
      <c r="R29" s="2">
        <v>4</v>
      </c>
      <c r="S29" s="5">
        <v>45405</v>
      </c>
      <c r="T29" s="5">
        <v>45408</v>
      </c>
      <c r="U29" s="2">
        <v>1</v>
      </c>
      <c r="V29" s="2">
        <v>1</v>
      </c>
      <c r="W29" s="2">
        <v>0</v>
      </c>
      <c r="X29" s="2">
        <v>0</v>
      </c>
      <c r="Y29" s="2">
        <v>1</v>
      </c>
      <c r="Z29" s="2">
        <v>0</v>
      </c>
      <c r="AA29" s="2">
        <v>0</v>
      </c>
      <c r="AB29" s="2">
        <v>0</v>
      </c>
      <c r="AC29" s="2">
        <v>0</v>
      </c>
      <c r="AD29" s="2">
        <v>1</v>
      </c>
      <c r="AE29" s="2" t="s">
        <v>55</v>
      </c>
      <c r="AF29" s="11">
        <v>1</v>
      </c>
      <c r="AG29" s="2">
        <v>0</v>
      </c>
      <c r="AH29" s="2">
        <v>1</v>
      </c>
      <c r="AI29" s="2">
        <v>0</v>
      </c>
      <c r="AJ29" s="2">
        <v>1</v>
      </c>
      <c r="AK29" s="5">
        <v>45411</v>
      </c>
      <c r="AL29" s="2">
        <v>0</v>
      </c>
      <c r="AM29" s="2">
        <v>0</v>
      </c>
      <c r="AN29" s="2">
        <v>0</v>
      </c>
      <c r="AS29" s="2">
        <v>1</v>
      </c>
      <c r="AT29" s="2" t="s">
        <v>95</v>
      </c>
    </row>
    <row r="30" spans="1:46">
      <c r="A30" s="2">
        <v>29</v>
      </c>
      <c r="B30" s="5">
        <v>45406</v>
      </c>
      <c r="C30" s="5">
        <v>45424</v>
      </c>
      <c r="D30" s="2">
        <f t="shared" si="0"/>
        <v>18</v>
      </c>
      <c r="E30" s="2">
        <v>59</v>
      </c>
      <c r="F30" s="2">
        <v>2</v>
      </c>
      <c r="G30" s="2">
        <v>2</v>
      </c>
      <c r="H30" s="2">
        <v>1</v>
      </c>
      <c r="I30" s="2">
        <v>0</v>
      </c>
      <c r="J30" s="2">
        <v>0</v>
      </c>
      <c r="K30" s="2">
        <v>0</v>
      </c>
      <c r="L30" s="2">
        <v>1</v>
      </c>
      <c r="M30" s="2">
        <v>0</v>
      </c>
      <c r="N30" s="2">
        <v>1</v>
      </c>
      <c r="O30" s="2" t="s">
        <v>70</v>
      </c>
      <c r="P30" t="s">
        <v>52</v>
      </c>
      <c r="Q30" s="2">
        <v>1</v>
      </c>
      <c r="R30" s="2">
        <v>3</v>
      </c>
      <c r="S30" s="5">
        <v>45406</v>
      </c>
      <c r="T30" s="5">
        <v>45409</v>
      </c>
      <c r="U30" s="2">
        <v>1</v>
      </c>
      <c r="V30" s="2">
        <v>0</v>
      </c>
      <c r="W30" s="2">
        <v>0</v>
      </c>
      <c r="X30" s="2">
        <v>1</v>
      </c>
      <c r="Y30" s="2">
        <v>0</v>
      </c>
      <c r="Z30" s="2">
        <v>0</v>
      </c>
      <c r="AA30" s="2">
        <v>0</v>
      </c>
      <c r="AB30" s="2">
        <v>0</v>
      </c>
      <c r="AC30" s="2">
        <v>0</v>
      </c>
      <c r="AD30" s="2">
        <v>1</v>
      </c>
      <c r="AE30" s="2" t="s">
        <v>55</v>
      </c>
      <c r="AF30" s="2">
        <v>1</v>
      </c>
      <c r="AG30" s="2">
        <v>1</v>
      </c>
      <c r="AH30" s="2">
        <v>1</v>
      </c>
      <c r="AI30" s="2">
        <v>1</v>
      </c>
      <c r="AJ30" s="2">
        <v>1</v>
      </c>
      <c r="AK30" s="5">
        <v>45415</v>
      </c>
      <c r="AL30" s="2">
        <v>1</v>
      </c>
      <c r="AM30" s="2">
        <v>0</v>
      </c>
      <c r="AN30" s="2">
        <v>0</v>
      </c>
      <c r="AS30" s="2">
        <v>1</v>
      </c>
      <c r="AT30" s="2" t="s">
        <v>96</v>
      </c>
    </row>
    <row r="31" spans="1:46">
      <c r="A31" s="8">
        <v>30</v>
      </c>
      <c r="B31" s="5">
        <v>45403</v>
      </c>
      <c r="C31" s="6">
        <v>45412</v>
      </c>
      <c r="D31" s="2">
        <f t="shared" si="0"/>
        <v>9</v>
      </c>
      <c r="E31" s="2">
        <v>72</v>
      </c>
      <c r="F31" s="2">
        <v>1</v>
      </c>
      <c r="G31" s="2">
        <v>2</v>
      </c>
      <c r="H31" s="2">
        <v>1</v>
      </c>
      <c r="I31" s="2">
        <v>0</v>
      </c>
      <c r="J31" s="2">
        <v>0</v>
      </c>
      <c r="K31" s="2">
        <v>0</v>
      </c>
      <c r="L31" s="2">
        <v>0</v>
      </c>
      <c r="M31" s="2">
        <v>0</v>
      </c>
      <c r="N31" s="2">
        <v>1</v>
      </c>
      <c r="O31" s="2" t="s">
        <v>97</v>
      </c>
      <c r="P31" t="s">
        <v>52</v>
      </c>
      <c r="Q31" s="2">
        <v>1</v>
      </c>
      <c r="R31" s="2">
        <v>2</v>
      </c>
      <c r="S31" s="5">
        <v>45407</v>
      </c>
      <c r="T31" s="5">
        <v>45409</v>
      </c>
      <c r="U31" s="2">
        <v>1</v>
      </c>
      <c r="V31" s="2">
        <v>1</v>
      </c>
      <c r="W31" s="2">
        <v>0</v>
      </c>
      <c r="X31" s="2">
        <v>0</v>
      </c>
      <c r="Y31" s="2">
        <v>0</v>
      </c>
      <c r="Z31" s="2">
        <v>0</v>
      </c>
      <c r="AA31" s="2">
        <v>0</v>
      </c>
      <c r="AB31" s="2">
        <v>0</v>
      </c>
      <c r="AC31" s="2">
        <v>1</v>
      </c>
      <c r="AD31" s="2">
        <v>1</v>
      </c>
      <c r="AE31" s="2" t="s">
        <v>55</v>
      </c>
      <c r="AF31" s="2">
        <v>1</v>
      </c>
      <c r="AG31" s="2">
        <v>1</v>
      </c>
      <c r="AH31" s="2">
        <v>1</v>
      </c>
      <c r="AI31" s="2">
        <v>1</v>
      </c>
      <c r="AJ31" s="2">
        <v>1</v>
      </c>
      <c r="AK31" s="5">
        <v>45408</v>
      </c>
      <c r="AL31" s="2">
        <v>0</v>
      </c>
      <c r="AM31" s="2">
        <v>0</v>
      </c>
      <c r="AN31" s="2">
        <v>0</v>
      </c>
      <c r="AS31" s="2">
        <v>0</v>
      </c>
      <c r="AT31" s="2" t="s">
        <v>98</v>
      </c>
    </row>
    <row r="32" spans="1:46">
      <c r="A32" s="2">
        <v>31</v>
      </c>
      <c r="B32" s="5">
        <v>45406</v>
      </c>
      <c r="C32" s="5">
        <v>45422</v>
      </c>
      <c r="D32" s="2">
        <f t="shared" si="0"/>
        <v>16</v>
      </c>
      <c r="E32" s="2">
        <v>71</v>
      </c>
      <c r="F32" s="2">
        <v>2</v>
      </c>
      <c r="G32" s="2">
        <v>2</v>
      </c>
      <c r="H32" s="2">
        <v>1</v>
      </c>
      <c r="I32" s="2">
        <v>0</v>
      </c>
      <c r="J32" s="2">
        <v>0</v>
      </c>
      <c r="K32" s="2">
        <v>0</v>
      </c>
      <c r="L32" s="2">
        <v>0</v>
      </c>
      <c r="M32" s="2">
        <v>0</v>
      </c>
      <c r="N32" s="2">
        <v>1</v>
      </c>
      <c r="O32" s="2" t="s">
        <v>99</v>
      </c>
      <c r="P32" t="s">
        <v>52</v>
      </c>
      <c r="Q32" s="2">
        <v>1</v>
      </c>
      <c r="R32" s="2">
        <v>2</v>
      </c>
      <c r="S32" s="5">
        <v>45409</v>
      </c>
      <c r="T32" s="5">
        <v>45410</v>
      </c>
      <c r="U32" s="2">
        <v>1</v>
      </c>
      <c r="V32" s="2">
        <v>1</v>
      </c>
      <c r="W32" s="2">
        <v>0</v>
      </c>
      <c r="X32" s="2">
        <v>0</v>
      </c>
      <c r="Y32" s="2">
        <v>1</v>
      </c>
      <c r="Z32" s="2">
        <v>0</v>
      </c>
      <c r="AA32" s="2">
        <v>0</v>
      </c>
      <c r="AB32" s="2">
        <v>0</v>
      </c>
      <c r="AC32" s="2">
        <v>1</v>
      </c>
      <c r="AD32" s="2">
        <v>1</v>
      </c>
      <c r="AE32" s="2" t="s">
        <v>79</v>
      </c>
      <c r="AF32" s="2">
        <v>1</v>
      </c>
      <c r="AG32" s="2">
        <v>1</v>
      </c>
      <c r="AH32" s="2">
        <v>1</v>
      </c>
      <c r="AI32" s="2">
        <v>1</v>
      </c>
      <c r="AJ32" s="2">
        <v>1</v>
      </c>
      <c r="AK32" s="5">
        <v>45414</v>
      </c>
      <c r="AL32" s="2">
        <v>0</v>
      </c>
      <c r="AM32" s="2">
        <v>0</v>
      </c>
      <c r="AN32" s="2">
        <v>0</v>
      </c>
      <c r="AS32" s="2">
        <v>0</v>
      </c>
      <c r="AT32" s="2" t="s">
        <v>100</v>
      </c>
    </row>
    <row r="33" spans="1:46">
      <c r="A33" s="2">
        <v>32</v>
      </c>
      <c r="B33" s="5">
        <v>45347</v>
      </c>
      <c r="C33" s="5">
        <v>45454</v>
      </c>
      <c r="D33" s="2">
        <f t="shared" si="0"/>
        <v>107</v>
      </c>
      <c r="E33" s="2">
        <v>54</v>
      </c>
      <c r="F33" s="2">
        <v>1</v>
      </c>
      <c r="G33" s="2">
        <v>3</v>
      </c>
      <c r="H33" s="2">
        <v>0</v>
      </c>
      <c r="I33" s="2">
        <v>0</v>
      </c>
      <c r="J33" s="2">
        <v>0</v>
      </c>
      <c r="K33" s="2">
        <v>0</v>
      </c>
      <c r="L33" s="2">
        <v>0</v>
      </c>
      <c r="M33" s="2">
        <v>0</v>
      </c>
      <c r="N33" s="2">
        <v>0</v>
      </c>
      <c r="P33" t="s">
        <v>47</v>
      </c>
      <c r="Q33" s="2">
        <v>1</v>
      </c>
      <c r="R33" s="2">
        <v>4</v>
      </c>
      <c r="S33" s="5">
        <v>45407</v>
      </c>
      <c r="T33" s="5">
        <v>45410</v>
      </c>
      <c r="U33" s="2">
        <v>1</v>
      </c>
      <c r="V33" s="2">
        <v>0</v>
      </c>
      <c r="W33" s="2">
        <v>1</v>
      </c>
      <c r="X33" s="2">
        <v>0</v>
      </c>
      <c r="Y33" s="2">
        <v>0</v>
      </c>
      <c r="Z33" s="2">
        <v>0</v>
      </c>
      <c r="AA33" s="2">
        <v>0</v>
      </c>
      <c r="AB33" s="2">
        <v>0</v>
      </c>
      <c r="AC33" s="2">
        <v>0</v>
      </c>
      <c r="AD33" s="2">
        <v>1</v>
      </c>
      <c r="AE33" s="2" t="s">
        <v>91</v>
      </c>
      <c r="AF33" s="2">
        <v>1</v>
      </c>
      <c r="AG33" s="2">
        <v>1</v>
      </c>
      <c r="AH33" s="2">
        <v>0</v>
      </c>
      <c r="AI33" s="2">
        <v>1</v>
      </c>
      <c r="AJ33" s="2">
        <v>1</v>
      </c>
      <c r="AK33" s="5">
        <v>45411</v>
      </c>
      <c r="AL33" s="2">
        <v>0</v>
      </c>
      <c r="AM33" s="2">
        <v>0</v>
      </c>
      <c r="AN33" s="2">
        <v>0</v>
      </c>
      <c r="AS33" s="2">
        <v>1</v>
      </c>
      <c r="AT33" s="2" t="s">
        <v>101</v>
      </c>
    </row>
    <row r="34" spans="1:46">
      <c r="A34" s="2">
        <v>33</v>
      </c>
      <c r="B34" s="5">
        <v>45351</v>
      </c>
      <c r="C34" s="5">
        <v>45379</v>
      </c>
      <c r="D34" s="2">
        <f t="shared" si="0"/>
        <v>28</v>
      </c>
      <c r="E34" s="2">
        <v>28</v>
      </c>
      <c r="F34" s="2">
        <v>2</v>
      </c>
      <c r="G34" s="2">
        <v>2</v>
      </c>
      <c r="H34" s="2">
        <v>1</v>
      </c>
      <c r="I34" s="2">
        <v>1</v>
      </c>
      <c r="J34" s="2">
        <v>0</v>
      </c>
      <c r="K34" s="2">
        <v>0</v>
      </c>
      <c r="L34" s="2">
        <v>0</v>
      </c>
      <c r="M34" s="2">
        <v>0</v>
      </c>
      <c r="N34" s="2">
        <v>0</v>
      </c>
      <c r="P34" t="s">
        <v>47</v>
      </c>
      <c r="Q34" s="2">
        <v>1</v>
      </c>
      <c r="R34" s="2">
        <v>3</v>
      </c>
      <c r="S34" s="5">
        <v>45351</v>
      </c>
      <c r="T34" s="5">
        <v>45353</v>
      </c>
      <c r="U34" s="2">
        <v>1</v>
      </c>
      <c r="V34" s="2">
        <v>0</v>
      </c>
      <c r="W34" s="2">
        <v>0</v>
      </c>
      <c r="X34" s="2">
        <v>0</v>
      </c>
      <c r="Y34" s="2">
        <v>0</v>
      </c>
      <c r="Z34" s="2">
        <v>0</v>
      </c>
      <c r="AA34" s="2">
        <v>1</v>
      </c>
      <c r="AB34" s="2">
        <v>0</v>
      </c>
      <c r="AC34" s="2">
        <v>0</v>
      </c>
      <c r="AD34" s="2">
        <v>1</v>
      </c>
      <c r="AE34" s="2" t="s">
        <v>91</v>
      </c>
      <c r="AF34" s="2">
        <v>1</v>
      </c>
      <c r="AG34" s="2">
        <v>1</v>
      </c>
      <c r="AH34" s="2">
        <v>0</v>
      </c>
      <c r="AI34" s="2">
        <v>1</v>
      </c>
      <c r="AJ34" s="2">
        <v>1</v>
      </c>
      <c r="AK34" s="5">
        <v>45352</v>
      </c>
      <c r="AL34" s="2">
        <v>0</v>
      </c>
      <c r="AM34" s="2">
        <v>1</v>
      </c>
      <c r="AN34" s="2">
        <v>1</v>
      </c>
      <c r="AO34" s="5">
        <v>45365</v>
      </c>
      <c r="AP34" s="2">
        <v>0</v>
      </c>
      <c r="AQ34" s="2">
        <v>1</v>
      </c>
      <c r="AR34" s="2">
        <v>0</v>
      </c>
      <c r="AS34" s="2">
        <v>0</v>
      </c>
      <c r="AT34" s="2" t="s">
        <v>102</v>
      </c>
    </row>
    <row r="35" spans="1:46">
      <c r="A35" s="8">
        <v>34</v>
      </c>
      <c r="B35" s="5">
        <v>45343</v>
      </c>
      <c r="C35" s="6">
        <v>45368</v>
      </c>
      <c r="D35" s="2">
        <f t="shared" si="0"/>
        <v>25</v>
      </c>
      <c r="E35" s="2">
        <v>82</v>
      </c>
      <c r="F35" s="2">
        <v>1</v>
      </c>
      <c r="G35" s="2">
        <v>2</v>
      </c>
      <c r="H35" s="2">
        <v>1</v>
      </c>
      <c r="I35" s="2">
        <v>0</v>
      </c>
      <c r="J35" s="2">
        <v>0</v>
      </c>
      <c r="K35" s="2">
        <v>0</v>
      </c>
      <c r="L35" s="2">
        <v>1</v>
      </c>
      <c r="M35" s="2">
        <v>0</v>
      </c>
      <c r="N35" s="2">
        <v>1</v>
      </c>
      <c r="O35" s="2" t="s">
        <v>103</v>
      </c>
      <c r="P35" t="s">
        <v>52</v>
      </c>
      <c r="Q35" s="2">
        <v>1</v>
      </c>
      <c r="R35" s="2">
        <v>2</v>
      </c>
      <c r="S35" s="5">
        <v>45351</v>
      </c>
      <c r="T35" s="5">
        <v>45352</v>
      </c>
      <c r="U35" s="2">
        <v>1</v>
      </c>
      <c r="V35" s="2">
        <v>0</v>
      </c>
      <c r="W35" s="2">
        <v>0</v>
      </c>
      <c r="X35" s="2">
        <v>1</v>
      </c>
      <c r="Y35" s="2">
        <v>0</v>
      </c>
      <c r="Z35" s="2">
        <v>0</v>
      </c>
      <c r="AA35" s="2">
        <v>0</v>
      </c>
      <c r="AB35" s="2">
        <v>1</v>
      </c>
      <c r="AC35" s="2">
        <v>0</v>
      </c>
      <c r="AD35" s="2">
        <v>1</v>
      </c>
      <c r="AE35" s="2" t="s">
        <v>91</v>
      </c>
      <c r="AF35" s="2">
        <v>1</v>
      </c>
      <c r="AG35" s="2">
        <v>0</v>
      </c>
      <c r="AH35" s="2">
        <v>1</v>
      </c>
      <c r="AI35" s="2">
        <v>0</v>
      </c>
      <c r="AJ35" s="2">
        <v>1</v>
      </c>
      <c r="AK35" s="5">
        <v>45352</v>
      </c>
      <c r="AL35" s="2">
        <v>0</v>
      </c>
      <c r="AM35" s="2">
        <v>1</v>
      </c>
      <c r="AN35" s="2">
        <v>0</v>
      </c>
      <c r="AS35" s="2">
        <v>1</v>
      </c>
      <c r="AT35" s="2" t="s">
        <v>104</v>
      </c>
    </row>
    <row r="36" spans="1:46" s="8" customFormat="1">
      <c r="A36" s="8">
        <v>35</v>
      </c>
      <c r="B36" s="6">
        <v>45342</v>
      </c>
      <c r="C36" s="6">
        <v>45356</v>
      </c>
      <c r="D36" s="8">
        <f t="shared" si="0"/>
        <v>14</v>
      </c>
      <c r="E36" s="8">
        <v>83</v>
      </c>
      <c r="F36" s="8">
        <v>1</v>
      </c>
      <c r="G36" s="8">
        <v>2</v>
      </c>
      <c r="H36" s="8">
        <v>0</v>
      </c>
      <c r="I36" s="8">
        <v>0</v>
      </c>
      <c r="J36" s="8">
        <v>0</v>
      </c>
      <c r="K36" s="8">
        <v>0</v>
      </c>
      <c r="L36" s="8">
        <v>0</v>
      </c>
      <c r="M36" s="8">
        <v>0</v>
      </c>
      <c r="N36" s="8">
        <v>0</v>
      </c>
      <c r="P36" s="9" t="s">
        <v>52</v>
      </c>
      <c r="Q36" s="8">
        <v>1</v>
      </c>
      <c r="R36" s="8">
        <v>2</v>
      </c>
      <c r="S36" s="6">
        <v>45352</v>
      </c>
      <c r="T36" s="6">
        <v>45355</v>
      </c>
      <c r="U36" s="8">
        <v>1</v>
      </c>
      <c r="V36" s="8">
        <v>0</v>
      </c>
      <c r="W36" s="8">
        <v>0</v>
      </c>
      <c r="X36" s="8">
        <v>0</v>
      </c>
      <c r="Y36" s="8">
        <v>0</v>
      </c>
      <c r="Z36" s="8">
        <v>0</v>
      </c>
      <c r="AA36" s="8">
        <v>1</v>
      </c>
      <c r="AB36" s="8">
        <v>0</v>
      </c>
      <c r="AC36" s="8">
        <v>0</v>
      </c>
      <c r="AD36" s="8">
        <v>1</v>
      </c>
      <c r="AE36" s="8" t="s">
        <v>68</v>
      </c>
      <c r="AF36" s="8">
        <v>0</v>
      </c>
      <c r="AG36" s="8">
        <v>0</v>
      </c>
      <c r="AH36" s="8">
        <v>1</v>
      </c>
      <c r="AI36" s="8">
        <v>1</v>
      </c>
      <c r="AJ36" s="8">
        <v>0</v>
      </c>
      <c r="AS36" s="8">
        <v>0</v>
      </c>
      <c r="AT36" s="8" t="s">
        <v>105</v>
      </c>
    </row>
    <row r="37" spans="1:46">
      <c r="A37" s="2">
        <v>36</v>
      </c>
      <c r="B37" s="5">
        <v>45355</v>
      </c>
      <c r="C37" s="5">
        <v>45378</v>
      </c>
      <c r="D37" s="2">
        <f t="shared" si="0"/>
        <v>23</v>
      </c>
      <c r="E37" s="2">
        <v>79</v>
      </c>
      <c r="F37" s="2">
        <v>2</v>
      </c>
      <c r="G37" s="2">
        <v>2</v>
      </c>
      <c r="H37" s="2">
        <v>1</v>
      </c>
      <c r="I37" s="2">
        <v>0</v>
      </c>
      <c r="J37" s="2">
        <v>0</v>
      </c>
      <c r="K37" s="2">
        <v>0</v>
      </c>
      <c r="L37" s="2">
        <v>0</v>
      </c>
      <c r="M37" s="2">
        <v>0</v>
      </c>
      <c r="N37" s="2">
        <v>1</v>
      </c>
      <c r="O37" s="2" t="s">
        <v>106</v>
      </c>
      <c r="P37" t="s">
        <v>47</v>
      </c>
      <c r="Q37" s="2">
        <v>1</v>
      </c>
      <c r="R37" s="2">
        <v>5</v>
      </c>
      <c r="S37" s="5">
        <v>45355</v>
      </c>
      <c r="T37" s="5">
        <v>45359</v>
      </c>
      <c r="U37" s="2">
        <v>0</v>
      </c>
      <c r="V37" s="2">
        <v>0</v>
      </c>
      <c r="W37" s="2">
        <v>0</v>
      </c>
      <c r="X37" s="2">
        <v>0</v>
      </c>
      <c r="Y37" s="2">
        <v>0</v>
      </c>
      <c r="Z37" s="2">
        <v>0</v>
      </c>
      <c r="AA37" s="2">
        <v>0</v>
      </c>
      <c r="AB37" s="2">
        <v>0</v>
      </c>
      <c r="AC37" s="2">
        <v>0</v>
      </c>
      <c r="AD37" s="2">
        <v>1</v>
      </c>
      <c r="AE37" s="2" t="s">
        <v>48</v>
      </c>
      <c r="AF37" s="2">
        <v>1</v>
      </c>
      <c r="AG37" s="2">
        <v>1</v>
      </c>
      <c r="AH37" s="2">
        <v>1</v>
      </c>
      <c r="AI37" s="2">
        <v>1</v>
      </c>
      <c r="AJ37" s="2">
        <v>1</v>
      </c>
      <c r="AK37" s="5">
        <v>45357</v>
      </c>
      <c r="AL37" s="2">
        <v>0</v>
      </c>
      <c r="AM37" s="2">
        <v>0</v>
      </c>
      <c r="AN37" s="2">
        <v>1</v>
      </c>
      <c r="AO37" s="5">
        <v>45364</v>
      </c>
      <c r="AP37" s="2">
        <v>0</v>
      </c>
      <c r="AQ37" s="2">
        <v>0</v>
      </c>
      <c r="AR37" s="2">
        <v>0</v>
      </c>
      <c r="AS37" s="2">
        <v>0</v>
      </c>
      <c r="AT37" s="2" t="s">
        <v>107</v>
      </c>
    </row>
    <row r="38" spans="1:46">
      <c r="A38" s="8">
        <v>37</v>
      </c>
      <c r="B38" s="5">
        <v>45356</v>
      </c>
      <c r="C38" s="6">
        <v>45383</v>
      </c>
      <c r="D38" s="2">
        <f t="shared" si="0"/>
        <v>27</v>
      </c>
      <c r="E38" s="2">
        <v>77</v>
      </c>
      <c r="F38" s="2">
        <v>2</v>
      </c>
      <c r="G38" s="2">
        <v>3</v>
      </c>
      <c r="H38" s="2">
        <v>1</v>
      </c>
      <c r="I38" s="2">
        <v>0</v>
      </c>
      <c r="J38" s="2">
        <v>0</v>
      </c>
      <c r="K38" s="2">
        <v>1</v>
      </c>
      <c r="L38" s="2">
        <v>0</v>
      </c>
      <c r="M38" s="2">
        <v>0</v>
      </c>
      <c r="N38" s="2">
        <v>1</v>
      </c>
      <c r="O38" s="2" t="s">
        <v>108</v>
      </c>
      <c r="P38" t="s">
        <v>52</v>
      </c>
      <c r="Q38" s="2">
        <v>1</v>
      </c>
      <c r="R38" s="2">
        <v>3</v>
      </c>
      <c r="S38" s="5">
        <v>45364</v>
      </c>
      <c r="T38" s="5">
        <v>45366</v>
      </c>
      <c r="U38" s="2">
        <v>0</v>
      </c>
      <c r="V38" s="2">
        <v>0</v>
      </c>
      <c r="W38" s="2">
        <v>0</v>
      </c>
      <c r="X38" s="2">
        <v>0</v>
      </c>
      <c r="Y38" s="2">
        <v>0</v>
      </c>
      <c r="Z38" s="2">
        <v>0</v>
      </c>
      <c r="AA38" s="2">
        <v>0</v>
      </c>
      <c r="AB38" s="2">
        <v>0</v>
      </c>
      <c r="AC38" s="2">
        <v>0</v>
      </c>
      <c r="AD38" s="2">
        <v>1</v>
      </c>
      <c r="AE38" s="2" t="s">
        <v>55</v>
      </c>
      <c r="AF38" s="2">
        <v>1</v>
      </c>
      <c r="AG38" s="2">
        <v>0</v>
      </c>
      <c r="AH38" s="2">
        <v>1</v>
      </c>
      <c r="AI38" s="2">
        <v>1</v>
      </c>
      <c r="AJ38" s="2">
        <v>1</v>
      </c>
      <c r="AK38" s="5">
        <v>45365</v>
      </c>
      <c r="AL38" s="2">
        <v>0</v>
      </c>
      <c r="AM38" s="2">
        <v>0</v>
      </c>
      <c r="AN38" s="2">
        <v>1</v>
      </c>
      <c r="AO38" s="5">
        <v>45366</v>
      </c>
      <c r="AP38" s="2">
        <v>1</v>
      </c>
      <c r="AQ38" s="2">
        <v>0</v>
      </c>
      <c r="AR38" s="2">
        <v>0</v>
      </c>
      <c r="AS38" s="2">
        <v>0</v>
      </c>
      <c r="AT38" s="2" t="s">
        <v>109</v>
      </c>
    </row>
    <row r="39" spans="1:46">
      <c r="A39" s="2">
        <v>38</v>
      </c>
      <c r="B39" s="5">
        <v>45364</v>
      </c>
      <c r="C39" s="5">
        <v>45377</v>
      </c>
      <c r="D39" s="2">
        <f t="shared" si="0"/>
        <v>13</v>
      </c>
      <c r="E39" s="2">
        <v>95</v>
      </c>
      <c r="F39" s="2">
        <v>2</v>
      </c>
      <c r="G39" s="2">
        <v>4</v>
      </c>
      <c r="H39" s="2">
        <v>0</v>
      </c>
      <c r="I39" s="2">
        <v>0</v>
      </c>
      <c r="J39" s="2">
        <v>0</v>
      </c>
      <c r="K39" s="2">
        <v>0</v>
      </c>
      <c r="L39" s="2">
        <v>0</v>
      </c>
      <c r="M39" s="2">
        <v>0</v>
      </c>
      <c r="N39" s="2">
        <v>0</v>
      </c>
      <c r="P39" t="s">
        <v>52</v>
      </c>
      <c r="Q39" s="2">
        <v>1</v>
      </c>
      <c r="R39" s="2">
        <v>5</v>
      </c>
      <c r="S39" s="5">
        <v>45364</v>
      </c>
      <c r="T39" s="5">
        <v>45368</v>
      </c>
      <c r="U39" s="2">
        <v>1</v>
      </c>
      <c r="V39" s="2">
        <v>0</v>
      </c>
      <c r="W39" s="2">
        <v>0</v>
      </c>
      <c r="X39" s="2">
        <v>0</v>
      </c>
      <c r="Y39" s="2">
        <v>0</v>
      </c>
      <c r="Z39" s="2">
        <v>0</v>
      </c>
      <c r="AA39" s="2">
        <v>0</v>
      </c>
      <c r="AB39" s="2">
        <v>0</v>
      </c>
      <c r="AC39" s="2">
        <v>1</v>
      </c>
      <c r="AD39" s="2">
        <v>1</v>
      </c>
      <c r="AE39" s="2" t="s">
        <v>55</v>
      </c>
      <c r="AF39" s="2">
        <v>1</v>
      </c>
      <c r="AG39" s="2">
        <v>1</v>
      </c>
      <c r="AH39" s="2">
        <v>1</v>
      </c>
      <c r="AI39" s="2">
        <v>1</v>
      </c>
      <c r="AJ39" s="2">
        <v>1</v>
      </c>
      <c r="AK39" s="5">
        <v>45366</v>
      </c>
      <c r="AL39" s="2">
        <v>0</v>
      </c>
      <c r="AM39" s="2">
        <v>0</v>
      </c>
      <c r="AN39" s="2">
        <v>0</v>
      </c>
      <c r="AS39" s="2">
        <v>0</v>
      </c>
      <c r="AT39" s="2" t="s">
        <v>110</v>
      </c>
    </row>
    <row r="40" spans="1:46">
      <c r="A40" s="2">
        <v>39</v>
      </c>
      <c r="B40" s="5">
        <v>45390</v>
      </c>
      <c r="C40" s="5">
        <v>45425</v>
      </c>
      <c r="D40" s="2">
        <f t="shared" si="0"/>
        <v>35</v>
      </c>
      <c r="E40" s="2">
        <v>42</v>
      </c>
      <c r="F40" s="2">
        <v>2</v>
      </c>
      <c r="G40" s="2">
        <v>4</v>
      </c>
      <c r="H40" s="2">
        <v>1</v>
      </c>
      <c r="I40" s="2">
        <v>1</v>
      </c>
      <c r="J40" s="2">
        <v>0</v>
      </c>
      <c r="K40" s="2">
        <v>0</v>
      </c>
      <c r="L40" s="2">
        <v>0</v>
      </c>
      <c r="M40" s="2">
        <v>0</v>
      </c>
      <c r="N40" s="2">
        <v>0</v>
      </c>
      <c r="P40" t="s">
        <v>47</v>
      </c>
      <c r="Q40" s="2">
        <v>1</v>
      </c>
      <c r="R40" s="11">
        <v>5</v>
      </c>
      <c r="S40" s="5">
        <v>45393</v>
      </c>
      <c r="T40" s="5">
        <v>45398</v>
      </c>
      <c r="U40" s="2">
        <v>1</v>
      </c>
      <c r="V40" s="2">
        <v>1</v>
      </c>
      <c r="W40" s="2">
        <v>1</v>
      </c>
      <c r="X40" s="2">
        <v>0</v>
      </c>
      <c r="Y40" s="2">
        <v>0</v>
      </c>
      <c r="Z40" s="2">
        <v>0</v>
      </c>
      <c r="AA40" s="2">
        <v>0</v>
      </c>
      <c r="AB40" s="2">
        <v>0</v>
      </c>
      <c r="AC40" s="2">
        <v>0</v>
      </c>
      <c r="AD40" s="2">
        <v>1</v>
      </c>
      <c r="AE40" s="2" t="s">
        <v>48</v>
      </c>
      <c r="AF40" s="2">
        <v>1</v>
      </c>
      <c r="AG40" s="2">
        <v>1</v>
      </c>
      <c r="AH40" s="2">
        <v>0</v>
      </c>
      <c r="AI40" s="2">
        <v>1</v>
      </c>
      <c r="AJ40" s="2">
        <v>1</v>
      </c>
      <c r="AK40" s="5">
        <v>45397</v>
      </c>
      <c r="AL40" s="2">
        <v>0</v>
      </c>
      <c r="AM40" s="2">
        <v>0</v>
      </c>
      <c r="AN40" s="2">
        <v>1</v>
      </c>
      <c r="AO40" s="5">
        <v>45397</v>
      </c>
      <c r="AP40" s="2">
        <v>0</v>
      </c>
      <c r="AQ40" s="2">
        <v>0</v>
      </c>
      <c r="AR40" s="2">
        <v>0</v>
      </c>
      <c r="AS40" s="2">
        <v>0</v>
      </c>
      <c r="AT40" s="2" t="s">
        <v>111</v>
      </c>
    </row>
    <row r="41" spans="1:46">
      <c r="A41" s="8">
        <v>40</v>
      </c>
      <c r="B41" s="5">
        <v>45378</v>
      </c>
      <c r="C41" s="6">
        <v>45380</v>
      </c>
      <c r="D41" s="2">
        <f t="shared" si="0"/>
        <v>2</v>
      </c>
      <c r="E41" s="2">
        <v>64</v>
      </c>
      <c r="F41" s="2">
        <v>2</v>
      </c>
      <c r="G41" s="2">
        <v>2</v>
      </c>
      <c r="H41" s="2">
        <v>1</v>
      </c>
      <c r="I41" s="2">
        <v>0</v>
      </c>
      <c r="J41" s="2">
        <v>0</v>
      </c>
      <c r="K41" s="2">
        <v>0</v>
      </c>
      <c r="L41" s="2">
        <v>0</v>
      </c>
      <c r="M41" s="2">
        <v>0</v>
      </c>
      <c r="N41" s="2">
        <v>1</v>
      </c>
      <c r="O41" s="2" t="s">
        <v>63</v>
      </c>
      <c r="P41" t="s">
        <v>52</v>
      </c>
      <c r="Q41" s="2">
        <v>1</v>
      </c>
      <c r="R41" s="2">
        <v>3</v>
      </c>
      <c r="S41" s="5">
        <v>45378</v>
      </c>
      <c r="T41" s="5">
        <v>45379</v>
      </c>
      <c r="U41" s="2">
        <v>0</v>
      </c>
      <c r="V41" s="2">
        <v>0</v>
      </c>
      <c r="W41" s="2">
        <v>0</v>
      </c>
      <c r="X41" s="2">
        <v>0</v>
      </c>
      <c r="Y41" s="2">
        <v>0</v>
      </c>
      <c r="Z41" s="2">
        <v>0</v>
      </c>
      <c r="AA41" s="2">
        <v>0</v>
      </c>
      <c r="AB41" s="2">
        <v>0</v>
      </c>
      <c r="AC41" s="2">
        <v>0</v>
      </c>
      <c r="AD41" s="2">
        <v>1</v>
      </c>
      <c r="AE41" s="2" t="s">
        <v>55</v>
      </c>
      <c r="AF41" s="2">
        <v>1</v>
      </c>
      <c r="AG41" s="2">
        <v>1</v>
      </c>
      <c r="AH41" s="2">
        <v>1</v>
      </c>
      <c r="AI41" s="2">
        <v>0</v>
      </c>
      <c r="AJ41" s="2">
        <v>1</v>
      </c>
      <c r="AK41" s="5">
        <v>45379</v>
      </c>
      <c r="AL41" s="2">
        <v>1</v>
      </c>
      <c r="AM41" s="2">
        <v>1</v>
      </c>
      <c r="AN41" s="2">
        <v>0</v>
      </c>
      <c r="AS41" s="2">
        <v>1</v>
      </c>
      <c r="AT41" s="2" t="s">
        <v>112</v>
      </c>
    </row>
    <row r="42" spans="1:46">
      <c r="A42" s="2">
        <v>41</v>
      </c>
      <c r="B42" s="5">
        <v>45379</v>
      </c>
      <c r="C42" s="5">
        <v>45390</v>
      </c>
      <c r="D42" s="2">
        <f t="shared" si="0"/>
        <v>11</v>
      </c>
      <c r="E42" s="2">
        <v>87</v>
      </c>
      <c r="F42" s="2">
        <v>2</v>
      </c>
      <c r="G42" s="2">
        <v>2</v>
      </c>
      <c r="H42" s="2">
        <v>1</v>
      </c>
      <c r="I42" s="2">
        <v>0</v>
      </c>
      <c r="J42" s="2">
        <v>0</v>
      </c>
      <c r="K42" s="2">
        <v>1</v>
      </c>
      <c r="L42" s="2">
        <v>0</v>
      </c>
      <c r="M42" s="2">
        <v>0</v>
      </c>
      <c r="N42" s="2">
        <v>0</v>
      </c>
      <c r="O42" s="2" t="s">
        <v>72</v>
      </c>
      <c r="P42" t="s">
        <v>52</v>
      </c>
      <c r="Q42" s="2">
        <v>1</v>
      </c>
      <c r="R42" s="2">
        <v>4</v>
      </c>
      <c r="S42" s="5">
        <v>45379</v>
      </c>
      <c r="T42" s="5">
        <v>45382</v>
      </c>
      <c r="U42" s="2">
        <v>0</v>
      </c>
      <c r="V42" s="2">
        <v>0</v>
      </c>
      <c r="W42" s="2">
        <v>0</v>
      </c>
      <c r="X42" s="2">
        <v>0</v>
      </c>
      <c r="Y42" s="2">
        <v>0</v>
      </c>
      <c r="Z42" s="2">
        <v>0</v>
      </c>
      <c r="AA42" s="2">
        <v>0</v>
      </c>
      <c r="AB42" s="2">
        <v>0</v>
      </c>
      <c r="AC42" s="2">
        <v>0</v>
      </c>
      <c r="AD42" s="2">
        <v>1</v>
      </c>
      <c r="AE42" s="2" t="s">
        <v>79</v>
      </c>
      <c r="AF42" s="2">
        <v>1</v>
      </c>
      <c r="AG42" s="2">
        <v>1</v>
      </c>
      <c r="AH42" s="2">
        <v>0</v>
      </c>
      <c r="AI42" s="2">
        <v>0</v>
      </c>
      <c r="AJ42" s="2">
        <v>1</v>
      </c>
      <c r="AK42" s="5">
        <v>45383</v>
      </c>
      <c r="AL42" s="2">
        <v>0</v>
      </c>
      <c r="AM42" s="2">
        <v>0</v>
      </c>
      <c r="AN42" s="2">
        <v>0</v>
      </c>
      <c r="AS42" s="2">
        <v>0</v>
      </c>
      <c r="AT42" s="2" t="s">
        <v>113</v>
      </c>
    </row>
    <row r="43" spans="1:46" s="13" customFormat="1">
      <c r="A43" s="13">
        <v>42</v>
      </c>
      <c r="B43" s="18">
        <v>45381</v>
      </c>
      <c r="C43" s="18">
        <v>45412</v>
      </c>
      <c r="D43" s="13">
        <f t="shared" si="0"/>
        <v>31</v>
      </c>
      <c r="E43" s="13">
        <v>69</v>
      </c>
      <c r="F43" s="13">
        <v>2</v>
      </c>
      <c r="G43" s="13">
        <v>3</v>
      </c>
      <c r="H43" s="13">
        <v>0</v>
      </c>
      <c r="I43" s="13">
        <v>0</v>
      </c>
      <c r="J43" s="13">
        <v>0</v>
      </c>
      <c r="K43" s="13">
        <v>0</v>
      </c>
      <c r="L43" s="13">
        <v>0</v>
      </c>
      <c r="M43" s="13">
        <v>0</v>
      </c>
      <c r="N43" s="13">
        <v>0</v>
      </c>
      <c r="P43" s="14" t="s">
        <v>114</v>
      </c>
      <c r="Q43" s="13">
        <v>0</v>
      </c>
      <c r="R43" s="13">
        <v>1</v>
      </c>
      <c r="S43" s="18">
        <v>45381</v>
      </c>
      <c r="T43" s="18">
        <v>45381</v>
      </c>
      <c r="U43" s="13">
        <v>0</v>
      </c>
      <c r="V43" s="13">
        <v>0</v>
      </c>
      <c r="W43" s="13">
        <v>0</v>
      </c>
      <c r="X43" s="13">
        <v>0</v>
      </c>
      <c r="Y43" s="13">
        <v>0</v>
      </c>
      <c r="Z43" s="13">
        <v>0</v>
      </c>
      <c r="AA43" s="13">
        <v>0</v>
      </c>
      <c r="AB43" s="13">
        <v>0</v>
      </c>
      <c r="AC43" s="13">
        <v>0</v>
      </c>
      <c r="AD43" s="13">
        <v>1</v>
      </c>
      <c r="AE43" s="13" t="s">
        <v>48</v>
      </c>
      <c r="AF43" s="13">
        <v>1</v>
      </c>
      <c r="AG43" s="13">
        <v>1</v>
      </c>
      <c r="AH43" s="13">
        <v>1</v>
      </c>
      <c r="AI43" s="13">
        <v>1</v>
      </c>
      <c r="AJ43" s="13">
        <v>1</v>
      </c>
      <c r="AK43" s="18">
        <v>45383</v>
      </c>
      <c r="AL43" s="13">
        <v>0</v>
      </c>
      <c r="AM43" s="13">
        <v>1</v>
      </c>
      <c r="AN43" s="13">
        <v>1</v>
      </c>
      <c r="AO43" s="18">
        <v>45385</v>
      </c>
      <c r="AP43" s="13">
        <v>0</v>
      </c>
      <c r="AQ43" s="13">
        <v>0</v>
      </c>
      <c r="AR43" s="13">
        <v>1</v>
      </c>
      <c r="AS43" s="13">
        <v>0</v>
      </c>
      <c r="AT43" s="13" t="s">
        <v>115</v>
      </c>
    </row>
    <row r="44" spans="1:46">
      <c r="A44" s="2">
        <v>43</v>
      </c>
      <c r="B44" s="5">
        <v>45443</v>
      </c>
      <c r="C44" s="5">
        <v>45455</v>
      </c>
      <c r="D44" s="2">
        <f t="shared" si="0"/>
        <v>12</v>
      </c>
      <c r="E44" s="2">
        <v>70</v>
      </c>
      <c r="F44" s="2">
        <v>2</v>
      </c>
      <c r="G44" s="2">
        <v>2</v>
      </c>
      <c r="H44" s="2">
        <v>0</v>
      </c>
      <c r="I44" s="2">
        <v>0</v>
      </c>
      <c r="J44" s="2">
        <v>0</v>
      </c>
      <c r="K44" s="2">
        <v>0</v>
      </c>
      <c r="L44" s="2">
        <v>0</v>
      </c>
      <c r="M44" s="2">
        <v>0</v>
      </c>
      <c r="N44" s="2">
        <v>0</v>
      </c>
      <c r="P44" t="s">
        <v>116</v>
      </c>
      <c r="Q44" s="2">
        <v>0</v>
      </c>
      <c r="R44" s="2">
        <v>1</v>
      </c>
      <c r="S44" s="5">
        <v>45444</v>
      </c>
      <c r="T44" s="5">
        <v>45444</v>
      </c>
      <c r="U44" s="2">
        <v>1</v>
      </c>
      <c r="V44" s="2">
        <v>1</v>
      </c>
      <c r="W44" s="2">
        <v>0</v>
      </c>
      <c r="X44" s="2">
        <v>0</v>
      </c>
      <c r="Y44" s="2">
        <v>0</v>
      </c>
      <c r="Z44" s="2">
        <v>0</v>
      </c>
      <c r="AA44" s="2">
        <v>0</v>
      </c>
      <c r="AB44" s="2">
        <v>0</v>
      </c>
      <c r="AC44" s="2">
        <v>0</v>
      </c>
      <c r="AD44" s="2">
        <v>1</v>
      </c>
      <c r="AE44" s="2" t="s">
        <v>117</v>
      </c>
      <c r="AF44" s="2">
        <v>1</v>
      </c>
      <c r="AG44" s="2">
        <v>1</v>
      </c>
      <c r="AH44" s="2">
        <v>1</v>
      </c>
      <c r="AI44" s="2">
        <v>1</v>
      </c>
      <c r="AJ44" s="2">
        <v>1</v>
      </c>
      <c r="AK44" s="5">
        <v>45448</v>
      </c>
      <c r="AL44" s="2">
        <v>0</v>
      </c>
      <c r="AM44" s="2">
        <v>1</v>
      </c>
      <c r="AN44" s="2">
        <v>0</v>
      </c>
      <c r="AS44" s="2">
        <v>0</v>
      </c>
      <c r="AT44" s="2" t="s">
        <v>118</v>
      </c>
    </row>
    <row r="45" spans="1:46">
      <c r="A45" s="2">
        <v>44</v>
      </c>
      <c r="B45" s="5">
        <v>45449</v>
      </c>
      <c r="C45" s="5">
        <v>45453</v>
      </c>
      <c r="D45" s="2">
        <f t="shared" si="0"/>
        <v>4</v>
      </c>
      <c r="E45" s="2">
        <v>78</v>
      </c>
      <c r="F45" s="2">
        <v>2</v>
      </c>
      <c r="G45" s="2">
        <v>2</v>
      </c>
      <c r="H45" s="2">
        <v>1</v>
      </c>
      <c r="I45" s="2">
        <v>0</v>
      </c>
      <c r="J45" s="2">
        <v>0</v>
      </c>
      <c r="K45" s="2">
        <v>0</v>
      </c>
      <c r="L45" s="2">
        <v>1</v>
      </c>
      <c r="M45" s="2">
        <v>0</v>
      </c>
      <c r="N45" s="2">
        <v>0</v>
      </c>
      <c r="P45" t="s">
        <v>119</v>
      </c>
      <c r="Q45" s="2">
        <v>0</v>
      </c>
      <c r="R45" s="2">
        <v>1</v>
      </c>
      <c r="S45" s="5">
        <v>45449</v>
      </c>
      <c r="T45" s="5">
        <v>45449</v>
      </c>
      <c r="U45" s="2">
        <v>1</v>
      </c>
      <c r="V45" s="2">
        <v>0</v>
      </c>
      <c r="W45" s="2">
        <v>0</v>
      </c>
      <c r="X45" s="2">
        <v>0</v>
      </c>
      <c r="Y45" s="2">
        <v>0</v>
      </c>
      <c r="Z45" s="2">
        <v>0</v>
      </c>
      <c r="AA45" s="2">
        <v>0</v>
      </c>
      <c r="AB45" s="2">
        <v>0</v>
      </c>
      <c r="AC45" s="2">
        <v>1</v>
      </c>
      <c r="AD45" s="2">
        <v>1</v>
      </c>
      <c r="AE45" s="2" t="s">
        <v>117</v>
      </c>
      <c r="AF45" s="11">
        <v>0</v>
      </c>
      <c r="AG45" s="2">
        <v>1</v>
      </c>
      <c r="AH45" s="2">
        <v>1</v>
      </c>
      <c r="AI45" s="11">
        <v>1</v>
      </c>
      <c r="AJ45" s="2">
        <v>0</v>
      </c>
      <c r="AN45" s="2">
        <v>0</v>
      </c>
      <c r="AS45" s="2">
        <v>0</v>
      </c>
      <c r="AT45" s="2" t="s">
        <v>120</v>
      </c>
    </row>
    <row r="46" spans="1:46">
      <c r="A46" s="2">
        <v>45</v>
      </c>
      <c r="B46" s="5">
        <v>45450</v>
      </c>
      <c r="C46" s="5">
        <v>45456</v>
      </c>
      <c r="D46" s="2">
        <f t="shared" si="0"/>
        <v>6</v>
      </c>
      <c r="E46" s="2">
        <v>71</v>
      </c>
      <c r="F46" s="2">
        <v>1</v>
      </c>
      <c r="G46" s="2">
        <v>2</v>
      </c>
      <c r="H46" s="2">
        <v>1</v>
      </c>
      <c r="I46" s="2">
        <v>0</v>
      </c>
      <c r="J46" s="2">
        <v>1</v>
      </c>
      <c r="K46" s="2">
        <v>0</v>
      </c>
      <c r="L46" s="2">
        <v>0</v>
      </c>
      <c r="M46" s="2">
        <v>0</v>
      </c>
      <c r="N46" s="2">
        <v>0</v>
      </c>
      <c r="P46" t="s">
        <v>121</v>
      </c>
      <c r="Q46" s="2">
        <v>0</v>
      </c>
      <c r="R46" s="2">
        <v>1</v>
      </c>
      <c r="S46" s="5">
        <v>45450</v>
      </c>
      <c r="T46" s="5">
        <v>45450</v>
      </c>
      <c r="U46" s="2">
        <v>0</v>
      </c>
      <c r="V46" s="2">
        <v>0</v>
      </c>
      <c r="W46" s="2">
        <v>0</v>
      </c>
      <c r="X46" s="2">
        <v>0</v>
      </c>
      <c r="Y46" s="2">
        <v>0</v>
      </c>
      <c r="Z46" s="2">
        <v>0</v>
      </c>
      <c r="AA46" s="2">
        <v>0</v>
      </c>
      <c r="AB46" s="2">
        <v>0</v>
      </c>
      <c r="AC46" s="2">
        <v>0</v>
      </c>
      <c r="AD46" s="2">
        <v>1</v>
      </c>
      <c r="AE46" s="2" t="s">
        <v>117</v>
      </c>
      <c r="AF46" s="2">
        <v>1</v>
      </c>
      <c r="AG46" s="2">
        <v>1</v>
      </c>
      <c r="AH46" s="2">
        <v>1</v>
      </c>
      <c r="AI46" s="2">
        <v>1</v>
      </c>
      <c r="AJ46" s="2">
        <v>1</v>
      </c>
      <c r="AK46" s="5">
        <v>45453</v>
      </c>
      <c r="AL46" s="2">
        <v>0</v>
      </c>
      <c r="AM46" s="2">
        <v>0</v>
      </c>
      <c r="AN46" s="2">
        <v>1</v>
      </c>
      <c r="AO46" s="5">
        <v>45455</v>
      </c>
      <c r="AP46" s="2">
        <v>0</v>
      </c>
      <c r="AQ46" s="2">
        <v>1</v>
      </c>
      <c r="AR46" s="2">
        <v>0</v>
      </c>
      <c r="AS46" s="2">
        <v>0</v>
      </c>
      <c r="AT46" s="2" t="s">
        <v>122</v>
      </c>
    </row>
    <row r="47" spans="1:46">
      <c r="A47" s="2">
        <v>46</v>
      </c>
      <c r="B47" s="5">
        <v>45455</v>
      </c>
      <c r="C47" s="5">
        <v>45462</v>
      </c>
      <c r="D47" s="2">
        <f t="shared" si="0"/>
        <v>7</v>
      </c>
      <c r="E47" s="2">
        <v>83</v>
      </c>
      <c r="F47" s="2">
        <v>1</v>
      </c>
      <c r="G47" s="2">
        <v>5</v>
      </c>
      <c r="H47" s="2">
        <v>0</v>
      </c>
      <c r="I47" s="2">
        <v>0</v>
      </c>
      <c r="J47" s="2">
        <v>0</v>
      </c>
      <c r="K47" s="2">
        <v>0</v>
      </c>
      <c r="L47" s="2">
        <v>0</v>
      </c>
      <c r="M47" s="2">
        <v>0</v>
      </c>
      <c r="N47" s="2">
        <v>0</v>
      </c>
      <c r="P47" t="s">
        <v>119</v>
      </c>
      <c r="Q47" s="2">
        <v>0</v>
      </c>
      <c r="R47" s="2">
        <v>1</v>
      </c>
      <c r="S47" s="5">
        <v>45455</v>
      </c>
      <c r="T47" s="5">
        <v>45455</v>
      </c>
      <c r="U47" s="2">
        <v>1</v>
      </c>
      <c r="V47" s="2">
        <v>0</v>
      </c>
      <c r="W47" s="2">
        <v>0</v>
      </c>
      <c r="X47" s="2">
        <v>0</v>
      </c>
      <c r="Y47" s="2">
        <v>1</v>
      </c>
      <c r="Z47" s="2">
        <v>0</v>
      </c>
      <c r="AA47" s="2">
        <v>0</v>
      </c>
      <c r="AB47" s="2">
        <v>0</v>
      </c>
      <c r="AC47" s="2">
        <v>0</v>
      </c>
      <c r="AD47" s="2">
        <v>1</v>
      </c>
      <c r="AE47" s="2" t="s">
        <v>117</v>
      </c>
      <c r="AF47" s="2">
        <v>1</v>
      </c>
      <c r="AG47" s="2">
        <v>1</v>
      </c>
      <c r="AH47" s="2">
        <v>1</v>
      </c>
      <c r="AI47" s="2">
        <v>1</v>
      </c>
      <c r="AJ47" s="2">
        <v>1</v>
      </c>
      <c r="AK47" s="5">
        <v>45457</v>
      </c>
      <c r="AL47" s="2">
        <v>1</v>
      </c>
      <c r="AM47" s="2">
        <v>0</v>
      </c>
      <c r="AN47" s="2">
        <v>0</v>
      </c>
      <c r="AO47" s="5"/>
      <c r="AS47" s="2">
        <v>0</v>
      </c>
      <c r="AT47" s="2" t="s">
        <v>123</v>
      </c>
    </row>
    <row r="48" spans="1:46">
      <c r="A48" s="2">
        <v>47</v>
      </c>
      <c r="B48" s="5">
        <v>45460</v>
      </c>
      <c r="C48" s="5">
        <v>45465</v>
      </c>
      <c r="D48" s="2">
        <f t="shared" si="0"/>
        <v>5</v>
      </c>
      <c r="E48" s="2">
        <v>65</v>
      </c>
      <c r="F48" s="2">
        <v>1</v>
      </c>
      <c r="G48" s="2">
        <v>3</v>
      </c>
      <c r="H48" s="2">
        <v>0</v>
      </c>
      <c r="I48" s="2">
        <v>0</v>
      </c>
      <c r="J48" s="2">
        <v>0</v>
      </c>
      <c r="K48" s="2">
        <v>0</v>
      </c>
      <c r="L48" s="2">
        <v>0</v>
      </c>
      <c r="M48" s="2">
        <v>0</v>
      </c>
      <c r="N48" s="2">
        <v>0</v>
      </c>
      <c r="P48" t="s">
        <v>119</v>
      </c>
      <c r="Q48" s="2">
        <v>0</v>
      </c>
      <c r="R48" s="2">
        <v>1</v>
      </c>
      <c r="S48" s="5">
        <v>45460</v>
      </c>
      <c r="T48" s="5">
        <v>45460</v>
      </c>
      <c r="U48" s="2">
        <v>1</v>
      </c>
      <c r="V48" s="2">
        <v>0</v>
      </c>
      <c r="W48" s="2">
        <v>0</v>
      </c>
      <c r="X48" s="2">
        <v>0</v>
      </c>
      <c r="Y48" s="2">
        <v>0</v>
      </c>
      <c r="Z48" s="2">
        <v>0</v>
      </c>
      <c r="AA48" s="2">
        <v>1</v>
      </c>
      <c r="AB48" s="2">
        <v>0</v>
      </c>
      <c r="AC48" s="2">
        <v>0</v>
      </c>
      <c r="AD48" s="2">
        <v>1</v>
      </c>
      <c r="AE48" s="2" t="s">
        <v>117</v>
      </c>
      <c r="AF48" s="11">
        <v>0</v>
      </c>
      <c r="AG48" s="2">
        <v>0</v>
      </c>
      <c r="AH48" s="2">
        <v>1</v>
      </c>
      <c r="AI48" s="2">
        <v>1</v>
      </c>
      <c r="AJ48" s="2">
        <v>1</v>
      </c>
      <c r="AK48" s="5">
        <v>45463</v>
      </c>
      <c r="AL48" s="2">
        <v>0</v>
      </c>
      <c r="AM48" s="2">
        <v>1</v>
      </c>
      <c r="AN48" s="2">
        <v>0</v>
      </c>
      <c r="AS48" s="2">
        <v>0</v>
      </c>
      <c r="AT48" s="2" t="s">
        <v>124</v>
      </c>
    </row>
    <row r="49" spans="1:46">
      <c r="A49" s="2">
        <v>48</v>
      </c>
      <c r="B49" s="5">
        <v>45473</v>
      </c>
      <c r="C49" s="5">
        <v>45483</v>
      </c>
      <c r="D49" s="2">
        <f t="shared" si="0"/>
        <v>10</v>
      </c>
      <c r="E49" s="2">
        <v>55</v>
      </c>
      <c r="F49" s="2">
        <v>2</v>
      </c>
      <c r="G49" s="2">
        <v>2</v>
      </c>
      <c r="H49" s="2">
        <v>1</v>
      </c>
      <c r="I49" s="2">
        <v>0</v>
      </c>
      <c r="J49" s="2">
        <v>0</v>
      </c>
      <c r="K49" s="2">
        <v>0</v>
      </c>
      <c r="L49" s="2">
        <v>1</v>
      </c>
      <c r="M49" s="2">
        <v>0</v>
      </c>
      <c r="N49" s="2">
        <v>0</v>
      </c>
      <c r="P49" t="s">
        <v>125</v>
      </c>
      <c r="Q49" s="2">
        <v>0</v>
      </c>
      <c r="R49" s="2">
        <v>1</v>
      </c>
      <c r="S49" s="5">
        <v>45473</v>
      </c>
      <c r="T49" s="5">
        <v>45473</v>
      </c>
      <c r="U49" s="2">
        <v>0</v>
      </c>
      <c r="V49" s="2">
        <v>0</v>
      </c>
      <c r="W49" s="2">
        <v>0</v>
      </c>
      <c r="X49" s="2">
        <v>0</v>
      </c>
      <c r="Y49" s="2">
        <v>0</v>
      </c>
      <c r="Z49" s="2">
        <v>0</v>
      </c>
      <c r="AA49" s="2">
        <v>0</v>
      </c>
      <c r="AB49" s="2">
        <v>0</v>
      </c>
      <c r="AC49" s="2">
        <v>0</v>
      </c>
      <c r="AD49" s="2">
        <v>1</v>
      </c>
      <c r="AE49" s="2" t="s">
        <v>126</v>
      </c>
      <c r="AF49" s="11">
        <v>0</v>
      </c>
      <c r="AG49" s="2">
        <v>1</v>
      </c>
      <c r="AH49" s="2">
        <v>0</v>
      </c>
      <c r="AI49" s="2">
        <v>1</v>
      </c>
      <c r="AJ49" s="2">
        <v>1</v>
      </c>
      <c r="AK49" s="5">
        <v>45475</v>
      </c>
      <c r="AL49" s="2">
        <v>0</v>
      </c>
      <c r="AM49" s="2">
        <v>0</v>
      </c>
      <c r="AN49" s="2">
        <v>0</v>
      </c>
      <c r="AS49" s="2">
        <v>0</v>
      </c>
      <c r="AT49" s="2" t="s">
        <v>127</v>
      </c>
    </row>
    <row r="50" spans="1:46">
      <c r="A50" s="2">
        <v>49</v>
      </c>
      <c r="B50" s="5">
        <v>45421</v>
      </c>
      <c r="C50" s="5">
        <v>45426</v>
      </c>
      <c r="D50" s="2">
        <f t="shared" si="0"/>
        <v>5</v>
      </c>
      <c r="E50" s="2">
        <v>58</v>
      </c>
      <c r="F50" s="2">
        <v>1</v>
      </c>
      <c r="G50" s="2">
        <v>3</v>
      </c>
      <c r="H50" s="2">
        <v>0</v>
      </c>
      <c r="I50" s="2">
        <v>0</v>
      </c>
      <c r="J50" s="2">
        <v>0</v>
      </c>
      <c r="K50" s="2">
        <v>0</v>
      </c>
      <c r="L50" s="2">
        <v>0</v>
      </c>
      <c r="M50" s="2">
        <v>0</v>
      </c>
      <c r="N50" s="2">
        <v>1</v>
      </c>
      <c r="O50" s="2" t="s">
        <v>128</v>
      </c>
      <c r="P50" t="s">
        <v>116</v>
      </c>
      <c r="Q50" s="2">
        <v>0</v>
      </c>
      <c r="R50" s="2">
        <v>1</v>
      </c>
      <c r="S50" s="5">
        <v>45421</v>
      </c>
      <c r="T50" s="5">
        <v>45421</v>
      </c>
      <c r="U50" s="2">
        <v>1</v>
      </c>
      <c r="V50" s="2">
        <v>0</v>
      </c>
      <c r="W50" s="2">
        <v>0</v>
      </c>
      <c r="X50" s="2">
        <v>0</v>
      </c>
      <c r="Y50" s="2">
        <v>0</v>
      </c>
      <c r="Z50" s="2">
        <v>0</v>
      </c>
      <c r="AA50" s="2">
        <v>0</v>
      </c>
      <c r="AB50" s="2">
        <v>0</v>
      </c>
      <c r="AC50" s="2">
        <v>1</v>
      </c>
      <c r="AD50" s="2">
        <v>1</v>
      </c>
      <c r="AE50" s="2" t="s">
        <v>129</v>
      </c>
      <c r="AF50" s="11">
        <v>0</v>
      </c>
      <c r="AG50" s="2">
        <v>1</v>
      </c>
      <c r="AH50" s="2">
        <v>1</v>
      </c>
      <c r="AI50" s="2">
        <v>1</v>
      </c>
      <c r="AJ50" s="2">
        <v>1</v>
      </c>
      <c r="AK50" s="5">
        <v>45422</v>
      </c>
      <c r="AL50" s="2">
        <v>0</v>
      </c>
      <c r="AM50" s="2">
        <v>0</v>
      </c>
      <c r="AN50" s="2">
        <v>1</v>
      </c>
      <c r="AO50" s="5">
        <v>45425</v>
      </c>
      <c r="AP50" s="2">
        <v>1</v>
      </c>
      <c r="AQ50" s="2">
        <v>0</v>
      </c>
      <c r="AR50" s="2">
        <v>1</v>
      </c>
      <c r="AS50" s="2">
        <v>0</v>
      </c>
      <c r="AT50" s="2" t="s">
        <v>130</v>
      </c>
    </row>
    <row r="51" spans="1:46" s="8" customFormat="1">
      <c r="A51" s="8">
        <v>50</v>
      </c>
      <c r="B51" s="6">
        <v>45411</v>
      </c>
      <c r="C51" s="6">
        <v>45428</v>
      </c>
      <c r="D51" s="8">
        <f t="shared" si="0"/>
        <v>17</v>
      </c>
      <c r="E51" s="8">
        <v>46</v>
      </c>
      <c r="F51" s="8">
        <v>1</v>
      </c>
      <c r="G51" s="8">
        <v>3</v>
      </c>
      <c r="H51" s="8">
        <v>0</v>
      </c>
      <c r="I51" s="8">
        <v>0</v>
      </c>
      <c r="J51" s="8">
        <v>0</v>
      </c>
      <c r="K51" s="8">
        <v>0</v>
      </c>
      <c r="L51" s="8">
        <v>0</v>
      </c>
      <c r="M51" s="8">
        <v>0</v>
      </c>
      <c r="N51" s="8">
        <v>0</v>
      </c>
      <c r="P51" s="9" t="s">
        <v>119</v>
      </c>
      <c r="Q51" s="8">
        <v>0</v>
      </c>
      <c r="R51" s="8">
        <v>1</v>
      </c>
      <c r="S51" s="6">
        <v>45423</v>
      </c>
      <c r="T51" s="6">
        <v>45423</v>
      </c>
      <c r="U51" s="8">
        <v>1</v>
      </c>
      <c r="V51" s="8">
        <v>0</v>
      </c>
      <c r="W51" s="8">
        <v>0</v>
      </c>
      <c r="X51" s="8">
        <v>1</v>
      </c>
      <c r="Y51" s="8">
        <v>0</v>
      </c>
      <c r="Z51" s="8">
        <v>0</v>
      </c>
      <c r="AA51" s="8">
        <v>1</v>
      </c>
      <c r="AB51" s="8">
        <v>0</v>
      </c>
      <c r="AC51" s="8">
        <v>0</v>
      </c>
      <c r="AD51" s="8">
        <v>1</v>
      </c>
      <c r="AE51" s="8" t="s">
        <v>68</v>
      </c>
      <c r="AF51" s="8">
        <v>0</v>
      </c>
      <c r="AG51" s="8">
        <v>1</v>
      </c>
      <c r="AH51" s="8">
        <v>0</v>
      </c>
      <c r="AI51" s="8">
        <v>0</v>
      </c>
      <c r="AJ51" s="8">
        <v>0</v>
      </c>
      <c r="AO51" s="8">
        <v>0</v>
      </c>
      <c r="AS51" s="8">
        <v>1</v>
      </c>
      <c r="AT51" s="8" t="s">
        <v>131</v>
      </c>
    </row>
    <row r="52" spans="1:46">
      <c r="A52" s="8">
        <v>51</v>
      </c>
      <c r="B52" s="5">
        <v>45428</v>
      </c>
      <c r="C52" s="6">
        <v>45448</v>
      </c>
      <c r="D52" s="2">
        <f t="shared" si="0"/>
        <v>20</v>
      </c>
      <c r="E52" s="2">
        <v>77</v>
      </c>
      <c r="F52" s="2">
        <v>1</v>
      </c>
      <c r="G52" s="2">
        <v>2</v>
      </c>
      <c r="H52" s="2">
        <v>0</v>
      </c>
      <c r="I52" s="2">
        <v>0</v>
      </c>
      <c r="J52" s="2">
        <v>0</v>
      </c>
      <c r="K52" s="2">
        <v>0</v>
      </c>
      <c r="L52" s="2">
        <v>0</v>
      </c>
      <c r="M52" s="2">
        <v>0</v>
      </c>
      <c r="N52" s="2">
        <v>0</v>
      </c>
      <c r="P52" t="s">
        <v>119</v>
      </c>
      <c r="Q52" s="2">
        <v>0</v>
      </c>
      <c r="R52" s="2">
        <v>1</v>
      </c>
      <c r="S52" s="5">
        <v>45429</v>
      </c>
      <c r="T52" s="5">
        <v>45429</v>
      </c>
      <c r="U52" s="2">
        <v>1</v>
      </c>
      <c r="V52" s="2">
        <v>0</v>
      </c>
      <c r="W52" s="2">
        <v>0</v>
      </c>
      <c r="X52" s="2">
        <v>0</v>
      </c>
      <c r="Y52" s="2">
        <v>0</v>
      </c>
      <c r="Z52" s="2">
        <v>0</v>
      </c>
      <c r="AA52" s="2">
        <v>0</v>
      </c>
      <c r="AB52" s="2">
        <v>0</v>
      </c>
      <c r="AC52" s="2">
        <v>1</v>
      </c>
      <c r="AD52" s="2">
        <v>1</v>
      </c>
      <c r="AE52" s="11" t="s">
        <v>91</v>
      </c>
      <c r="AF52" s="2">
        <v>1</v>
      </c>
      <c r="AG52" s="2">
        <v>1</v>
      </c>
      <c r="AH52" s="2">
        <v>0</v>
      </c>
      <c r="AI52" s="2">
        <v>0</v>
      </c>
      <c r="AJ52" s="2">
        <v>1</v>
      </c>
      <c r="AK52" s="5">
        <v>45433</v>
      </c>
      <c r="AL52" s="2">
        <v>0</v>
      </c>
      <c r="AM52" s="2">
        <v>0</v>
      </c>
      <c r="AN52" s="2">
        <v>1</v>
      </c>
      <c r="AO52" s="5">
        <v>45434</v>
      </c>
      <c r="AP52" s="2">
        <v>0</v>
      </c>
      <c r="AQ52" s="2">
        <v>0</v>
      </c>
      <c r="AR52" s="2">
        <v>0</v>
      </c>
      <c r="AS52" s="2">
        <v>1</v>
      </c>
      <c r="AT52" s="2" t="s">
        <v>132</v>
      </c>
    </row>
    <row r="53" spans="1:46">
      <c r="A53" s="8">
        <v>52</v>
      </c>
      <c r="B53" s="5">
        <v>45433</v>
      </c>
      <c r="C53" s="6">
        <v>45447</v>
      </c>
      <c r="D53" s="2">
        <f t="shared" si="0"/>
        <v>14</v>
      </c>
      <c r="E53" s="2">
        <v>75</v>
      </c>
      <c r="F53" s="2">
        <v>1</v>
      </c>
      <c r="G53" s="2">
        <v>2</v>
      </c>
      <c r="H53" s="2">
        <v>0</v>
      </c>
      <c r="I53" s="2">
        <v>0</v>
      </c>
      <c r="J53" s="2">
        <v>0</v>
      </c>
      <c r="K53" s="2">
        <v>0</v>
      </c>
      <c r="L53" s="2">
        <v>0</v>
      </c>
      <c r="M53" s="2">
        <v>0</v>
      </c>
      <c r="N53" s="2">
        <v>0</v>
      </c>
      <c r="P53" t="s">
        <v>119</v>
      </c>
      <c r="Q53" s="2">
        <v>0</v>
      </c>
      <c r="R53" s="2">
        <v>1</v>
      </c>
      <c r="S53" s="5">
        <v>45433</v>
      </c>
      <c r="T53" s="5">
        <v>45433</v>
      </c>
      <c r="U53" s="2">
        <v>0</v>
      </c>
      <c r="V53" s="2">
        <v>0</v>
      </c>
      <c r="W53" s="2">
        <v>0</v>
      </c>
      <c r="X53" s="2">
        <v>0</v>
      </c>
      <c r="Y53" s="2">
        <v>0</v>
      </c>
      <c r="Z53" s="2">
        <v>0</v>
      </c>
      <c r="AA53" s="2">
        <v>0</v>
      </c>
      <c r="AB53" s="2">
        <v>0</v>
      </c>
      <c r="AC53" s="2">
        <v>0</v>
      </c>
      <c r="AD53" s="2">
        <v>1</v>
      </c>
      <c r="AE53" s="2" t="s">
        <v>117</v>
      </c>
      <c r="AF53" s="11">
        <v>0</v>
      </c>
      <c r="AG53" s="2">
        <v>0</v>
      </c>
      <c r="AH53" s="2">
        <v>1</v>
      </c>
      <c r="AI53" s="2">
        <v>1</v>
      </c>
      <c r="AJ53" s="2">
        <v>1</v>
      </c>
      <c r="AK53" s="5">
        <v>45436</v>
      </c>
      <c r="AL53" s="2">
        <v>0</v>
      </c>
      <c r="AM53" s="2">
        <v>0</v>
      </c>
      <c r="AN53" s="2">
        <v>0</v>
      </c>
      <c r="AS53" s="2">
        <v>0</v>
      </c>
      <c r="AT53" s="2" t="s">
        <v>133</v>
      </c>
    </row>
    <row r="54" spans="1:46">
      <c r="A54" s="2">
        <v>53</v>
      </c>
      <c r="B54" s="5">
        <v>45441</v>
      </c>
      <c r="C54" s="5">
        <v>45448</v>
      </c>
      <c r="D54" s="2">
        <f t="shared" si="0"/>
        <v>7</v>
      </c>
      <c r="E54" s="2">
        <v>54</v>
      </c>
      <c r="F54" s="2">
        <v>1</v>
      </c>
      <c r="G54" s="2">
        <v>3</v>
      </c>
      <c r="H54" s="2">
        <v>0</v>
      </c>
      <c r="I54" s="2">
        <v>0</v>
      </c>
      <c r="J54" s="2">
        <v>0</v>
      </c>
      <c r="K54" s="2">
        <v>0</v>
      </c>
      <c r="L54" s="2">
        <v>0</v>
      </c>
      <c r="M54" s="2">
        <v>0</v>
      </c>
      <c r="N54" s="2">
        <v>0</v>
      </c>
      <c r="P54" t="s">
        <v>125</v>
      </c>
      <c r="Q54" s="2">
        <v>0</v>
      </c>
      <c r="R54" s="2">
        <v>1</v>
      </c>
      <c r="S54" s="5">
        <v>45441</v>
      </c>
      <c r="T54" s="5">
        <v>45441</v>
      </c>
      <c r="U54" s="2">
        <v>1</v>
      </c>
      <c r="V54" s="2">
        <v>0</v>
      </c>
      <c r="W54" s="2">
        <v>0</v>
      </c>
      <c r="X54" s="2">
        <v>0</v>
      </c>
      <c r="Y54" s="2">
        <v>0</v>
      </c>
      <c r="Z54" s="2">
        <v>1</v>
      </c>
      <c r="AA54" s="2">
        <v>0</v>
      </c>
      <c r="AB54" s="2">
        <v>0</v>
      </c>
      <c r="AC54" s="2">
        <v>0</v>
      </c>
      <c r="AD54" s="2">
        <v>1</v>
      </c>
      <c r="AE54" s="2" t="s">
        <v>134</v>
      </c>
      <c r="AF54" s="2">
        <v>0</v>
      </c>
      <c r="AG54" s="2">
        <v>0</v>
      </c>
      <c r="AH54" s="2">
        <v>1</v>
      </c>
      <c r="AI54" s="2">
        <v>1</v>
      </c>
      <c r="AJ54" s="2">
        <v>0</v>
      </c>
      <c r="AN54" s="2">
        <v>0</v>
      </c>
      <c r="AS54" s="2">
        <v>0</v>
      </c>
      <c r="AT54" s="2" t="s">
        <v>135</v>
      </c>
    </row>
    <row r="55" spans="1:46">
      <c r="A55" s="8">
        <v>54</v>
      </c>
      <c r="B55" s="5">
        <v>45395</v>
      </c>
      <c r="C55" s="6">
        <v>45420</v>
      </c>
      <c r="D55" s="2">
        <f t="shared" si="0"/>
        <v>25</v>
      </c>
      <c r="E55" s="2">
        <v>78</v>
      </c>
      <c r="F55" s="2">
        <v>2</v>
      </c>
      <c r="G55" s="2">
        <v>2</v>
      </c>
      <c r="H55" s="2">
        <v>0</v>
      </c>
      <c r="I55" s="2">
        <v>0</v>
      </c>
      <c r="J55" s="2">
        <v>0</v>
      </c>
      <c r="K55" s="2">
        <v>0</v>
      </c>
      <c r="L55" s="2">
        <v>0</v>
      </c>
      <c r="M55" s="2">
        <v>0</v>
      </c>
      <c r="N55" s="2">
        <v>0</v>
      </c>
      <c r="P55" t="s">
        <v>136</v>
      </c>
      <c r="Q55" s="2">
        <v>0</v>
      </c>
      <c r="R55" s="2">
        <v>1</v>
      </c>
      <c r="S55" s="5">
        <v>45395</v>
      </c>
      <c r="T55" s="5">
        <v>45395</v>
      </c>
      <c r="U55" s="2">
        <v>1</v>
      </c>
      <c r="V55" s="2">
        <v>0</v>
      </c>
      <c r="W55" s="2">
        <v>0</v>
      </c>
      <c r="X55" s="2">
        <v>0</v>
      </c>
      <c r="Y55" s="2">
        <v>0</v>
      </c>
      <c r="Z55" s="2">
        <v>0</v>
      </c>
      <c r="AA55" s="2">
        <v>0</v>
      </c>
      <c r="AB55" s="2">
        <v>0</v>
      </c>
      <c r="AC55" s="2">
        <v>1</v>
      </c>
      <c r="AD55" s="2">
        <v>1</v>
      </c>
      <c r="AE55" s="2" t="s">
        <v>137</v>
      </c>
      <c r="AF55" s="2">
        <v>1</v>
      </c>
      <c r="AG55" s="2">
        <v>1</v>
      </c>
      <c r="AH55" s="2">
        <v>0</v>
      </c>
      <c r="AI55" s="2">
        <v>0</v>
      </c>
      <c r="AJ55" s="2">
        <v>1</v>
      </c>
      <c r="AK55" s="5">
        <v>45402</v>
      </c>
      <c r="AL55" s="2">
        <v>0</v>
      </c>
      <c r="AM55" s="2">
        <v>0</v>
      </c>
      <c r="AN55" s="2">
        <v>0</v>
      </c>
      <c r="AS55" s="2">
        <v>1</v>
      </c>
      <c r="AT55" s="2" t="s">
        <v>138</v>
      </c>
    </row>
    <row r="56" spans="1:46">
      <c r="A56" s="2">
        <v>55</v>
      </c>
      <c r="B56" s="5">
        <v>45409</v>
      </c>
      <c r="C56" s="5">
        <v>45435</v>
      </c>
      <c r="D56" s="2">
        <f t="shared" si="0"/>
        <v>26</v>
      </c>
      <c r="E56" s="2">
        <v>36</v>
      </c>
      <c r="F56" s="2">
        <v>1</v>
      </c>
      <c r="G56" s="2">
        <v>3</v>
      </c>
      <c r="H56" s="2">
        <v>0</v>
      </c>
      <c r="I56" s="2">
        <v>0</v>
      </c>
      <c r="J56" s="2">
        <v>0</v>
      </c>
      <c r="K56" s="2">
        <v>0</v>
      </c>
      <c r="L56" s="2">
        <v>0</v>
      </c>
      <c r="M56" s="2">
        <v>0</v>
      </c>
      <c r="N56" s="2">
        <v>0</v>
      </c>
      <c r="P56" t="s">
        <v>125</v>
      </c>
      <c r="Q56" s="2">
        <v>0</v>
      </c>
      <c r="R56" s="2">
        <v>1</v>
      </c>
      <c r="S56" s="5">
        <v>45409</v>
      </c>
      <c r="T56" s="5">
        <v>45409</v>
      </c>
      <c r="U56" s="2">
        <v>1</v>
      </c>
      <c r="V56" s="2">
        <v>0</v>
      </c>
      <c r="W56" s="2">
        <v>0</v>
      </c>
      <c r="X56" s="2">
        <v>0</v>
      </c>
      <c r="Y56" s="2">
        <v>1</v>
      </c>
      <c r="Z56" s="2">
        <v>1</v>
      </c>
      <c r="AA56" s="2">
        <v>0</v>
      </c>
      <c r="AB56" s="2">
        <v>0</v>
      </c>
      <c r="AC56" s="2">
        <v>0</v>
      </c>
      <c r="AD56" s="2">
        <v>1</v>
      </c>
      <c r="AE56" s="2" t="s">
        <v>117</v>
      </c>
      <c r="AF56" s="2">
        <v>1</v>
      </c>
      <c r="AG56" s="2">
        <v>1</v>
      </c>
      <c r="AH56" s="11">
        <v>1</v>
      </c>
      <c r="AI56" s="2">
        <v>0</v>
      </c>
      <c r="AJ56" s="2">
        <v>1</v>
      </c>
      <c r="AK56" s="5">
        <v>45413</v>
      </c>
      <c r="AL56" s="2">
        <v>0</v>
      </c>
      <c r="AM56" s="2">
        <v>0</v>
      </c>
      <c r="AN56" s="2">
        <v>0</v>
      </c>
      <c r="AS56" s="2">
        <v>1</v>
      </c>
      <c r="AT56" s="2" t="s">
        <v>139</v>
      </c>
    </row>
    <row r="57" spans="1:46">
      <c r="A57" s="2">
        <v>56</v>
      </c>
      <c r="B57" s="5">
        <v>45410</v>
      </c>
      <c r="C57" s="5">
        <v>45415</v>
      </c>
      <c r="D57" s="2">
        <f t="shared" si="0"/>
        <v>5</v>
      </c>
      <c r="E57" s="2">
        <v>95</v>
      </c>
      <c r="F57" s="2">
        <v>2</v>
      </c>
      <c r="G57" s="2">
        <v>2</v>
      </c>
      <c r="H57" s="2">
        <v>0</v>
      </c>
      <c r="I57" s="2">
        <v>0</v>
      </c>
      <c r="J57" s="2">
        <v>0</v>
      </c>
      <c r="K57" s="2">
        <v>0</v>
      </c>
      <c r="L57" s="2">
        <v>0</v>
      </c>
      <c r="M57" s="2">
        <v>0</v>
      </c>
      <c r="N57" s="2">
        <v>0</v>
      </c>
      <c r="P57" t="s">
        <v>119</v>
      </c>
      <c r="Q57" s="2">
        <v>0</v>
      </c>
      <c r="R57" s="2">
        <v>1</v>
      </c>
      <c r="S57" s="5">
        <v>45410</v>
      </c>
      <c r="T57" s="5">
        <v>45410</v>
      </c>
      <c r="U57" s="2">
        <v>0</v>
      </c>
      <c r="V57" s="2">
        <v>0</v>
      </c>
      <c r="W57" s="2">
        <v>0</v>
      </c>
      <c r="X57" s="2">
        <v>0</v>
      </c>
      <c r="Y57" s="2">
        <v>0</v>
      </c>
      <c r="Z57" s="2">
        <v>0</v>
      </c>
      <c r="AA57" s="2">
        <v>0</v>
      </c>
      <c r="AB57" s="2">
        <v>0</v>
      </c>
      <c r="AC57" s="2">
        <v>0</v>
      </c>
      <c r="AD57" s="2">
        <v>1</v>
      </c>
      <c r="AE57" s="2" t="s">
        <v>117</v>
      </c>
      <c r="AF57" s="2">
        <v>0</v>
      </c>
      <c r="AG57" s="2">
        <v>0</v>
      </c>
      <c r="AH57" s="2">
        <v>1</v>
      </c>
      <c r="AI57" s="2">
        <v>1</v>
      </c>
      <c r="AJ57" s="2">
        <v>1</v>
      </c>
      <c r="AK57" s="5">
        <v>45414</v>
      </c>
      <c r="AL57" s="2">
        <v>0</v>
      </c>
      <c r="AM57" s="2">
        <v>0</v>
      </c>
      <c r="AN57" s="2">
        <v>0</v>
      </c>
      <c r="AS57" s="2">
        <v>0</v>
      </c>
      <c r="AT57" s="2" t="s">
        <v>140</v>
      </c>
    </row>
    <row r="58" spans="1:46">
      <c r="A58" s="2">
        <v>57</v>
      </c>
      <c r="B58" s="5">
        <v>45356</v>
      </c>
      <c r="C58" s="5">
        <v>45366</v>
      </c>
      <c r="D58" s="2">
        <f t="shared" si="0"/>
        <v>10</v>
      </c>
      <c r="E58" s="2">
        <v>42</v>
      </c>
      <c r="F58" s="2">
        <v>1</v>
      </c>
      <c r="G58" s="2">
        <v>2</v>
      </c>
      <c r="H58" s="2">
        <v>1</v>
      </c>
      <c r="I58" s="2">
        <v>0</v>
      </c>
      <c r="J58" s="2">
        <v>0</v>
      </c>
      <c r="K58" s="2">
        <v>0</v>
      </c>
      <c r="L58" s="2">
        <v>0</v>
      </c>
      <c r="M58" s="2">
        <v>0</v>
      </c>
      <c r="N58" s="2">
        <v>1</v>
      </c>
      <c r="O58" s="2" t="s">
        <v>141</v>
      </c>
      <c r="P58" t="s">
        <v>121</v>
      </c>
      <c r="Q58" s="2">
        <v>1</v>
      </c>
      <c r="R58" s="2">
        <v>2</v>
      </c>
      <c r="S58" s="5">
        <v>45356</v>
      </c>
      <c r="T58" s="5">
        <v>45357</v>
      </c>
      <c r="U58" s="2">
        <v>0</v>
      </c>
      <c r="V58" s="2">
        <v>0</v>
      </c>
      <c r="W58" s="2">
        <v>0</v>
      </c>
      <c r="X58" s="2">
        <v>0</v>
      </c>
      <c r="Y58" s="2">
        <v>0</v>
      </c>
      <c r="Z58" s="2">
        <v>0</v>
      </c>
      <c r="AA58" s="2">
        <v>0</v>
      </c>
      <c r="AB58" s="2">
        <v>0</v>
      </c>
      <c r="AC58" s="2">
        <v>0</v>
      </c>
      <c r="AD58" s="2">
        <v>1</v>
      </c>
      <c r="AE58" s="2" t="s">
        <v>117</v>
      </c>
      <c r="AF58" s="2">
        <v>1</v>
      </c>
      <c r="AG58" s="2">
        <v>1</v>
      </c>
      <c r="AH58" s="2">
        <v>1</v>
      </c>
      <c r="AI58" s="2">
        <v>1</v>
      </c>
      <c r="AJ58" s="2">
        <v>1</v>
      </c>
      <c r="AK58" s="5">
        <v>45357</v>
      </c>
      <c r="AL58" s="2">
        <v>1</v>
      </c>
      <c r="AM58" s="11">
        <v>1</v>
      </c>
      <c r="AN58" s="11">
        <v>1</v>
      </c>
      <c r="AO58" s="5">
        <v>45359</v>
      </c>
      <c r="AP58" s="2">
        <v>1</v>
      </c>
      <c r="AQ58" s="2">
        <v>1</v>
      </c>
      <c r="AR58" s="2">
        <v>0</v>
      </c>
      <c r="AS58" s="2">
        <v>0</v>
      </c>
      <c r="AT58" s="2" t="s">
        <v>142</v>
      </c>
    </row>
    <row r="59" spans="1:46">
      <c r="A59" s="2">
        <v>58</v>
      </c>
      <c r="B59" s="5">
        <v>45357</v>
      </c>
      <c r="C59" s="5">
        <v>45385</v>
      </c>
      <c r="D59" s="2">
        <f t="shared" si="0"/>
        <v>28</v>
      </c>
      <c r="E59" s="2">
        <v>37</v>
      </c>
      <c r="F59" s="2">
        <v>2</v>
      </c>
      <c r="G59" s="2">
        <v>2</v>
      </c>
      <c r="H59" s="2">
        <v>0</v>
      </c>
      <c r="I59" s="2">
        <v>0</v>
      </c>
      <c r="J59" s="2">
        <v>0</v>
      </c>
      <c r="K59" s="2">
        <v>0</v>
      </c>
      <c r="L59" s="2">
        <v>0</v>
      </c>
      <c r="M59" s="2">
        <v>0</v>
      </c>
      <c r="N59" s="2">
        <v>0</v>
      </c>
      <c r="P59" t="s">
        <v>136</v>
      </c>
      <c r="Q59" s="2">
        <v>0</v>
      </c>
      <c r="R59" s="2">
        <v>1</v>
      </c>
      <c r="S59" s="5">
        <v>45357</v>
      </c>
      <c r="T59" s="5">
        <v>45357</v>
      </c>
      <c r="U59" s="2">
        <v>1</v>
      </c>
      <c r="V59" s="2">
        <v>0</v>
      </c>
      <c r="W59" s="2">
        <v>1</v>
      </c>
      <c r="X59" s="2">
        <v>0</v>
      </c>
      <c r="Y59" s="2">
        <v>1</v>
      </c>
      <c r="Z59" s="2">
        <v>0</v>
      </c>
      <c r="AA59" s="2">
        <v>0</v>
      </c>
      <c r="AB59" s="2">
        <v>0</v>
      </c>
      <c r="AC59" s="2">
        <v>0</v>
      </c>
      <c r="AD59" s="2">
        <v>1</v>
      </c>
      <c r="AE59" s="2" t="s">
        <v>143</v>
      </c>
      <c r="AF59" s="2">
        <v>1</v>
      </c>
      <c r="AG59" s="2">
        <v>1</v>
      </c>
      <c r="AH59" s="2">
        <v>1</v>
      </c>
      <c r="AI59" s="2">
        <v>1</v>
      </c>
      <c r="AJ59" s="2">
        <v>1</v>
      </c>
      <c r="AK59" s="5">
        <v>45359</v>
      </c>
      <c r="AL59" s="2">
        <v>0</v>
      </c>
      <c r="AM59" s="2">
        <v>0</v>
      </c>
      <c r="AN59" s="2">
        <v>0</v>
      </c>
      <c r="AS59" s="2">
        <v>1</v>
      </c>
      <c r="AT59" s="2" t="s">
        <v>144</v>
      </c>
    </row>
    <row r="60" spans="1:46">
      <c r="A60" s="2">
        <v>59</v>
      </c>
      <c r="B60" s="5">
        <v>45359</v>
      </c>
      <c r="C60" s="5">
        <v>45366</v>
      </c>
      <c r="D60" s="2">
        <f t="shared" si="0"/>
        <v>7</v>
      </c>
      <c r="E60" s="2">
        <v>86</v>
      </c>
      <c r="F60" s="2">
        <v>1</v>
      </c>
      <c r="G60" s="2">
        <v>2</v>
      </c>
      <c r="H60" s="2">
        <v>0</v>
      </c>
      <c r="I60" s="2">
        <v>0</v>
      </c>
      <c r="J60" s="2">
        <v>0</v>
      </c>
      <c r="K60" s="2">
        <v>0</v>
      </c>
      <c r="L60" s="2">
        <v>0</v>
      </c>
      <c r="M60" s="2">
        <v>0</v>
      </c>
      <c r="N60" s="2">
        <v>1</v>
      </c>
      <c r="O60" s="2" t="s">
        <v>145</v>
      </c>
      <c r="P60" t="s">
        <v>116</v>
      </c>
      <c r="Q60" s="2">
        <v>0</v>
      </c>
      <c r="R60" s="2">
        <v>1</v>
      </c>
      <c r="S60" s="5">
        <v>45359</v>
      </c>
      <c r="T60" s="5">
        <v>45359</v>
      </c>
      <c r="U60" s="2">
        <v>1</v>
      </c>
      <c r="V60" s="2">
        <v>0</v>
      </c>
      <c r="W60" s="2">
        <v>0</v>
      </c>
      <c r="X60" s="2">
        <v>0</v>
      </c>
      <c r="Y60" s="2">
        <v>0</v>
      </c>
      <c r="Z60" s="2">
        <v>0</v>
      </c>
      <c r="AA60" s="2">
        <v>0</v>
      </c>
      <c r="AB60" s="2">
        <v>1</v>
      </c>
      <c r="AC60" s="2">
        <v>0</v>
      </c>
      <c r="AD60" s="2">
        <v>1</v>
      </c>
      <c r="AE60" s="2" t="s">
        <v>146</v>
      </c>
      <c r="AF60" s="2">
        <v>0</v>
      </c>
      <c r="AG60" s="2">
        <v>0</v>
      </c>
      <c r="AH60" s="2">
        <v>1</v>
      </c>
      <c r="AI60" s="2">
        <v>1</v>
      </c>
      <c r="AJ60" s="2">
        <v>1</v>
      </c>
      <c r="AK60" s="5">
        <v>45363</v>
      </c>
      <c r="AL60" s="2">
        <v>0</v>
      </c>
      <c r="AM60" s="2">
        <v>1</v>
      </c>
      <c r="AN60" s="2">
        <v>0</v>
      </c>
      <c r="AS60" s="2">
        <v>0</v>
      </c>
      <c r="AT60" s="2" t="s">
        <v>147</v>
      </c>
    </row>
    <row r="61" spans="1:46">
      <c r="A61" s="2">
        <v>60</v>
      </c>
      <c r="B61" s="5">
        <v>45369</v>
      </c>
      <c r="C61" s="12">
        <v>45377</v>
      </c>
      <c r="D61" s="2">
        <f t="shared" si="0"/>
        <v>8</v>
      </c>
      <c r="E61" s="2">
        <v>74</v>
      </c>
      <c r="F61" s="2">
        <v>2</v>
      </c>
      <c r="G61" s="2">
        <v>2</v>
      </c>
      <c r="H61" s="2">
        <v>0</v>
      </c>
      <c r="I61" s="2">
        <v>0</v>
      </c>
      <c r="J61" s="2">
        <v>0</v>
      </c>
      <c r="K61" s="2">
        <v>0</v>
      </c>
      <c r="L61" s="2">
        <v>0</v>
      </c>
      <c r="M61" s="2">
        <v>0</v>
      </c>
      <c r="N61" s="2">
        <v>1</v>
      </c>
      <c r="O61" s="2" t="s">
        <v>70</v>
      </c>
      <c r="P61" t="s">
        <v>119</v>
      </c>
      <c r="Q61" s="2">
        <v>0</v>
      </c>
      <c r="R61" s="2">
        <v>1</v>
      </c>
      <c r="S61" s="5">
        <v>45369</v>
      </c>
      <c r="T61" s="5">
        <v>45369</v>
      </c>
      <c r="U61" s="2">
        <v>1</v>
      </c>
      <c r="V61" s="2">
        <v>0</v>
      </c>
      <c r="W61" s="2">
        <v>0</v>
      </c>
      <c r="X61" s="2">
        <v>0</v>
      </c>
      <c r="Y61" s="2">
        <v>1</v>
      </c>
      <c r="Z61" s="2">
        <v>0</v>
      </c>
      <c r="AA61" s="2">
        <v>0</v>
      </c>
      <c r="AB61" s="2">
        <v>0</v>
      </c>
      <c r="AC61" s="2">
        <v>1</v>
      </c>
      <c r="AD61" s="2">
        <v>1</v>
      </c>
      <c r="AE61" s="2" t="s">
        <v>117</v>
      </c>
      <c r="AF61" s="2">
        <v>1</v>
      </c>
      <c r="AG61" s="2">
        <v>0</v>
      </c>
      <c r="AH61" s="2">
        <v>1</v>
      </c>
      <c r="AI61" s="2">
        <v>1</v>
      </c>
      <c r="AJ61" s="2">
        <v>0</v>
      </c>
      <c r="AN61" s="2">
        <v>0</v>
      </c>
      <c r="AS61" s="2">
        <v>0</v>
      </c>
      <c r="AT61" s="2" t="s">
        <v>148</v>
      </c>
    </row>
    <row r="62" spans="1:46" s="15" customFormat="1">
      <c r="A62" s="15">
        <v>61</v>
      </c>
      <c r="B62" s="17">
        <v>45380</v>
      </c>
      <c r="C62" s="17">
        <v>45383</v>
      </c>
      <c r="D62" s="15">
        <f t="shared" si="0"/>
        <v>3</v>
      </c>
      <c r="E62" s="15">
        <v>74</v>
      </c>
      <c r="F62" s="15">
        <v>1</v>
      </c>
      <c r="G62" s="15">
        <v>2</v>
      </c>
      <c r="H62" s="15">
        <v>0</v>
      </c>
      <c r="I62" s="15">
        <v>0</v>
      </c>
      <c r="J62" s="15">
        <v>0</v>
      </c>
      <c r="K62" s="15">
        <v>0</v>
      </c>
      <c r="L62" s="15">
        <v>0</v>
      </c>
      <c r="M62" s="15">
        <v>0</v>
      </c>
      <c r="N62" s="15">
        <v>0</v>
      </c>
      <c r="O62" s="15" t="s">
        <v>149</v>
      </c>
      <c r="P62" s="16" t="s">
        <v>150</v>
      </c>
      <c r="Q62" s="15">
        <v>0</v>
      </c>
      <c r="R62" s="15">
        <v>1</v>
      </c>
      <c r="S62" s="17">
        <v>45380</v>
      </c>
      <c r="T62" s="17">
        <v>45380</v>
      </c>
      <c r="U62" s="15">
        <v>0</v>
      </c>
      <c r="V62" s="15">
        <v>0</v>
      </c>
      <c r="W62" s="15">
        <v>0</v>
      </c>
      <c r="X62" s="15">
        <v>0</v>
      </c>
      <c r="Y62" s="15">
        <v>0</v>
      </c>
      <c r="Z62" s="15">
        <v>0</v>
      </c>
      <c r="AA62" s="15">
        <v>0</v>
      </c>
      <c r="AB62" s="15">
        <v>0</v>
      </c>
      <c r="AC62" s="15">
        <v>0</v>
      </c>
      <c r="AD62" s="15">
        <v>0</v>
      </c>
      <c r="AJ62" s="15">
        <v>0</v>
      </c>
      <c r="AN62" s="15">
        <v>0</v>
      </c>
      <c r="AT62" s="15" t="s">
        <v>151</v>
      </c>
    </row>
    <row r="63" spans="1:46" s="15" customFormat="1">
      <c r="A63" s="15">
        <v>62</v>
      </c>
      <c r="B63" s="17">
        <v>45381</v>
      </c>
      <c r="C63" s="17">
        <v>45387</v>
      </c>
      <c r="D63" s="15">
        <f>C63-B63</f>
        <v>6</v>
      </c>
      <c r="E63" s="15">
        <v>73</v>
      </c>
      <c r="F63" s="15">
        <v>2</v>
      </c>
      <c r="G63" s="15">
        <v>2</v>
      </c>
      <c r="H63" s="15">
        <v>1</v>
      </c>
      <c r="I63" s="15">
        <v>0</v>
      </c>
      <c r="J63" s="15">
        <v>1</v>
      </c>
      <c r="K63" s="15">
        <v>0</v>
      </c>
      <c r="L63" s="15">
        <v>0</v>
      </c>
      <c r="M63" s="15">
        <v>0</v>
      </c>
      <c r="N63" s="15">
        <v>1</v>
      </c>
      <c r="O63" s="15" t="s">
        <v>152</v>
      </c>
      <c r="P63" s="16" t="s">
        <v>153</v>
      </c>
      <c r="Q63" s="15">
        <v>0</v>
      </c>
      <c r="R63" s="15">
        <v>1</v>
      </c>
      <c r="S63" s="17">
        <v>45381</v>
      </c>
      <c r="T63" s="17">
        <v>45381</v>
      </c>
      <c r="U63" s="15">
        <v>1</v>
      </c>
      <c r="V63" s="15">
        <v>0</v>
      </c>
      <c r="W63" s="15">
        <v>0</v>
      </c>
      <c r="X63" s="15">
        <v>0</v>
      </c>
      <c r="Y63" s="15">
        <v>0</v>
      </c>
      <c r="Z63" s="15">
        <v>1</v>
      </c>
      <c r="AA63" s="15">
        <v>0</v>
      </c>
      <c r="AB63" s="15">
        <v>0</v>
      </c>
      <c r="AC63" s="15">
        <v>0</v>
      </c>
      <c r="AD63" s="15">
        <v>1</v>
      </c>
      <c r="AE63" s="15" t="s">
        <v>55</v>
      </c>
      <c r="AF63" s="15">
        <v>0</v>
      </c>
      <c r="AG63" s="15">
        <v>0</v>
      </c>
      <c r="AH63" s="15">
        <v>1</v>
      </c>
      <c r="AI63" s="15">
        <v>1</v>
      </c>
      <c r="AJ63" s="15">
        <v>0</v>
      </c>
      <c r="AK63" s="17"/>
      <c r="AN63" s="15">
        <v>0</v>
      </c>
      <c r="AS63" s="15">
        <v>0</v>
      </c>
      <c r="AT63" s="15" t="s">
        <v>154</v>
      </c>
    </row>
    <row r="64" spans="1:46">
      <c r="A64" s="2">
        <v>63</v>
      </c>
      <c r="B64" s="5">
        <v>45458</v>
      </c>
      <c r="C64" s="5">
        <v>45467</v>
      </c>
      <c r="D64" s="2">
        <f>C64-B64</f>
        <v>9</v>
      </c>
      <c r="E64" s="2">
        <v>87</v>
      </c>
      <c r="F64" s="2">
        <v>2</v>
      </c>
      <c r="G64" s="2">
        <v>5</v>
      </c>
      <c r="H64" s="2">
        <v>0</v>
      </c>
      <c r="I64" s="2">
        <v>0</v>
      </c>
      <c r="J64" s="2">
        <v>0</v>
      </c>
      <c r="K64" s="2">
        <v>0</v>
      </c>
      <c r="L64" s="2">
        <v>0</v>
      </c>
      <c r="M64" s="2">
        <v>0</v>
      </c>
      <c r="N64" s="2">
        <v>0</v>
      </c>
      <c r="O64" s="2" t="s">
        <v>70</v>
      </c>
      <c r="P64" t="s">
        <v>155</v>
      </c>
      <c r="Q64" s="2">
        <v>1</v>
      </c>
      <c r="R64" s="2">
        <v>2</v>
      </c>
      <c r="S64" s="5">
        <v>45457</v>
      </c>
      <c r="T64" s="5">
        <v>45458</v>
      </c>
      <c r="U64" s="2">
        <v>1</v>
      </c>
      <c r="V64" s="2">
        <v>0</v>
      </c>
      <c r="W64" s="2">
        <v>0</v>
      </c>
      <c r="X64" s="2">
        <v>0</v>
      </c>
      <c r="Y64" s="2">
        <v>0</v>
      </c>
      <c r="Z64" s="2">
        <v>0</v>
      </c>
      <c r="AA64" s="2">
        <v>0</v>
      </c>
      <c r="AB64" s="2">
        <v>1</v>
      </c>
      <c r="AC64" s="2">
        <v>0</v>
      </c>
      <c r="AD64" s="2">
        <v>1</v>
      </c>
      <c r="AE64" s="2" t="s">
        <v>146</v>
      </c>
      <c r="AF64" s="2">
        <v>0</v>
      </c>
      <c r="AG64" s="2">
        <v>1</v>
      </c>
      <c r="AH64" s="2">
        <v>1</v>
      </c>
      <c r="AI64" s="2">
        <v>1</v>
      </c>
      <c r="AJ64" s="2">
        <v>1</v>
      </c>
      <c r="AK64" s="5">
        <v>45462</v>
      </c>
      <c r="AL64" s="2">
        <v>0</v>
      </c>
      <c r="AM64" s="2">
        <v>0</v>
      </c>
      <c r="AN64" s="2">
        <v>0</v>
      </c>
      <c r="AS64" s="2">
        <v>0</v>
      </c>
      <c r="AT64" s="2" t="s">
        <v>156</v>
      </c>
    </row>
    <row r="65" spans="1:46">
      <c r="A65" s="2">
        <v>64</v>
      </c>
      <c r="B65" s="5">
        <v>45459</v>
      </c>
      <c r="E65" s="2">
        <v>55</v>
      </c>
      <c r="F65" s="2">
        <v>2</v>
      </c>
      <c r="G65" s="2">
        <v>2</v>
      </c>
      <c r="H65" s="2">
        <v>1</v>
      </c>
      <c r="I65" s="2">
        <v>0</v>
      </c>
      <c r="J65" s="2">
        <v>0</v>
      </c>
      <c r="K65" s="2">
        <v>1</v>
      </c>
      <c r="L65" s="2">
        <v>0</v>
      </c>
      <c r="M65" s="2">
        <v>0</v>
      </c>
      <c r="N65" s="2">
        <v>1</v>
      </c>
      <c r="O65" s="2" t="s">
        <v>157</v>
      </c>
      <c r="P65" t="s">
        <v>155</v>
      </c>
      <c r="Q65" s="2">
        <v>1</v>
      </c>
      <c r="R65" s="2">
        <v>4</v>
      </c>
      <c r="S65" s="5">
        <v>45469</v>
      </c>
      <c r="T65" s="5">
        <v>45472</v>
      </c>
      <c r="U65" s="2">
        <v>0</v>
      </c>
      <c r="V65" s="2">
        <v>0</v>
      </c>
      <c r="W65" s="2">
        <v>0</v>
      </c>
      <c r="X65" s="2">
        <v>0</v>
      </c>
      <c r="Y65" s="2">
        <v>0</v>
      </c>
      <c r="Z65" s="2">
        <v>0</v>
      </c>
      <c r="AA65" s="2">
        <v>0</v>
      </c>
      <c r="AB65" s="2">
        <v>0</v>
      </c>
      <c r="AC65" s="2">
        <v>0</v>
      </c>
      <c r="AD65" s="2">
        <v>1</v>
      </c>
      <c r="AE65" s="2" t="s">
        <v>158</v>
      </c>
      <c r="AF65" s="2">
        <v>1</v>
      </c>
      <c r="AG65" s="2">
        <v>1</v>
      </c>
      <c r="AH65" s="2">
        <v>1</v>
      </c>
      <c r="AI65" s="2">
        <v>1</v>
      </c>
      <c r="AJ65" s="2">
        <v>1</v>
      </c>
      <c r="AK65" s="5">
        <v>45485</v>
      </c>
      <c r="AL65" s="2">
        <v>0</v>
      </c>
      <c r="AM65" s="2">
        <v>1</v>
      </c>
      <c r="AN65" s="11"/>
      <c r="AS65" s="2">
        <v>1</v>
      </c>
      <c r="AT65" s="2" t="s">
        <v>159</v>
      </c>
    </row>
    <row r="66" spans="1:46">
      <c r="A66" s="2">
        <v>65</v>
      </c>
      <c r="B66" s="5">
        <v>45469</v>
      </c>
      <c r="C66" s="5">
        <v>45484</v>
      </c>
      <c r="D66" s="2">
        <f>C66-B66</f>
        <v>15</v>
      </c>
      <c r="E66" s="2">
        <v>86</v>
      </c>
      <c r="F66" s="2">
        <v>2</v>
      </c>
      <c r="G66" s="2">
        <v>2</v>
      </c>
      <c r="H66" s="2">
        <v>1</v>
      </c>
      <c r="I66" s="2">
        <v>0</v>
      </c>
      <c r="J66" s="2">
        <v>0</v>
      </c>
      <c r="K66" s="2">
        <v>1</v>
      </c>
      <c r="L66" s="2">
        <v>0</v>
      </c>
      <c r="M66" s="2">
        <v>0</v>
      </c>
      <c r="N66" s="2">
        <v>0</v>
      </c>
      <c r="P66" t="s">
        <v>155</v>
      </c>
      <c r="Q66" s="2">
        <v>0</v>
      </c>
      <c r="R66" s="2">
        <v>1</v>
      </c>
      <c r="S66" s="5">
        <v>45471</v>
      </c>
      <c r="T66" s="5">
        <v>45471</v>
      </c>
      <c r="U66" s="2">
        <v>1</v>
      </c>
      <c r="V66" s="2">
        <v>0</v>
      </c>
      <c r="W66" s="2">
        <v>0</v>
      </c>
      <c r="X66" s="2">
        <v>0</v>
      </c>
      <c r="Y66" s="2">
        <v>0</v>
      </c>
      <c r="Z66" s="2">
        <v>0</v>
      </c>
      <c r="AA66" s="2">
        <v>0</v>
      </c>
      <c r="AB66" s="2">
        <v>1</v>
      </c>
      <c r="AC66" s="2">
        <v>0</v>
      </c>
      <c r="AD66" s="2">
        <v>1</v>
      </c>
      <c r="AE66" s="2" t="s">
        <v>146</v>
      </c>
      <c r="AF66" s="2">
        <v>0</v>
      </c>
      <c r="AG66" s="2">
        <v>1</v>
      </c>
      <c r="AH66" s="2">
        <v>1</v>
      </c>
      <c r="AI66" s="2">
        <v>1</v>
      </c>
      <c r="AJ66" s="2">
        <v>1</v>
      </c>
      <c r="AK66" s="5">
        <v>45474</v>
      </c>
      <c r="AL66" s="2">
        <v>0</v>
      </c>
      <c r="AM66" s="2">
        <v>1</v>
      </c>
      <c r="AN66" s="2">
        <v>0</v>
      </c>
      <c r="AS66" s="2">
        <v>0</v>
      </c>
      <c r="AT66" s="2" t="s">
        <v>160</v>
      </c>
    </row>
    <row r="67" spans="1:46" s="8" customFormat="1">
      <c r="A67" s="8">
        <v>66</v>
      </c>
      <c r="B67" s="6">
        <v>45422</v>
      </c>
      <c r="C67" s="6">
        <v>45427</v>
      </c>
      <c r="D67" s="8">
        <f>C67-B67</f>
        <v>5</v>
      </c>
      <c r="E67" s="8">
        <v>80</v>
      </c>
      <c r="F67" s="8">
        <v>2</v>
      </c>
      <c r="G67" s="8">
        <v>3</v>
      </c>
      <c r="H67" s="8">
        <v>1</v>
      </c>
      <c r="I67" s="8">
        <v>0</v>
      </c>
      <c r="J67" s="8">
        <v>0</v>
      </c>
      <c r="K67" s="8">
        <v>0</v>
      </c>
      <c r="L67" s="8">
        <v>1</v>
      </c>
      <c r="M67" s="8">
        <v>0</v>
      </c>
      <c r="N67" s="8">
        <v>0</v>
      </c>
      <c r="P67" s="9" t="s">
        <v>155</v>
      </c>
      <c r="Q67" s="8">
        <v>1</v>
      </c>
      <c r="R67" s="8">
        <v>2</v>
      </c>
      <c r="S67" s="6">
        <v>45422</v>
      </c>
      <c r="T67" s="6">
        <v>45423</v>
      </c>
      <c r="U67" s="8">
        <v>1</v>
      </c>
      <c r="V67" s="8">
        <v>0</v>
      </c>
      <c r="W67" s="8">
        <v>0</v>
      </c>
      <c r="X67" s="8">
        <v>1</v>
      </c>
      <c r="Y67" s="8">
        <v>0</v>
      </c>
      <c r="Z67" s="8">
        <v>0</v>
      </c>
      <c r="AA67" s="8">
        <v>0</v>
      </c>
      <c r="AB67" s="8">
        <v>0</v>
      </c>
      <c r="AC67" s="8">
        <v>0</v>
      </c>
      <c r="AD67" s="8">
        <v>1</v>
      </c>
      <c r="AE67" s="8" t="s">
        <v>161</v>
      </c>
      <c r="AF67" s="8">
        <v>0</v>
      </c>
      <c r="AG67" s="8">
        <v>0</v>
      </c>
      <c r="AH67" s="8">
        <v>1</v>
      </c>
      <c r="AI67" s="8">
        <v>1</v>
      </c>
      <c r="AJ67" s="8">
        <v>0</v>
      </c>
      <c r="AN67" s="8">
        <v>0</v>
      </c>
      <c r="AS67" s="8">
        <v>0</v>
      </c>
      <c r="AT67" s="8" t="s">
        <v>162</v>
      </c>
    </row>
    <row r="68" spans="1:46">
      <c r="A68" s="8">
        <v>67</v>
      </c>
      <c r="B68" s="5">
        <v>45421</v>
      </c>
      <c r="C68" s="6">
        <v>45428</v>
      </c>
      <c r="D68" s="2">
        <f>C68-B68</f>
        <v>7</v>
      </c>
      <c r="E68" s="2">
        <v>77</v>
      </c>
      <c r="F68" s="2">
        <v>2</v>
      </c>
      <c r="G68" s="2">
        <v>5</v>
      </c>
      <c r="H68" s="2">
        <v>0</v>
      </c>
      <c r="I68" s="2">
        <v>0</v>
      </c>
      <c r="J68" s="2">
        <v>0</v>
      </c>
      <c r="K68" s="2">
        <v>0</v>
      </c>
      <c r="L68" s="2">
        <v>1</v>
      </c>
      <c r="M68" s="2">
        <v>0</v>
      </c>
      <c r="N68" s="2">
        <v>1</v>
      </c>
      <c r="O68" s="2" t="s">
        <v>70</v>
      </c>
      <c r="P68" t="s">
        <v>163</v>
      </c>
      <c r="Q68" s="2">
        <v>1</v>
      </c>
      <c r="R68" s="2">
        <v>4</v>
      </c>
      <c r="S68" s="5">
        <v>45421</v>
      </c>
      <c r="T68" s="5">
        <v>45428</v>
      </c>
      <c r="U68" s="2">
        <v>1</v>
      </c>
      <c r="V68" s="2">
        <v>0</v>
      </c>
      <c r="W68" s="2">
        <v>0</v>
      </c>
      <c r="X68" s="2">
        <v>1</v>
      </c>
      <c r="Y68" s="2">
        <v>0</v>
      </c>
      <c r="Z68" s="2">
        <v>1</v>
      </c>
      <c r="AA68" s="2">
        <v>0</v>
      </c>
      <c r="AB68" s="2">
        <v>0</v>
      </c>
      <c r="AC68" s="2">
        <v>0</v>
      </c>
      <c r="AD68" s="2">
        <v>1</v>
      </c>
      <c r="AE68" s="2" t="s">
        <v>48</v>
      </c>
      <c r="AF68" s="2">
        <v>1</v>
      </c>
      <c r="AG68" s="2">
        <v>0</v>
      </c>
      <c r="AH68" s="2">
        <v>1</v>
      </c>
      <c r="AI68" s="2">
        <v>0</v>
      </c>
      <c r="AJ68" s="2">
        <v>1</v>
      </c>
      <c r="AK68" s="5">
        <v>45425</v>
      </c>
      <c r="AL68" s="2">
        <v>0</v>
      </c>
      <c r="AM68" s="2">
        <v>0</v>
      </c>
      <c r="AN68" s="2">
        <v>0</v>
      </c>
      <c r="AS68" s="2">
        <v>1</v>
      </c>
      <c r="AT68" s="2" t="s">
        <v>164</v>
      </c>
    </row>
    <row r="69" spans="1:46">
      <c r="A69" s="2">
        <v>68</v>
      </c>
      <c r="B69" s="5">
        <v>45425</v>
      </c>
      <c r="C69" s="5">
        <v>45444</v>
      </c>
      <c r="D69" s="2">
        <f>C69-B69</f>
        <v>19</v>
      </c>
      <c r="E69" s="2">
        <v>81</v>
      </c>
      <c r="F69" s="2">
        <v>1</v>
      </c>
      <c r="G69" s="2">
        <v>2</v>
      </c>
      <c r="H69" s="2">
        <v>1</v>
      </c>
      <c r="I69" s="2">
        <v>0</v>
      </c>
      <c r="J69" s="2">
        <v>0</v>
      </c>
      <c r="K69" s="2">
        <v>1</v>
      </c>
      <c r="L69" s="2">
        <v>0</v>
      </c>
      <c r="M69" s="2">
        <v>0</v>
      </c>
      <c r="N69" s="2">
        <v>1</v>
      </c>
      <c r="O69" s="2" t="s">
        <v>72</v>
      </c>
      <c r="P69" t="s">
        <v>155</v>
      </c>
      <c r="Q69" s="2">
        <v>1</v>
      </c>
      <c r="R69" s="2">
        <v>2</v>
      </c>
      <c r="S69" s="5">
        <v>45425</v>
      </c>
      <c r="T69" s="5">
        <v>45426</v>
      </c>
      <c r="U69" s="2">
        <v>1</v>
      </c>
      <c r="V69" s="2">
        <v>0</v>
      </c>
      <c r="W69" s="2">
        <v>0</v>
      </c>
      <c r="X69" s="2">
        <v>0</v>
      </c>
      <c r="Y69" s="2">
        <v>0</v>
      </c>
      <c r="Z69" s="2">
        <v>1</v>
      </c>
      <c r="AA69" s="2">
        <v>0</v>
      </c>
      <c r="AB69" s="2">
        <v>0</v>
      </c>
      <c r="AC69" s="2">
        <v>0</v>
      </c>
      <c r="AD69" s="2">
        <v>1</v>
      </c>
      <c r="AE69" s="2" t="s">
        <v>158</v>
      </c>
      <c r="AF69" s="2">
        <v>1</v>
      </c>
      <c r="AG69" s="2">
        <v>1</v>
      </c>
      <c r="AH69" s="2">
        <v>1</v>
      </c>
      <c r="AI69" s="2">
        <v>1</v>
      </c>
      <c r="AJ69" s="2">
        <v>1</v>
      </c>
      <c r="AK69" s="5">
        <v>45429</v>
      </c>
      <c r="AL69" s="2">
        <v>0</v>
      </c>
      <c r="AM69" s="2">
        <v>1</v>
      </c>
      <c r="AN69" s="2">
        <v>0</v>
      </c>
      <c r="AS69" s="2">
        <v>0</v>
      </c>
      <c r="AT69" s="2" t="s">
        <v>165</v>
      </c>
    </row>
    <row r="70" spans="1:46">
      <c r="A70" s="2">
        <v>69</v>
      </c>
      <c r="B70" s="5">
        <v>45381</v>
      </c>
      <c r="C70" s="5">
        <v>45387</v>
      </c>
      <c r="D70" s="2">
        <f>C70-B70</f>
        <v>6</v>
      </c>
      <c r="E70" s="2">
        <v>87</v>
      </c>
      <c r="F70" s="2">
        <v>2</v>
      </c>
      <c r="G70" s="2">
        <v>3</v>
      </c>
      <c r="H70" s="2">
        <v>1</v>
      </c>
      <c r="I70" s="2">
        <v>0</v>
      </c>
      <c r="J70" s="2">
        <v>0</v>
      </c>
      <c r="K70" s="2">
        <v>1</v>
      </c>
      <c r="L70" s="2">
        <v>0</v>
      </c>
      <c r="M70" s="2">
        <v>0</v>
      </c>
      <c r="N70" s="2">
        <v>1</v>
      </c>
      <c r="O70" s="2" t="s">
        <v>166</v>
      </c>
      <c r="P70" t="s">
        <v>155</v>
      </c>
      <c r="Q70" s="2">
        <v>1</v>
      </c>
      <c r="R70" s="2">
        <v>3</v>
      </c>
      <c r="S70" s="5">
        <v>45382</v>
      </c>
      <c r="T70" s="5">
        <v>45384</v>
      </c>
      <c r="U70" s="2">
        <v>0</v>
      </c>
      <c r="V70" s="2">
        <v>0</v>
      </c>
      <c r="W70" s="2">
        <v>0</v>
      </c>
      <c r="X70" s="2">
        <v>0</v>
      </c>
      <c r="Y70" s="2">
        <v>0</v>
      </c>
      <c r="Z70" s="2">
        <v>0</v>
      </c>
      <c r="AA70" s="2">
        <v>0</v>
      </c>
      <c r="AB70" s="2">
        <v>0</v>
      </c>
      <c r="AC70" s="2">
        <v>0</v>
      </c>
      <c r="AD70" s="2">
        <v>1</v>
      </c>
      <c r="AE70" s="2" t="s">
        <v>167</v>
      </c>
      <c r="AF70" s="2">
        <v>1</v>
      </c>
      <c r="AG70" s="2">
        <v>0</v>
      </c>
      <c r="AH70" s="2">
        <v>1</v>
      </c>
      <c r="AI70" s="2">
        <v>1</v>
      </c>
      <c r="AJ70" s="2">
        <v>1</v>
      </c>
      <c r="AK70" s="5">
        <v>45383</v>
      </c>
      <c r="AL70" s="2">
        <v>0</v>
      </c>
      <c r="AM70" s="2">
        <v>1</v>
      </c>
      <c r="AN70" s="2">
        <v>0</v>
      </c>
      <c r="AS70" s="2">
        <v>0</v>
      </c>
      <c r="AT70" s="2" t="s">
        <v>168</v>
      </c>
    </row>
    <row r="71" spans="1:46">
      <c r="A71" s="2">
        <v>70</v>
      </c>
      <c r="B71" s="5">
        <v>45398</v>
      </c>
      <c r="C71" s="5">
        <v>45403</v>
      </c>
      <c r="D71" s="11">
        <f>C71-B71</f>
        <v>5</v>
      </c>
      <c r="E71" s="2">
        <v>47</v>
      </c>
      <c r="F71" s="2">
        <v>1</v>
      </c>
      <c r="G71" s="2">
        <v>2</v>
      </c>
      <c r="H71" s="2">
        <v>1</v>
      </c>
      <c r="I71" s="2">
        <v>1</v>
      </c>
      <c r="J71" s="2">
        <v>0</v>
      </c>
      <c r="K71" s="2">
        <v>0</v>
      </c>
      <c r="L71" s="2">
        <v>0</v>
      </c>
      <c r="M71" s="2">
        <v>0</v>
      </c>
      <c r="N71" s="2">
        <v>1</v>
      </c>
      <c r="O71" s="2" t="s">
        <v>169</v>
      </c>
      <c r="P71" t="s">
        <v>155</v>
      </c>
      <c r="Q71" s="2">
        <v>1</v>
      </c>
      <c r="R71" s="2">
        <v>4</v>
      </c>
      <c r="S71" s="5">
        <v>45398</v>
      </c>
      <c r="T71" s="5">
        <v>45403</v>
      </c>
      <c r="U71" s="2">
        <v>1</v>
      </c>
      <c r="V71" s="2">
        <v>0</v>
      </c>
      <c r="W71" s="2">
        <v>1</v>
      </c>
      <c r="X71" s="2">
        <v>0</v>
      </c>
      <c r="Y71" s="2">
        <v>0</v>
      </c>
      <c r="Z71" s="2">
        <v>0</v>
      </c>
      <c r="AA71" s="2">
        <v>0</v>
      </c>
      <c r="AB71" s="2">
        <v>0</v>
      </c>
      <c r="AC71" s="2">
        <v>0</v>
      </c>
      <c r="AD71" s="2">
        <v>1</v>
      </c>
      <c r="AE71" s="2" t="s">
        <v>158</v>
      </c>
      <c r="AF71" s="2">
        <v>1</v>
      </c>
      <c r="AG71" s="2">
        <v>1</v>
      </c>
      <c r="AH71" s="2">
        <v>1</v>
      </c>
      <c r="AI71" s="2">
        <v>1</v>
      </c>
      <c r="AJ71" s="2">
        <v>1</v>
      </c>
      <c r="AK71" s="5">
        <v>45400</v>
      </c>
      <c r="AL71" s="2">
        <v>1</v>
      </c>
      <c r="AM71" s="2">
        <v>0</v>
      </c>
      <c r="AN71" s="2">
        <v>0</v>
      </c>
      <c r="AS71" s="2">
        <v>0</v>
      </c>
      <c r="AT71" s="2" t="s">
        <v>170</v>
      </c>
    </row>
    <row r="72" spans="1:46">
      <c r="A72" s="2">
        <v>71</v>
      </c>
      <c r="B72" s="5">
        <v>45398</v>
      </c>
      <c r="C72" s="5">
        <v>45442</v>
      </c>
      <c r="D72" s="2">
        <f>C72-B72</f>
        <v>44</v>
      </c>
      <c r="E72" s="2">
        <v>54</v>
      </c>
      <c r="F72" s="2">
        <v>1</v>
      </c>
      <c r="G72" s="2">
        <v>2</v>
      </c>
      <c r="H72" s="2">
        <v>1</v>
      </c>
      <c r="I72" s="2">
        <v>0</v>
      </c>
      <c r="J72" s="2">
        <v>0</v>
      </c>
      <c r="K72" s="2">
        <v>0</v>
      </c>
      <c r="L72" s="2">
        <v>1</v>
      </c>
      <c r="M72" s="2">
        <v>0</v>
      </c>
      <c r="N72" s="2">
        <v>0</v>
      </c>
      <c r="P72" t="s">
        <v>155</v>
      </c>
      <c r="Q72" s="2">
        <v>1</v>
      </c>
      <c r="R72" s="2">
        <v>5</v>
      </c>
      <c r="S72" s="5">
        <v>45398</v>
      </c>
      <c r="T72" s="5">
        <v>45401</v>
      </c>
      <c r="U72" s="2">
        <v>1</v>
      </c>
      <c r="V72" s="2">
        <v>0</v>
      </c>
      <c r="W72" s="2">
        <v>0</v>
      </c>
      <c r="X72" s="2">
        <v>1</v>
      </c>
      <c r="Y72" s="2">
        <v>0</v>
      </c>
      <c r="Z72" s="2">
        <v>0</v>
      </c>
      <c r="AA72" s="2">
        <v>0</v>
      </c>
      <c r="AB72" s="2">
        <v>0</v>
      </c>
      <c r="AC72" s="2">
        <v>0</v>
      </c>
      <c r="AD72" s="2">
        <v>1</v>
      </c>
      <c r="AE72" s="2" t="s">
        <v>158</v>
      </c>
      <c r="AF72" s="2">
        <v>1</v>
      </c>
      <c r="AG72" s="2">
        <v>1</v>
      </c>
      <c r="AH72" s="2">
        <v>1</v>
      </c>
      <c r="AI72" s="2">
        <v>1</v>
      </c>
      <c r="AJ72" s="2">
        <v>1</v>
      </c>
      <c r="AK72" s="5">
        <v>45401</v>
      </c>
      <c r="AL72" s="2">
        <v>0</v>
      </c>
      <c r="AM72" s="2">
        <v>0</v>
      </c>
      <c r="AN72" s="2">
        <v>0</v>
      </c>
      <c r="AS72" s="2">
        <v>1</v>
      </c>
      <c r="AT72" s="2" t="s">
        <v>171</v>
      </c>
    </row>
    <row r="73" spans="1:46">
      <c r="A73" s="2">
        <v>72</v>
      </c>
      <c r="B73" s="5">
        <v>45409</v>
      </c>
      <c r="C73" s="5">
        <v>45419</v>
      </c>
      <c r="D73" s="2">
        <f>C73-B73</f>
        <v>10</v>
      </c>
      <c r="E73" s="2">
        <v>82</v>
      </c>
      <c r="F73" s="2">
        <v>1</v>
      </c>
      <c r="G73" s="2">
        <v>2</v>
      </c>
      <c r="H73" s="2">
        <v>1</v>
      </c>
      <c r="I73" s="2">
        <v>0</v>
      </c>
      <c r="J73" s="2">
        <v>0</v>
      </c>
      <c r="K73" s="2">
        <v>0</v>
      </c>
      <c r="L73" s="2">
        <v>0</v>
      </c>
      <c r="M73" s="2">
        <v>0</v>
      </c>
      <c r="N73" s="2">
        <v>1</v>
      </c>
      <c r="O73" s="2" t="s">
        <v>172</v>
      </c>
      <c r="P73" t="s">
        <v>155</v>
      </c>
      <c r="Q73" s="2">
        <v>0</v>
      </c>
      <c r="R73" s="2">
        <v>1</v>
      </c>
      <c r="S73" s="5">
        <v>45411</v>
      </c>
      <c r="T73" s="5">
        <v>45411</v>
      </c>
      <c r="U73" s="2">
        <v>1</v>
      </c>
      <c r="V73" s="2">
        <v>0</v>
      </c>
      <c r="W73" s="2">
        <v>0</v>
      </c>
      <c r="X73" s="2">
        <v>0</v>
      </c>
      <c r="Y73" s="2">
        <v>0</v>
      </c>
      <c r="Z73" s="2">
        <v>0</v>
      </c>
      <c r="AA73" s="2">
        <v>0</v>
      </c>
      <c r="AB73" s="2">
        <v>1</v>
      </c>
      <c r="AC73" s="2">
        <v>0</v>
      </c>
      <c r="AD73" s="2">
        <v>1</v>
      </c>
      <c r="AE73" s="2" t="s">
        <v>173</v>
      </c>
      <c r="AF73" s="2">
        <v>0</v>
      </c>
      <c r="AG73" s="2">
        <v>1</v>
      </c>
      <c r="AH73" s="2">
        <v>1</v>
      </c>
      <c r="AI73" s="2">
        <v>1</v>
      </c>
      <c r="AJ73" s="2">
        <v>1</v>
      </c>
      <c r="AK73" s="5">
        <v>45411</v>
      </c>
      <c r="AL73" s="2">
        <v>0</v>
      </c>
      <c r="AM73" s="2">
        <v>1</v>
      </c>
      <c r="AN73" s="2">
        <v>0</v>
      </c>
      <c r="AS73" s="2">
        <v>0</v>
      </c>
      <c r="AT73" s="2" t="s">
        <v>174</v>
      </c>
    </row>
    <row r="74" spans="1:46">
      <c r="A74" s="2">
        <v>73</v>
      </c>
      <c r="B74" s="5">
        <v>45375</v>
      </c>
      <c r="C74" s="5">
        <v>45388</v>
      </c>
      <c r="D74" s="2">
        <f>C74-B74</f>
        <v>13</v>
      </c>
      <c r="E74" s="2">
        <v>54</v>
      </c>
      <c r="F74" s="2">
        <v>2</v>
      </c>
      <c r="G74" s="2">
        <v>2</v>
      </c>
      <c r="H74" s="2">
        <v>0</v>
      </c>
      <c r="I74" s="2">
        <v>0</v>
      </c>
      <c r="J74" s="2">
        <v>0</v>
      </c>
      <c r="K74" s="2">
        <v>0</v>
      </c>
      <c r="L74" s="2">
        <v>0</v>
      </c>
      <c r="M74" s="2">
        <v>0</v>
      </c>
      <c r="N74" s="2">
        <v>0</v>
      </c>
      <c r="P74" t="s">
        <v>155</v>
      </c>
      <c r="Q74" s="2">
        <v>1</v>
      </c>
      <c r="R74" s="2">
        <v>6</v>
      </c>
      <c r="S74" s="5">
        <v>45375</v>
      </c>
      <c r="T74" s="5">
        <v>45380</v>
      </c>
      <c r="U74" s="2">
        <v>1</v>
      </c>
      <c r="V74" s="2">
        <v>0</v>
      </c>
      <c r="W74" s="2">
        <v>0</v>
      </c>
      <c r="X74" s="2">
        <v>0</v>
      </c>
      <c r="Y74" s="2">
        <v>0</v>
      </c>
      <c r="Z74" s="2">
        <v>0</v>
      </c>
      <c r="AA74" s="2">
        <v>0</v>
      </c>
      <c r="AB74" s="2">
        <v>1</v>
      </c>
      <c r="AC74" s="2">
        <v>0</v>
      </c>
      <c r="AD74" s="2">
        <v>1</v>
      </c>
      <c r="AE74" s="2" t="s">
        <v>175</v>
      </c>
      <c r="AF74" s="2">
        <v>0</v>
      </c>
      <c r="AG74" s="2">
        <v>1</v>
      </c>
      <c r="AH74" s="2">
        <v>0</v>
      </c>
      <c r="AI74" s="2">
        <v>1</v>
      </c>
      <c r="AJ74" s="2">
        <v>1</v>
      </c>
      <c r="AK74" s="5">
        <v>45380</v>
      </c>
      <c r="AL74" s="2">
        <v>0</v>
      </c>
      <c r="AM74" s="2">
        <v>0</v>
      </c>
      <c r="AN74" s="2">
        <v>1</v>
      </c>
      <c r="AO74" s="5">
        <v>45383</v>
      </c>
      <c r="AP74" s="2">
        <v>0</v>
      </c>
      <c r="AQ74" s="2">
        <v>0</v>
      </c>
      <c r="AR74" s="2">
        <v>1</v>
      </c>
      <c r="AS74" s="2">
        <v>0</v>
      </c>
      <c r="AT74" s="2" t="s">
        <v>176</v>
      </c>
    </row>
    <row r="75" spans="1:46">
      <c r="A75" s="2">
        <v>74</v>
      </c>
      <c r="B75" s="5">
        <v>45433</v>
      </c>
      <c r="C75" s="5">
        <v>45443</v>
      </c>
      <c r="D75" s="2">
        <f>C75-B75</f>
        <v>10</v>
      </c>
      <c r="E75" s="2">
        <v>71</v>
      </c>
      <c r="F75" s="2">
        <v>2</v>
      </c>
      <c r="G75" s="2">
        <v>2</v>
      </c>
      <c r="H75" s="2">
        <v>1</v>
      </c>
      <c r="I75" s="2">
        <v>0</v>
      </c>
      <c r="J75" s="2">
        <v>0</v>
      </c>
      <c r="K75" s="2">
        <v>0</v>
      </c>
      <c r="L75" s="2">
        <v>1</v>
      </c>
      <c r="M75" s="2">
        <v>0</v>
      </c>
      <c r="N75" s="2">
        <v>1</v>
      </c>
      <c r="O75" s="2" t="s">
        <v>99</v>
      </c>
      <c r="P75" t="s">
        <v>163</v>
      </c>
      <c r="Q75" s="2">
        <v>0</v>
      </c>
      <c r="R75" s="2">
        <v>1</v>
      </c>
      <c r="S75" s="5">
        <v>45433</v>
      </c>
      <c r="T75" s="5">
        <v>45433</v>
      </c>
      <c r="U75" s="2">
        <v>1</v>
      </c>
      <c r="V75" s="2">
        <v>0</v>
      </c>
      <c r="W75" s="2">
        <v>0</v>
      </c>
      <c r="X75" s="2">
        <v>1</v>
      </c>
      <c r="Y75" s="2">
        <v>0</v>
      </c>
      <c r="Z75" s="2">
        <v>0</v>
      </c>
      <c r="AA75" s="2">
        <v>0</v>
      </c>
      <c r="AB75" s="2">
        <v>0</v>
      </c>
      <c r="AC75" s="2">
        <v>0</v>
      </c>
      <c r="AD75" s="2">
        <v>1</v>
      </c>
      <c r="AE75" s="2" t="s">
        <v>48</v>
      </c>
      <c r="AF75" s="2">
        <v>1</v>
      </c>
      <c r="AG75" s="2">
        <v>0</v>
      </c>
      <c r="AH75" s="2">
        <v>1</v>
      </c>
      <c r="AI75" s="2">
        <v>1</v>
      </c>
      <c r="AJ75" s="2">
        <v>1</v>
      </c>
      <c r="AK75" s="5">
        <v>45436</v>
      </c>
      <c r="AL75" s="2">
        <v>0</v>
      </c>
      <c r="AM75" s="2">
        <v>0</v>
      </c>
      <c r="AN75" s="2">
        <v>0</v>
      </c>
      <c r="AS75" s="2">
        <v>0</v>
      </c>
      <c r="AT75" s="2" t="s">
        <v>177</v>
      </c>
    </row>
    <row r="76" spans="1:46" s="13" customFormat="1">
      <c r="A76" s="2">
        <v>75</v>
      </c>
      <c r="B76" s="18">
        <v>45398</v>
      </c>
      <c r="C76" s="18">
        <v>45442</v>
      </c>
      <c r="D76" s="13">
        <f t="shared" ref="D76" si="1">C76-B76</f>
        <v>44</v>
      </c>
      <c r="E76" s="13">
        <v>54</v>
      </c>
      <c r="F76" s="13">
        <v>1</v>
      </c>
      <c r="G76" s="13">
        <v>2</v>
      </c>
      <c r="H76" s="13">
        <v>1</v>
      </c>
      <c r="I76" s="13">
        <v>0</v>
      </c>
      <c r="J76" s="13">
        <v>0</v>
      </c>
      <c r="K76" s="13">
        <v>0</v>
      </c>
      <c r="L76" s="13">
        <v>1</v>
      </c>
      <c r="M76" s="13">
        <v>0</v>
      </c>
      <c r="N76" s="13">
        <v>0</v>
      </c>
      <c r="P76" s="14" t="s">
        <v>155</v>
      </c>
      <c r="Q76" s="13">
        <v>1</v>
      </c>
      <c r="R76" s="13">
        <v>5</v>
      </c>
      <c r="S76" s="18">
        <v>45398</v>
      </c>
      <c r="T76" s="18">
        <v>45401</v>
      </c>
      <c r="U76" s="13">
        <v>1</v>
      </c>
      <c r="V76" s="13">
        <v>0</v>
      </c>
      <c r="W76" s="13">
        <v>0</v>
      </c>
      <c r="X76" s="13">
        <v>1</v>
      </c>
      <c r="Y76" s="13">
        <v>0</v>
      </c>
      <c r="Z76" s="13">
        <v>1</v>
      </c>
      <c r="AA76" s="13">
        <v>0</v>
      </c>
      <c r="AB76" s="13">
        <v>0</v>
      </c>
      <c r="AC76" s="13">
        <v>0</v>
      </c>
      <c r="AD76" s="13">
        <v>1</v>
      </c>
      <c r="AE76" s="13" t="s">
        <v>158</v>
      </c>
      <c r="AF76" s="13">
        <v>1</v>
      </c>
      <c r="AG76" s="13">
        <v>1</v>
      </c>
      <c r="AH76" s="13">
        <v>1</v>
      </c>
      <c r="AI76" s="13">
        <v>1</v>
      </c>
      <c r="AJ76" s="13">
        <v>1</v>
      </c>
      <c r="AK76" s="18">
        <v>45401</v>
      </c>
      <c r="AL76" s="13">
        <v>0</v>
      </c>
      <c r="AM76" s="13">
        <v>0</v>
      </c>
      <c r="AN76" s="13">
        <v>0</v>
      </c>
      <c r="AS76" s="13">
        <v>0</v>
      </c>
      <c r="AT76" s="13" t="s">
        <v>178</v>
      </c>
    </row>
    <row r="77" spans="1:46">
      <c r="A77" s="2">
        <v>76</v>
      </c>
      <c r="B77" s="5">
        <v>45444</v>
      </c>
      <c r="C77" s="5">
        <v>45449</v>
      </c>
      <c r="D77" s="2">
        <f>C77-B77</f>
        <v>5</v>
      </c>
      <c r="E77" s="2">
        <v>69</v>
      </c>
      <c r="F77" s="2">
        <v>1</v>
      </c>
      <c r="G77" s="2">
        <v>2</v>
      </c>
      <c r="H77" s="2">
        <v>1</v>
      </c>
      <c r="I77" s="2">
        <v>0</v>
      </c>
      <c r="J77" s="2">
        <v>0</v>
      </c>
      <c r="K77" s="2">
        <v>0</v>
      </c>
      <c r="L77" s="2">
        <v>1</v>
      </c>
      <c r="M77" s="2">
        <v>0</v>
      </c>
      <c r="N77" s="2">
        <v>0</v>
      </c>
      <c r="P77" t="s">
        <v>179</v>
      </c>
      <c r="Q77" s="2">
        <v>0</v>
      </c>
      <c r="R77" s="2">
        <v>1</v>
      </c>
      <c r="S77" s="5">
        <v>45444</v>
      </c>
      <c r="T77" s="5">
        <v>45444</v>
      </c>
      <c r="U77" s="2">
        <v>0</v>
      </c>
      <c r="V77" s="2">
        <v>0</v>
      </c>
      <c r="W77" s="2">
        <v>0</v>
      </c>
      <c r="X77" s="2">
        <v>0</v>
      </c>
      <c r="Y77" s="2">
        <v>0</v>
      </c>
      <c r="Z77" s="2">
        <v>0</v>
      </c>
      <c r="AA77" s="2">
        <v>0</v>
      </c>
      <c r="AB77" s="2">
        <v>0</v>
      </c>
      <c r="AC77" s="2">
        <v>0</v>
      </c>
      <c r="AD77" s="2">
        <v>1</v>
      </c>
      <c r="AE77" s="2" t="s">
        <v>126</v>
      </c>
      <c r="AF77" s="2">
        <v>0</v>
      </c>
      <c r="AG77" s="2">
        <v>1</v>
      </c>
      <c r="AH77" s="2">
        <v>1</v>
      </c>
      <c r="AI77" s="2">
        <v>1</v>
      </c>
      <c r="AJ77" s="2">
        <v>0</v>
      </c>
      <c r="AN77" s="2">
        <v>0</v>
      </c>
      <c r="AS77" s="2">
        <v>0</v>
      </c>
      <c r="AT77" s="2" t="s">
        <v>180</v>
      </c>
    </row>
    <row r="78" spans="1:46" s="19" customFormat="1">
      <c r="A78" s="19">
        <v>77</v>
      </c>
      <c r="B78" s="21">
        <v>45445</v>
      </c>
      <c r="C78" s="21">
        <v>45446</v>
      </c>
      <c r="D78" s="19">
        <f>C78-B78</f>
        <v>1</v>
      </c>
      <c r="E78" s="19">
        <v>63</v>
      </c>
      <c r="F78" s="19">
        <v>2</v>
      </c>
      <c r="G78" s="19">
        <v>2</v>
      </c>
      <c r="H78" s="19">
        <v>1</v>
      </c>
      <c r="I78" s="19">
        <v>0</v>
      </c>
      <c r="J78" s="19">
        <v>0</v>
      </c>
      <c r="K78" s="19">
        <v>0</v>
      </c>
      <c r="L78" s="19">
        <v>1</v>
      </c>
      <c r="M78" s="19">
        <v>0</v>
      </c>
      <c r="N78" s="19">
        <v>1</v>
      </c>
      <c r="O78" s="19" t="s">
        <v>181</v>
      </c>
      <c r="P78" s="20" t="s">
        <v>179</v>
      </c>
      <c r="Q78" s="19">
        <v>0</v>
      </c>
      <c r="R78" s="19">
        <v>1</v>
      </c>
      <c r="S78" s="21">
        <v>45445</v>
      </c>
      <c r="T78" s="21">
        <v>45445</v>
      </c>
      <c r="U78" s="19">
        <v>1</v>
      </c>
      <c r="V78" s="19">
        <v>0</v>
      </c>
      <c r="W78" s="19">
        <v>1</v>
      </c>
      <c r="X78" s="19">
        <v>1</v>
      </c>
      <c r="Y78" s="19">
        <v>0</v>
      </c>
      <c r="Z78" s="19">
        <v>0</v>
      </c>
      <c r="AA78" s="19">
        <v>0</v>
      </c>
      <c r="AB78" s="19">
        <v>0</v>
      </c>
      <c r="AC78" s="19">
        <v>0</v>
      </c>
      <c r="AD78" s="19">
        <v>1</v>
      </c>
      <c r="AE78" s="19" t="s">
        <v>68</v>
      </c>
      <c r="AF78" s="19">
        <v>0</v>
      </c>
      <c r="AG78" s="19">
        <v>1</v>
      </c>
      <c r="AH78" s="19">
        <v>1</v>
      </c>
      <c r="AJ78" s="19">
        <v>0</v>
      </c>
      <c r="AN78" s="19">
        <v>0</v>
      </c>
      <c r="AS78" s="19">
        <v>0</v>
      </c>
      <c r="AT78" s="19" t="s">
        <v>182</v>
      </c>
    </row>
    <row r="79" spans="1:46">
      <c r="A79" s="2">
        <v>78</v>
      </c>
      <c r="B79" s="5">
        <v>45447</v>
      </c>
      <c r="C79" s="5">
        <v>45457</v>
      </c>
      <c r="D79" s="2">
        <f>C79-B79</f>
        <v>10</v>
      </c>
      <c r="E79" s="2">
        <v>53</v>
      </c>
      <c r="F79" s="2">
        <v>1</v>
      </c>
      <c r="G79" s="2">
        <v>2</v>
      </c>
      <c r="H79" s="2">
        <v>0</v>
      </c>
      <c r="I79" s="2">
        <v>0</v>
      </c>
      <c r="J79" s="2">
        <v>0</v>
      </c>
      <c r="K79" s="2">
        <v>0</v>
      </c>
      <c r="L79" s="2">
        <v>0</v>
      </c>
      <c r="M79" s="2">
        <v>0</v>
      </c>
      <c r="N79" s="2">
        <v>0</v>
      </c>
      <c r="P79" t="s">
        <v>179</v>
      </c>
      <c r="Q79" s="2">
        <v>0</v>
      </c>
      <c r="R79" s="2">
        <v>1</v>
      </c>
      <c r="S79" s="5">
        <v>45447</v>
      </c>
      <c r="T79" s="5">
        <v>45447</v>
      </c>
      <c r="U79" s="2">
        <v>0</v>
      </c>
      <c r="V79" s="2">
        <v>0</v>
      </c>
      <c r="W79" s="2">
        <v>0</v>
      </c>
      <c r="X79" s="2">
        <v>0</v>
      </c>
      <c r="Y79" s="2">
        <v>0</v>
      </c>
      <c r="Z79" s="2">
        <v>0</v>
      </c>
      <c r="AA79" s="2">
        <v>0</v>
      </c>
      <c r="AB79" s="2">
        <v>0</v>
      </c>
      <c r="AC79" s="2">
        <v>0</v>
      </c>
      <c r="AD79" s="2">
        <v>1</v>
      </c>
      <c r="AE79" s="2" t="s">
        <v>68</v>
      </c>
      <c r="AF79" s="2">
        <v>0</v>
      </c>
      <c r="AG79" s="2">
        <v>0</v>
      </c>
      <c r="AH79" s="2">
        <v>1</v>
      </c>
      <c r="AI79" s="2">
        <v>1</v>
      </c>
      <c r="AJ79" s="2">
        <v>0</v>
      </c>
      <c r="AN79" s="2">
        <v>0</v>
      </c>
      <c r="AS79" s="2">
        <v>0</v>
      </c>
      <c r="AT79" s="2" t="s">
        <v>183</v>
      </c>
    </row>
    <row r="80" spans="1:46">
      <c r="A80" s="2">
        <v>79</v>
      </c>
      <c r="B80" s="5">
        <v>45449</v>
      </c>
      <c r="C80" s="5">
        <v>45477</v>
      </c>
      <c r="D80" s="2">
        <f>C80-B80</f>
        <v>28</v>
      </c>
      <c r="E80" s="2">
        <v>73</v>
      </c>
      <c r="F80" s="2">
        <v>2</v>
      </c>
      <c r="G80" s="2">
        <v>2</v>
      </c>
      <c r="H80" s="2">
        <v>0</v>
      </c>
      <c r="I80" s="2">
        <v>0</v>
      </c>
      <c r="J80" s="2">
        <v>0</v>
      </c>
      <c r="K80" s="2">
        <v>0</v>
      </c>
      <c r="L80" s="2">
        <v>0</v>
      </c>
      <c r="M80" s="2">
        <v>0</v>
      </c>
      <c r="N80" s="2">
        <v>0</v>
      </c>
      <c r="P80" t="s">
        <v>184</v>
      </c>
      <c r="Q80" s="2">
        <v>0</v>
      </c>
      <c r="R80" s="2">
        <v>1</v>
      </c>
      <c r="S80" s="5">
        <v>45449</v>
      </c>
      <c r="T80" s="5">
        <v>45449</v>
      </c>
      <c r="U80" s="2">
        <v>1</v>
      </c>
      <c r="V80" s="2">
        <v>0</v>
      </c>
      <c r="W80" s="2">
        <v>0</v>
      </c>
      <c r="X80" s="2">
        <v>0</v>
      </c>
      <c r="Y80" s="2">
        <v>0</v>
      </c>
      <c r="Z80" s="2">
        <v>0</v>
      </c>
      <c r="AA80" s="2">
        <v>0</v>
      </c>
      <c r="AB80" s="2">
        <v>0</v>
      </c>
      <c r="AC80" s="2">
        <v>1</v>
      </c>
      <c r="AD80" s="2">
        <v>1</v>
      </c>
      <c r="AE80" s="2" t="s">
        <v>91</v>
      </c>
      <c r="AF80" s="2">
        <v>0</v>
      </c>
      <c r="AG80" s="2">
        <v>0</v>
      </c>
      <c r="AH80" s="2">
        <v>1</v>
      </c>
      <c r="AI80" s="2">
        <v>0</v>
      </c>
      <c r="AJ80" s="2">
        <v>1</v>
      </c>
      <c r="AK80" s="5">
        <v>45453</v>
      </c>
      <c r="AL80" s="2">
        <v>0</v>
      </c>
      <c r="AM80" s="2">
        <v>1</v>
      </c>
      <c r="AN80" s="2">
        <v>0</v>
      </c>
      <c r="AS80" s="2">
        <v>1</v>
      </c>
      <c r="AT80" s="2" t="s">
        <v>185</v>
      </c>
    </row>
    <row r="81" spans="1:46">
      <c r="A81" s="2">
        <v>80</v>
      </c>
      <c r="B81" s="5">
        <v>45449</v>
      </c>
      <c r="C81" s="5">
        <v>45457</v>
      </c>
      <c r="D81" s="2">
        <f>C81-B81</f>
        <v>8</v>
      </c>
      <c r="E81" s="2">
        <v>69</v>
      </c>
      <c r="F81" s="2">
        <v>1</v>
      </c>
      <c r="G81" s="2">
        <v>2</v>
      </c>
      <c r="H81" s="2">
        <v>1</v>
      </c>
      <c r="I81" s="2">
        <v>0</v>
      </c>
      <c r="J81" s="2">
        <v>0</v>
      </c>
      <c r="K81" s="2">
        <v>0</v>
      </c>
      <c r="L81" s="2">
        <v>0</v>
      </c>
      <c r="M81" s="2">
        <v>0</v>
      </c>
      <c r="N81" s="2">
        <v>1</v>
      </c>
      <c r="O81" s="2" t="s">
        <v>70</v>
      </c>
      <c r="P81" t="s">
        <v>186</v>
      </c>
      <c r="Q81" s="2">
        <v>0</v>
      </c>
      <c r="R81" s="2">
        <v>1</v>
      </c>
      <c r="S81" s="5">
        <v>45449</v>
      </c>
      <c r="T81" s="5">
        <v>45449</v>
      </c>
      <c r="U81" s="2">
        <v>0</v>
      </c>
      <c r="V81" s="2">
        <v>0</v>
      </c>
      <c r="W81" s="2">
        <v>0</v>
      </c>
      <c r="X81" s="2">
        <v>0</v>
      </c>
      <c r="Y81" s="2">
        <v>0</v>
      </c>
      <c r="Z81" s="2">
        <v>0</v>
      </c>
      <c r="AA81" s="2">
        <v>0</v>
      </c>
      <c r="AB81" s="2">
        <v>0</v>
      </c>
      <c r="AC81" s="2">
        <v>0</v>
      </c>
      <c r="AD81" s="2">
        <v>1</v>
      </c>
      <c r="AE81" s="2" t="s">
        <v>187</v>
      </c>
      <c r="AF81" s="2">
        <v>0</v>
      </c>
      <c r="AG81" s="11">
        <v>1</v>
      </c>
      <c r="AH81" s="2">
        <v>0</v>
      </c>
      <c r="AI81" s="2">
        <v>1</v>
      </c>
      <c r="AJ81" s="2">
        <v>0</v>
      </c>
      <c r="AN81" s="2">
        <v>0</v>
      </c>
      <c r="AS81" s="2">
        <v>0</v>
      </c>
      <c r="AT81" s="2" t="s">
        <v>188</v>
      </c>
    </row>
    <row r="82" spans="1:46">
      <c r="A82" s="2">
        <v>81</v>
      </c>
      <c r="B82" s="5">
        <v>45453</v>
      </c>
      <c r="C82" s="5">
        <v>45457</v>
      </c>
      <c r="D82" s="2">
        <f>C82-B82</f>
        <v>4</v>
      </c>
      <c r="E82" s="2">
        <v>63</v>
      </c>
      <c r="F82" s="2">
        <v>2</v>
      </c>
      <c r="G82" s="2">
        <v>2</v>
      </c>
      <c r="H82" s="2">
        <v>0</v>
      </c>
      <c r="I82" s="2">
        <v>0</v>
      </c>
      <c r="J82" s="2">
        <v>0</v>
      </c>
      <c r="K82" s="2">
        <v>0</v>
      </c>
      <c r="L82" s="2">
        <v>0</v>
      </c>
      <c r="M82" s="2">
        <v>0</v>
      </c>
      <c r="N82" s="2">
        <v>0</v>
      </c>
      <c r="P82" t="s">
        <v>179</v>
      </c>
      <c r="Q82" s="2">
        <v>0</v>
      </c>
      <c r="R82" s="2">
        <v>1</v>
      </c>
      <c r="S82" s="5">
        <v>45453</v>
      </c>
      <c r="T82" s="5">
        <v>45453</v>
      </c>
      <c r="U82" s="2">
        <v>0</v>
      </c>
      <c r="V82" s="2">
        <v>0</v>
      </c>
      <c r="W82" s="2">
        <v>0</v>
      </c>
      <c r="X82" s="2">
        <v>0</v>
      </c>
      <c r="Y82" s="2">
        <v>0</v>
      </c>
      <c r="Z82" s="2">
        <v>0</v>
      </c>
      <c r="AA82" s="2">
        <v>0</v>
      </c>
      <c r="AB82" s="2">
        <v>0</v>
      </c>
      <c r="AC82" s="2">
        <v>0</v>
      </c>
      <c r="AD82" s="2">
        <v>1</v>
      </c>
      <c r="AE82" s="2" t="s">
        <v>68</v>
      </c>
      <c r="AF82" s="2">
        <v>0</v>
      </c>
      <c r="AG82" s="2">
        <v>0</v>
      </c>
      <c r="AH82" s="2">
        <v>1</v>
      </c>
      <c r="AI82" s="2">
        <v>1</v>
      </c>
      <c r="AJ82" s="2">
        <v>0</v>
      </c>
      <c r="AN82" s="2">
        <v>0</v>
      </c>
      <c r="AS82" s="2">
        <v>0</v>
      </c>
      <c r="AT82" s="2" t="s">
        <v>189</v>
      </c>
    </row>
    <row r="83" spans="1:46">
      <c r="A83" s="2">
        <v>82</v>
      </c>
      <c r="B83" s="5">
        <v>45454</v>
      </c>
      <c r="C83" s="5">
        <v>45464</v>
      </c>
      <c r="D83" s="2">
        <f t="shared" ref="D83:E98" si="2">C83-B83</f>
        <v>10</v>
      </c>
      <c r="E83" s="2">
        <v>76</v>
      </c>
      <c r="F83" s="2">
        <v>2</v>
      </c>
      <c r="G83" s="2">
        <v>2</v>
      </c>
      <c r="H83" s="2">
        <v>0</v>
      </c>
      <c r="I83" s="2">
        <v>0</v>
      </c>
      <c r="J83" s="2">
        <v>0</v>
      </c>
      <c r="K83" s="2">
        <v>0</v>
      </c>
      <c r="L83" s="2">
        <v>0</v>
      </c>
      <c r="M83" s="2">
        <v>0</v>
      </c>
      <c r="N83" s="2">
        <v>0</v>
      </c>
      <c r="P83" t="s">
        <v>179</v>
      </c>
      <c r="Q83" s="2">
        <v>0</v>
      </c>
      <c r="R83" s="2">
        <v>1</v>
      </c>
      <c r="S83" s="5">
        <v>45454</v>
      </c>
      <c r="T83" s="5">
        <v>45454</v>
      </c>
      <c r="U83" s="2">
        <v>0</v>
      </c>
      <c r="V83" s="2">
        <v>0</v>
      </c>
      <c r="W83" s="2">
        <v>0</v>
      </c>
      <c r="X83" s="2">
        <v>0</v>
      </c>
      <c r="Y83" s="2">
        <v>0</v>
      </c>
      <c r="Z83" s="2">
        <v>0</v>
      </c>
      <c r="AA83" s="2">
        <v>0</v>
      </c>
      <c r="AB83" s="2">
        <v>0</v>
      </c>
      <c r="AC83" s="2">
        <v>0</v>
      </c>
      <c r="AD83" s="2">
        <v>1</v>
      </c>
      <c r="AE83" s="2" t="s">
        <v>190</v>
      </c>
      <c r="AF83" s="2">
        <v>0</v>
      </c>
      <c r="AG83" s="2">
        <v>0</v>
      </c>
      <c r="AH83" s="2">
        <v>1</v>
      </c>
      <c r="AI83" s="2">
        <v>1</v>
      </c>
      <c r="AJ83" s="11">
        <v>1</v>
      </c>
      <c r="AK83" s="5">
        <v>45455</v>
      </c>
      <c r="AL83" s="2">
        <v>0</v>
      </c>
      <c r="AM83" s="2">
        <v>0</v>
      </c>
      <c r="AN83" s="2">
        <v>0</v>
      </c>
      <c r="AS83" s="2">
        <v>0</v>
      </c>
      <c r="AT83" s="2" t="s">
        <v>191</v>
      </c>
    </row>
    <row r="84" spans="1:46">
      <c r="A84" s="2">
        <v>83</v>
      </c>
      <c r="B84" s="5">
        <v>45454</v>
      </c>
      <c r="C84" s="5">
        <v>45463</v>
      </c>
      <c r="D84" s="2">
        <f t="shared" si="2"/>
        <v>9</v>
      </c>
      <c r="E84" s="2">
        <v>80</v>
      </c>
      <c r="F84" s="2">
        <v>1</v>
      </c>
      <c r="G84" s="2">
        <v>3</v>
      </c>
      <c r="H84" s="2">
        <v>1</v>
      </c>
      <c r="I84" s="2">
        <v>0</v>
      </c>
      <c r="J84" s="2">
        <v>0</v>
      </c>
      <c r="K84" s="2">
        <v>0</v>
      </c>
      <c r="L84" s="2">
        <v>1</v>
      </c>
      <c r="M84" s="2">
        <v>0</v>
      </c>
      <c r="N84" s="2">
        <v>1</v>
      </c>
      <c r="O84" s="2" t="s">
        <v>192</v>
      </c>
      <c r="P84" t="s">
        <v>186</v>
      </c>
      <c r="Q84" s="2">
        <v>0</v>
      </c>
      <c r="R84" s="2">
        <v>1</v>
      </c>
      <c r="S84" s="5">
        <v>45454</v>
      </c>
      <c r="T84" s="5">
        <v>45454</v>
      </c>
      <c r="U84" s="2">
        <v>1</v>
      </c>
      <c r="V84" s="2">
        <v>0</v>
      </c>
      <c r="W84" s="2">
        <v>0</v>
      </c>
      <c r="X84" s="2">
        <v>1</v>
      </c>
      <c r="Y84" s="2">
        <v>0</v>
      </c>
      <c r="Z84" s="2">
        <v>0</v>
      </c>
      <c r="AA84" s="2">
        <v>0</v>
      </c>
      <c r="AB84" s="2">
        <v>0</v>
      </c>
      <c r="AC84" s="2">
        <v>0</v>
      </c>
      <c r="AD84" s="2">
        <v>1</v>
      </c>
      <c r="AE84" s="2" t="s">
        <v>91</v>
      </c>
      <c r="AF84" s="2">
        <v>0</v>
      </c>
      <c r="AG84" s="2">
        <v>0</v>
      </c>
      <c r="AH84" s="2">
        <v>1</v>
      </c>
      <c r="AI84" s="2">
        <v>1</v>
      </c>
      <c r="AJ84" s="2">
        <v>1</v>
      </c>
      <c r="AK84" s="5">
        <v>45457</v>
      </c>
      <c r="AL84" s="2">
        <v>0</v>
      </c>
      <c r="AM84" s="2">
        <v>1</v>
      </c>
      <c r="AN84" s="2">
        <v>0</v>
      </c>
      <c r="AS84" s="2">
        <v>0</v>
      </c>
      <c r="AT84" s="2" t="s">
        <v>193</v>
      </c>
    </row>
    <row r="85" spans="1:46">
      <c r="A85" s="2">
        <v>84</v>
      </c>
      <c r="B85" s="5">
        <v>45455</v>
      </c>
      <c r="C85" s="5">
        <v>45463</v>
      </c>
      <c r="D85" s="2">
        <f t="shared" si="2"/>
        <v>8</v>
      </c>
      <c r="E85" s="2">
        <v>81</v>
      </c>
      <c r="F85" s="2">
        <v>1</v>
      </c>
      <c r="G85" s="2">
        <v>3</v>
      </c>
      <c r="H85" s="2">
        <v>0</v>
      </c>
      <c r="I85" s="2">
        <v>0</v>
      </c>
      <c r="J85" s="2">
        <v>0</v>
      </c>
      <c r="K85" s="2">
        <v>0</v>
      </c>
      <c r="L85" s="2">
        <v>0</v>
      </c>
      <c r="M85" s="2">
        <v>0</v>
      </c>
      <c r="N85" s="2">
        <v>0</v>
      </c>
      <c r="P85" t="s">
        <v>179</v>
      </c>
      <c r="Q85" s="2">
        <v>0</v>
      </c>
      <c r="R85" s="2">
        <v>1</v>
      </c>
      <c r="S85" s="5">
        <v>45455</v>
      </c>
      <c r="T85" s="5">
        <v>45455</v>
      </c>
      <c r="U85" s="2">
        <v>0</v>
      </c>
      <c r="V85" s="2">
        <v>0</v>
      </c>
      <c r="W85" s="2">
        <v>0</v>
      </c>
      <c r="X85" s="2">
        <v>0</v>
      </c>
      <c r="Y85" s="2">
        <v>0</v>
      </c>
      <c r="Z85" s="2">
        <v>0</v>
      </c>
      <c r="AA85" s="2">
        <v>0</v>
      </c>
      <c r="AB85" s="2">
        <v>0</v>
      </c>
      <c r="AC85" s="2">
        <v>0</v>
      </c>
      <c r="AD85" s="2">
        <v>1</v>
      </c>
      <c r="AE85" s="2" t="s">
        <v>68</v>
      </c>
      <c r="AF85" s="2">
        <v>0</v>
      </c>
      <c r="AG85" s="2">
        <v>0</v>
      </c>
      <c r="AH85" s="2">
        <v>1</v>
      </c>
      <c r="AI85" s="2">
        <v>1</v>
      </c>
      <c r="AJ85" s="11">
        <v>1</v>
      </c>
      <c r="AK85" s="5">
        <v>45456</v>
      </c>
      <c r="AL85" s="2">
        <v>0</v>
      </c>
      <c r="AM85" s="2">
        <v>0</v>
      </c>
      <c r="AN85" s="2">
        <v>0</v>
      </c>
      <c r="AS85" s="2">
        <v>1</v>
      </c>
      <c r="AT85" s="2" t="s">
        <v>194</v>
      </c>
    </row>
    <row r="86" spans="1:46">
      <c r="A86" s="2">
        <v>85</v>
      </c>
      <c r="B86" s="5">
        <v>45457</v>
      </c>
      <c r="C86" s="5">
        <v>45468</v>
      </c>
      <c r="D86" s="2">
        <f t="shared" si="2"/>
        <v>11</v>
      </c>
      <c r="E86" s="2">
        <v>59</v>
      </c>
      <c r="F86" s="2">
        <v>1</v>
      </c>
      <c r="G86" s="2">
        <v>3</v>
      </c>
      <c r="H86" s="2">
        <v>0</v>
      </c>
      <c r="I86" s="2">
        <v>0</v>
      </c>
      <c r="J86" s="2">
        <v>0</v>
      </c>
      <c r="K86" s="2">
        <v>0</v>
      </c>
      <c r="L86" s="2">
        <v>0</v>
      </c>
      <c r="M86" s="2">
        <v>0</v>
      </c>
      <c r="N86" s="2">
        <v>0</v>
      </c>
      <c r="P86" t="s">
        <v>179</v>
      </c>
      <c r="Q86" s="2">
        <v>1</v>
      </c>
      <c r="R86" s="2">
        <v>3</v>
      </c>
      <c r="S86" s="5">
        <v>45457</v>
      </c>
      <c r="T86" s="5">
        <v>45460</v>
      </c>
      <c r="U86" s="2">
        <v>1</v>
      </c>
      <c r="V86" s="2">
        <v>1</v>
      </c>
      <c r="W86" s="2">
        <v>1</v>
      </c>
      <c r="X86" s="2">
        <v>0</v>
      </c>
      <c r="Y86" s="2">
        <v>0</v>
      </c>
      <c r="Z86" s="2">
        <v>0</v>
      </c>
      <c r="AA86" s="2">
        <v>0</v>
      </c>
      <c r="AB86" s="2">
        <v>0</v>
      </c>
      <c r="AC86" s="2">
        <v>0</v>
      </c>
      <c r="AD86" s="2">
        <v>1</v>
      </c>
      <c r="AE86" s="2" t="s">
        <v>55</v>
      </c>
      <c r="AF86" s="2">
        <v>1</v>
      </c>
      <c r="AG86" s="2">
        <v>1</v>
      </c>
      <c r="AH86" s="2">
        <v>1</v>
      </c>
      <c r="AI86" s="2">
        <v>1</v>
      </c>
      <c r="AJ86" s="2">
        <v>1</v>
      </c>
      <c r="AK86" s="5">
        <v>45461</v>
      </c>
      <c r="AL86" s="2">
        <v>0</v>
      </c>
      <c r="AM86" s="2">
        <v>0</v>
      </c>
      <c r="AN86" s="2">
        <v>1</v>
      </c>
      <c r="AO86" s="5">
        <v>45463</v>
      </c>
      <c r="AP86" s="2">
        <v>0</v>
      </c>
      <c r="AQ86" s="2">
        <v>0</v>
      </c>
      <c r="AR86" s="2">
        <v>0</v>
      </c>
      <c r="AS86" s="2">
        <v>0</v>
      </c>
    </row>
    <row r="87" spans="1:46">
      <c r="A87" s="2">
        <v>86</v>
      </c>
      <c r="B87" s="5">
        <v>45460</v>
      </c>
      <c r="C87" s="5">
        <v>45475</v>
      </c>
      <c r="D87" s="2">
        <f t="shared" si="2"/>
        <v>15</v>
      </c>
      <c r="E87" s="2">
        <v>69</v>
      </c>
      <c r="F87" s="2">
        <v>2</v>
      </c>
      <c r="G87" s="2">
        <v>2</v>
      </c>
      <c r="H87" s="2">
        <v>1</v>
      </c>
      <c r="I87" s="2">
        <v>0</v>
      </c>
      <c r="J87" s="2">
        <v>0</v>
      </c>
      <c r="K87" s="2">
        <v>1</v>
      </c>
      <c r="L87" s="2">
        <v>0</v>
      </c>
      <c r="M87" s="2">
        <v>0</v>
      </c>
      <c r="N87" s="2">
        <v>0</v>
      </c>
      <c r="P87" t="s">
        <v>195</v>
      </c>
      <c r="Q87" s="2">
        <v>0</v>
      </c>
      <c r="R87" s="2">
        <v>1</v>
      </c>
      <c r="S87" s="5">
        <v>45460</v>
      </c>
      <c r="T87" s="5">
        <v>45460</v>
      </c>
      <c r="U87" s="2">
        <v>0</v>
      </c>
      <c r="V87" s="2">
        <v>0</v>
      </c>
      <c r="W87" s="2">
        <v>0</v>
      </c>
      <c r="X87" s="2">
        <v>0</v>
      </c>
      <c r="Y87" s="2">
        <v>0</v>
      </c>
      <c r="Z87" s="2">
        <v>0</v>
      </c>
      <c r="AA87" s="2">
        <v>0</v>
      </c>
      <c r="AB87" s="2">
        <v>0</v>
      </c>
      <c r="AC87" s="2">
        <v>0</v>
      </c>
      <c r="AD87" s="2">
        <v>1</v>
      </c>
      <c r="AE87" s="2" t="s">
        <v>196</v>
      </c>
      <c r="AF87" s="2">
        <v>0</v>
      </c>
      <c r="AG87" s="2">
        <v>1</v>
      </c>
      <c r="AH87" s="2">
        <v>1</v>
      </c>
      <c r="AI87" s="2">
        <v>1</v>
      </c>
      <c r="AJ87" s="2">
        <v>0</v>
      </c>
      <c r="AN87" s="2">
        <v>1</v>
      </c>
      <c r="AO87" s="5">
        <v>45462</v>
      </c>
      <c r="AP87" s="2">
        <v>0</v>
      </c>
      <c r="AQ87" s="2">
        <v>0</v>
      </c>
      <c r="AR87" s="2">
        <v>0</v>
      </c>
      <c r="AS87" s="2">
        <v>0</v>
      </c>
      <c r="AT87" s="2" t="s">
        <v>197</v>
      </c>
    </row>
    <row r="88" spans="1:46" s="19" customFormat="1">
      <c r="A88" s="19">
        <v>87</v>
      </c>
      <c r="B88" s="21">
        <v>45460</v>
      </c>
      <c r="C88" s="21">
        <v>45462</v>
      </c>
      <c r="D88" s="19">
        <f t="shared" si="2"/>
        <v>2</v>
      </c>
      <c r="E88" s="19">
        <v>87</v>
      </c>
      <c r="F88" s="19">
        <v>2</v>
      </c>
      <c r="G88" s="19">
        <v>2</v>
      </c>
      <c r="H88" s="19">
        <v>0</v>
      </c>
      <c r="I88" s="19">
        <v>0</v>
      </c>
      <c r="J88" s="19">
        <v>0</v>
      </c>
      <c r="K88" s="19">
        <v>0</v>
      </c>
      <c r="L88" s="19">
        <v>0</v>
      </c>
      <c r="M88" s="19">
        <v>0</v>
      </c>
      <c r="N88" s="19">
        <v>0</v>
      </c>
      <c r="P88" s="20" t="s">
        <v>179</v>
      </c>
      <c r="Q88" s="19">
        <v>0</v>
      </c>
      <c r="R88" s="19">
        <v>1</v>
      </c>
      <c r="S88" s="21">
        <v>45460</v>
      </c>
      <c r="T88" s="21">
        <v>45460</v>
      </c>
      <c r="U88" s="19">
        <v>0</v>
      </c>
      <c r="V88" s="19">
        <v>0</v>
      </c>
      <c r="W88" s="19">
        <v>0</v>
      </c>
      <c r="X88" s="19">
        <v>0</v>
      </c>
      <c r="Y88" s="19">
        <v>0</v>
      </c>
      <c r="Z88" s="19">
        <v>0</v>
      </c>
      <c r="AA88" s="19">
        <v>0</v>
      </c>
      <c r="AB88" s="19">
        <v>0</v>
      </c>
      <c r="AC88" s="19">
        <v>0</v>
      </c>
      <c r="AD88" s="19">
        <v>0</v>
      </c>
      <c r="AF88" s="19">
        <v>0</v>
      </c>
      <c r="AG88" s="19">
        <v>0</v>
      </c>
      <c r="AH88" s="19">
        <v>1</v>
      </c>
      <c r="AI88" s="19">
        <v>0</v>
      </c>
      <c r="AJ88" s="19">
        <v>0</v>
      </c>
      <c r="AN88" s="19">
        <v>0</v>
      </c>
      <c r="AS88" s="19">
        <v>0</v>
      </c>
      <c r="AT88" s="19" t="s">
        <v>198</v>
      </c>
    </row>
    <row r="89" spans="1:46" s="19" customFormat="1">
      <c r="A89" s="19">
        <v>88</v>
      </c>
      <c r="B89" s="21">
        <v>45461</v>
      </c>
      <c r="C89" s="21">
        <v>45462</v>
      </c>
      <c r="D89" s="19">
        <f t="shared" si="2"/>
        <v>1</v>
      </c>
      <c r="E89" s="19">
        <v>80</v>
      </c>
      <c r="F89" s="19">
        <v>2</v>
      </c>
      <c r="G89" s="19">
        <v>2</v>
      </c>
      <c r="H89" s="19">
        <v>0</v>
      </c>
      <c r="I89" s="19">
        <v>0</v>
      </c>
      <c r="J89" s="19">
        <v>0</v>
      </c>
      <c r="K89" s="19">
        <v>0</v>
      </c>
      <c r="L89" s="19">
        <v>0</v>
      </c>
      <c r="M89" s="19">
        <v>0</v>
      </c>
      <c r="N89" s="19">
        <v>0</v>
      </c>
      <c r="P89" s="20" t="s">
        <v>179</v>
      </c>
      <c r="Q89" s="19">
        <v>0</v>
      </c>
      <c r="R89" s="19">
        <v>1</v>
      </c>
      <c r="S89" s="21">
        <v>45461</v>
      </c>
      <c r="T89" s="21">
        <v>45461</v>
      </c>
      <c r="U89" s="19">
        <v>0</v>
      </c>
      <c r="V89" s="19">
        <v>0</v>
      </c>
      <c r="W89" s="19">
        <v>0</v>
      </c>
      <c r="X89" s="19">
        <v>0</v>
      </c>
      <c r="Y89" s="19">
        <v>0</v>
      </c>
      <c r="Z89" s="19">
        <v>0</v>
      </c>
      <c r="AA89" s="19">
        <v>0</v>
      </c>
      <c r="AB89" s="19">
        <v>0</v>
      </c>
      <c r="AC89" s="19">
        <v>0</v>
      </c>
      <c r="AD89" s="19">
        <v>0</v>
      </c>
      <c r="AF89" s="19">
        <v>0</v>
      </c>
      <c r="AG89" s="19">
        <v>0</v>
      </c>
      <c r="AH89" s="19">
        <v>1</v>
      </c>
      <c r="AI89" s="19">
        <v>1</v>
      </c>
      <c r="AJ89" s="19">
        <v>0</v>
      </c>
      <c r="AN89" s="19">
        <v>0</v>
      </c>
      <c r="AS89" s="19">
        <v>0</v>
      </c>
      <c r="AT89" s="19" t="s">
        <v>199</v>
      </c>
    </row>
    <row r="90" spans="1:46">
      <c r="A90" s="2">
        <v>89</v>
      </c>
      <c r="B90" s="5">
        <v>45463</v>
      </c>
      <c r="C90" s="5">
        <v>45466</v>
      </c>
      <c r="D90" s="2">
        <f t="shared" si="2"/>
        <v>3</v>
      </c>
      <c r="E90" s="2">
        <v>77</v>
      </c>
      <c r="F90" s="2">
        <v>2</v>
      </c>
      <c r="G90" s="2">
        <v>3</v>
      </c>
      <c r="H90" s="2">
        <v>0</v>
      </c>
      <c r="I90" s="2">
        <v>0</v>
      </c>
      <c r="J90" s="2">
        <v>0</v>
      </c>
      <c r="K90" s="2">
        <v>0</v>
      </c>
      <c r="L90" s="2">
        <v>0</v>
      </c>
      <c r="M90" s="2">
        <v>0</v>
      </c>
      <c r="N90" s="2">
        <v>0</v>
      </c>
      <c r="P90" t="s">
        <v>179</v>
      </c>
      <c r="Q90" s="2">
        <v>0</v>
      </c>
      <c r="R90" s="2">
        <v>1</v>
      </c>
      <c r="S90" s="5">
        <v>45463</v>
      </c>
      <c r="T90" s="5">
        <v>45463</v>
      </c>
      <c r="U90" s="2">
        <v>0</v>
      </c>
      <c r="V90" s="2">
        <v>0</v>
      </c>
      <c r="W90" s="2">
        <v>0</v>
      </c>
      <c r="X90" s="2">
        <v>0</v>
      </c>
      <c r="Y90" s="2">
        <v>0</v>
      </c>
      <c r="Z90" s="2">
        <v>0</v>
      </c>
      <c r="AA90" s="2">
        <v>0</v>
      </c>
      <c r="AB90" s="2">
        <v>0</v>
      </c>
      <c r="AC90" s="2">
        <v>0</v>
      </c>
      <c r="AD90" s="2">
        <v>0</v>
      </c>
      <c r="AF90" s="2">
        <v>0</v>
      </c>
      <c r="AG90" s="2">
        <v>1</v>
      </c>
      <c r="AH90" s="2">
        <v>1</v>
      </c>
      <c r="AI90" s="2">
        <v>1</v>
      </c>
      <c r="AJ90" s="2">
        <v>0</v>
      </c>
      <c r="AN90" s="2">
        <v>0</v>
      </c>
      <c r="AS90" s="2">
        <v>0</v>
      </c>
      <c r="AT90" s="2" t="s">
        <v>200</v>
      </c>
    </row>
    <row r="91" spans="1:46">
      <c r="A91" s="2">
        <v>90</v>
      </c>
      <c r="B91" s="5">
        <v>45464</v>
      </c>
      <c r="C91" s="6">
        <v>45470</v>
      </c>
      <c r="D91" s="2">
        <f t="shared" si="2"/>
        <v>6</v>
      </c>
      <c r="E91" s="2">
        <v>58</v>
      </c>
      <c r="F91" s="2">
        <v>2</v>
      </c>
      <c r="G91" s="2">
        <v>2</v>
      </c>
      <c r="H91" s="2">
        <v>0</v>
      </c>
      <c r="I91" s="2">
        <v>0</v>
      </c>
      <c r="J91" s="2">
        <v>0</v>
      </c>
      <c r="K91" s="2">
        <v>0</v>
      </c>
      <c r="L91" s="2">
        <v>0</v>
      </c>
      <c r="M91" s="2">
        <v>0</v>
      </c>
      <c r="N91" s="2">
        <v>1</v>
      </c>
      <c r="O91" s="2" t="s">
        <v>201</v>
      </c>
      <c r="P91" t="s">
        <v>179</v>
      </c>
      <c r="Q91" s="2">
        <v>0</v>
      </c>
      <c r="R91" s="2">
        <v>1</v>
      </c>
      <c r="S91" s="5">
        <v>45464</v>
      </c>
      <c r="T91" s="5">
        <v>45464</v>
      </c>
      <c r="U91" s="2">
        <v>0</v>
      </c>
      <c r="V91" s="2">
        <v>0</v>
      </c>
      <c r="W91" s="2">
        <v>0</v>
      </c>
      <c r="X91" s="2">
        <v>0</v>
      </c>
      <c r="Y91" s="2">
        <v>0</v>
      </c>
      <c r="Z91" s="2">
        <v>0</v>
      </c>
      <c r="AA91" s="2">
        <v>0</v>
      </c>
      <c r="AB91" s="2">
        <v>0</v>
      </c>
      <c r="AC91" s="2">
        <v>0</v>
      </c>
      <c r="AD91" s="11">
        <v>1</v>
      </c>
      <c r="AE91" s="2" t="s">
        <v>117</v>
      </c>
      <c r="AF91" s="2">
        <v>0</v>
      </c>
      <c r="AG91" s="2">
        <v>0</v>
      </c>
      <c r="AH91" s="2">
        <v>1</v>
      </c>
      <c r="AI91" s="2">
        <v>0</v>
      </c>
      <c r="AJ91" s="2">
        <v>1</v>
      </c>
      <c r="AK91" s="5">
        <v>45467</v>
      </c>
      <c r="AL91" s="2">
        <v>0</v>
      </c>
      <c r="AM91" s="2">
        <v>0</v>
      </c>
      <c r="AN91" s="2">
        <v>0</v>
      </c>
      <c r="AS91" s="2">
        <v>0</v>
      </c>
      <c r="AT91" s="2" t="s">
        <v>202</v>
      </c>
    </row>
    <row r="92" spans="1:46" s="8" customFormat="1">
      <c r="A92" s="8">
        <v>91</v>
      </c>
      <c r="B92" s="6">
        <v>45465</v>
      </c>
      <c r="C92" s="6">
        <v>45466</v>
      </c>
      <c r="D92" s="8">
        <f t="shared" si="2"/>
        <v>1</v>
      </c>
      <c r="E92" s="8">
        <v>86</v>
      </c>
      <c r="F92" s="8">
        <v>2</v>
      </c>
      <c r="G92" s="8">
        <v>2</v>
      </c>
      <c r="H92" s="8">
        <v>0</v>
      </c>
      <c r="I92" s="8">
        <v>0</v>
      </c>
      <c r="J92" s="8">
        <v>0</v>
      </c>
      <c r="K92" s="8">
        <v>0</v>
      </c>
      <c r="L92" s="8">
        <v>0</v>
      </c>
      <c r="M92" s="8">
        <v>0</v>
      </c>
      <c r="N92" s="8">
        <v>0</v>
      </c>
      <c r="P92" s="9" t="s">
        <v>179</v>
      </c>
      <c r="Q92" s="8">
        <v>0</v>
      </c>
      <c r="R92" s="8">
        <v>1</v>
      </c>
      <c r="S92" s="6">
        <v>45465</v>
      </c>
      <c r="T92" s="6">
        <v>45465</v>
      </c>
      <c r="U92" s="8">
        <v>0</v>
      </c>
      <c r="V92" s="8">
        <v>0</v>
      </c>
      <c r="W92" s="8">
        <v>0</v>
      </c>
      <c r="X92" s="8">
        <v>0</v>
      </c>
      <c r="Y92" s="8">
        <v>0</v>
      </c>
      <c r="Z92" s="8">
        <v>0</v>
      </c>
      <c r="AA92" s="8">
        <v>0</v>
      </c>
      <c r="AB92" s="8">
        <v>0</v>
      </c>
      <c r="AC92" s="8">
        <v>0</v>
      </c>
      <c r="AD92" s="8">
        <v>0</v>
      </c>
      <c r="AF92" s="8">
        <v>0</v>
      </c>
      <c r="AG92" s="8">
        <v>0</v>
      </c>
      <c r="AH92" s="8">
        <v>1</v>
      </c>
      <c r="AI92" s="8">
        <v>0</v>
      </c>
      <c r="AJ92" s="8">
        <v>0</v>
      </c>
      <c r="AN92" s="8">
        <v>0</v>
      </c>
      <c r="AS92" s="8">
        <v>0</v>
      </c>
      <c r="AT92" s="8" t="s">
        <v>203</v>
      </c>
    </row>
    <row r="93" spans="1:46" s="8" customFormat="1">
      <c r="A93" s="8">
        <v>92</v>
      </c>
      <c r="B93" s="6">
        <v>45471</v>
      </c>
      <c r="C93" s="6">
        <v>45471</v>
      </c>
      <c r="D93" s="8">
        <f t="shared" si="2"/>
        <v>0</v>
      </c>
      <c r="E93" s="8">
        <v>89</v>
      </c>
      <c r="F93" s="8">
        <v>1</v>
      </c>
      <c r="G93" s="8">
        <v>3</v>
      </c>
      <c r="H93" s="8">
        <v>1</v>
      </c>
      <c r="I93" s="8">
        <v>0</v>
      </c>
      <c r="J93" s="8">
        <v>0</v>
      </c>
      <c r="K93" s="8">
        <v>0</v>
      </c>
      <c r="L93" s="8">
        <v>0</v>
      </c>
      <c r="M93" s="8">
        <v>0</v>
      </c>
      <c r="N93" s="8">
        <v>1</v>
      </c>
      <c r="O93" s="8" t="s">
        <v>70</v>
      </c>
      <c r="P93" s="9" t="s">
        <v>179</v>
      </c>
      <c r="Q93" s="8">
        <v>0</v>
      </c>
      <c r="R93" s="8">
        <v>1</v>
      </c>
      <c r="S93" s="6">
        <v>45471</v>
      </c>
      <c r="T93" s="6">
        <v>45471</v>
      </c>
      <c r="U93" s="8">
        <v>0</v>
      </c>
      <c r="V93" s="8">
        <v>0</v>
      </c>
      <c r="W93" s="8">
        <v>0</v>
      </c>
      <c r="X93" s="8">
        <v>0</v>
      </c>
      <c r="Y93" s="8">
        <v>0</v>
      </c>
      <c r="Z93" s="8">
        <v>0</v>
      </c>
      <c r="AA93" s="8">
        <v>0</v>
      </c>
      <c r="AB93" s="8">
        <v>0</v>
      </c>
      <c r="AC93" s="8">
        <v>0</v>
      </c>
      <c r="AD93" s="8">
        <v>0</v>
      </c>
      <c r="AF93" s="8">
        <v>0</v>
      </c>
      <c r="AG93" s="8">
        <v>0</v>
      </c>
      <c r="AH93" s="8">
        <v>0</v>
      </c>
      <c r="AI93" s="8">
        <v>0</v>
      </c>
      <c r="AJ93" s="8">
        <v>0</v>
      </c>
      <c r="AN93" s="8">
        <v>0</v>
      </c>
      <c r="AS93" s="8">
        <v>0</v>
      </c>
      <c r="AT93" s="8" t="s">
        <v>204</v>
      </c>
    </row>
    <row r="94" spans="1:46">
      <c r="A94" s="2">
        <v>93</v>
      </c>
      <c r="B94" s="5">
        <v>45471</v>
      </c>
      <c r="C94" s="5">
        <v>45485</v>
      </c>
      <c r="D94" s="2">
        <f t="shared" si="2"/>
        <v>14</v>
      </c>
      <c r="E94" s="2">
        <v>68</v>
      </c>
      <c r="F94" s="2">
        <v>2</v>
      </c>
      <c r="G94" s="2">
        <v>2</v>
      </c>
      <c r="H94" s="2">
        <v>1</v>
      </c>
      <c r="I94" s="2">
        <v>0</v>
      </c>
      <c r="J94" s="2">
        <v>0</v>
      </c>
      <c r="K94" s="2">
        <v>0</v>
      </c>
      <c r="L94" s="2">
        <v>0</v>
      </c>
      <c r="M94" s="2">
        <v>0</v>
      </c>
      <c r="N94" s="2">
        <v>1</v>
      </c>
      <c r="O94" s="2" t="s">
        <v>70</v>
      </c>
      <c r="P94" t="s">
        <v>179</v>
      </c>
      <c r="Q94" s="2">
        <v>0</v>
      </c>
      <c r="R94" s="2">
        <v>1</v>
      </c>
      <c r="S94" s="5">
        <v>45471</v>
      </c>
      <c r="T94" s="5">
        <v>45471</v>
      </c>
      <c r="U94" s="2">
        <v>0</v>
      </c>
      <c r="V94" s="2">
        <v>0</v>
      </c>
      <c r="W94" s="2">
        <v>0</v>
      </c>
      <c r="X94" s="2">
        <v>0</v>
      </c>
      <c r="Y94" s="2">
        <v>0</v>
      </c>
      <c r="Z94" s="2">
        <v>0</v>
      </c>
      <c r="AA94" s="2">
        <v>0</v>
      </c>
      <c r="AB94" s="2">
        <v>0</v>
      </c>
      <c r="AC94" s="2">
        <v>0</v>
      </c>
      <c r="AD94" s="2">
        <v>1</v>
      </c>
      <c r="AE94" s="2" t="s">
        <v>55</v>
      </c>
      <c r="AF94" s="2">
        <v>0</v>
      </c>
      <c r="AG94" s="2">
        <v>0</v>
      </c>
      <c r="AH94" s="2">
        <v>1</v>
      </c>
      <c r="AI94" s="2">
        <v>1</v>
      </c>
      <c r="AJ94" s="11">
        <v>1</v>
      </c>
      <c r="AK94" s="5">
        <v>45476</v>
      </c>
      <c r="AL94" s="2">
        <v>0</v>
      </c>
      <c r="AM94" s="2">
        <v>1</v>
      </c>
      <c r="AN94" s="2">
        <v>0</v>
      </c>
      <c r="AS94" s="2">
        <v>0</v>
      </c>
      <c r="AT94" s="2" t="s">
        <v>205</v>
      </c>
    </row>
    <row r="95" spans="1:46">
      <c r="A95" s="2">
        <v>94</v>
      </c>
      <c r="B95" s="5">
        <v>45414</v>
      </c>
      <c r="C95" s="5">
        <v>45421</v>
      </c>
      <c r="D95" s="2">
        <f t="shared" si="2"/>
        <v>7</v>
      </c>
      <c r="E95" s="2">
        <v>84</v>
      </c>
      <c r="F95" s="2">
        <v>1</v>
      </c>
      <c r="G95" s="2">
        <v>3</v>
      </c>
      <c r="H95" s="2">
        <v>0</v>
      </c>
      <c r="I95" s="2">
        <v>0</v>
      </c>
      <c r="J95" s="2">
        <v>0</v>
      </c>
      <c r="K95" s="2">
        <v>0</v>
      </c>
      <c r="L95" s="2">
        <v>0</v>
      </c>
      <c r="M95" s="2">
        <v>0</v>
      </c>
      <c r="N95" s="2">
        <v>0</v>
      </c>
      <c r="P95" t="s">
        <v>179</v>
      </c>
      <c r="Q95" s="2">
        <v>0</v>
      </c>
      <c r="R95" s="2">
        <v>1</v>
      </c>
      <c r="S95" s="5">
        <v>45414</v>
      </c>
      <c r="T95" s="5">
        <v>45414</v>
      </c>
      <c r="U95" s="2">
        <v>0</v>
      </c>
      <c r="V95" s="2">
        <v>0</v>
      </c>
      <c r="W95" s="2">
        <v>0</v>
      </c>
      <c r="X95" s="2">
        <v>0</v>
      </c>
      <c r="Y95" s="2">
        <v>0</v>
      </c>
      <c r="Z95" s="2">
        <v>0</v>
      </c>
      <c r="AA95" s="2">
        <v>0</v>
      </c>
      <c r="AB95" s="2">
        <v>0</v>
      </c>
      <c r="AC95" s="2">
        <v>0</v>
      </c>
      <c r="AD95" s="2">
        <v>1</v>
      </c>
      <c r="AE95" s="2" t="s">
        <v>68</v>
      </c>
      <c r="AF95" s="2">
        <v>0</v>
      </c>
      <c r="AG95" s="2">
        <v>0</v>
      </c>
      <c r="AH95" s="2">
        <v>1</v>
      </c>
      <c r="AI95" s="2">
        <v>1</v>
      </c>
      <c r="AJ95" s="2">
        <v>0</v>
      </c>
      <c r="AN95" s="2">
        <v>0</v>
      </c>
      <c r="AS95" s="2">
        <v>0</v>
      </c>
      <c r="AT95" s="2" t="s">
        <v>206</v>
      </c>
    </row>
    <row r="96" spans="1:46">
      <c r="A96" s="2">
        <v>95</v>
      </c>
      <c r="B96" s="5">
        <v>45411</v>
      </c>
      <c r="C96" s="5">
        <v>45432</v>
      </c>
      <c r="D96" s="2">
        <f t="shared" si="2"/>
        <v>21</v>
      </c>
      <c r="E96" s="2">
        <v>72</v>
      </c>
      <c r="F96" s="2">
        <v>2</v>
      </c>
      <c r="G96" s="2">
        <v>2</v>
      </c>
      <c r="H96" s="2">
        <v>0</v>
      </c>
      <c r="I96" s="2">
        <v>0</v>
      </c>
      <c r="J96" s="2">
        <v>0</v>
      </c>
      <c r="K96" s="2">
        <v>0</v>
      </c>
      <c r="L96" s="2">
        <v>0</v>
      </c>
      <c r="M96" s="2">
        <v>0</v>
      </c>
      <c r="N96" s="2">
        <v>0</v>
      </c>
      <c r="P96" t="s">
        <v>179</v>
      </c>
      <c r="Q96" s="2">
        <v>0</v>
      </c>
      <c r="R96" s="2">
        <v>1</v>
      </c>
      <c r="S96" s="5">
        <v>45417</v>
      </c>
      <c r="T96" s="5">
        <v>38112</v>
      </c>
      <c r="U96" s="2">
        <v>0</v>
      </c>
      <c r="V96" s="2">
        <v>0</v>
      </c>
      <c r="W96" s="2">
        <v>0</v>
      </c>
      <c r="X96" s="2">
        <v>0</v>
      </c>
      <c r="Y96" s="2">
        <v>0</v>
      </c>
      <c r="Z96" s="2">
        <v>0</v>
      </c>
      <c r="AA96" s="2">
        <v>0</v>
      </c>
      <c r="AB96" s="2">
        <v>0</v>
      </c>
      <c r="AC96" s="2">
        <v>0</v>
      </c>
      <c r="AD96" s="2">
        <v>1</v>
      </c>
      <c r="AE96" s="2" t="s">
        <v>91</v>
      </c>
      <c r="AF96" s="2">
        <v>0</v>
      </c>
      <c r="AG96" s="2">
        <v>1</v>
      </c>
      <c r="AH96" s="2">
        <v>1</v>
      </c>
      <c r="AI96" s="2">
        <v>1</v>
      </c>
      <c r="AJ96" s="11">
        <v>1</v>
      </c>
      <c r="AK96" s="5">
        <v>45419</v>
      </c>
      <c r="AL96" s="2">
        <v>0</v>
      </c>
      <c r="AM96" s="2">
        <v>1</v>
      </c>
      <c r="AN96" s="2">
        <v>0</v>
      </c>
      <c r="AS96" s="2">
        <v>0</v>
      </c>
      <c r="AT96" s="2" t="s">
        <v>207</v>
      </c>
    </row>
    <row r="97" spans="1:46">
      <c r="A97" s="2">
        <v>96</v>
      </c>
      <c r="B97" s="5">
        <v>45418</v>
      </c>
      <c r="C97" s="5">
        <v>45421</v>
      </c>
      <c r="D97" s="2">
        <f t="shared" si="2"/>
        <v>3</v>
      </c>
      <c r="E97" s="2">
        <v>72</v>
      </c>
      <c r="F97" s="2">
        <v>2</v>
      </c>
      <c r="G97" s="2">
        <v>5</v>
      </c>
      <c r="H97" s="2">
        <v>0</v>
      </c>
      <c r="I97" s="2">
        <v>0</v>
      </c>
      <c r="J97" s="2">
        <v>0</v>
      </c>
      <c r="K97" s="2">
        <v>0</v>
      </c>
      <c r="L97" s="2">
        <v>0</v>
      </c>
      <c r="M97" s="2">
        <v>0</v>
      </c>
      <c r="N97" s="2">
        <v>0</v>
      </c>
      <c r="P97" t="s">
        <v>179</v>
      </c>
      <c r="Q97" s="2">
        <v>0</v>
      </c>
      <c r="R97" s="2">
        <v>1</v>
      </c>
      <c r="S97" s="5">
        <v>45418</v>
      </c>
      <c r="T97" s="5">
        <v>45418</v>
      </c>
      <c r="U97" s="2">
        <v>0</v>
      </c>
      <c r="V97" s="2">
        <v>0</v>
      </c>
      <c r="W97" s="2">
        <v>0</v>
      </c>
      <c r="X97" s="2">
        <v>0</v>
      </c>
      <c r="Y97" s="2">
        <v>0</v>
      </c>
      <c r="Z97" s="2">
        <v>0</v>
      </c>
      <c r="AA97" s="2">
        <v>0</v>
      </c>
      <c r="AB97" s="2">
        <v>0</v>
      </c>
      <c r="AC97" s="2">
        <v>0</v>
      </c>
      <c r="AD97" s="2">
        <v>1</v>
      </c>
      <c r="AE97" s="2" t="s">
        <v>91</v>
      </c>
      <c r="AF97" s="2">
        <v>0</v>
      </c>
      <c r="AG97" s="2">
        <v>0</v>
      </c>
      <c r="AH97" s="2">
        <v>1</v>
      </c>
      <c r="AI97" s="2">
        <v>1</v>
      </c>
      <c r="AJ97" s="2">
        <v>0</v>
      </c>
      <c r="AN97" s="2">
        <v>0</v>
      </c>
      <c r="AS97" s="2">
        <v>0</v>
      </c>
      <c r="AT97" s="2" t="s">
        <v>206</v>
      </c>
    </row>
    <row r="98" spans="1:46">
      <c r="A98" s="2">
        <v>97</v>
      </c>
      <c r="B98" s="5">
        <v>45418</v>
      </c>
      <c r="C98" s="5">
        <v>45422</v>
      </c>
      <c r="D98" s="2">
        <f t="shared" si="2"/>
        <v>4</v>
      </c>
      <c r="E98" s="2">
        <v>42</v>
      </c>
      <c r="F98" s="2">
        <v>1</v>
      </c>
      <c r="G98" s="2">
        <v>2</v>
      </c>
      <c r="H98" s="2">
        <v>0</v>
      </c>
      <c r="I98" s="2">
        <v>0</v>
      </c>
      <c r="J98" s="2">
        <v>0</v>
      </c>
      <c r="K98" s="2">
        <v>0</v>
      </c>
      <c r="L98" s="2">
        <v>0</v>
      </c>
      <c r="M98" s="2">
        <v>0</v>
      </c>
      <c r="N98" s="2">
        <v>0</v>
      </c>
      <c r="P98" t="s">
        <v>179</v>
      </c>
      <c r="Q98" s="2">
        <v>0</v>
      </c>
      <c r="R98" s="2">
        <v>1</v>
      </c>
      <c r="S98" s="5">
        <v>45418</v>
      </c>
      <c r="T98" s="5">
        <v>45418</v>
      </c>
      <c r="U98" s="2">
        <v>0</v>
      </c>
      <c r="V98" s="2">
        <v>0</v>
      </c>
      <c r="W98" s="2">
        <v>0</v>
      </c>
      <c r="X98" s="2">
        <v>0</v>
      </c>
      <c r="Y98" s="2">
        <v>0</v>
      </c>
      <c r="Z98" s="2">
        <v>0</v>
      </c>
      <c r="AA98" s="2">
        <v>0</v>
      </c>
      <c r="AB98" s="2">
        <v>0</v>
      </c>
      <c r="AC98" s="2">
        <v>0</v>
      </c>
      <c r="AD98" s="2">
        <v>1</v>
      </c>
      <c r="AE98" s="2" t="s">
        <v>68</v>
      </c>
      <c r="AF98" s="2">
        <v>0</v>
      </c>
      <c r="AG98" s="2">
        <v>0</v>
      </c>
      <c r="AH98" s="2">
        <v>1</v>
      </c>
      <c r="AI98" s="2">
        <v>1</v>
      </c>
      <c r="AJ98" s="2">
        <v>0</v>
      </c>
      <c r="AN98" s="2">
        <v>0</v>
      </c>
      <c r="AS98" s="2">
        <v>0</v>
      </c>
      <c r="AT98" s="2" t="s">
        <v>206</v>
      </c>
    </row>
    <row r="99" spans="1:46">
      <c r="A99" s="2">
        <v>98</v>
      </c>
      <c r="B99" s="5">
        <v>45419</v>
      </c>
      <c r="C99" s="5">
        <v>45436</v>
      </c>
      <c r="D99" s="2">
        <f t="shared" ref="D99:D149" si="3">C99-B99</f>
        <v>17</v>
      </c>
      <c r="E99" s="2">
        <v>57</v>
      </c>
      <c r="F99" s="2">
        <v>1</v>
      </c>
      <c r="G99" s="2">
        <v>2</v>
      </c>
      <c r="H99" s="2">
        <v>0</v>
      </c>
      <c r="I99" s="2">
        <v>0</v>
      </c>
      <c r="J99" s="2">
        <v>0</v>
      </c>
      <c r="K99" s="2">
        <v>0</v>
      </c>
      <c r="L99" s="2">
        <v>0</v>
      </c>
      <c r="M99" s="2">
        <v>0</v>
      </c>
      <c r="N99" s="2">
        <v>0</v>
      </c>
      <c r="P99" t="s">
        <v>208</v>
      </c>
      <c r="Q99" s="2">
        <v>0</v>
      </c>
      <c r="R99" s="2">
        <v>1</v>
      </c>
      <c r="S99" s="5">
        <v>45419</v>
      </c>
      <c r="T99" s="5">
        <v>45419</v>
      </c>
      <c r="U99" s="2">
        <v>0</v>
      </c>
      <c r="V99" s="2">
        <v>0</v>
      </c>
      <c r="W99" s="2">
        <v>0</v>
      </c>
      <c r="X99" s="2">
        <v>0</v>
      </c>
      <c r="Y99" s="2">
        <v>0</v>
      </c>
      <c r="Z99" s="2">
        <v>0</v>
      </c>
      <c r="AA99" s="2">
        <v>0</v>
      </c>
      <c r="AB99" s="2">
        <v>0</v>
      </c>
      <c r="AC99" s="2">
        <v>0</v>
      </c>
      <c r="AD99" s="2">
        <v>1</v>
      </c>
      <c r="AE99" s="2" t="s">
        <v>209</v>
      </c>
      <c r="AF99" s="11">
        <v>1</v>
      </c>
      <c r="AG99" s="2">
        <v>1</v>
      </c>
      <c r="AH99" s="2">
        <v>0</v>
      </c>
      <c r="AI99" s="2">
        <v>0</v>
      </c>
      <c r="AJ99" s="2">
        <v>1</v>
      </c>
      <c r="AK99" s="5">
        <v>45432</v>
      </c>
      <c r="AL99" s="2">
        <v>0</v>
      </c>
      <c r="AM99" s="2">
        <v>0</v>
      </c>
      <c r="AN99" s="2">
        <v>0</v>
      </c>
      <c r="AS99" s="2">
        <v>0</v>
      </c>
      <c r="AT99" s="2" t="s">
        <v>210</v>
      </c>
    </row>
    <row r="100" spans="1:46">
      <c r="A100" s="2">
        <v>99</v>
      </c>
      <c r="B100" s="5">
        <v>45421</v>
      </c>
      <c r="C100" s="5">
        <v>45443</v>
      </c>
      <c r="D100" s="2">
        <f t="shared" si="3"/>
        <v>22</v>
      </c>
      <c r="E100" s="2">
        <v>57</v>
      </c>
      <c r="F100" s="2">
        <v>2</v>
      </c>
      <c r="G100" s="2">
        <v>2</v>
      </c>
      <c r="H100" s="2">
        <v>0</v>
      </c>
      <c r="I100" s="2">
        <v>0</v>
      </c>
      <c r="J100" s="2">
        <v>0</v>
      </c>
      <c r="K100" s="2">
        <v>0</v>
      </c>
      <c r="L100" s="2">
        <v>0</v>
      </c>
      <c r="M100" s="2">
        <v>0</v>
      </c>
      <c r="N100" s="2">
        <v>0</v>
      </c>
      <c r="P100" t="s">
        <v>179</v>
      </c>
      <c r="Q100" s="2">
        <v>0</v>
      </c>
      <c r="R100" s="2">
        <v>1</v>
      </c>
      <c r="S100" s="5">
        <v>45421</v>
      </c>
      <c r="T100" s="5">
        <v>45421</v>
      </c>
      <c r="U100" s="2">
        <v>0</v>
      </c>
      <c r="V100" s="2">
        <v>0</v>
      </c>
      <c r="W100" s="2">
        <v>0</v>
      </c>
      <c r="X100" s="2">
        <v>0</v>
      </c>
      <c r="Y100" s="2">
        <v>0</v>
      </c>
      <c r="Z100" s="2">
        <v>0</v>
      </c>
      <c r="AA100" s="2">
        <v>0</v>
      </c>
      <c r="AB100" s="2">
        <v>0</v>
      </c>
      <c r="AC100" s="2">
        <v>0</v>
      </c>
      <c r="AD100" s="2">
        <v>1</v>
      </c>
      <c r="AE100" s="2" t="s">
        <v>91</v>
      </c>
      <c r="AF100" s="2">
        <v>0</v>
      </c>
      <c r="AG100" s="2">
        <v>1</v>
      </c>
      <c r="AH100" s="2">
        <v>0</v>
      </c>
      <c r="AI100" s="2">
        <v>1</v>
      </c>
      <c r="AJ100" s="2">
        <v>1</v>
      </c>
      <c r="AK100" s="5">
        <v>45427</v>
      </c>
      <c r="AL100" s="2">
        <v>0</v>
      </c>
      <c r="AM100" s="2">
        <v>0</v>
      </c>
      <c r="AN100" s="2">
        <v>0</v>
      </c>
      <c r="AS100" s="2">
        <v>1</v>
      </c>
      <c r="AT100" s="2" t="s">
        <v>206</v>
      </c>
    </row>
    <row r="101" spans="1:46">
      <c r="A101" s="2">
        <v>100</v>
      </c>
      <c r="B101" s="5">
        <v>45421</v>
      </c>
      <c r="C101" s="5">
        <v>45425</v>
      </c>
      <c r="D101" s="2">
        <f t="shared" si="3"/>
        <v>4</v>
      </c>
      <c r="E101" s="2">
        <v>74</v>
      </c>
      <c r="F101" s="2">
        <v>1</v>
      </c>
      <c r="G101" s="2">
        <v>2</v>
      </c>
      <c r="H101" s="2">
        <v>0</v>
      </c>
      <c r="I101" s="2">
        <v>0</v>
      </c>
      <c r="J101" s="2">
        <v>0</v>
      </c>
      <c r="K101" s="2">
        <v>0</v>
      </c>
      <c r="L101" s="2">
        <v>0</v>
      </c>
      <c r="M101" s="2">
        <v>0</v>
      </c>
      <c r="N101" s="2">
        <v>0</v>
      </c>
      <c r="P101" t="s">
        <v>179</v>
      </c>
      <c r="Q101" s="2">
        <v>0</v>
      </c>
      <c r="R101" s="2">
        <v>1</v>
      </c>
      <c r="S101" s="5">
        <v>45421</v>
      </c>
      <c r="T101" s="5">
        <v>45421</v>
      </c>
      <c r="U101" s="2">
        <v>0</v>
      </c>
      <c r="V101" s="2">
        <v>0</v>
      </c>
      <c r="W101" s="2">
        <v>0</v>
      </c>
      <c r="X101" s="2">
        <v>0</v>
      </c>
      <c r="Y101" s="2">
        <v>0</v>
      </c>
      <c r="Z101" s="2">
        <v>0</v>
      </c>
      <c r="AA101" s="2">
        <v>0</v>
      </c>
      <c r="AB101" s="2">
        <v>0</v>
      </c>
      <c r="AC101" s="2">
        <v>0</v>
      </c>
      <c r="AD101" s="2">
        <v>0</v>
      </c>
      <c r="AF101" s="2">
        <v>0</v>
      </c>
      <c r="AG101" s="2">
        <v>0</v>
      </c>
      <c r="AH101" s="2">
        <v>1</v>
      </c>
      <c r="AI101" s="2">
        <v>1</v>
      </c>
      <c r="AJ101" s="2">
        <v>0</v>
      </c>
      <c r="AN101" s="2">
        <v>0</v>
      </c>
      <c r="AS101" s="2">
        <v>0</v>
      </c>
      <c r="AT101" s="2" t="s">
        <v>206</v>
      </c>
    </row>
    <row r="102" spans="1:46">
      <c r="A102" s="2">
        <v>101</v>
      </c>
      <c r="B102" s="5">
        <v>45423</v>
      </c>
      <c r="C102" s="5">
        <v>45427</v>
      </c>
      <c r="D102" s="2">
        <f t="shared" si="3"/>
        <v>4</v>
      </c>
      <c r="E102" s="2">
        <v>90</v>
      </c>
      <c r="F102" s="2">
        <v>2</v>
      </c>
      <c r="G102" s="2">
        <v>2</v>
      </c>
      <c r="H102" s="2">
        <v>1</v>
      </c>
      <c r="I102" s="2">
        <v>0</v>
      </c>
      <c r="J102" s="2">
        <v>1</v>
      </c>
      <c r="K102" s="2">
        <v>0</v>
      </c>
      <c r="L102" s="2">
        <v>0</v>
      </c>
      <c r="M102" s="2">
        <v>0</v>
      </c>
      <c r="N102" s="2">
        <v>1</v>
      </c>
      <c r="O102" s="2" t="s">
        <v>211</v>
      </c>
      <c r="P102" t="s">
        <v>179</v>
      </c>
      <c r="Q102" s="2">
        <v>0</v>
      </c>
      <c r="R102" s="2">
        <v>1</v>
      </c>
      <c r="S102" s="5">
        <v>45423</v>
      </c>
      <c r="T102" s="5">
        <v>45423</v>
      </c>
      <c r="U102" s="2">
        <v>0</v>
      </c>
      <c r="V102" s="2">
        <v>0</v>
      </c>
      <c r="W102" s="2">
        <v>0</v>
      </c>
      <c r="X102" s="2">
        <v>0</v>
      </c>
      <c r="Y102" s="2">
        <v>0</v>
      </c>
      <c r="Z102" s="2">
        <v>0</v>
      </c>
      <c r="AA102" s="2">
        <v>0</v>
      </c>
      <c r="AB102" s="2">
        <v>0</v>
      </c>
      <c r="AC102" s="2">
        <v>0</v>
      </c>
      <c r="AD102" s="2">
        <v>0</v>
      </c>
      <c r="AF102" s="2">
        <v>0</v>
      </c>
      <c r="AG102" s="2">
        <v>0</v>
      </c>
      <c r="AH102" s="2">
        <v>1</v>
      </c>
      <c r="AI102" s="2">
        <v>1</v>
      </c>
      <c r="AJ102" s="11">
        <v>1</v>
      </c>
      <c r="AK102" s="5">
        <v>45427</v>
      </c>
      <c r="AL102" s="2">
        <v>0</v>
      </c>
      <c r="AM102" s="2">
        <v>1</v>
      </c>
      <c r="AN102" s="2">
        <v>0</v>
      </c>
      <c r="AS102" s="2">
        <v>0</v>
      </c>
      <c r="AT102" s="2" t="s">
        <v>212</v>
      </c>
    </row>
    <row r="103" spans="1:46">
      <c r="A103" s="2">
        <v>102</v>
      </c>
      <c r="B103" s="5">
        <v>45423</v>
      </c>
      <c r="C103" s="5">
        <v>45426</v>
      </c>
      <c r="D103" s="2">
        <f t="shared" si="3"/>
        <v>3</v>
      </c>
      <c r="E103" s="2">
        <v>83</v>
      </c>
      <c r="F103" s="2">
        <v>1</v>
      </c>
      <c r="G103" s="2">
        <v>2</v>
      </c>
      <c r="H103" s="2">
        <v>1</v>
      </c>
      <c r="I103" s="2">
        <v>0</v>
      </c>
      <c r="J103" s="2">
        <v>0</v>
      </c>
      <c r="K103" s="2">
        <v>0</v>
      </c>
      <c r="L103" s="2">
        <v>0</v>
      </c>
      <c r="M103" s="2">
        <v>0</v>
      </c>
      <c r="N103" s="2">
        <v>1</v>
      </c>
      <c r="O103" s="2" t="s">
        <v>192</v>
      </c>
      <c r="P103" t="s">
        <v>179</v>
      </c>
      <c r="Q103" s="2">
        <v>0</v>
      </c>
      <c r="R103" s="2">
        <v>1</v>
      </c>
      <c r="S103" s="5">
        <v>45423</v>
      </c>
      <c r="T103" s="5">
        <v>45423</v>
      </c>
      <c r="U103" s="2">
        <v>0</v>
      </c>
      <c r="V103" s="2">
        <v>0</v>
      </c>
      <c r="W103" s="2">
        <v>0</v>
      </c>
      <c r="X103" s="2">
        <v>0</v>
      </c>
      <c r="Y103" s="2">
        <v>0</v>
      </c>
      <c r="Z103" s="2">
        <v>0</v>
      </c>
      <c r="AA103" s="2">
        <v>0</v>
      </c>
      <c r="AB103" s="2">
        <v>0</v>
      </c>
      <c r="AC103" s="2">
        <v>0</v>
      </c>
      <c r="AD103" s="2">
        <v>1</v>
      </c>
      <c r="AE103" s="2" t="s">
        <v>91</v>
      </c>
      <c r="AF103" s="2">
        <v>0</v>
      </c>
      <c r="AG103" s="2">
        <v>0</v>
      </c>
      <c r="AH103" s="2">
        <v>1</v>
      </c>
      <c r="AI103" s="2">
        <v>1</v>
      </c>
      <c r="AJ103" s="2">
        <v>1</v>
      </c>
      <c r="AK103" s="5">
        <v>45426</v>
      </c>
      <c r="AL103" s="2">
        <v>0</v>
      </c>
      <c r="AM103" s="2">
        <v>0</v>
      </c>
      <c r="AN103" s="2">
        <v>0</v>
      </c>
      <c r="AS103" s="2">
        <v>0</v>
      </c>
      <c r="AT103" s="2" t="s">
        <v>206</v>
      </c>
    </row>
    <row r="104" spans="1:46">
      <c r="A104" s="2">
        <v>103</v>
      </c>
      <c r="B104" s="5">
        <v>45425</v>
      </c>
      <c r="C104" s="5">
        <v>45436</v>
      </c>
      <c r="D104" s="2">
        <f t="shared" si="3"/>
        <v>11</v>
      </c>
      <c r="E104" s="2">
        <v>62</v>
      </c>
      <c r="F104" s="2">
        <v>2</v>
      </c>
      <c r="G104" s="2">
        <v>2</v>
      </c>
      <c r="H104" s="2">
        <v>0</v>
      </c>
      <c r="I104" s="2">
        <v>0</v>
      </c>
      <c r="J104" s="2">
        <v>0</v>
      </c>
      <c r="K104" s="2">
        <v>0</v>
      </c>
      <c r="L104" s="2">
        <v>0</v>
      </c>
      <c r="M104" s="2">
        <v>0</v>
      </c>
      <c r="N104" s="2">
        <v>0</v>
      </c>
      <c r="P104" t="s">
        <v>179</v>
      </c>
      <c r="Q104" s="2">
        <v>0</v>
      </c>
      <c r="R104" s="2">
        <v>1</v>
      </c>
      <c r="S104" s="5">
        <v>45425</v>
      </c>
      <c r="T104" s="5">
        <v>45425</v>
      </c>
      <c r="U104" s="2">
        <v>0</v>
      </c>
      <c r="V104" s="2">
        <v>0</v>
      </c>
      <c r="W104" s="2">
        <v>0</v>
      </c>
      <c r="X104" s="2">
        <v>0</v>
      </c>
      <c r="Y104" s="2">
        <v>0</v>
      </c>
      <c r="Z104" s="2">
        <v>0</v>
      </c>
      <c r="AA104" s="2">
        <v>0</v>
      </c>
      <c r="AB104" s="2">
        <v>0</v>
      </c>
      <c r="AC104" s="2">
        <v>0</v>
      </c>
      <c r="AD104" s="2">
        <v>1</v>
      </c>
      <c r="AE104" s="2" t="s">
        <v>91</v>
      </c>
      <c r="AF104" s="2">
        <v>0</v>
      </c>
      <c r="AG104" s="2">
        <v>0</v>
      </c>
      <c r="AH104" s="2">
        <v>1</v>
      </c>
      <c r="AI104" s="2">
        <v>1</v>
      </c>
      <c r="AJ104" s="2">
        <v>0</v>
      </c>
      <c r="AN104" s="2">
        <v>0</v>
      </c>
      <c r="AS104" s="2">
        <v>0</v>
      </c>
      <c r="AT104" s="2" t="s">
        <v>206</v>
      </c>
    </row>
    <row r="105" spans="1:46">
      <c r="A105" s="2">
        <v>104</v>
      </c>
      <c r="B105" s="5">
        <v>45425</v>
      </c>
      <c r="C105" s="5">
        <v>45430</v>
      </c>
      <c r="D105" s="2">
        <f t="shared" si="3"/>
        <v>5</v>
      </c>
      <c r="E105" s="2">
        <v>94</v>
      </c>
      <c r="F105" s="2">
        <v>2</v>
      </c>
      <c r="G105" s="2">
        <v>2</v>
      </c>
      <c r="H105" s="2">
        <v>0</v>
      </c>
      <c r="I105" s="2">
        <v>0</v>
      </c>
      <c r="J105" s="2">
        <v>0</v>
      </c>
      <c r="K105" s="2">
        <v>0</v>
      </c>
      <c r="L105" s="2">
        <v>0</v>
      </c>
      <c r="M105" s="2">
        <v>0</v>
      </c>
      <c r="N105" s="2">
        <v>0</v>
      </c>
      <c r="P105" t="s">
        <v>179</v>
      </c>
      <c r="Q105" s="2">
        <v>0</v>
      </c>
      <c r="R105" s="2">
        <v>1</v>
      </c>
      <c r="S105" s="5">
        <v>45425</v>
      </c>
      <c r="T105" s="5">
        <v>45425</v>
      </c>
      <c r="U105" s="2">
        <v>0</v>
      </c>
      <c r="V105" s="2">
        <v>0</v>
      </c>
      <c r="W105" s="2">
        <v>0</v>
      </c>
      <c r="X105" s="2">
        <v>0</v>
      </c>
      <c r="Y105" s="2">
        <v>0</v>
      </c>
      <c r="Z105" s="2">
        <v>0</v>
      </c>
      <c r="AA105" s="2">
        <v>0</v>
      </c>
      <c r="AB105" s="2">
        <v>0</v>
      </c>
      <c r="AC105" s="2">
        <v>0</v>
      </c>
      <c r="AD105" s="2">
        <v>1</v>
      </c>
      <c r="AE105" s="2" t="s">
        <v>117</v>
      </c>
      <c r="AF105" s="2">
        <v>0</v>
      </c>
      <c r="AG105" s="2">
        <v>0</v>
      </c>
      <c r="AH105" s="2">
        <v>1</v>
      </c>
      <c r="AI105" s="2">
        <v>1</v>
      </c>
      <c r="AJ105" s="11">
        <v>1</v>
      </c>
      <c r="AK105" s="5">
        <v>45426</v>
      </c>
      <c r="AL105" s="2">
        <v>0</v>
      </c>
      <c r="AM105" s="2">
        <v>0</v>
      </c>
      <c r="AN105" s="2">
        <v>0</v>
      </c>
      <c r="AS105" s="2">
        <v>0</v>
      </c>
      <c r="AT105" s="2" t="s">
        <v>206</v>
      </c>
    </row>
    <row r="106" spans="1:46">
      <c r="A106" s="2">
        <v>105</v>
      </c>
      <c r="B106" s="5">
        <v>45427</v>
      </c>
      <c r="C106" s="5">
        <v>45430</v>
      </c>
      <c r="D106" s="2">
        <f t="shared" si="3"/>
        <v>3</v>
      </c>
      <c r="E106" s="2">
        <v>79</v>
      </c>
      <c r="F106" s="2">
        <v>1</v>
      </c>
      <c r="G106" s="2">
        <v>4</v>
      </c>
      <c r="H106" s="2">
        <v>1</v>
      </c>
      <c r="I106" s="2">
        <v>0</v>
      </c>
      <c r="J106" s="2">
        <v>0</v>
      </c>
      <c r="K106" s="2">
        <v>0</v>
      </c>
      <c r="L106" s="2">
        <v>0</v>
      </c>
      <c r="M106" s="2">
        <v>0</v>
      </c>
      <c r="N106" s="2">
        <v>1</v>
      </c>
      <c r="O106" s="2" t="s">
        <v>213</v>
      </c>
      <c r="P106" t="s">
        <v>195</v>
      </c>
      <c r="Q106" s="2">
        <v>0</v>
      </c>
      <c r="R106" s="2">
        <v>1</v>
      </c>
      <c r="S106" s="5">
        <v>45427</v>
      </c>
      <c r="T106" s="5">
        <v>45427</v>
      </c>
      <c r="U106" s="2">
        <v>0</v>
      </c>
      <c r="V106" s="2">
        <v>0</v>
      </c>
      <c r="W106" s="2">
        <v>0</v>
      </c>
      <c r="X106" s="2">
        <v>0</v>
      </c>
      <c r="Y106" s="2">
        <v>0</v>
      </c>
      <c r="Z106" s="2">
        <v>0</v>
      </c>
      <c r="AA106" s="2">
        <v>0</v>
      </c>
      <c r="AB106" s="2">
        <v>0</v>
      </c>
      <c r="AC106" s="2">
        <v>0</v>
      </c>
      <c r="AD106" s="2">
        <v>1</v>
      </c>
      <c r="AE106" s="2" t="s">
        <v>214</v>
      </c>
      <c r="AF106" s="2">
        <v>0</v>
      </c>
      <c r="AG106" s="2">
        <v>0</v>
      </c>
      <c r="AH106" s="2">
        <v>1</v>
      </c>
      <c r="AI106" s="2">
        <v>1</v>
      </c>
      <c r="AJ106" s="2">
        <v>1</v>
      </c>
      <c r="AK106" s="5">
        <v>45429</v>
      </c>
      <c r="AL106" s="2">
        <v>0</v>
      </c>
      <c r="AM106" s="2">
        <v>0</v>
      </c>
      <c r="AN106" s="2">
        <v>0</v>
      </c>
      <c r="AS106" s="2">
        <v>0</v>
      </c>
      <c r="AT106" s="2" t="s">
        <v>206</v>
      </c>
    </row>
    <row r="107" spans="1:46">
      <c r="A107" s="2">
        <v>106</v>
      </c>
      <c r="B107" s="5">
        <v>45430</v>
      </c>
      <c r="C107" s="5">
        <v>45439</v>
      </c>
      <c r="D107" s="2">
        <f t="shared" si="3"/>
        <v>9</v>
      </c>
      <c r="E107" s="2">
        <v>45</v>
      </c>
      <c r="F107" s="2">
        <v>2</v>
      </c>
      <c r="G107" s="2">
        <v>2</v>
      </c>
      <c r="H107" s="2">
        <v>0</v>
      </c>
      <c r="I107" s="2">
        <v>0</v>
      </c>
      <c r="J107" s="2">
        <v>0</v>
      </c>
      <c r="K107" s="2">
        <v>0</v>
      </c>
      <c r="L107" s="2">
        <v>0</v>
      </c>
      <c r="M107" s="2">
        <v>0</v>
      </c>
      <c r="N107" s="2">
        <v>0</v>
      </c>
      <c r="P107" t="s">
        <v>215</v>
      </c>
      <c r="Q107" s="2">
        <v>0</v>
      </c>
      <c r="R107" s="2">
        <v>1</v>
      </c>
      <c r="S107" s="5">
        <v>45430</v>
      </c>
      <c r="T107" s="5">
        <v>45430</v>
      </c>
      <c r="U107" s="2">
        <v>0</v>
      </c>
      <c r="V107" s="2">
        <v>0</v>
      </c>
      <c r="W107" s="2">
        <v>0</v>
      </c>
      <c r="X107" s="2">
        <v>0</v>
      </c>
      <c r="Y107" s="2">
        <v>0</v>
      </c>
      <c r="Z107" s="2">
        <v>0</v>
      </c>
      <c r="AA107" s="2">
        <v>0</v>
      </c>
      <c r="AB107" s="2">
        <v>0</v>
      </c>
      <c r="AC107" s="2">
        <v>0</v>
      </c>
      <c r="AD107" s="2">
        <v>1</v>
      </c>
      <c r="AE107" s="2" t="s">
        <v>91</v>
      </c>
      <c r="AF107" s="2">
        <v>0</v>
      </c>
      <c r="AG107" s="2">
        <v>0</v>
      </c>
      <c r="AH107" s="2">
        <v>1</v>
      </c>
      <c r="AI107" s="2">
        <v>1</v>
      </c>
      <c r="AJ107" s="2">
        <v>0</v>
      </c>
      <c r="AN107" s="2">
        <v>0</v>
      </c>
      <c r="AS107" s="2">
        <v>0</v>
      </c>
      <c r="AT107" s="2" t="s">
        <v>206</v>
      </c>
    </row>
    <row r="108" spans="1:46">
      <c r="A108" s="2">
        <v>107</v>
      </c>
      <c r="B108" s="5">
        <v>45433</v>
      </c>
      <c r="C108" s="5">
        <v>45440</v>
      </c>
      <c r="D108" s="2">
        <f t="shared" si="3"/>
        <v>7</v>
      </c>
      <c r="E108" s="2">
        <v>75</v>
      </c>
      <c r="F108" s="2">
        <v>1</v>
      </c>
      <c r="G108" s="2">
        <v>2</v>
      </c>
      <c r="H108" s="2">
        <v>0</v>
      </c>
      <c r="I108" s="2">
        <v>0</v>
      </c>
      <c r="J108" s="2">
        <v>0</v>
      </c>
      <c r="K108" s="2">
        <v>0</v>
      </c>
      <c r="L108" s="2">
        <v>0</v>
      </c>
      <c r="M108" s="2">
        <v>0</v>
      </c>
      <c r="N108" s="2">
        <v>0</v>
      </c>
      <c r="P108" t="s">
        <v>179</v>
      </c>
      <c r="Q108" s="2">
        <v>0</v>
      </c>
      <c r="R108" s="2">
        <v>1</v>
      </c>
      <c r="S108" s="5">
        <v>45433</v>
      </c>
      <c r="T108" s="5">
        <v>45433</v>
      </c>
      <c r="U108" s="2">
        <v>0</v>
      </c>
      <c r="V108" s="2">
        <v>0</v>
      </c>
      <c r="W108" s="2">
        <v>0</v>
      </c>
      <c r="X108" s="2">
        <v>0</v>
      </c>
      <c r="Y108" s="2">
        <v>0</v>
      </c>
      <c r="Z108" s="2">
        <v>0</v>
      </c>
      <c r="AA108" s="2">
        <v>0</v>
      </c>
      <c r="AB108" s="2">
        <v>0</v>
      </c>
      <c r="AC108" s="2">
        <v>0</v>
      </c>
      <c r="AD108" s="2">
        <v>1</v>
      </c>
      <c r="AE108" s="2" t="s">
        <v>117</v>
      </c>
      <c r="AF108" s="2">
        <v>0</v>
      </c>
      <c r="AG108" s="2">
        <v>0</v>
      </c>
      <c r="AH108" s="2">
        <v>1</v>
      </c>
      <c r="AI108" s="2">
        <v>1</v>
      </c>
      <c r="AJ108" s="11">
        <v>1</v>
      </c>
      <c r="AK108" s="5">
        <v>45440</v>
      </c>
      <c r="AL108" s="2">
        <v>0</v>
      </c>
      <c r="AM108" s="2">
        <v>0</v>
      </c>
      <c r="AN108" s="2">
        <v>0</v>
      </c>
      <c r="AS108" s="2">
        <v>0</v>
      </c>
      <c r="AT108" s="2" t="s">
        <v>206</v>
      </c>
    </row>
    <row r="109" spans="1:46">
      <c r="A109" s="8">
        <v>108</v>
      </c>
      <c r="B109" s="5">
        <v>45434</v>
      </c>
      <c r="C109" s="6">
        <v>45439</v>
      </c>
      <c r="D109" s="2">
        <f t="shared" si="3"/>
        <v>5</v>
      </c>
      <c r="E109" s="2">
        <v>90</v>
      </c>
      <c r="F109" s="2">
        <v>1</v>
      </c>
      <c r="G109" s="2">
        <v>2</v>
      </c>
      <c r="H109" s="2">
        <v>1</v>
      </c>
      <c r="I109" s="2">
        <v>0</v>
      </c>
      <c r="J109" s="2">
        <v>0</v>
      </c>
      <c r="K109" s="2">
        <v>0</v>
      </c>
      <c r="L109" s="2">
        <v>0</v>
      </c>
      <c r="M109" s="2">
        <v>0</v>
      </c>
      <c r="N109" s="2">
        <v>1</v>
      </c>
      <c r="O109" s="2" t="s">
        <v>216</v>
      </c>
      <c r="P109" t="s">
        <v>179</v>
      </c>
      <c r="Q109" s="2">
        <v>1</v>
      </c>
      <c r="R109" s="2">
        <v>2</v>
      </c>
      <c r="S109" s="5">
        <v>45434</v>
      </c>
      <c r="T109" s="5">
        <v>45434</v>
      </c>
      <c r="U109" s="2">
        <v>0</v>
      </c>
      <c r="V109" s="2">
        <v>0</v>
      </c>
      <c r="W109" s="2">
        <v>0</v>
      </c>
      <c r="X109" s="2">
        <v>0</v>
      </c>
      <c r="Y109" s="2">
        <v>0</v>
      </c>
      <c r="Z109" s="2">
        <v>0</v>
      </c>
      <c r="AA109" s="2">
        <v>0</v>
      </c>
      <c r="AB109" s="2">
        <v>0</v>
      </c>
      <c r="AC109" s="2">
        <v>0</v>
      </c>
      <c r="AD109" s="2">
        <v>1</v>
      </c>
      <c r="AE109" s="2" t="s">
        <v>217</v>
      </c>
      <c r="AF109" s="2">
        <v>0</v>
      </c>
      <c r="AG109" s="2">
        <v>0</v>
      </c>
      <c r="AH109" s="2">
        <v>1</v>
      </c>
      <c r="AI109" s="2">
        <v>1</v>
      </c>
      <c r="AJ109" s="11">
        <v>1</v>
      </c>
      <c r="AK109" s="5">
        <v>45436</v>
      </c>
      <c r="AL109" s="2">
        <v>0</v>
      </c>
      <c r="AM109" s="2">
        <v>0</v>
      </c>
      <c r="AN109" s="2">
        <v>0</v>
      </c>
      <c r="AS109" s="2">
        <v>0</v>
      </c>
      <c r="AT109" s="2" t="s">
        <v>206</v>
      </c>
    </row>
    <row r="110" spans="1:46">
      <c r="A110" s="8">
        <v>109</v>
      </c>
      <c r="B110" s="5">
        <v>45435</v>
      </c>
      <c r="C110" s="6">
        <v>45444</v>
      </c>
      <c r="D110" s="2">
        <f t="shared" si="3"/>
        <v>9</v>
      </c>
      <c r="E110" s="2">
        <v>88</v>
      </c>
      <c r="F110" s="2">
        <v>1</v>
      </c>
      <c r="G110" s="2">
        <v>3</v>
      </c>
      <c r="H110" s="2">
        <v>0</v>
      </c>
      <c r="I110" s="2">
        <v>0</v>
      </c>
      <c r="J110" s="2">
        <v>0</v>
      </c>
      <c r="K110" s="2">
        <v>0</v>
      </c>
      <c r="L110" s="2">
        <v>0</v>
      </c>
      <c r="M110" s="2">
        <v>0</v>
      </c>
      <c r="N110" s="2">
        <v>0</v>
      </c>
      <c r="P110" t="s">
        <v>186</v>
      </c>
      <c r="Q110" s="2">
        <v>0</v>
      </c>
      <c r="R110" s="2">
        <v>1</v>
      </c>
      <c r="S110" s="5">
        <v>45436</v>
      </c>
      <c r="T110" s="5">
        <v>45436</v>
      </c>
      <c r="U110" s="2">
        <v>0</v>
      </c>
      <c r="V110" s="2">
        <v>0</v>
      </c>
      <c r="W110" s="2">
        <v>0</v>
      </c>
      <c r="X110" s="2">
        <v>0</v>
      </c>
      <c r="Y110" s="2">
        <v>0</v>
      </c>
      <c r="Z110" s="2">
        <v>0</v>
      </c>
      <c r="AA110" s="2">
        <v>0</v>
      </c>
      <c r="AB110" s="2">
        <v>0</v>
      </c>
      <c r="AC110" s="2">
        <v>0</v>
      </c>
      <c r="AD110" s="2">
        <v>1</v>
      </c>
      <c r="AE110" s="2" t="s">
        <v>68</v>
      </c>
      <c r="AF110" s="2">
        <v>0</v>
      </c>
      <c r="AG110" s="2">
        <v>0</v>
      </c>
      <c r="AH110" s="2">
        <v>1</v>
      </c>
      <c r="AI110" s="2">
        <v>1</v>
      </c>
      <c r="AJ110" s="2">
        <v>0</v>
      </c>
      <c r="AN110" s="2">
        <v>0</v>
      </c>
      <c r="AS110" s="2">
        <v>0</v>
      </c>
      <c r="AT110" s="2" t="s">
        <v>206</v>
      </c>
    </row>
    <row r="111" spans="1:46">
      <c r="A111" s="2">
        <v>110</v>
      </c>
      <c r="B111" s="5">
        <v>45438</v>
      </c>
      <c r="C111" s="5">
        <v>45442</v>
      </c>
      <c r="D111" s="2">
        <f t="shared" si="3"/>
        <v>4</v>
      </c>
      <c r="E111" s="2">
        <v>96</v>
      </c>
      <c r="F111" s="2">
        <v>2</v>
      </c>
      <c r="G111" s="2">
        <v>2</v>
      </c>
      <c r="H111" s="2">
        <v>0</v>
      </c>
      <c r="I111" s="2">
        <v>0</v>
      </c>
      <c r="J111" s="2">
        <v>0</v>
      </c>
      <c r="K111" s="2">
        <v>0</v>
      </c>
      <c r="L111" s="2">
        <v>0</v>
      </c>
      <c r="M111" s="2">
        <v>0</v>
      </c>
      <c r="N111" s="2">
        <v>0</v>
      </c>
      <c r="P111" t="s">
        <v>208</v>
      </c>
      <c r="Q111" s="2">
        <v>0</v>
      </c>
      <c r="R111" s="2">
        <v>1</v>
      </c>
      <c r="S111" s="5">
        <v>45438</v>
      </c>
      <c r="T111" s="5">
        <v>45438</v>
      </c>
      <c r="U111" s="2">
        <v>0</v>
      </c>
      <c r="V111" s="2">
        <v>0</v>
      </c>
      <c r="W111" s="2">
        <v>0</v>
      </c>
      <c r="X111" s="2">
        <v>0</v>
      </c>
      <c r="Y111" s="2">
        <v>0</v>
      </c>
      <c r="Z111" s="2">
        <v>0</v>
      </c>
      <c r="AA111" s="2">
        <v>0</v>
      </c>
      <c r="AB111" s="2">
        <v>0</v>
      </c>
      <c r="AC111" s="2">
        <v>0</v>
      </c>
      <c r="AD111" s="2">
        <v>1</v>
      </c>
      <c r="AE111" s="2" t="s">
        <v>91</v>
      </c>
      <c r="AF111" s="2">
        <v>0</v>
      </c>
      <c r="AG111" s="2">
        <v>0</v>
      </c>
      <c r="AH111" s="2">
        <v>1</v>
      </c>
      <c r="AI111" s="2">
        <v>1</v>
      </c>
      <c r="AJ111" s="2">
        <v>0</v>
      </c>
      <c r="AN111" s="2">
        <v>0</v>
      </c>
      <c r="AS111" s="2">
        <v>0</v>
      </c>
      <c r="AT111" s="2" t="s">
        <v>206</v>
      </c>
    </row>
    <row r="112" spans="1:46">
      <c r="A112" s="2">
        <v>111</v>
      </c>
      <c r="B112" s="5">
        <v>45439</v>
      </c>
      <c r="C112" s="5">
        <v>45445</v>
      </c>
      <c r="D112" s="2">
        <f t="shared" si="3"/>
        <v>6</v>
      </c>
      <c r="E112" s="2">
        <v>75</v>
      </c>
      <c r="F112" s="2">
        <v>2</v>
      </c>
      <c r="G112" s="2">
        <v>3</v>
      </c>
      <c r="H112" s="2">
        <v>1</v>
      </c>
      <c r="I112" s="2">
        <v>0</v>
      </c>
      <c r="J112" s="2">
        <v>0</v>
      </c>
      <c r="K112" s="2">
        <v>0</v>
      </c>
      <c r="L112" s="2">
        <v>0</v>
      </c>
      <c r="M112" s="2">
        <v>0</v>
      </c>
      <c r="N112" s="2">
        <v>1</v>
      </c>
      <c r="O112" s="2" t="s">
        <v>218</v>
      </c>
      <c r="P112" t="s">
        <v>179</v>
      </c>
      <c r="Q112" s="2">
        <v>0</v>
      </c>
      <c r="R112" s="2">
        <v>1</v>
      </c>
      <c r="S112" s="5">
        <v>45439</v>
      </c>
      <c r="T112" s="5">
        <v>45439</v>
      </c>
      <c r="U112" s="2">
        <v>0</v>
      </c>
      <c r="V112" s="2">
        <v>0</v>
      </c>
      <c r="W112" s="2">
        <v>0</v>
      </c>
      <c r="X112" s="2">
        <v>0</v>
      </c>
      <c r="Y112" s="2">
        <v>0</v>
      </c>
      <c r="Z112" s="2">
        <v>0</v>
      </c>
      <c r="AA112" s="2">
        <v>0</v>
      </c>
      <c r="AB112" s="2">
        <v>0</v>
      </c>
      <c r="AC112" s="2">
        <v>0</v>
      </c>
      <c r="AD112" s="2">
        <v>1</v>
      </c>
      <c r="AE112" s="2" t="s">
        <v>91</v>
      </c>
      <c r="AF112" s="2">
        <v>0</v>
      </c>
      <c r="AG112" s="2">
        <v>0</v>
      </c>
      <c r="AH112" s="2">
        <v>1</v>
      </c>
      <c r="AI112" s="2">
        <v>1</v>
      </c>
      <c r="AJ112" s="11">
        <v>1</v>
      </c>
      <c r="AK112" s="5">
        <v>45440</v>
      </c>
      <c r="AL112" s="2">
        <v>0</v>
      </c>
      <c r="AM112" s="2">
        <v>1</v>
      </c>
      <c r="AN112" s="2">
        <v>0</v>
      </c>
      <c r="AS112" s="2">
        <v>1</v>
      </c>
      <c r="AT112" s="2" t="s">
        <v>219</v>
      </c>
    </row>
    <row r="113" spans="1:46">
      <c r="A113" s="2">
        <v>112</v>
      </c>
      <c r="B113" s="5">
        <v>45439</v>
      </c>
      <c r="C113" s="5">
        <v>45453</v>
      </c>
      <c r="D113" s="2">
        <f t="shared" si="3"/>
        <v>14</v>
      </c>
      <c r="E113" s="2">
        <v>72</v>
      </c>
      <c r="F113" s="2">
        <v>1</v>
      </c>
      <c r="G113" s="2">
        <v>2</v>
      </c>
      <c r="H113" s="2">
        <v>0</v>
      </c>
      <c r="I113" s="2">
        <v>0</v>
      </c>
      <c r="J113" s="2">
        <v>0</v>
      </c>
      <c r="K113" s="2">
        <v>0</v>
      </c>
      <c r="L113" s="2">
        <v>0</v>
      </c>
      <c r="M113" s="2">
        <v>0</v>
      </c>
      <c r="N113" s="2">
        <v>0</v>
      </c>
      <c r="P113" t="s">
        <v>195</v>
      </c>
      <c r="Q113" s="2">
        <v>0</v>
      </c>
      <c r="R113" s="2">
        <v>1</v>
      </c>
      <c r="S113" s="5">
        <v>45439</v>
      </c>
      <c r="T113" s="5">
        <v>45439</v>
      </c>
      <c r="U113" s="2">
        <v>0</v>
      </c>
      <c r="V113" s="2">
        <v>0</v>
      </c>
      <c r="W113" s="2">
        <v>0</v>
      </c>
      <c r="X113" s="2">
        <v>0</v>
      </c>
      <c r="Y113" s="2">
        <v>0</v>
      </c>
      <c r="Z113" s="2">
        <v>0</v>
      </c>
      <c r="AA113" s="2">
        <v>0</v>
      </c>
      <c r="AB113" s="2">
        <v>0</v>
      </c>
      <c r="AC113" s="2">
        <v>0</v>
      </c>
      <c r="AD113" s="2">
        <v>1</v>
      </c>
      <c r="AE113" s="2" t="s">
        <v>91</v>
      </c>
      <c r="AF113" s="2">
        <v>0</v>
      </c>
      <c r="AG113" s="2">
        <v>0</v>
      </c>
      <c r="AH113" s="2">
        <v>1</v>
      </c>
      <c r="AI113" s="2">
        <v>1</v>
      </c>
      <c r="AJ113" s="2">
        <v>0</v>
      </c>
      <c r="AN113" s="2">
        <v>0</v>
      </c>
      <c r="AS113" s="2">
        <v>0</v>
      </c>
      <c r="AT113" s="2" t="s">
        <v>206</v>
      </c>
    </row>
    <row r="114" spans="1:46">
      <c r="A114" s="2">
        <v>113</v>
      </c>
      <c r="B114" s="5">
        <v>45442</v>
      </c>
      <c r="C114" s="5">
        <v>45443</v>
      </c>
      <c r="D114" s="2">
        <f t="shared" si="3"/>
        <v>1</v>
      </c>
      <c r="E114" s="2">
        <v>39</v>
      </c>
      <c r="F114" s="2">
        <v>1</v>
      </c>
      <c r="G114" s="2">
        <v>3</v>
      </c>
      <c r="H114" s="2">
        <v>0</v>
      </c>
      <c r="I114" s="2">
        <v>0</v>
      </c>
      <c r="J114" s="2">
        <v>0</v>
      </c>
      <c r="K114" s="2">
        <v>0</v>
      </c>
      <c r="L114" s="2">
        <v>0</v>
      </c>
      <c r="M114" s="2">
        <v>0</v>
      </c>
      <c r="N114" s="2">
        <v>0</v>
      </c>
      <c r="P114" t="s">
        <v>179</v>
      </c>
      <c r="Q114" s="2">
        <v>0</v>
      </c>
      <c r="R114" s="2">
        <v>1</v>
      </c>
      <c r="S114" s="5">
        <v>45442</v>
      </c>
      <c r="T114" s="5">
        <v>45442</v>
      </c>
      <c r="U114" s="2">
        <v>0</v>
      </c>
      <c r="V114" s="2">
        <v>0</v>
      </c>
      <c r="W114" s="2">
        <v>0</v>
      </c>
      <c r="X114" s="2">
        <v>0</v>
      </c>
      <c r="Y114" s="2">
        <v>0</v>
      </c>
      <c r="Z114" s="2">
        <v>0</v>
      </c>
      <c r="AA114" s="2">
        <v>0</v>
      </c>
      <c r="AB114" s="2">
        <v>0</v>
      </c>
      <c r="AC114" s="2">
        <v>0</v>
      </c>
      <c r="AD114" s="2">
        <v>1</v>
      </c>
      <c r="AE114" s="2" t="s">
        <v>117</v>
      </c>
      <c r="AF114" s="2">
        <v>0</v>
      </c>
      <c r="AG114" s="2">
        <v>0</v>
      </c>
      <c r="AH114" s="2">
        <v>1</v>
      </c>
      <c r="AI114" s="2">
        <v>1</v>
      </c>
      <c r="AJ114" s="2">
        <v>0</v>
      </c>
      <c r="AN114" s="2">
        <v>0</v>
      </c>
      <c r="AS114" s="2">
        <v>0</v>
      </c>
      <c r="AT114" s="2" t="s">
        <v>206</v>
      </c>
    </row>
    <row r="115" spans="1:46">
      <c r="A115" s="2">
        <v>114</v>
      </c>
      <c r="B115" s="5">
        <v>45384</v>
      </c>
      <c r="C115" s="5">
        <v>45392</v>
      </c>
      <c r="D115" s="2">
        <f t="shared" si="3"/>
        <v>8</v>
      </c>
      <c r="E115" s="2">
        <v>90</v>
      </c>
      <c r="F115" s="2">
        <v>2</v>
      </c>
      <c r="G115" s="2">
        <v>2</v>
      </c>
      <c r="H115" s="2">
        <v>1</v>
      </c>
      <c r="I115" s="2">
        <v>0</v>
      </c>
      <c r="J115" s="2">
        <v>0</v>
      </c>
      <c r="K115" s="2">
        <v>1</v>
      </c>
      <c r="L115" s="2">
        <v>0</v>
      </c>
      <c r="M115" s="2">
        <v>0</v>
      </c>
      <c r="N115" s="2">
        <v>1</v>
      </c>
      <c r="O115" s="2" t="s">
        <v>220</v>
      </c>
      <c r="P115" t="s">
        <v>179</v>
      </c>
      <c r="Q115" s="2">
        <v>0</v>
      </c>
      <c r="R115" s="2">
        <v>1</v>
      </c>
      <c r="S115" s="5">
        <v>45384</v>
      </c>
      <c r="T115" s="5">
        <v>45384</v>
      </c>
      <c r="U115" s="2">
        <v>0</v>
      </c>
      <c r="V115" s="2">
        <v>0</v>
      </c>
      <c r="W115" s="2">
        <v>0</v>
      </c>
      <c r="X115" s="2">
        <v>0</v>
      </c>
      <c r="Y115" s="2">
        <v>0</v>
      </c>
      <c r="Z115" s="2">
        <v>0</v>
      </c>
      <c r="AA115" s="2">
        <v>0</v>
      </c>
      <c r="AB115" s="2">
        <v>0</v>
      </c>
      <c r="AC115" s="2">
        <v>0</v>
      </c>
      <c r="AD115" s="2">
        <v>1</v>
      </c>
      <c r="AE115" s="2" t="s">
        <v>187</v>
      </c>
      <c r="AF115" s="2">
        <v>0</v>
      </c>
      <c r="AG115" s="2">
        <v>0</v>
      </c>
      <c r="AH115" s="2">
        <v>1</v>
      </c>
      <c r="AI115" s="2">
        <v>1</v>
      </c>
      <c r="AJ115" s="2">
        <v>0</v>
      </c>
      <c r="AN115" s="2">
        <v>0</v>
      </c>
      <c r="AS115" s="2">
        <v>0</v>
      </c>
      <c r="AT115" s="2" t="s">
        <v>206</v>
      </c>
    </row>
    <row r="116" spans="1:46">
      <c r="A116" s="2">
        <v>115</v>
      </c>
      <c r="B116" s="5">
        <v>45385</v>
      </c>
      <c r="C116" s="5">
        <v>45389</v>
      </c>
      <c r="D116" s="2">
        <f t="shared" si="3"/>
        <v>4</v>
      </c>
      <c r="E116" s="2">
        <v>92</v>
      </c>
      <c r="F116" s="2">
        <v>2</v>
      </c>
      <c r="G116" s="2">
        <v>2</v>
      </c>
      <c r="H116" s="2">
        <v>0</v>
      </c>
      <c r="I116" s="2">
        <v>0</v>
      </c>
      <c r="J116" s="2">
        <v>0</v>
      </c>
      <c r="K116" s="2">
        <v>0</v>
      </c>
      <c r="L116" s="2">
        <v>0</v>
      </c>
      <c r="M116" s="2">
        <v>0</v>
      </c>
      <c r="N116" s="2">
        <v>0</v>
      </c>
      <c r="P116" t="s">
        <v>179</v>
      </c>
      <c r="Q116" s="2">
        <v>0</v>
      </c>
      <c r="R116" s="2">
        <v>1</v>
      </c>
      <c r="S116" s="5">
        <v>45385</v>
      </c>
      <c r="T116" s="5">
        <v>45385</v>
      </c>
      <c r="U116" s="2">
        <v>0</v>
      </c>
      <c r="V116" s="2">
        <v>0</v>
      </c>
      <c r="W116" s="2">
        <v>0</v>
      </c>
      <c r="X116" s="2">
        <v>0</v>
      </c>
      <c r="Y116" s="2">
        <v>0</v>
      </c>
      <c r="Z116" s="2">
        <v>0</v>
      </c>
      <c r="AA116" s="2">
        <v>0</v>
      </c>
      <c r="AB116" s="2">
        <v>0</v>
      </c>
      <c r="AC116" s="2">
        <v>0</v>
      </c>
      <c r="AD116" s="2">
        <v>1</v>
      </c>
      <c r="AE116" s="2" t="s">
        <v>68</v>
      </c>
      <c r="AF116" s="2">
        <v>0</v>
      </c>
      <c r="AG116" s="2">
        <v>0</v>
      </c>
      <c r="AH116" s="2">
        <v>1</v>
      </c>
      <c r="AI116" s="2">
        <v>1</v>
      </c>
      <c r="AJ116" s="2">
        <v>0</v>
      </c>
      <c r="AN116" s="2">
        <v>0</v>
      </c>
      <c r="AS116" s="2">
        <v>0</v>
      </c>
      <c r="AT116" s="2" t="s">
        <v>206</v>
      </c>
    </row>
    <row r="117" spans="1:46">
      <c r="A117" s="8">
        <v>116</v>
      </c>
      <c r="B117" s="5">
        <v>45390</v>
      </c>
      <c r="C117" s="6">
        <v>45488</v>
      </c>
      <c r="D117" s="11">
        <f t="shared" si="3"/>
        <v>98</v>
      </c>
      <c r="E117" s="2">
        <v>51</v>
      </c>
      <c r="F117" s="2">
        <v>1</v>
      </c>
      <c r="G117" s="2">
        <v>2</v>
      </c>
      <c r="H117" s="2">
        <v>1</v>
      </c>
      <c r="I117" s="2">
        <v>0</v>
      </c>
      <c r="J117" s="2">
        <v>0</v>
      </c>
      <c r="K117" s="2">
        <v>0</v>
      </c>
      <c r="L117" s="2">
        <v>1</v>
      </c>
      <c r="M117" s="2">
        <v>0</v>
      </c>
      <c r="N117" s="2">
        <v>1</v>
      </c>
      <c r="O117" s="2" t="s">
        <v>72</v>
      </c>
      <c r="P117" t="s">
        <v>179</v>
      </c>
      <c r="Q117" s="2">
        <v>0</v>
      </c>
      <c r="R117" s="2">
        <v>1</v>
      </c>
      <c r="S117" s="5">
        <v>45390</v>
      </c>
      <c r="T117" s="5">
        <v>45390</v>
      </c>
      <c r="U117" s="2">
        <v>1</v>
      </c>
      <c r="V117" s="2">
        <v>0</v>
      </c>
      <c r="W117" s="2">
        <v>0</v>
      </c>
      <c r="X117" s="2">
        <v>1</v>
      </c>
      <c r="Y117" s="2">
        <v>0</v>
      </c>
      <c r="Z117" s="2">
        <v>0</v>
      </c>
      <c r="AA117" s="2">
        <v>0</v>
      </c>
      <c r="AB117" s="2">
        <v>0</v>
      </c>
      <c r="AC117" s="2">
        <v>0</v>
      </c>
      <c r="AD117" s="2">
        <v>1</v>
      </c>
      <c r="AE117" s="2" t="s">
        <v>55</v>
      </c>
      <c r="AF117" s="2">
        <v>0</v>
      </c>
      <c r="AG117" s="2">
        <v>0</v>
      </c>
      <c r="AH117" s="2">
        <v>1</v>
      </c>
      <c r="AI117" s="2">
        <v>1</v>
      </c>
      <c r="AJ117" s="11">
        <v>1</v>
      </c>
      <c r="AK117" s="5">
        <v>45391</v>
      </c>
      <c r="AL117" s="2">
        <v>0</v>
      </c>
      <c r="AM117" s="2">
        <v>0</v>
      </c>
      <c r="AN117" s="2">
        <v>0</v>
      </c>
      <c r="AS117" s="2">
        <v>1</v>
      </c>
      <c r="AT117" s="2" t="s">
        <v>221</v>
      </c>
    </row>
    <row r="118" spans="1:46">
      <c r="A118" s="2">
        <v>117</v>
      </c>
      <c r="B118" s="5">
        <v>45392</v>
      </c>
      <c r="C118" s="5">
        <v>45394</v>
      </c>
      <c r="D118" s="2">
        <f t="shared" si="3"/>
        <v>2</v>
      </c>
      <c r="E118" s="2">
        <v>32</v>
      </c>
      <c r="F118" s="2">
        <v>1</v>
      </c>
      <c r="G118" s="2">
        <v>2</v>
      </c>
      <c r="H118" s="2">
        <v>0</v>
      </c>
      <c r="I118" s="2">
        <v>0</v>
      </c>
      <c r="J118" s="2">
        <v>0</v>
      </c>
      <c r="K118" s="2">
        <v>0</v>
      </c>
      <c r="L118" s="2">
        <v>0</v>
      </c>
      <c r="M118" s="2">
        <v>0</v>
      </c>
      <c r="N118" s="2">
        <v>0</v>
      </c>
      <c r="P118" t="s">
        <v>179</v>
      </c>
      <c r="Q118" s="2">
        <v>0</v>
      </c>
      <c r="R118" s="2">
        <v>1</v>
      </c>
      <c r="S118" s="5">
        <v>45392</v>
      </c>
      <c r="T118" s="5">
        <v>45392</v>
      </c>
      <c r="U118" s="2">
        <v>0</v>
      </c>
      <c r="V118" s="2">
        <v>0</v>
      </c>
      <c r="W118" s="2">
        <v>0</v>
      </c>
      <c r="X118" s="2">
        <v>0</v>
      </c>
      <c r="Y118" s="2">
        <v>0</v>
      </c>
      <c r="Z118" s="2">
        <v>0</v>
      </c>
      <c r="AA118" s="2">
        <v>0</v>
      </c>
      <c r="AB118" s="2">
        <v>0</v>
      </c>
      <c r="AC118" s="2">
        <v>0</v>
      </c>
      <c r="AD118" s="2">
        <v>0</v>
      </c>
      <c r="AF118" s="2">
        <v>0</v>
      </c>
      <c r="AG118" s="2">
        <v>0</v>
      </c>
      <c r="AH118" s="2">
        <v>1</v>
      </c>
      <c r="AI118" s="2">
        <v>1</v>
      </c>
      <c r="AJ118" s="2">
        <v>0</v>
      </c>
      <c r="AN118" s="2">
        <v>0</v>
      </c>
      <c r="AS118" s="2">
        <v>0</v>
      </c>
      <c r="AT118" s="2" t="s">
        <v>206</v>
      </c>
    </row>
    <row r="119" spans="1:46" s="8" customFormat="1">
      <c r="A119" s="8">
        <v>118</v>
      </c>
      <c r="B119" s="6">
        <v>45392</v>
      </c>
      <c r="C119" s="6">
        <v>45392</v>
      </c>
      <c r="D119" s="8">
        <f t="shared" si="3"/>
        <v>0</v>
      </c>
      <c r="E119" s="8">
        <v>79</v>
      </c>
      <c r="F119" s="8">
        <v>1</v>
      </c>
      <c r="G119" s="8">
        <v>2</v>
      </c>
      <c r="H119" s="8">
        <v>1</v>
      </c>
      <c r="I119" s="8">
        <v>0</v>
      </c>
      <c r="J119" s="8">
        <v>0</v>
      </c>
      <c r="K119" s="8">
        <v>0</v>
      </c>
      <c r="L119" s="8">
        <v>0</v>
      </c>
      <c r="M119" s="8">
        <v>0</v>
      </c>
      <c r="N119" s="8">
        <v>1</v>
      </c>
      <c r="O119" s="8" t="s">
        <v>72</v>
      </c>
      <c r="P119" s="9" t="s">
        <v>179</v>
      </c>
      <c r="Q119" s="8">
        <v>0</v>
      </c>
      <c r="R119" s="8">
        <v>1</v>
      </c>
      <c r="S119" s="6">
        <v>45392</v>
      </c>
      <c r="T119" s="6">
        <v>45392</v>
      </c>
      <c r="U119" s="8">
        <v>0</v>
      </c>
      <c r="V119" s="8">
        <v>0</v>
      </c>
      <c r="W119" s="8">
        <v>0</v>
      </c>
      <c r="X119" s="8">
        <v>0</v>
      </c>
      <c r="Y119" s="8">
        <v>0</v>
      </c>
      <c r="Z119" s="8">
        <v>0</v>
      </c>
      <c r="AA119" s="8">
        <v>0</v>
      </c>
      <c r="AB119" s="8">
        <v>0</v>
      </c>
      <c r="AC119" s="8">
        <v>0</v>
      </c>
      <c r="AD119" s="8">
        <v>0</v>
      </c>
      <c r="AF119" s="8">
        <v>0</v>
      </c>
      <c r="AG119" s="8">
        <v>0</v>
      </c>
      <c r="AH119" s="8">
        <v>1</v>
      </c>
      <c r="AI119" s="8">
        <v>1</v>
      </c>
      <c r="AJ119" s="8">
        <v>0</v>
      </c>
      <c r="AN119" s="8">
        <v>0</v>
      </c>
      <c r="AS119" s="8">
        <v>0</v>
      </c>
      <c r="AT119" s="8" t="s">
        <v>222</v>
      </c>
    </row>
    <row r="120" spans="1:46">
      <c r="A120" s="2">
        <v>119</v>
      </c>
      <c r="B120" s="5">
        <v>45395</v>
      </c>
      <c r="C120" s="5">
        <v>45401</v>
      </c>
      <c r="D120" s="2">
        <f t="shared" si="3"/>
        <v>6</v>
      </c>
      <c r="E120" s="2">
        <v>81</v>
      </c>
      <c r="F120" s="2">
        <v>2</v>
      </c>
      <c r="G120" s="2">
        <v>2</v>
      </c>
      <c r="H120" s="2">
        <v>0</v>
      </c>
      <c r="I120" s="2">
        <v>0</v>
      </c>
      <c r="J120" s="2">
        <v>0</v>
      </c>
      <c r="K120" s="2">
        <v>0</v>
      </c>
      <c r="L120" s="2">
        <v>0</v>
      </c>
      <c r="M120" s="2">
        <v>0</v>
      </c>
      <c r="N120" s="2">
        <v>1</v>
      </c>
      <c r="O120" s="2" t="s">
        <v>70</v>
      </c>
      <c r="P120" t="s">
        <v>179</v>
      </c>
      <c r="Q120" s="2">
        <v>0</v>
      </c>
      <c r="R120" s="2">
        <v>1</v>
      </c>
      <c r="S120" s="5">
        <v>45395</v>
      </c>
      <c r="T120" s="5">
        <v>45395</v>
      </c>
      <c r="U120" s="2">
        <v>1</v>
      </c>
      <c r="V120" s="2">
        <v>0</v>
      </c>
      <c r="W120" s="2">
        <v>0</v>
      </c>
      <c r="X120" s="2">
        <v>0</v>
      </c>
      <c r="Y120" s="2">
        <v>0</v>
      </c>
      <c r="Z120" s="2">
        <v>0</v>
      </c>
      <c r="AA120" s="2">
        <v>0</v>
      </c>
      <c r="AB120" s="2">
        <v>1</v>
      </c>
      <c r="AC120" s="2">
        <v>0</v>
      </c>
      <c r="AD120" s="2">
        <v>1</v>
      </c>
      <c r="AE120" s="2" t="s">
        <v>91</v>
      </c>
      <c r="AF120" s="2">
        <v>0</v>
      </c>
      <c r="AG120" s="2">
        <v>0</v>
      </c>
      <c r="AH120" s="2">
        <v>1</v>
      </c>
      <c r="AI120" s="2">
        <v>1</v>
      </c>
      <c r="AJ120" s="2">
        <v>1</v>
      </c>
      <c r="AK120" s="5">
        <v>45399</v>
      </c>
      <c r="AL120" s="2">
        <v>0</v>
      </c>
      <c r="AM120" s="2">
        <v>0</v>
      </c>
      <c r="AN120" s="2">
        <v>0</v>
      </c>
      <c r="AS120" s="2">
        <v>0</v>
      </c>
      <c r="AT120" s="2" t="s">
        <v>223</v>
      </c>
    </row>
    <row r="121" spans="1:46">
      <c r="A121" s="2">
        <v>120</v>
      </c>
      <c r="B121" s="5">
        <v>45396</v>
      </c>
      <c r="C121" s="5">
        <v>45412</v>
      </c>
      <c r="D121" s="2">
        <f t="shared" si="3"/>
        <v>16</v>
      </c>
      <c r="E121" s="2">
        <v>66</v>
      </c>
      <c r="F121" s="2">
        <v>1</v>
      </c>
      <c r="G121" s="2">
        <v>2</v>
      </c>
      <c r="H121" s="2">
        <v>0</v>
      </c>
      <c r="I121" s="2">
        <v>0</v>
      </c>
      <c r="J121" s="2">
        <v>0</v>
      </c>
      <c r="K121" s="2">
        <v>0</v>
      </c>
      <c r="L121" s="2">
        <v>0</v>
      </c>
      <c r="M121" s="2">
        <v>0</v>
      </c>
      <c r="N121" s="2">
        <v>0</v>
      </c>
      <c r="P121" t="s">
        <v>215</v>
      </c>
      <c r="Q121" s="2">
        <v>1</v>
      </c>
      <c r="R121" s="2">
        <v>2</v>
      </c>
      <c r="S121" s="5">
        <v>45396</v>
      </c>
      <c r="T121" s="5">
        <v>45397</v>
      </c>
      <c r="U121" s="2">
        <v>0</v>
      </c>
      <c r="V121" s="2">
        <v>0</v>
      </c>
      <c r="W121" s="2">
        <v>0</v>
      </c>
      <c r="X121" s="2">
        <v>0</v>
      </c>
      <c r="Y121" s="2">
        <v>0</v>
      </c>
      <c r="Z121" s="2">
        <v>0</v>
      </c>
      <c r="AA121" s="2">
        <v>0</v>
      </c>
      <c r="AB121" s="2">
        <v>0</v>
      </c>
      <c r="AC121" s="2">
        <v>0</v>
      </c>
      <c r="AD121" s="2">
        <v>1</v>
      </c>
      <c r="AE121" s="2" t="s">
        <v>91</v>
      </c>
      <c r="AF121" s="2">
        <v>0</v>
      </c>
      <c r="AG121" s="2">
        <v>1</v>
      </c>
      <c r="AH121" s="2">
        <v>1</v>
      </c>
      <c r="AI121" s="2">
        <v>1</v>
      </c>
      <c r="AJ121" s="2">
        <v>1</v>
      </c>
      <c r="AK121" s="5">
        <v>45401</v>
      </c>
      <c r="AL121" s="2">
        <v>0</v>
      </c>
      <c r="AM121" s="2">
        <v>0</v>
      </c>
      <c r="AN121" s="2">
        <v>0</v>
      </c>
      <c r="AS121" s="2">
        <v>0</v>
      </c>
      <c r="AT121" s="2" t="s">
        <v>206</v>
      </c>
    </row>
    <row r="122" spans="1:46">
      <c r="A122" s="2">
        <v>121</v>
      </c>
      <c r="B122" s="5">
        <v>45398</v>
      </c>
      <c r="C122" s="5">
        <v>45401</v>
      </c>
      <c r="D122" s="2">
        <f t="shared" si="3"/>
        <v>3</v>
      </c>
      <c r="E122" s="2">
        <v>79</v>
      </c>
      <c r="F122" s="2">
        <v>1</v>
      </c>
      <c r="G122" s="2">
        <v>2</v>
      </c>
      <c r="H122" s="2">
        <v>1</v>
      </c>
      <c r="I122" s="2">
        <v>0</v>
      </c>
      <c r="J122" s="2">
        <v>1</v>
      </c>
      <c r="K122" s="2">
        <v>0</v>
      </c>
      <c r="L122" s="2">
        <v>0</v>
      </c>
      <c r="M122" s="2">
        <v>0</v>
      </c>
      <c r="N122" s="2">
        <v>1</v>
      </c>
      <c r="O122" s="2" t="s">
        <v>224</v>
      </c>
      <c r="P122" t="s">
        <v>179</v>
      </c>
      <c r="Q122" s="2">
        <v>0</v>
      </c>
      <c r="R122" s="2">
        <v>1</v>
      </c>
      <c r="S122" s="5">
        <v>45398</v>
      </c>
      <c r="T122" s="5">
        <v>45398</v>
      </c>
      <c r="U122" s="2">
        <v>0</v>
      </c>
      <c r="V122" s="2">
        <v>0</v>
      </c>
      <c r="W122" s="2">
        <v>0</v>
      </c>
      <c r="X122" s="2">
        <v>0</v>
      </c>
      <c r="Y122" s="2">
        <v>0</v>
      </c>
      <c r="Z122" s="2">
        <v>0</v>
      </c>
      <c r="AA122" s="2">
        <v>0</v>
      </c>
      <c r="AB122" s="2">
        <v>0</v>
      </c>
      <c r="AC122" s="2">
        <v>0</v>
      </c>
      <c r="AD122" s="2">
        <v>1</v>
      </c>
      <c r="AE122" s="2" t="s">
        <v>117</v>
      </c>
      <c r="AF122" s="2">
        <v>0</v>
      </c>
      <c r="AG122" s="2">
        <v>0</v>
      </c>
      <c r="AH122" s="2">
        <v>1</v>
      </c>
      <c r="AI122" s="2">
        <v>1</v>
      </c>
      <c r="AJ122" s="11">
        <v>1</v>
      </c>
      <c r="AK122" s="5">
        <v>45400</v>
      </c>
      <c r="AL122" s="2">
        <v>0</v>
      </c>
      <c r="AM122" s="2">
        <v>0</v>
      </c>
      <c r="AN122" s="2">
        <v>0</v>
      </c>
      <c r="AS122" s="2">
        <v>0</v>
      </c>
      <c r="AT122" s="2" t="s">
        <v>206</v>
      </c>
    </row>
    <row r="123" spans="1:46">
      <c r="A123" s="2">
        <v>122</v>
      </c>
      <c r="B123" s="5">
        <v>45398</v>
      </c>
      <c r="C123" s="5">
        <v>45412</v>
      </c>
      <c r="D123" s="2">
        <f t="shared" si="3"/>
        <v>14</v>
      </c>
      <c r="E123" s="2">
        <v>78</v>
      </c>
      <c r="F123" s="2">
        <v>2</v>
      </c>
      <c r="G123" s="2">
        <v>2</v>
      </c>
      <c r="H123" s="2">
        <v>1</v>
      </c>
      <c r="I123" s="2">
        <v>0</v>
      </c>
      <c r="J123" s="2">
        <v>1</v>
      </c>
      <c r="K123" s="2">
        <v>0</v>
      </c>
      <c r="L123" s="2">
        <v>0</v>
      </c>
      <c r="M123" s="2">
        <v>0</v>
      </c>
      <c r="N123" s="2">
        <v>1</v>
      </c>
      <c r="O123" s="2" t="s">
        <v>225</v>
      </c>
      <c r="P123" t="s">
        <v>179</v>
      </c>
      <c r="Q123" s="2">
        <v>1</v>
      </c>
      <c r="R123" s="2">
        <v>4</v>
      </c>
      <c r="S123" s="5">
        <v>45398</v>
      </c>
      <c r="T123" s="5">
        <v>45404</v>
      </c>
      <c r="U123" s="2">
        <v>0</v>
      </c>
      <c r="V123" s="2">
        <v>0</v>
      </c>
      <c r="W123" s="2">
        <v>0</v>
      </c>
      <c r="X123" s="2">
        <v>0</v>
      </c>
      <c r="Y123" s="2">
        <v>0</v>
      </c>
      <c r="Z123" s="2">
        <v>0</v>
      </c>
      <c r="AA123" s="2">
        <v>0</v>
      </c>
      <c r="AB123" s="2">
        <v>0</v>
      </c>
      <c r="AC123" s="2">
        <v>0</v>
      </c>
      <c r="AD123" s="2">
        <v>1</v>
      </c>
      <c r="AE123" s="2" t="s">
        <v>91</v>
      </c>
      <c r="AF123" s="2">
        <v>1</v>
      </c>
      <c r="AG123" s="2">
        <v>1</v>
      </c>
      <c r="AH123" s="2">
        <v>1</v>
      </c>
      <c r="AI123" s="2">
        <v>1</v>
      </c>
      <c r="AJ123" s="2">
        <v>1</v>
      </c>
      <c r="AK123" s="5">
        <v>45399</v>
      </c>
      <c r="AL123" s="2">
        <v>0</v>
      </c>
      <c r="AM123" s="2">
        <v>1</v>
      </c>
      <c r="AN123" s="2">
        <v>1</v>
      </c>
      <c r="AO123" s="5">
        <v>45404</v>
      </c>
      <c r="AP123" s="2">
        <v>1</v>
      </c>
      <c r="AQ123" s="2">
        <v>1</v>
      </c>
      <c r="AR123" s="2">
        <v>0</v>
      </c>
      <c r="AS123" s="2">
        <v>0</v>
      </c>
      <c r="AT123" s="2" t="s">
        <v>226</v>
      </c>
    </row>
    <row r="124" spans="1:46">
      <c r="A124" s="2">
        <v>123</v>
      </c>
      <c r="B124" s="5">
        <v>45365</v>
      </c>
      <c r="C124" s="5">
        <v>45420</v>
      </c>
      <c r="D124" s="2">
        <f t="shared" si="3"/>
        <v>55</v>
      </c>
      <c r="E124" s="2">
        <v>38</v>
      </c>
      <c r="F124" s="2">
        <v>1</v>
      </c>
      <c r="G124" s="2">
        <v>2</v>
      </c>
      <c r="H124" s="2">
        <v>0</v>
      </c>
      <c r="I124" s="2">
        <v>0</v>
      </c>
      <c r="J124" s="2">
        <v>0</v>
      </c>
      <c r="K124" s="2">
        <v>0</v>
      </c>
      <c r="L124" s="2">
        <v>0</v>
      </c>
      <c r="M124" s="2">
        <v>0</v>
      </c>
      <c r="N124" s="2">
        <v>0</v>
      </c>
      <c r="P124" t="s">
        <v>179</v>
      </c>
      <c r="Q124" s="2">
        <v>0</v>
      </c>
      <c r="R124" s="2">
        <v>1</v>
      </c>
      <c r="S124" s="5">
        <v>45400</v>
      </c>
      <c r="T124" s="5">
        <v>45400</v>
      </c>
      <c r="U124" s="2">
        <v>0</v>
      </c>
      <c r="V124" s="2">
        <v>0</v>
      </c>
      <c r="W124" s="2">
        <v>0</v>
      </c>
      <c r="X124" s="2">
        <v>0</v>
      </c>
      <c r="Y124" s="2">
        <v>0</v>
      </c>
      <c r="Z124" s="2">
        <v>0</v>
      </c>
      <c r="AA124" s="2">
        <v>0</v>
      </c>
      <c r="AB124" s="2">
        <v>0</v>
      </c>
      <c r="AC124" s="2">
        <v>0</v>
      </c>
      <c r="AD124" s="2">
        <v>1</v>
      </c>
      <c r="AE124" s="2" t="s">
        <v>91</v>
      </c>
      <c r="AF124" s="2">
        <v>0</v>
      </c>
      <c r="AG124" s="2">
        <v>1</v>
      </c>
      <c r="AH124" s="2">
        <v>1</v>
      </c>
      <c r="AI124" s="2">
        <v>1</v>
      </c>
      <c r="AJ124" s="2">
        <v>0</v>
      </c>
      <c r="AN124" s="2">
        <v>0</v>
      </c>
      <c r="AS124" s="2">
        <v>1</v>
      </c>
      <c r="AT124" s="2" t="s">
        <v>227</v>
      </c>
    </row>
    <row r="125" spans="1:46">
      <c r="A125" s="8">
        <v>124</v>
      </c>
      <c r="B125" s="5">
        <v>45402</v>
      </c>
      <c r="C125" s="6">
        <v>45408</v>
      </c>
      <c r="D125" s="2">
        <f t="shared" si="3"/>
        <v>6</v>
      </c>
      <c r="E125" s="2">
        <v>86</v>
      </c>
      <c r="F125" s="2">
        <v>2</v>
      </c>
      <c r="G125" s="2">
        <v>2</v>
      </c>
      <c r="H125" s="2">
        <v>0</v>
      </c>
      <c r="I125" s="2">
        <v>0</v>
      </c>
      <c r="J125" s="2">
        <v>0</v>
      </c>
      <c r="K125" s="2">
        <v>0</v>
      </c>
      <c r="L125" s="2">
        <v>0</v>
      </c>
      <c r="M125" s="2">
        <v>0</v>
      </c>
      <c r="N125" s="2">
        <v>0</v>
      </c>
      <c r="P125" t="s">
        <v>195</v>
      </c>
      <c r="Q125" s="2">
        <v>0</v>
      </c>
      <c r="R125" s="2">
        <v>1</v>
      </c>
      <c r="S125" s="5">
        <v>45402</v>
      </c>
      <c r="T125" s="5">
        <v>45402</v>
      </c>
      <c r="U125" s="2">
        <v>0</v>
      </c>
      <c r="V125" s="2">
        <v>0</v>
      </c>
      <c r="W125" s="2">
        <v>0</v>
      </c>
      <c r="X125" s="2">
        <v>0</v>
      </c>
      <c r="Y125" s="2">
        <v>0</v>
      </c>
      <c r="Z125" s="2">
        <v>0</v>
      </c>
      <c r="AA125" s="2">
        <v>0</v>
      </c>
      <c r="AB125" s="2">
        <v>0</v>
      </c>
      <c r="AC125" s="2">
        <v>0</v>
      </c>
      <c r="AD125" s="2">
        <v>1</v>
      </c>
      <c r="AE125" s="2" t="s">
        <v>91</v>
      </c>
      <c r="AF125" s="2">
        <v>0</v>
      </c>
      <c r="AG125" s="2">
        <v>1</v>
      </c>
      <c r="AH125" s="2">
        <v>1</v>
      </c>
      <c r="AI125" s="2">
        <v>1</v>
      </c>
      <c r="AJ125" s="2">
        <v>0</v>
      </c>
      <c r="AN125" s="2">
        <v>0</v>
      </c>
      <c r="AS125" s="2">
        <v>0</v>
      </c>
      <c r="AT125" s="2" t="s">
        <v>206</v>
      </c>
    </row>
    <row r="126" spans="1:46">
      <c r="A126" s="2">
        <v>125</v>
      </c>
      <c r="B126" s="5">
        <v>45405</v>
      </c>
      <c r="C126" s="5">
        <v>45413</v>
      </c>
      <c r="D126" s="2">
        <f t="shared" si="3"/>
        <v>8</v>
      </c>
      <c r="E126" s="2">
        <v>58</v>
      </c>
      <c r="F126" s="2">
        <v>2</v>
      </c>
      <c r="G126" s="2">
        <v>2</v>
      </c>
      <c r="H126" s="2">
        <v>1</v>
      </c>
      <c r="I126" s="2">
        <v>0</v>
      </c>
      <c r="J126" s="2">
        <v>0</v>
      </c>
      <c r="K126" s="2">
        <v>0</v>
      </c>
      <c r="L126" s="2">
        <v>0</v>
      </c>
      <c r="M126" s="2">
        <v>0</v>
      </c>
      <c r="N126" s="2">
        <v>1</v>
      </c>
      <c r="O126" s="2" t="s">
        <v>166</v>
      </c>
      <c r="P126" t="s">
        <v>215</v>
      </c>
      <c r="Q126" s="2">
        <v>0</v>
      </c>
      <c r="R126" s="2">
        <v>1</v>
      </c>
      <c r="S126" s="5">
        <v>45405</v>
      </c>
      <c r="T126" s="5">
        <v>45405</v>
      </c>
      <c r="U126" s="2">
        <v>0</v>
      </c>
      <c r="V126" s="2">
        <v>0</v>
      </c>
      <c r="W126" s="2">
        <v>0</v>
      </c>
      <c r="X126" s="2">
        <v>0</v>
      </c>
      <c r="Y126" s="2">
        <v>0</v>
      </c>
      <c r="Z126" s="2">
        <v>0</v>
      </c>
      <c r="AA126" s="2">
        <v>0</v>
      </c>
      <c r="AB126" s="2">
        <v>0</v>
      </c>
      <c r="AC126" s="2">
        <v>0</v>
      </c>
      <c r="AD126" s="2">
        <v>1</v>
      </c>
      <c r="AE126" s="2" t="s">
        <v>91</v>
      </c>
      <c r="AF126" s="2">
        <v>0</v>
      </c>
      <c r="AG126" s="2">
        <v>0</v>
      </c>
      <c r="AH126" s="2">
        <v>1</v>
      </c>
      <c r="AI126" s="2">
        <v>1</v>
      </c>
      <c r="AJ126" s="2">
        <v>0</v>
      </c>
      <c r="AN126" s="2">
        <v>0</v>
      </c>
      <c r="AS126" s="2">
        <v>0</v>
      </c>
      <c r="AT126" s="2" t="s">
        <v>206</v>
      </c>
    </row>
    <row r="127" spans="1:46">
      <c r="A127" s="2">
        <v>126</v>
      </c>
      <c r="B127" s="5">
        <v>45406</v>
      </c>
      <c r="C127" s="5">
        <v>45412</v>
      </c>
      <c r="D127" s="2">
        <f t="shared" si="3"/>
        <v>6</v>
      </c>
      <c r="E127" s="2">
        <v>28</v>
      </c>
      <c r="F127" s="2">
        <v>1</v>
      </c>
      <c r="G127" s="2">
        <v>2</v>
      </c>
      <c r="H127" s="2">
        <v>0</v>
      </c>
      <c r="I127" s="2">
        <v>0</v>
      </c>
      <c r="J127" s="2">
        <v>0</v>
      </c>
      <c r="K127" s="2">
        <v>0</v>
      </c>
      <c r="L127" s="2">
        <v>0</v>
      </c>
      <c r="M127" s="2">
        <v>0</v>
      </c>
      <c r="N127" s="2">
        <v>0</v>
      </c>
      <c r="P127" t="s">
        <v>208</v>
      </c>
      <c r="Q127" s="2">
        <v>0</v>
      </c>
      <c r="R127" s="2">
        <v>1</v>
      </c>
      <c r="S127" s="5">
        <v>45406</v>
      </c>
      <c r="T127" s="5">
        <v>45406</v>
      </c>
      <c r="U127" s="2">
        <v>0</v>
      </c>
      <c r="V127" s="2">
        <v>0</v>
      </c>
      <c r="W127" s="2">
        <v>0</v>
      </c>
      <c r="X127" s="2">
        <v>0</v>
      </c>
      <c r="Y127" s="2">
        <v>0</v>
      </c>
      <c r="Z127" s="2">
        <v>0</v>
      </c>
      <c r="AA127" s="2">
        <v>0</v>
      </c>
      <c r="AB127" s="2">
        <v>0</v>
      </c>
      <c r="AC127" s="2">
        <v>0</v>
      </c>
      <c r="AD127" s="2">
        <v>1</v>
      </c>
      <c r="AE127" s="2" t="s">
        <v>91</v>
      </c>
      <c r="AF127" s="2">
        <v>0</v>
      </c>
      <c r="AG127" s="2">
        <v>0</v>
      </c>
      <c r="AH127" s="2">
        <v>1</v>
      </c>
      <c r="AI127" s="2">
        <v>1</v>
      </c>
      <c r="AJ127" s="2">
        <v>0</v>
      </c>
      <c r="AN127" s="2">
        <v>0</v>
      </c>
      <c r="AS127" s="2">
        <v>0</v>
      </c>
      <c r="AT127" s="2" t="s">
        <v>206</v>
      </c>
    </row>
    <row r="128" spans="1:46">
      <c r="A128" s="2">
        <v>127</v>
      </c>
      <c r="B128" s="5">
        <v>45407</v>
      </c>
      <c r="C128" s="5">
        <v>45431</v>
      </c>
      <c r="D128" s="2">
        <f t="shared" si="3"/>
        <v>24</v>
      </c>
      <c r="E128" s="2">
        <v>89</v>
      </c>
      <c r="F128" s="2">
        <v>2</v>
      </c>
      <c r="G128" s="2">
        <v>3</v>
      </c>
      <c r="H128" s="2">
        <v>0</v>
      </c>
      <c r="I128" s="2">
        <v>0</v>
      </c>
      <c r="J128" s="2">
        <v>0</v>
      </c>
      <c r="K128" s="2">
        <v>0</v>
      </c>
      <c r="L128" s="2">
        <v>0</v>
      </c>
      <c r="M128" s="2">
        <v>0</v>
      </c>
      <c r="N128" s="2">
        <v>0</v>
      </c>
      <c r="P128" t="s">
        <v>195</v>
      </c>
      <c r="Q128" s="2">
        <v>0</v>
      </c>
      <c r="R128" s="2">
        <v>1</v>
      </c>
      <c r="S128" s="5">
        <v>45407</v>
      </c>
      <c r="T128" s="5">
        <v>45407</v>
      </c>
      <c r="U128" s="2">
        <v>0</v>
      </c>
      <c r="V128" s="2">
        <v>0</v>
      </c>
      <c r="W128" s="2">
        <v>0</v>
      </c>
      <c r="X128" s="2">
        <v>0</v>
      </c>
      <c r="Y128" s="2">
        <v>0</v>
      </c>
      <c r="Z128" s="2">
        <v>0</v>
      </c>
      <c r="AA128" s="2">
        <v>0</v>
      </c>
      <c r="AB128" s="2">
        <v>0</v>
      </c>
      <c r="AC128" s="2">
        <v>0</v>
      </c>
      <c r="AD128" s="2">
        <v>1</v>
      </c>
      <c r="AE128" s="2" t="s">
        <v>217</v>
      </c>
      <c r="AF128" s="2">
        <v>0</v>
      </c>
      <c r="AG128" s="2">
        <v>0</v>
      </c>
      <c r="AH128" s="2">
        <v>1</v>
      </c>
      <c r="AI128" s="2">
        <v>1</v>
      </c>
      <c r="AJ128" s="11">
        <v>1</v>
      </c>
      <c r="AK128" s="5">
        <v>45419</v>
      </c>
      <c r="AL128" s="2">
        <v>0</v>
      </c>
      <c r="AM128" s="2">
        <v>1</v>
      </c>
      <c r="AN128" s="2">
        <v>0</v>
      </c>
      <c r="AS128" s="2">
        <v>0</v>
      </c>
      <c r="AT128" s="2" t="s">
        <v>228</v>
      </c>
    </row>
    <row r="129" spans="1:46">
      <c r="A129" s="8">
        <v>128</v>
      </c>
      <c r="B129" s="5">
        <v>45408</v>
      </c>
      <c r="C129" s="6">
        <v>45429</v>
      </c>
      <c r="D129" s="2">
        <f t="shared" si="3"/>
        <v>21</v>
      </c>
      <c r="E129" s="2">
        <v>88</v>
      </c>
      <c r="F129" s="2">
        <v>2</v>
      </c>
      <c r="G129" s="2">
        <v>2</v>
      </c>
      <c r="H129" s="2">
        <v>1</v>
      </c>
      <c r="I129" s="2">
        <v>0</v>
      </c>
      <c r="J129" s="2">
        <v>0</v>
      </c>
      <c r="K129" s="2">
        <v>1</v>
      </c>
      <c r="L129" s="2">
        <v>0</v>
      </c>
      <c r="M129" s="2">
        <v>0</v>
      </c>
      <c r="N129" s="2">
        <v>1</v>
      </c>
      <c r="O129" s="2" t="s">
        <v>181</v>
      </c>
      <c r="P129" t="s">
        <v>179</v>
      </c>
      <c r="Q129" s="2">
        <v>0</v>
      </c>
      <c r="R129" s="2">
        <v>1</v>
      </c>
      <c r="S129" s="5">
        <v>45408</v>
      </c>
      <c r="T129" s="5">
        <v>45408</v>
      </c>
      <c r="U129" s="2">
        <v>0</v>
      </c>
      <c r="V129" s="2">
        <v>0</v>
      </c>
      <c r="W129" s="2">
        <v>0</v>
      </c>
      <c r="X129" s="2">
        <v>0</v>
      </c>
      <c r="Y129" s="2">
        <v>0</v>
      </c>
      <c r="Z129" s="2">
        <v>0</v>
      </c>
      <c r="AA129" s="2">
        <v>0</v>
      </c>
      <c r="AB129" s="2">
        <v>0</v>
      </c>
      <c r="AC129" s="2">
        <v>0</v>
      </c>
      <c r="AD129" s="2">
        <v>1</v>
      </c>
      <c r="AE129" s="2" t="s">
        <v>229</v>
      </c>
      <c r="AF129" s="2">
        <v>0</v>
      </c>
      <c r="AG129" s="2">
        <v>0</v>
      </c>
      <c r="AH129" s="2">
        <v>1</v>
      </c>
      <c r="AI129" s="2">
        <v>0</v>
      </c>
      <c r="AJ129" s="2">
        <v>1</v>
      </c>
      <c r="AK129" s="5">
        <v>45419</v>
      </c>
      <c r="AL129" s="2">
        <v>0</v>
      </c>
      <c r="AM129" s="2">
        <v>1</v>
      </c>
      <c r="AN129" s="2">
        <v>0</v>
      </c>
      <c r="AS129" s="2">
        <v>0</v>
      </c>
      <c r="AT129" s="2" t="s">
        <v>206</v>
      </c>
    </row>
    <row r="130" spans="1:46">
      <c r="A130" s="2">
        <v>129</v>
      </c>
      <c r="B130" s="5">
        <v>45409</v>
      </c>
      <c r="C130" s="5">
        <v>45413</v>
      </c>
      <c r="D130" s="2">
        <f t="shared" si="3"/>
        <v>4</v>
      </c>
      <c r="E130" s="2">
        <v>43</v>
      </c>
      <c r="F130" s="2">
        <v>2</v>
      </c>
      <c r="G130" s="2">
        <v>2</v>
      </c>
      <c r="H130" s="2">
        <v>1</v>
      </c>
      <c r="I130" s="2">
        <v>0</v>
      </c>
      <c r="J130" s="2">
        <v>0</v>
      </c>
      <c r="K130" s="2">
        <v>0</v>
      </c>
      <c r="L130" s="2">
        <v>0</v>
      </c>
      <c r="M130" s="2">
        <v>0</v>
      </c>
      <c r="N130" s="2">
        <v>1</v>
      </c>
      <c r="O130" s="2" t="s">
        <v>230</v>
      </c>
      <c r="P130" t="s">
        <v>208</v>
      </c>
      <c r="Q130" s="2">
        <v>0</v>
      </c>
      <c r="R130" s="2">
        <v>1</v>
      </c>
      <c r="S130" s="5">
        <v>45409</v>
      </c>
      <c r="T130" s="5">
        <v>45409</v>
      </c>
      <c r="U130" s="2">
        <v>0</v>
      </c>
      <c r="V130" s="2">
        <v>0</v>
      </c>
      <c r="W130" s="2">
        <v>0</v>
      </c>
      <c r="X130" s="2">
        <v>0</v>
      </c>
      <c r="Y130" s="2">
        <v>0</v>
      </c>
      <c r="Z130" s="2">
        <v>0</v>
      </c>
      <c r="AA130" s="2">
        <v>0</v>
      </c>
      <c r="AB130" s="2">
        <v>0</v>
      </c>
      <c r="AC130" s="2">
        <v>0</v>
      </c>
      <c r="AD130" s="2">
        <v>1</v>
      </c>
      <c r="AE130" s="2" t="s">
        <v>91</v>
      </c>
      <c r="AF130" s="2">
        <v>0</v>
      </c>
      <c r="AG130" s="2">
        <v>0</v>
      </c>
      <c r="AH130" s="2">
        <v>1</v>
      </c>
      <c r="AI130" s="2">
        <v>1</v>
      </c>
      <c r="AJ130" s="2">
        <v>1</v>
      </c>
      <c r="AK130" s="5">
        <v>45411</v>
      </c>
      <c r="AL130" s="2">
        <v>0</v>
      </c>
      <c r="AM130" s="2">
        <v>0</v>
      </c>
      <c r="AN130" s="2">
        <v>0</v>
      </c>
      <c r="AS130" s="2">
        <v>0</v>
      </c>
      <c r="AT130" s="2" t="s">
        <v>206</v>
      </c>
    </row>
    <row r="131" spans="1:46">
      <c r="A131" s="2">
        <v>130</v>
      </c>
      <c r="B131" s="5">
        <v>45412</v>
      </c>
      <c r="C131" s="5">
        <v>45419</v>
      </c>
      <c r="D131" s="2">
        <f t="shared" si="3"/>
        <v>7</v>
      </c>
      <c r="E131" s="2">
        <v>92</v>
      </c>
      <c r="F131" s="2">
        <v>1</v>
      </c>
      <c r="G131" s="2">
        <v>2</v>
      </c>
      <c r="H131" s="2">
        <v>0</v>
      </c>
      <c r="I131" s="2">
        <v>0</v>
      </c>
      <c r="J131" s="2">
        <v>0</v>
      </c>
      <c r="K131" s="2">
        <v>0</v>
      </c>
      <c r="L131" s="2">
        <v>0</v>
      </c>
      <c r="M131" s="2">
        <v>0</v>
      </c>
      <c r="N131" s="2">
        <v>0</v>
      </c>
      <c r="P131" t="s">
        <v>208</v>
      </c>
      <c r="Q131" s="2">
        <v>0</v>
      </c>
      <c r="R131" s="2">
        <v>1</v>
      </c>
      <c r="S131" s="5">
        <v>45412</v>
      </c>
      <c r="T131" s="5">
        <v>45412</v>
      </c>
      <c r="U131" s="2">
        <v>0</v>
      </c>
      <c r="V131" s="2">
        <v>0</v>
      </c>
      <c r="W131" s="2">
        <v>0</v>
      </c>
      <c r="X131" s="2">
        <v>0</v>
      </c>
      <c r="Y131" s="2">
        <v>0</v>
      </c>
      <c r="Z131" s="2">
        <v>0</v>
      </c>
      <c r="AA131" s="2">
        <v>0</v>
      </c>
      <c r="AB131" s="2">
        <v>0</v>
      </c>
      <c r="AC131" s="2">
        <v>0</v>
      </c>
      <c r="AD131" s="2">
        <v>1</v>
      </c>
      <c r="AE131" s="2" t="s">
        <v>68</v>
      </c>
      <c r="AF131" s="2">
        <v>0</v>
      </c>
      <c r="AG131" s="2">
        <v>0</v>
      </c>
      <c r="AH131" s="2">
        <v>1</v>
      </c>
      <c r="AI131" s="2">
        <v>1</v>
      </c>
      <c r="AJ131" s="2">
        <v>0</v>
      </c>
      <c r="AN131" s="2">
        <v>0</v>
      </c>
      <c r="AS131" s="2">
        <v>0</v>
      </c>
      <c r="AT131" s="2" t="s">
        <v>231</v>
      </c>
    </row>
    <row r="132" spans="1:46">
      <c r="A132" s="2">
        <v>131</v>
      </c>
      <c r="B132" s="5">
        <v>45352</v>
      </c>
      <c r="C132" s="5">
        <v>45359</v>
      </c>
      <c r="D132" s="2">
        <f t="shared" si="3"/>
        <v>7</v>
      </c>
      <c r="E132" s="2">
        <v>82</v>
      </c>
      <c r="F132" s="2">
        <v>2</v>
      </c>
      <c r="G132" s="2">
        <v>2</v>
      </c>
      <c r="H132" s="2">
        <v>0</v>
      </c>
      <c r="I132" s="2">
        <v>0</v>
      </c>
      <c r="J132" s="2">
        <v>0</v>
      </c>
      <c r="K132" s="2">
        <v>0</v>
      </c>
      <c r="L132" s="2">
        <v>0</v>
      </c>
      <c r="M132" s="2">
        <v>0</v>
      </c>
      <c r="N132" s="2">
        <v>0</v>
      </c>
      <c r="P132" t="s">
        <v>208</v>
      </c>
      <c r="Q132" s="2">
        <v>0</v>
      </c>
      <c r="R132" s="2">
        <v>1</v>
      </c>
      <c r="S132" s="5">
        <v>45352</v>
      </c>
      <c r="T132" s="5">
        <v>45352</v>
      </c>
      <c r="U132" s="2">
        <v>0</v>
      </c>
      <c r="V132" s="2">
        <v>0</v>
      </c>
      <c r="W132" s="2">
        <v>0</v>
      </c>
      <c r="X132" s="2">
        <v>0</v>
      </c>
      <c r="Y132" s="2">
        <v>0</v>
      </c>
      <c r="Z132" s="2">
        <v>0</v>
      </c>
      <c r="AA132" s="2">
        <v>0</v>
      </c>
      <c r="AB132" s="2">
        <v>0</v>
      </c>
      <c r="AC132" s="2">
        <v>0</v>
      </c>
      <c r="AD132" s="2">
        <v>1</v>
      </c>
      <c r="AE132" s="2" t="s">
        <v>117</v>
      </c>
      <c r="AF132" s="2">
        <v>0</v>
      </c>
      <c r="AG132" s="2">
        <v>0</v>
      </c>
      <c r="AH132" s="2">
        <v>1</v>
      </c>
      <c r="AI132" s="2">
        <v>1</v>
      </c>
      <c r="AJ132" s="2">
        <v>0</v>
      </c>
      <c r="AN132" s="2">
        <v>0</v>
      </c>
      <c r="AS132" s="2">
        <v>0</v>
      </c>
      <c r="AT132" s="2" t="s">
        <v>231</v>
      </c>
    </row>
    <row r="133" spans="1:46">
      <c r="A133" s="2">
        <v>132</v>
      </c>
      <c r="B133" s="5">
        <v>45353</v>
      </c>
      <c r="C133" s="5">
        <v>45360</v>
      </c>
      <c r="D133" s="2">
        <f t="shared" si="3"/>
        <v>7</v>
      </c>
      <c r="E133" s="2">
        <v>44</v>
      </c>
      <c r="F133" s="2">
        <v>2</v>
      </c>
      <c r="G133" s="2">
        <v>3</v>
      </c>
      <c r="H133" s="2">
        <v>1</v>
      </c>
      <c r="I133" s="2">
        <v>0</v>
      </c>
      <c r="J133" s="2">
        <v>0</v>
      </c>
      <c r="K133" s="2">
        <v>0</v>
      </c>
      <c r="L133" s="2">
        <v>1</v>
      </c>
      <c r="M133" s="2">
        <v>0</v>
      </c>
      <c r="N133" s="2">
        <v>0</v>
      </c>
      <c r="P133" t="s">
        <v>195</v>
      </c>
      <c r="Q133" s="2">
        <v>0</v>
      </c>
      <c r="R133" s="2">
        <v>1</v>
      </c>
      <c r="S133" s="5">
        <v>45353</v>
      </c>
      <c r="T133" s="5">
        <v>45353</v>
      </c>
      <c r="U133" s="2">
        <v>0</v>
      </c>
      <c r="V133" s="2">
        <v>0</v>
      </c>
      <c r="W133" s="2">
        <v>0</v>
      </c>
      <c r="X133" s="2">
        <v>0</v>
      </c>
      <c r="Y133" s="2">
        <v>0</v>
      </c>
      <c r="Z133" s="2">
        <v>0</v>
      </c>
      <c r="AA133" s="2">
        <v>0</v>
      </c>
      <c r="AB133" s="2">
        <v>0</v>
      </c>
      <c r="AC133" s="2">
        <v>0</v>
      </c>
      <c r="AD133" s="2">
        <v>1</v>
      </c>
      <c r="AE133" s="2" t="s">
        <v>91</v>
      </c>
      <c r="AF133" s="2">
        <v>0</v>
      </c>
      <c r="AG133" s="2">
        <v>1</v>
      </c>
      <c r="AH133" s="2">
        <v>1</v>
      </c>
      <c r="AI133" s="2">
        <v>1</v>
      </c>
      <c r="AJ133" s="2">
        <v>0</v>
      </c>
      <c r="AN133" s="2">
        <v>0</v>
      </c>
      <c r="AS133" s="2">
        <v>0</v>
      </c>
      <c r="AT133" s="2" t="s">
        <v>232</v>
      </c>
    </row>
    <row r="134" spans="1:46">
      <c r="A134" s="2">
        <v>133</v>
      </c>
      <c r="B134" s="5">
        <v>45354</v>
      </c>
      <c r="C134" s="5">
        <v>45365</v>
      </c>
      <c r="D134" s="2">
        <f t="shared" si="3"/>
        <v>11</v>
      </c>
      <c r="E134" s="2">
        <v>65</v>
      </c>
      <c r="F134" s="2">
        <v>1</v>
      </c>
      <c r="G134" s="2">
        <v>2</v>
      </c>
      <c r="H134" s="2">
        <v>0</v>
      </c>
      <c r="I134" s="2">
        <v>0</v>
      </c>
      <c r="J134" s="2">
        <v>0</v>
      </c>
      <c r="K134" s="2">
        <v>0</v>
      </c>
      <c r="L134" s="2">
        <v>0</v>
      </c>
      <c r="M134" s="2">
        <v>0</v>
      </c>
      <c r="N134" s="2">
        <v>0</v>
      </c>
      <c r="P134" t="s">
        <v>179</v>
      </c>
      <c r="Q134" s="2">
        <v>0</v>
      </c>
      <c r="R134" s="2">
        <v>1</v>
      </c>
      <c r="S134" s="5">
        <v>45354</v>
      </c>
      <c r="T134" s="5">
        <v>45354</v>
      </c>
      <c r="U134" s="2">
        <v>0</v>
      </c>
      <c r="V134" s="2">
        <v>0</v>
      </c>
      <c r="W134" s="2">
        <v>0</v>
      </c>
      <c r="X134" s="2">
        <v>0</v>
      </c>
      <c r="Y134" s="2">
        <v>0</v>
      </c>
      <c r="Z134" s="2">
        <v>0</v>
      </c>
      <c r="AA134" s="2">
        <v>0</v>
      </c>
      <c r="AB134" s="2">
        <v>0</v>
      </c>
      <c r="AC134" s="2">
        <v>0</v>
      </c>
      <c r="AD134" s="2">
        <v>1</v>
      </c>
      <c r="AE134" s="2" t="s">
        <v>233</v>
      </c>
      <c r="AF134" s="2">
        <v>0</v>
      </c>
      <c r="AG134" s="2">
        <v>0</v>
      </c>
      <c r="AH134" s="2">
        <v>1</v>
      </c>
      <c r="AI134" s="2">
        <v>1</v>
      </c>
      <c r="AJ134" s="2">
        <v>1</v>
      </c>
      <c r="AK134" s="5">
        <v>45357</v>
      </c>
      <c r="AL134" s="2">
        <v>0</v>
      </c>
      <c r="AM134" s="2">
        <v>0</v>
      </c>
      <c r="AN134" s="2">
        <v>0</v>
      </c>
      <c r="AS134" s="2">
        <v>0</v>
      </c>
      <c r="AT134" s="2" t="s">
        <v>206</v>
      </c>
    </row>
    <row r="135" spans="1:46">
      <c r="A135" s="2">
        <v>134</v>
      </c>
      <c r="B135" s="5">
        <v>45354</v>
      </c>
      <c r="C135" s="5">
        <v>45358</v>
      </c>
      <c r="D135" s="2">
        <f t="shared" si="3"/>
        <v>4</v>
      </c>
      <c r="E135" s="2">
        <v>77</v>
      </c>
      <c r="F135" s="2">
        <v>2</v>
      </c>
      <c r="G135" s="2">
        <v>3</v>
      </c>
      <c r="H135" s="2">
        <v>0</v>
      </c>
      <c r="I135" s="2">
        <v>0</v>
      </c>
      <c r="J135" s="2">
        <v>0</v>
      </c>
      <c r="K135" s="2">
        <v>0</v>
      </c>
      <c r="L135" s="2">
        <v>0</v>
      </c>
      <c r="M135" s="2">
        <v>0</v>
      </c>
      <c r="N135" s="2">
        <v>0</v>
      </c>
      <c r="P135" t="s">
        <v>208</v>
      </c>
      <c r="Q135" s="2">
        <v>0</v>
      </c>
      <c r="R135" s="2">
        <v>1</v>
      </c>
      <c r="S135" s="5">
        <v>45354</v>
      </c>
      <c r="T135" s="5">
        <v>45354</v>
      </c>
      <c r="U135" s="2">
        <v>0</v>
      </c>
      <c r="V135" s="2">
        <v>0</v>
      </c>
      <c r="W135" s="2">
        <v>0</v>
      </c>
      <c r="X135" s="2">
        <v>0</v>
      </c>
      <c r="Y135" s="2">
        <v>0</v>
      </c>
      <c r="Z135" s="2">
        <v>0</v>
      </c>
      <c r="AA135" s="2">
        <v>0</v>
      </c>
      <c r="AB135" s="2">
        <v>0</v>
      </c>
      <c r="AC135" s="2">
        <v>0</v>
      </c>
      <c r="AD135" s="2">
        <v>1</v>
      </c>
      <c r="AE135" s="2" t="s">
        <v>91</v>
      </c>
      <c r="AF135" s="2">
        <v>0</v>
      </c>
      <c r="AG135" s="2">
        <v>1</v>
      </c>
      <c r="AH135" s="2">
        <v>1</v>
      </c>
      <c r="AI135" s="2">
        <v>1</v>
      </c>
      <c r="AJ135" s="2">
        <v>1</v>
      </c>
      <c r="AK135" s="5">
        <v>45357</v>
      </c>
      <c r="AL135" s="2">
        <v>0</v>
      </c>
      <c r="AM135" s="2">
        <v>0</v>
      </c>
      <c r="AN135" s="2">
        <v>0</v>
      </c>
      <c r="AS135" s="2">
        <v>0</v>
      </c>
      <c r="AT135" s="2" t="s">
        <v>206</v>
      </c>
    </row>
    <row r="136" spans="1:46">
      <c r="A136" s="2">
        <v>135</v>
      </c>
      <c r="B136" s="5">
        <v>45356</v>
      </c>
      <c r="C136" s="5">
        <v>45363</v>
      </c>
      <c r="D136" s="2">
        <f t="shared" si="3"/>
        <v>7</v>
      </c>
      <c r="E136" s="2">
        <v>70</v>
      </c>
      <c r="F136" s="2">
        <v>1</v>
      </c>
      <c r="G136" s="2">
        <v>2</v>
      </c>
      <c r="H136" s="2">
        <v>0</v>
      </c>
      <c r="I136" s="2">
        <v>0</v>
      </c>
      <c r="J136" s="2">
        <v>0</v>
      </c>
      <c r="K136" s="2">
        <v>0</v>
      </c>
      <c r="L136" s="2">
        <v>0</v>
      </c>
      <c r="M136" s="2">
        <v>0</v>
      </c>
      <c r="N136" s="2">
        <v>0</v>
      </c>
      <c r="P136" t="s">
        <v>179</v>
      </c>
      <c r="Q136" s="2">
        <v>0</v>
      </c>
      <c r="R136" s="2">
        <v>1</v>
      </c>
      <c r="S136" s="5">
        <v>45356</v>
      </c>
      <c r="T136" s="5">
        <v>45356</v>
      </c>
      <c r="U136" s="2">
        <v>0</v>
      </c>
      <c r="V136" s="2">
        <v>0</v>
      </c>
      <c r="W136" s="2">
        <v>0</v>
      </c>
      <c r="X136" s="2">
        <v>0</v>
      </c>
      <c r="Y136" s="2">
        <v>0</v>
      </c>
      <c r="Z136" s="2">
        <v>0</v>
      </c>
      <c r="AA136" s="2">
        <v>0</v>
      </c>
      <c r="AB136" s="2">
        <v>0</v>
      </c>
      <c r="AC136" s="2">
        <v>0</v>
      </c>
      <c r="AD136" s="2">
        <v>1</v>
      </c>
      <c r="AE136" s="2" t="s">
        <v>68</v>
      </c>
      <c r="AF136" s="2">
        <v>0</v>
      </c>
      <c r="AG136" s="2">
        <v>0</v>
      </c>
      <c r="AH136" s="2">
        <v>1</v>
      </c>
      <c r="AI136" s="2">
        <v>1</v>
      </c>
      <c r="AJ136" s="2">
        <v>1</v>
      </c>
      <c r="AK136" s="5">
        <v>45362</v>
      </c>
      <c r="AL136" s="2">
        <v>0</v>
      </c>
      <c r="AM136" s="2">
        <v>1</v>
      </c>
      <c r="AN136" s="2">
        <v>0</v>
      </c>
      <c r="AS136" s="2">
        <v>0</v>
      </c>
      <c r="AT136" s="2" t="s">
        <v>234</v>
      </c>
    </row>
    <row r="137" spans="1:46">
      <c r="A137" s="2">
        <v>136</v>
      </c>
      <c r="B137" s="5">
        <v>45357</v>
      </c>
      <c r="C137" s="5">
        <v>45360</v>
      </c>
      <c r="D137" s="2">
        <f t="shared" si="3"/>
        <v>3</v>
      </c>
      <c r="E137" s="2">
        <v>70</v>
      </c>
      <c r="F137" s="2">
        <v>1</v>
      </c>
      <c r="G137" s="2">
        <v>3</v>
      </c>
      <c r="H137" s="2">
        <v>0</v>
      </c>
      <c r="I137" s="2">
        <v>0</v>
      </c>
      <c r="J137" s="2">
        <v>0</v>
      </c>
      <c r="K137" s="2">
        <v>0</v>
      </c>
      <c r="L137" s="2">
        <v>0</v>
      </c>
      <c r="M137" s="2">
        <v>0</v>
      </c>
      <c r="N137" s="2">
        <v>0</v>
      </c>
      <c r="P137" t="s">
        <v>195</v>
      </c>
      <c r="Q137" s="2">
        <v>0</v>
      </c>
      <c r="R137" s="2">
        <v>1</v>
      </c>
      <c r="S137" s="5">
        <v>45357</v>
      </c>
      <c r="T137" s="5">
        <v>45357</v>
      </c>
      <c r="U137" s="2">
        <v>0</v>
      </c>
      <c r="V137" s="2">
        <v>0</v>
      </c>
      <c r="W137" s="2">
        <v>0</v>
      </c>
      <c r="X137" s="2">
        <v>0</v>
      </c>
      <c r="Y137" s="2">
        <v>0</v>
      </c>
      <c r="Z137" s="2">
        <v>0</v>
      </c>
      <c r="AA137" s="2">
        <v>0</v>
      </c>
      <c r="AB137" s="2">
        <v>0</v>
      </c>
      <c r="AC137" s="2">
        <v>0</v>
      </c>
      <c r="AD137" s="2">
        <v>1</v>
      </c>
      <c r="AE137" s="2" t="s">
        <v>117</v>
      </c>
      <c r="AF137" s="2">
        <v>0</v>
      </c>
      <c r="AG137" s="2">
        <v>0</v>
      </c>
      <c r="AH137" s="2">
        <v>1</v>
      </c>
      <c r="AI137" s="2">
        <v>1</v>
      </c>
      <c r="AJ137" s="2">
        <v>0</v>
      </c>
      <c r="AN137" s="2">
        <v>0</v>
      </c>
      <c r="AS137" s="2">
        <v>0</v>
      </c>
      <c r="AT137" s="2" t="s">
        <v>235</v>
      </c>
    </row>
    <row r="138" spans="1:46">
      <c r="A138" s="2">
        <v>137</v>
      </c>
      <c r="B138" s="5">
        <v>45359</v>
      </c>
      <c r="C138" s="5">
        <v>45362</v>
      </c>
      <c r="D138" s="2">
        <f t="shared" si="3"/>
        <v>3</v>
      </c>
      <c r="E138" s="2">
        <v>75</v>
      </c>
      <c r="F138" s="2">
        <v>1</v>
      </c>
      <c r="G138" s="2">
        <v>3</v>
      </c>
      <c r="H138" s="2">
        <v>1</v>
      </c>
      <c r="I138" s="2">
        <v>0</v>
      </c>
      <c r="J138" s="2">
        <v>0</v>
      </c>
      <c r="K138" s="2">
        <v>0</v>
      </c>
      <c r="L138" s="2">
        <v>0</v>
      </c>
      <c r="M138" s="2">
        <v>0</v>
      </c>
      <c r="N138" s="2">
        <v>1</v>
      </c>
      <c r="O138" s="2" t="s">
        <v>70</v>
      </c>
      <c r="P138" t="s">
        <v>195</v>
      </c>
      <c r="Q138" s="2">
        <v>0</v>
      </c>
      <c r="R138" s="2">
        <v>1</v>
      </c>
      <c r="S138" s="5">
        <v>45359</v>
      </c>
      <c r="T138" s="5">
        <v>45359</v>
      </c>
      <c r="U138" s="2">
        <v>0</v>
      </c>
      <c r="V138" s="2">
        <v>0</v>
      </c>
      <c r="W138" s="2">
        <v>0</v>
      </c>
      <c r="X138" s="2">
        <v>0</v>
      </c>
      <c r="Y138" s="2">
        <v>0</v>
      </c>
      <c r="Z138" s="2">
        <v>0</v>
      </c>
      <c r="AA138" s="2">
        <v>0</v>
      </c>
      <c r="AB138" s="2">
        <v>0</v>
      </c>
      <c r="AC138" s="2">
        <v>0</v>
      </c>
      <c r="AD138" s="2">
        <v>1</v>
      </c>
      <c r="AE138" s="2" t="s">
        <v>117</v>
      </c>
      <c r="AF138" s="2">
        <v>0</v>
      </c>
      <c r="AG138" s="2">
        <v>0</v>
      </c>
      <c r="AH138" s="2">
        <v>1</v>
      </c>
      <c r="AI138" s="2">
        <v>1</v>
      </c>
      <c r="AJ138" s="11">
        <v>1</v>
      </c>
      <c r="AK138" s="5">
        <v>45361</v>
      </c>
      <c r="AL138" s="2">
        <v>0</v>
      </c>
      <c r="AM138" s="2">
        <v>1</v>
      </c>
      <c r="AN138" s="2">
        <v>0</v>
      </c>
      <c r="AS138" s="2">
        <v>0</v>
      </c>
      <c r="AT138" s="2" t="s">
        <v>236</v>
      </c>
    </row>
    <row r="139" spans="1:46">
      <c r="A139" s="2">
        <v>138</v>
      </c>
      <c r="B139" s="5">
        <v>45359</v>
      </c>
      <c r="C139" s="5">
        <v>45362</v>
      </c>
      <c r="D139" s="2">
        <f t="shared" si="3"/>
        <v>3</v>
      </c>
      <c r="E139" s="2">
        <v>60</v>
      </c>
      <c r="F139" s="2">
        <v>2</v>
      </c>
      <c r="G139" s="2">
        <v>3</v>
      </c>
      <c r="H139" s="2">
        <v>0</v>
      </c>
      <c r="I139" s="2">
        <v>0</v>
      </c>
      <c r="J139" s="2">
        <v>0</v>
      </c>
      <c r="K139" s="2">
        <v>0</v>
      </c>
      <c r="L139" s="2">
        <v>0</v>
      </c>
      <c r="M139" s="2">
        <v>0</v>
      </c>
      <c r="N139" s="2">
        <v>0</v>
      </c>
      <c r="P139" t="s">
        <v>195</v>
      </c>
      <c r="Q139" s="2">
        <v>0</v>
      </c>
      <c r="R139" s="2">
        <v>1</v>
      </c>
      <c r="S139" s="5">
        <v>45359</v>
      </c>
      <c r="T139" s="5">
        <v>45359</v>
      </c>
      <c r="U139" s="2">
        <v>0</v>
      </c>
      <c r="V139" s="2">
        <v>0</v>
      </c>
      <c r="W139" s="2">
        <v>0</v>
      </c>
      <c r="X139" s="2">
        <v>0</v>
      </c>
      <c r="Y139" s="2">
        <v>0</v>
      </c>
      <c r="Z139" s="2">
        <v>0</v>
      </c>
      <c r="AA139" s="2">
        <v>0</v>
      </c>
      <c r="AB139" s="2">
        <v>0</v>
      </c>
      <c r="AC139" s="2">
        <v>0</v>
      </c>
      <c r="AD139" s="2">
        <v>1</v>
      </c>
      <c r="AE139" s="2" t="s">
        <v>117</v>
      </c>
      <c r="AF139" s="2">
        <v>0</v>
      </c>
      <c r="AG139" s="2">
        <v>0</v>
      </c>
      <c r="AH139" s="2">
        <v>1</v>
      </c>
      <c r="AI139" s="2">
        <v>1</v>
      </c>
      <c r="AJ139" s="2">
        <v>0</v>
      </c>
      <c r="AN139" s="2">
        <v>0</v>
      </c>
      <c r="AS139" s="2">
        <v>0</v>
      </c>
      <c r="AT139" s="2" t="s">
        <v>206</v>
      </c>
    </row>
    <row r="140" spans="1:46">
      <c r="A140" s="2">
        <v>139</v>
      </c>
      <c r="B140" s="5">
        <v>45361</v>
      </c>
      <c r="C140" s="5">
        <v>45373</v>
      </c>
      <c r="D140" s="2">
        <f t="shared" si="3"/>
        <v>12</v>
      </c>
      <c r="E140" s="2">
        <v>71</v>
      </c>
      <c r="F140" s="2">
        <v>1</v>
      </c>
      <c r="G140" s="2">
        <v>2</v>
      </c>
      <c r="H140" s="2">
        <v>1</v>
      </c>
      <c r="I140" s="2">
        <v>0</v>
      </c>
      <c r="J140" s="2">
        <v>0</v>
      </c>
      <c r="K140" s="2">
        <v>0</v>
      </c>
      <c r="L140" s="2">
        <v>1</v>
      </c>
      <c r="M140" s="2">
        <v>0</v>
      </c>
      <c r="N140" s="2">
        <v>0</v>
      </c>
      <c r="P140" t="s">
        <v>179</v>
      </c>
      <c r="Q140" s="2">
        <v>0</v>
      </c>
      <c r="R140" s="2">
        <v>1</v>
      </c>
      <c r="S140" s="5">
        <v>45361</v>
      </c>
      <c r="T140" s="5">
        <v>45361</v>
      </c>
      <c r="U140" s="2">
        <v>1</v>
      </c>
      <c r="V140" s="2">
        <v>0</v>
      </c>
      <c r="W140" s="2">
        <v>0</v>
      </c>
      <c r="X140" s="2">
        <v>1</v>
      </c>
      <c r="Y140" s="2">
        <v>0</v>
      </c>
      <c r="Z140" s="2">
        <v>0</v>
      </c>
      <c r="AA140" s="2">
        <v>0</v>
      </c>
      <c r="AB140" s="2">
        <v>0</v>
      </c>
      <c r="AC140" s="2">
        <v>0</v>
      </c>
      <c r="AD140" s="2">
        <v>1</v>
      </c>
      <c r="AE140" s="2" t="s">
        <v>237</v>
      </c>
      <c r="AF140" s="2">
        <v>0</v>
      </c>
      <c r="AG140" s="2">
        <v>1</v>
      </c>
      <c r="AH140" s="2">
        <v>1</v>
      </c>
      <c r="AI140" s="2">
        <v>1</v>
      </c>
      <c r="AJ140" s="2">
        <v>1</v>
      </c>
      <c r="AK140" s="5">
        <v>45362</v>
      </c>
      <c r="AL140" s="2">
        <v>0</v>
      </c>
      <c r="AM140" s="2">
        <v>0</v>
      </c>
      <c r="AN140" s="2">
        <v>0</v>
      </c>
      <c r="AS140" s="2">
        <v>0</v>
      </c>
      <c r="AT140" s="2" t="s">
        <v>238</v>
      </c>
    </row>
    <row r="141" spans="1:46">
      <c r="A141" s="2">
        <v>140</v>
      </c>
      <c r="B141" s="5">
        <v>45362</v>
      </c>
      <c r="C141" s="5">
        <v>45367</v>
      </c>
      <c r="D141" s="2">
        <f t="shared" si="3"/>
        <v>5</v>
      </c>
      <c r="E141" s="2">
        <v>80</v>
      </c>
      <c r="F141" s="2">
        <v>2</v>
      </c>
      <c r="G141" s="2">
        <v>2</v>
      </c>
      <c r="H141" s="2">
        <v>1</v>
      </c>
      <c r="I141" s="2">
        <v>0</v>
      </c>
      <c r="J141" s="2">
        <v>0</v>
      </c>
      <c r="K141" s="2">
        <v>0</v>
      </c>
      <c r="L141" s="2">
        <v>0</v>
      </c>
      <c r="M141" s="2">
        <v>0</v>
      </c>
      <c r="N141" s="2">
        <v>1</v>
      </c>
      <c r="O141" s="2" t="s">
        <v>70</v>
      </c>
      <c r="P141" t="s">
        <v>195</v>
      </c>
      <c r="Q141" s="2">
        <v>0</v>
      </c>
      <c r="R141" s="2">
        <v>1</v>
      </c>
      <c r="S141" s="5">
        <v>45362</v>
      </c>
      <c r="T141" s="5">
        <v>45362</v>
      </c>
      <c r="U141" s="2">
        <v>0</v>
      </c>
      <c r="V141" s="2">
        <v>0</v>
      </c>
      <c r="W141" s="2">
        <v>0</v>
      </c>
      <c r="X141" s="2">
        <v>0</v>
      </c>
      <c r="Y141" s="2">
        <v>0</v>
      </c>
      <c r="Z141" s="2">
        <v>0</v>
      </c>
      <c r="AA141" s="2">
        <v>0</v>
      </c>
      <c r="AB141" s="2">
        <v>0</v>
      </c>
      <c r="AC141" s="2">
        <v>0</v>
      </c>
      <c r="AD141" s="2">
        <v>1</v>
      </c>
      <c r="AE141" s="2" t="s">
        <v>239</v>
      </c>
      <c r="AF141" s="2">
        <v>0</v>
      </c>
      <c r="AG141" s="2">
        <v>1</v>
      </c>
      <c r="AH141" s="2">
        <v>1</v>
      </c>
      <c r="AI141" s="2">
        <v>0</v>
      </c>
      <c r="AJ141" s="2">
        <v>1</v>
      </c>
      <c r="AK141" s="5">
        <v>45366</v>
      </c>
      <c r="AL141" s="2">
        <v>0</v>
      </c>
      <c r="AM141" s="2">
        <v>0</v>
      </c>
      <c r="AN141" s="2">
        <v>0</v>
      </c>
      <c r="AS141" s="2">
        <v>0</v>
      </c>
      <c r="AT141" s="2" t="s">
        <v>206</v>
      </c>
    </row>
    <row r="142" spans="1:46">
      <c r="A142" s="2">
        <v>141</v>
      </c>
      <c r="B142" s="5">
        <v>45362</v>
      </c>
      <c r="C142" s="5">
        <v>45370</v>
      </c>
      <c r="D142" s="2">
        <f t="shared" si="3"/>
        <v>8</v>
      </c>
      <c r="E142" s="2">
        <v>61</v>
      </c>
      <c r="F142" s="2">
        <v>1</v>
      </c>
      <c r="G142" s="2">
        <v>3</v>
      </c>
      <c r="H142" s="2">
        <v>0</v>
      </c>
      <c r="I142" s="2">
        <v>0</v>
      </c>
      <c r="J142" s="2">
        <v>0</v>
      </c>
      <c r="K142" s="2">
        <v>0</v>
      </c>
      <c r="L142" s="2">
        <v>0</v>
      </c>
      <c r="M142" s="2">
        <v>0</v>
      </c>
      <c r="N142" s="2">
        <v>0</v>
      </c>
      <c r="P142" t="s">
        <v>195</v>
      </c>
      <c r="Q142" s="2">
        <v>0</v>
      </c>
      <c r="R142" s="2">
        <v>1</v>
      </c>
      <c r="S142" s="5">
        <v>45362</v>
      </c>
      <c r="T142" s="5">
        <v>45362</v>
      </c>
      <c r="U142" s="2">
        <v>0</v>
      </c>
      <c r="V142" s="2">
        <v>0</v>
      </c>
      <c r="W142" s="2">
        <v>0</v>
      </c>
      <c r="X142" s="2">
        <v>0</v>
      </c>
      <c r="Y142" s="2">
        <v>0</v>
      </c>
      <c r="Z142" s="2">
        <v>0</v>
      </c>
      <c r="AA142" s="2">
        <v>0</v>
      </c>
      <c r="AB142" s="2">
        <v>0</v>
      </c>
      <c r="AC142" s="2">
        <v>0</v>
      </c>
      <c r="AD142" s="2">
        <v>1</v>
      </c>
      <c r="AE142" s="2" t="s">
        <v>217</v>
      </c>
      <c r="AF142" s="2">
        <v>0</v>
      </c>
      <c r="AG142" s="2">
        <v>1</v>
      </c>
      <c r="AH142" s="2">
        <v>1</v>
      </c>
      <c r="AI142" s="2">
        <v>1</v>
      </c>
      <c r="AJ142" s="2">
        <v>1</v>
      </c>
      <c r="AK142" s="5">
        <v>45364</v>
      </c>
      <c r="AL142" s="2">
        <v>0</v>
      </c>
      <c r="AM142" s="2">
        <v>0</v>
      </c>
      <c r="AN142" s="2">
        <v>0</v>
      </c>
      <c r="AS142" s="2">
        <v>0</v>
      </c>
      <c r="AT142" s="2" t="s">
        <v>206</v>
      </c>
    </row>
    <row r="143" spans="1:46">
      <c r="A143" s="2">
        <v>142</v>
      </c>
      <c r="B143" s="5">
        <v>45365</v>
      </c>
      <c r="C143" s="5">
        <v>45377</v>
      </c>
      <c r="D143" s="2">
        <f t="shared" si="3"/>
        <v>12</v>
      </c>
      <c r="E143" s="2">
        <v>54</v>
      </c>
      <c r="F143" s="2">
        <v>1</v>
      </c>
      <c r="G143" s="2">
        <v>2</v>
      </c>
      <c r="H143" s="2">
        <v>1</v>
      </c>
      <c r="I143" s="2">
        <v>0</v>
      </c>
      <c r="J143" s="2">
        <v>0</v>
      </c>
      <c r="K143" s="2">
        <v>0</v>
      </c>
      <c r="L143" s="2">
        <v>1</v>
      </c>
      <c r="M143" s="2">
        <v>0</v>
      </c>
      <c r="N143" s="2">
        <v>0</v>
      </c>
      <c r="P143" t="s">
        <v>179</v>
      </c>
      <c r="Q143" s="2">
        <v>0</v>
      </c>
      <c r="R143" s="2">
        <v>1</v>
      </c>
      <c r="S143" s="5">
        <v>45365</v>
      </c>
      <c r="T143" s="5">
        <v>45365</v>
      </c>
      <c r="U143" s="2">
        <v>1</v>
      </c>
      <c r="V143" s="2">
        <v>0</v>
      </c>
      <c r="W143" s="2">
        <v>0</v>
      </c>
      <c r="X143" s="2">
        <v>1</v>
      </c>
      <c r="Y143" s="2">
        <v>0</v>
      </c>
      <c r="Z143" s="2">
        <v>0</v>
      </c>
      <c r="AA143" s="2">
        <v>0</v>
      </c>
      <c r="AB143" s="2">
        <v>0</v>
      </c>
      <c r="AC143" s="2">
        <v>0</v>
      </c>
      <c r="AD143" s="2">
        <v>1</v>
      </c>
      <c r="AE143" s="2" t="s">
        <v>240</v>
      </c>
      <c r="AF143" s="2">
        <v>0</v>
      </c>
      <c r="AG143" s="2">
        <v>1</v>
      </c>
      <c r="AH143" s="2">
        <v>1</v>
      </c>
      <c r="AI143" s="2">
        <v>1</v>
      </c>
      <c r="AJ143" s="2">
        <v>1</v>
      </c>
      <c r="AK143" s="5">
        <v>45370</v>
      </c>
      <c r="AL143" s="2">
        <v>0</v>
      </c>
      <c r="AM143" s="2">
        <v>0</v>
      </c>
      <c r="AN143" s="2">
        <v>0</v>
      </c>
      <c r="AS143" s="2">
        <v>0</v>
      </c>
      <c r="AT143" s="2" t="s">
        <v>241</v>
      </c>
    </row>
    <row r="144" spans="1:46">
      <c r="A144" s="2">
        <v>143</v>
      </c>
      <c r="B144" s="5">
        <v>45365</v>
      </c>
      <c r="C144" s="5">
        <v>45378</v>
      </c>
      <c r="D144" s="2">
        <f t="shared" si="3"/>
        <v>13</v>
      </c>
      <c r="E144" s="2">
        <v>74</v>
      </c>
      <c r="F144" s="2">
        <v>1</v>
      </c>
      <c r="G144" s="2">
        <v>2</v>
      </c>
      <c r="H144" s="2">
        <v>0</v>
      </c>
      <c r="I144" s="2">
        <v>0</v>
      </c>
      <c r="J144" s="2">
        <v>0</v>
      </c>
      <c r="K144" s="2">
        <v>0</v>
      </c>
      <c r="L144" s="2">
        <v>0</v>
      </c>
      <c r="M144" s="2">
        <v>0</v>
      </c>
      <c r="N144" s="2">
        <v>0</v>
      </c>
      <c r="P144" t="s">
        <v>179</v>
      </c>
      <c r="Q144" s="2">
        <v>0</v>
      </c>
      <c r="R144" s="2">
        <v>1</v>
      </c>
      <c r="S144" s="5">
        <v>45365</v>
      </c>
      <c r="T144" s="5">
        <v>45365</v>
      </c>
      <c r="U144" s="2">
        <v>0</v>
      </c>
      <c r="V144" s="2">
        <v>0</v>
      </c>
      <c r="W144" s="2">
        <v>0</v>
      </c>
      <c r="X144" s="2">
        <v>0</v>
      </c>
      <c r="Y144" s="2">
        <v>0</v>
      </c>
      <c r="Z144" s="2">
        <v>0</v>
      </c>
      <c r="AA144" s="2">
        <v>0</v>
      </c>
      <c r="AB144" s="2">
        <v>0</v>
      </c>
      <c r="AC144" s="2">
        <v>0</v>
      </c>
      <c r="AD144" s="2">
        <v>1</v>
      </c>
      <c r="AE144" s="2" t="s">
        <v>68</v>
      </c>
      <c r="AF144" s="2">
        <v>0</v>
      </c>
      <c r="AG144" s="2">
        <v>0</v>
      </c>
      <c r="AH144" s="2">
        <v>1</v>
      </c>
      <c r="AI144" s="2">
        <v>0</v>
      </c>
      <c r="AJ144" s="2">
        <v>0</v>
      </c>
      <c r="AN144" s="2">
        <v>0</v>
      </c>
      <c r="AS144" s="2">
        <v>0</v>
      </c>
      <c r="AT144" s="2" t="s">
        <v>206</v>
      </c>
    </row>
    <row r="145" spans="1:46">
      <c r="A145" s="2">
        <v>144</v>
      </c>
      <c r="B145" s="5">
        <v>45367</v>
      </c>
      <c r="C145" s="5">
        <v>45370</v>
      </c>
      <c r="D145" s="2">
        <f t="shared" si="3"/>
        <v>3</v>
      </c>
      <c r="E145" s="2">
        <v>53</v>
      </c>
      <c r="F145" s="2">
        <v>1</v>
      </c>
      <c r="G145" s="2">
        <v>5</v>
      </c>
      <c r="H145" s="2">
        <v>0</v>
      </c>
      <c r="I145" s="2">
        <v>0</v>
      </c>
      <c r="J145" s="2">
        <v>0</v>
      </c>
      <c r="K145" s="2">
        <v>0</v>
      </c>
      <c r="L145" s="2">
        <v>0</v>
      </c>
      <c r="M145" s="2">
        <v>0</v>
      </c>
      <c r="N145" s="2">
        <v>0</v>
      </c>
      <c r="P145" t="s">
        <v>179</v>
      </c>
      <c r="Q145" s="2">
        <v>0</v>
      </c>
      <c r="R145" s="2">
        <v>1</v>
      </c>
      <c r="S145" s="5">
        <v>45367</v>
      </c>
      <c r="T145" s="5">
        <v>45367</v>
      </c>
      <c r="U145" s="2">
        <v>0</v>
      </c>
      <c r="V145" s="2">
        <v>0</v>
      </c>
      <c r="W145" s="2">
        <v>0</v>
      </c>
      <c r="X145" s="2">
        <v>0</v>
      </c>
      <c r="Y145" s="2">
        <v>0</v>
      </c>
      <c r="Z145" s="2">
        <v>0</v>
      </c>
      <c r="AA145" s="2">
        <v>0</v>
      </c>
      <c r="AB145" s="2">
        <v>0</v>
      </c>
      <c r="AC145" s="2">
        <v>0</v>
      </c>
      <c r="AD145" s="2">
        <v>1</v>
      </c>
      <c r="AE145" s="2" t="s">
        <v>117</v>
      </c>
      <c r="AF145" s="2">
        <v>0</v>
      </c>
      <c r="AG145" s="2">
        <v>0</v>
      </c>
      <c r="AH145" s="2">
        <v>1</v>
      </c>
      <c r="AI145" s="2">
        <v>1</v>
      </c>
      <c r="AJ145" s="2">
        <v>0</v>
      </c>
      <c r="AN145" s="2">
        <v>0</v>
      </c>
      <c r="AS145" s="2">
        <v>0</v>
      </c>
      <c r="AT145" s="2" t="s">
        <v>206</v>
      </c>
    </row>
    <row r="146" spans="1:46">
      <c r="A146" s="2">
        <v>145</v>
      </c>
      <c r="B146" s="5">
        <v>45368</v>
      </c>
      <c r="C146" s="5">
        <v>45376</v>
      </c>
      <c r="D146" s="2">
        <f t="shared" si="3"/>
        <v>8</v>
      </c>
      <c r="E146" s="2">
        <v>23</v>
      </c>
      <c r="F146" s="2">
        <v>2</v>
      </c>
      <c r="G146" s="2">
        <v>2</v>
      </c>
      <c r="H146" s="2">
        <v>0</v>
      </c>
      <c r="I146" s="2">
        <v>0</v>
      </c>
      <c r="J146" s="2">
        <v>0</v>
      </c>
      <c r="K146" s="2">
        <v>0</v>
      </c>
      <c r="L146" s="2">
        <v>0</v>
      </c>
      <c r="M146" s="2">
        <v>0</v>
      </c>
      <c r="N146" s="2">
        <v>0</v>
      </c>
      <c r="P146" t="s">
        <v>179</v>
      </c>
      <c r="Q146" s="2">
        <v>0</v>
      </c>
      <c r="R146" s="2">
        <v>1</v>
      </c>
      <c r="S146" s="5">
        <v>45368</v>
      </c>
      <c r="T146" s="5">
        <v>45368</v>
      </c>
      <c r="U146" s="2">
        <v>0</v>
      </c>
      <c r="V146" s="2">
        <v>0</v>
      </c>
      <c r="W146" s="2">
        <v>0</v>
      </c>
      <c r="X146" s="2">
        <v>0</v>
      </c>
      <c r="Y146" s="2">
        <v>0</v>
      </c>
      <c r="Z146" s="2">
        <v>0</v>
      </c>
      <c r="AA146" s="2">
        <v>0</v>
      </c>
      <c r="AB146" s="2">
        <v>0</v>
      </c>
      <c r="AC146" s="2">
        <v>0</v>
      </c>
      <c r="AD146" s="2">
        <v>1</v>
      </c>
      <c r="AE146" s="2" t="s">
        <v>91</v>
      </c>
      <c r="AF146" s="2">
        <v>0</v>
      </c>
      <c r="AG146" s="2">
        <v>1</v>
      </c>
      <c r="AH146" s="2">
        <v>0</v>
      </c>
      <c r="AI146" s="2">
        <v>1</v>
      </c>
      <c r="AJ146" s="11">
        <v>1</v>
      </c>
      <c r="AK146" s="5">
        <v>45373</v>
      </c>
      <c r="AL146" s="2">
        <v>0</v>
      </c>
      <c r="AM146" s="2">
        <v>0</v>
      </c>
      <c r="AN146" s="2">
        <v>0</v>
      </c>
      <c r="AS146" s="2">
        <v>0</v>
      </c>
      <c r="AT146" s="2" t="s">
        <v>206</v>
      </c>
    </row>
    <row r="147" spans="1:46">
      <c r="A147" s="2">
        <v>146</v>
      </c>
      <c r="B147" s="5">
        <v>45363</v>
      </c>
      <c r="C147" s="5">
        <v>45401</v>
      </c>
      <c r="D147" s="2">
        <f t="shared" si="3"/>
        <v>38</v>
      </c>
      <c r="E147" s="2">
        <v>41</v>
      </c>
      <c r="F147" s="2">
        <v>1</v>
      </c>
      <c r="G147" s="2">
        <v>3</v>
      </c>
      <c r="H147" s="2">
        <v>1</v>
      </c>
      <c r="I147" s="2">
        <v>0</v>
      </c>
      <c r="J147" s="2">
        <v>0</v>
      </c>
      <c r="K147" s="2">
        <v>0</v>
      </c>
      <c r="L147" s="2">
        <v>1</v>
      </c>
      <c r="M147" s="2">
        <v>0</v>
      </c>
      <c r="N147" s="2">
        <v>0</v>
      </c>
      <c r="P147" t="s">
        <v>179</v>
      </c>
      <c r="Q147" s="2">
        <v>0</v>
      </c>
      <c r="R147" s="2">
        <v>1</v>
      </c>
      <c r="S147" s="5">
        <v>45370</v>
      </c>
      <c r="T147" s="5">
        <v>45370</v>
      </c>
      <c r="U147" s="2">
        <v>1</v>
      </c>
      <c r="V147" s="2">
        <v>0</v>
      </c>
      <c r="W147" s="2">
        <v>0</v>
      </c>
      <c r="X147" s="2">
        <v>1</v>
      </c>
      <c r="Y147" s="2">
        <v>0</v>
      </c>
      <c r="Z147" s="2">
        <v>0</v>
      </c>
      <c r="AA147" s="2">
        <v>0</v>
      </c>
      <c r="AB147" s="2">
        <v>0</v>
      </c>
      <c r="AC147" s="2">
        <v>0</v>
      </c>
      <c r="AD147" s="2">
        <v>1</v>
      </c>
      <c r="AE147" s="2" t="s">
        <v>91</v>
      </c>
      <c r="AF147" s="2">
        <v>1</v>
      </c>
      <c r="AG147" s="2">
        <v>1</v>
      </c>
      <c r="AH147" s="2">
        <v>1</v>
      </c>
      <c r="AI147" s="2">
        <v>1</v>
      </c>
      <c r="AJ147" s="2">
        <v>1</v>
      </c>
      <c r="AK147" s="5">
        <v>45372</v>
      </c>
      <c r="AL147" s="2">
        <v>0</v>
      </c>
      <c r="AM147" s="2">
        <v>0</v>
      </c>
      <c r="AN147" s="2">
        <v>0</v>
      </c>
      <c r="AS147" s="2">
        <v>0</v>
      </c>
      <c r="AT147" s="2" t="s">
        <v>242</v>
      </c>
    </row>
    <row r="148" spans="1:46">
      <c r="A148" s="2">
        <v>147</v>
      </c>
      <c r="B148" s="5">
        <v>45372</v>
      </c>
      <c r="C148" s="5">
        <v>45377</v>
      </c>
      <c r="D148" s="2">
        <f t="shared" si="3"/>
        <v>5</v>
      </c>
      <c r="E148" s="2">
        <v>73</v>
      </c>
      <c r="F148" s="2">
        <v>2</v>
      </c>
      <c r="G148" s="2">
        <v>2</v>
      </c>
      <c r="H148" s="2">
        <v>1</v>
      </c>
      <c r="I148" s="2">
        <v>0</v>
      </c>
      <c r="J148" s="2">
        <v>0</v>
      </c>
      <c r="K148" s="2">
        <v>0</v>
      </c>
      <c r="L148" s="2">
        <v>1</v>
      </c>
      <c r="M148" s="2">
        <v>0</v>
      </c>
      <c r="N148" s="2">
        <v>0</v>
      </c>
      <c r="P148" t="s">
        <v>195</v>
      </c>
      <c r="Q148" s="2">
        <v>0</v>
      </c>
      <c r="R148" s="2">
        <v>1</v>
      </c>
      <c r="S148" s="5">
        <v>45372</v>
      </c>
      <c r="T148" s="5">
        <v>45372</v>
      </c>
      <c r="U148" s="2">
        <v>0</v>
      </c>
      <c r="V148" s="2">
        <v>0</v>
      </c>
      <c r="W148" s="2">
        <v>0</v>
      </c>
      <c r="X148" s="2">
        <v>0</v>
      </c>
      <c r="Y148" s="2">
        <v>0</v>
      </c>
      <c r="Z148" s="2">
        <v>0</v>
      </c>
      <c r="AA148" s="2">
        <v>0</v>
      </c>
      <c r="AB148" s="2">
        <v>0</v>
      </c>
      <c r="AC148" s="2">
        <v>0</v>
      </c>
      <c r="AD148" s="2">
        <v>1</v>
      </c>
      <c r="AE148" s="2" t="s">
        <v>68</v>
      </c>
      <c r="AF148" s="2">
        <v>0</v>
      </c>
      <c r="AG148" s="2">
        <v>1</v>
      </c>
      <c r="AH148" s="2">
        <v>1</v>
      </c>
      <c r="AI148" s="2">
        <v>1</v>
      </c>
      <c r="AJ148" s="2">
        <v>0</v>
      </c>
      <c r="AN148" s="2">
        <v>0</v>
      </c>
      <c r="AS148" s="2">
        <v>0</v>
      </c>
      <c r="AT148" s="2" t="s">
        <v>243</v>
      </c>
    </row>
    <row r="149" spans="1:46">
      <c r="A149" s="2">
        <v>148</v>
      </c>
      <c r="B149" s="5">
        <v>45378</v>
      </c>
      <c r="C149" s="5">
        <v>45387</v>
      </c>
      <c r="D149" s="2">
        <f t="shared" si="3"/>
        <v>9</v>
      </c>
      <c r="E149" s="2">
        <v>59</v>
      </c>
      <c r="F149" s="2">
        <v>2</v>
      </c>
      <c r="G149" s="2">
        <v>2</v>
      </c>
      <c r="H149" s="2">
        <v>0</v>
      </c>
      <c r="I149" s="2">
        <v>0</v>
      </c>
      <c r="J149" s="2">
        <v>0</v>
      </c>
      <c r="K149" s="2">
        <v>0</v>
      </c>
      <c r="L149" s="2">
        <v>0</v>
      </c>
      <c r="M149" s="2">
        <v>0</v>
      </c>
      <c r="N149" s="2">
        <v>0</v>
      </c>
      <c r="P149" t="s">
        <v>179</v>
      </c>
      <c r="Q149" s="2">
        <v>0</v>
      </c>
      <c r="R149" s="2">
        <v>1</v>
      </c>
      <c r="S149" s="5">
        <v>45378</v>
      </c>
      <c r="T149" s="5">
        <v>45378</v>
      </c>
      <c r="U149" s="2">
        <v>0</v>
      </c>
      <c r="V149" s="2">
        <v>0</v>
      </c>
      <c r="W149" s="2">
        <v>0</v>
      </c>
      <c r="X149" s="2">
        <v>0</v>
      </c>
      <c r="Y149" s="2">
        <v>0</v>
      </c>
      <c r="Z149" s="2">
        <v>0</v>
      </c>
      <c r="AA149" s="2">
        <v>0</v>
      </c>
      <c r="AB149" s="2">
        <v>0</v>
      </c>
      <c r="AC149" s="2">
        <v>0</v>
      </c>
      <c r="AD149" s="2">
        <v>1</v>
      </c>
      <c r="AE149" s="2" t="s">
        <v>117</v>
      </c>
      <c r="AF149" s="2">
        <v>0</v>
      </c>
      <c r="AG149" s="2">
        <v>1</v>
      </c>
      <c r="AH149" s="2">
        <v>1</v>
      </c>
      <c r="AI149" s="2">
        <v>1</v>
      </c>
      <c r="AJ149" s="2">
        <v>0</v>
      </c>
      <c r="AN149" s="2">
        <v>0</v>
      </c>
      <c r="AS149" s="2">
        <v>0</v>
      </c>
      <c r="AT149" s="2" t="s">
        <v>206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72331-53B4-497C-90F0-41AA1F761233}">
  <dimension ref="A1:BC117"/>
  <sheetViews>
    <sheetView workbookViewId="0">
      <pane xSplit="2" ySplit="1" topLeftCell="C104" activePane="bottomRight" state="frozen"/>
      <selection pane="bottomRight" activeCell="C97" sqref="C97"/>
      <selection pane="bottomLeft"/>
      <selection pane="topRight"/>
    </sheetView>
  </sheetViews>
  <sheetFormatPr defaultRowHeight="15"/>
  <cols>
    <col min="2" max="2" width="59.140625" customWidth="1"/>
    <col min="3" max="3" width="50.85546875" customWidth="1"/>
    <col min="4" max="4" width="3.28515625" customWidth="1"/>
    <col min="5" max="5" width="11.42578125" bestFit="1" customWidth="1"/>
    <col min="7" max="7" width="49.140625" customWidth="1"/>
    <col min="8" max="8" width="50.85546875" customWidth="1"/>
    <col min="9" max="9" width="3.28515625" customWidth="1"/>
    <col min="10" max="10" width="11.42578125" bestFit="1" customWidth="1"/>
    <col min="12" max="12" width="17.5703125" customWidth="1"/>
    <col min="13" max="13" width="50.85546875" customWidth="1"/>
    <col min="14" max="14" width="3.28515625" customWidth="1"/>
    <col min="15" max="15" width="11.42578125" bestFit="1" customWidth="1"/>
    <col min="17" max="17" width="34.140625" customWidth="1"/>
  </cols>
  <sheetData>
    <row r="1" spans="1:55" s="1" customFormat="1" ht="103.5"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244</v>
      </c>
      <c r="V1" s="1" t="s">
        <v>20</v>
      </c>
      <c r="W1" s="1" t="s">
        <v>21</v>
      </c>
      <c r="X1" s="1" t="s">
        <v>22</v>
      </c>
      <c r="Y1" s="1" t="s">
        <v>23</v>
      </c>
      <c r="Z1" s="1" t="s">
        <v>24</v>
      </c>
      <c r="AA1" s="1" t="s">
        <v>25</v>
      </c>
      <c r="AB1" s="1" t="s">
        <v>26</v>
      </c>
      <c r="AC1" s="1" t="s">
        <v>27</v>
      </c>
      <c r="AD1" s="1" t="s">
        <v>28</v>
      </c>
      <c r="AE1" s="1" t="s">
        <v>29</v>
      </c>
      <c r="AF1" s="1" t="s">
        <v>30</v>
      </c>
      <c r="AG1" s="1" t="s">
        <v>31</v>
      </c>
      <c r="AH1" s="1" t="s">
        <v>32</v>
      </c>
      <c r="AI1" s="1" t="s">
        <v>33</v>
      </c>
      <c r="AJ1" s="1" t="s">
        <v>280</v>
      </c>
      <c r="AK1" s="1" t="s">
        <v>281</v>
      </c>
      <c r="AL1" s="1" t="s">
        <v>282</v>
      </c>
      <c r="AM1" s="1" t="s">
        <v>34</v>
      </c>
      <c r="AN1" s="1" t="s">
        <v>35</v>
      </c>
      <c r="AO1" s="1" t="s">
        <v>36</v>
      </c>
      <c r="AP1" s="1" t="s">
        <v>37</v>
      </c>
      <c r="AQ1" s="1" t="s">
        <v>38</v>
      </c>
      <c r="AR1" s="1" t="s">
        <v>283</v>
      </c>
      <c r="AS1" s="1" t="s">
        <v>39</v>
      </c>
      <c r="AT1" s="1" t="s">
        <v>40</v>
      </c>
      <c r="AU1" s="1" t="s">
        <v>41</v>
      </c>
      <c r="AV1" s="1" t="s">
        <v>42</v>
      </c>
      <c r="AW1" s="1" t="s">
        <v>43</v>
      </c>
      <c r="AX1" s="1" t="s">
        <v>284</v>
      </c>
      <c r="AY1" s="1" t="s">
        <v>285</v>
      </c>
      <c r="AZ1" s="1" t="s">
        <v>286</v>
      </c>
      <c r="BA1" s="1" t="s">
        <v>44</v>
      </c>
      <c r="BB1" s="1" t="s">
        <v>287</v>
      </c>
      <c r="BC1" s="1" t="s">
        <v>45</v>
      </c>
    </row>
    <row r="2" spans="1:55">
      <c r="A2">
        <v>1</v>
      </c>
      <c r="B2">
        <v>45442</v>
      </c>
      <c r="C2">
        <v>45462</v>
      </c>
      <c r="D2">
        <v>20</v>
      </c>
      <c r="E2">
        <v>85</v>
      </c>
      <c r="F2">
        <v>1</v>
      </c>
      <c r="G2">
        <v>2</v>
      </c>
      <c r="H2">
        <v>1</v>
      </c>
      <c r="I2">
        <v>0</v>
      </c>
      <c r="J2">
        <v>1</v>
      </c>
      <c r="K2">
        <v>1</v>
      </c>
      <c r="L2">
        <v>0</v>
      </c>
      <c r="M2">
        <v>0</v>
      </c>
      <c r="N2">
        <v>1</v>
      </c>
      <c r="O2" t="s">
        <v>46</v>
      </c>
      <c r="P2" t="s">
        <v>47</v>
      </c>
      <c r="Q2">
        <v>1</v>
      </c>
      <c r="R2">
        <v>11</v>
      </c>
      <c r="S2">
        <v>45442</v>
      </c>
      <c r="T2">
        <v>45455</v>
      </c>
      <c r="U2">
        <v>13</v>
      </c>
      <c r="V2">
        <v>0</v>
      </c>
      <c r="W2">
        <v>0</v>
      </c>
      <c r="X2">
        <v>0</v>
      </c>
      <c r="Y2">
        <v>0</v>
      </c>
      <c r="Z2">
        <v>0</v>
      </c>
      <c r="AA2">
        <v>0</v>
      </c>
      <c r="AB2">
        <v>0</v>
      </c>
      <c r="AC2">
        <v>0</v>
      </c>
      <c r="AD2">
        <v>0</v>
      </c>
      <c r="AE2">
        <v>1</v>
      </c>
      <c r="AF2" t="s">
        <v>48</v>
      </c>
      <c r="AG2">
        <v>1</v>
      </c>
      <c r="AH2">
        <v>0</v>
      </c>
      <c r="AI2">
        <v>1</v>
      </c>
      <c r="AJ2">
        <v>0</v>
      </c>
      <c r="AK2">
        <v>0</v>
      </c>
      <c r="AL2">
        <v>1</v>
      </c>
      <c r="AM2">
        <v>1</v>
      </c>
      <c r="AN2">
        <v>1</v>
      </c>
      <c r="AO2">
        <v>45443</v>
      </c>
      <c r="AP2">
        <v>0</v>
      </c>
      <c r="AQ2">
        <v>0</v>
      </c>
      <c r="AR2">
        <v>1</v>
      </c>
      <c r="AS2">
        <v>1</v>
      </c>
      <c r="AT2">
        <v>45446</v>
      </c>
      <c r="AU2">
        <v>0</v>
      </c>
      <c r="AV2">
        <v>0</v>
      </c>
      <c r="AW2">
        <v>0</v>
      </c>
      <c r="AX2">
        <v>0</v>
      </c>
      <c r="AY2">
        <v>1</v>
      </c>
      <c r="AZ2">
        <v>1</v>
      </c>
      <c r="BA2">
        <v>0</v>
      </c>
      <c r="BB2">
        <v>1</v>
      </c>
      <c r="BC2" t="s">
        <v>49</v>
      </c>
    </row>
    <row r="3" spans="1:55">
      <c r="A3">
        <v>2</v>
      </c>
      <c r="B3">
        <v>45446</v>
      </c>
      <c r="E3">
        <v>78</v>
      </c>
      <c r="F3">
        <v>1</v>
      </c>
      <c r="G3">
        <v>3</v>
      </c>
      <c r="H3">
        <v>0</v>
      </c>
      <c r="I3">
        <v>0</v>
      </c>
      <c r="J3">
        <v>0</v>
      </c>
      <c r="K3">
        <v>0</v>
      </c>
      <c r="L3">
        <v>0</v>
      </c>
      <c r="M3">
        <v>0</v>
      </c>
      <c r="N3">
        <v>0</v>
      </c>
      <c r="P3" t="s">
        <v>47</v>
      </c>
      <c r="Q3">
        <v>1</v>
      </c>
      <c r="R3">
        <v>6</v>
      </c>
      <c r="S3">
        <v>45446</v>
      </c>
      <c r="T3">
        <v>45450</v>
      </c>
      <c r="U3">
        <v>4</v>
      </c>
      <c r="V3">
        <v>1</v>
      </c>
      <c r="W3">
        <v>1</v>
      </c>
      <c r="X3">
        <v>0</v>
      </c>
      <c r="Y3">
        <v>0</v>
      </c>
      <c r="Z3">
        <v>0</v>
      </c>
      <c r="AA3">
        <v>0</v>
      </c>
      <c r="AB3">
        <v>0</v>
      </c>
      <c r="AC3">
        <v>0</v>
      </c>
      <c r="AD3">
        <v>0</v>
      </c>
      <c r="AE3">
        <v>1</v>
      </c>
      <c r="AF3" t="s">
        <v>48</v>
      </c>
      <c r="AG3">
        <v>1</v>
      </c>
      <c r="AH3">
        <v>1</v>
      </c>
      <c r="AI3">
        <v>1</v>
      </c>
      <c r="AJ3">
        <v>1</v>
      </c>
      <c r="AK3">
        <v>0</v>
      </c>
      <c r="AL3">
        <v>0</v>
      </c>
      <c r="AM3">
        <v>1</v>
      </c>
      <c r="AN3">
        <v>1</v>
      </c>
      <c r="AO3">
        <v>45448</v>
      </c>
      <c r="AP3">
        <v>0</v>
      </c>
      <c r="AQ3">
        <v>0</v>
      </c>
      <c r="AR3">
        <v>2</v>
      </c>
      <c r="AS3">
        <v>0</v>
      </c>
      <c r="AX3">
        <v>0</v>
      </c>
      <c r="AY3">
        <v>1</v>
      </c>
      <c r="AZ3">
        <v>0</v>
      </c>
      <c r="BA3">
        <v>1</v>
      </c>
      <c r="BB3">
        <v>0</v>
      </c>
      <c r="BC3" t="s">
        <v>50</v>
      </c>
    </row>
    <row r="4" spans="1:55">
      <c r="A4">
        <v>3</v>
      </c>
      <c r="B4">
        <v>45448</v>
      </c>
      <c r="C4">
        <v>45465</v>
      </c>
      <c r="D4">
        <v>17</v>
      </c>
      <c r="E4">
        <v>62</v>
      </c>
      <c r="F4">
        <v>1</v>
      </c>
      <c r="G4">
        <v>2</v>
      </c>
      <c r="H4">
        <v>1</v>
      </c>
      <c r="I4">
        <v>0</v>
      </c>
      <c r="J4">
        <v>0</v>
      </c>
      <c r="K4">
        <v>0</v>
      </c>
      <c r="L4">
        <v>0</v>
      </c>
      <c r="M4">
        <v>0</v>
      </c>
      <c r="N4">
        <v>1</v>
      </c>
      <c r="O4" t="s">
        <v>51</v>
      </c>
      <c r="P4" t="s">
        <v>52</v>
      </c>
      <c r="Q4">
        <v>1</v>
      </c>
      <c r="R4">
        <v>5</v>
      </c>
      <c r="S4">
        <v>45448</v>
      </c>
      <c r="T4">
        <v>45454</v>
      </c>
      <c r="U4">
        <v>6</v>
      </c>
      <c r="V4">
        <v>0</v>
      </c>
      <c r="W4">
        <v>0</v>
      </c>
      <c r="X4">
        <v>0</v>
      </c>
      <c r="Y4">
        <v>0</v>
      </c>
      <c r="Z4">
        <v>0</v>
      </c>
      <c r="AA4">
        <v>0</v>
      </c>
      <c r="AB4">
        <v>0</v>
      </c>
      <c r="AC4">
        <v>0</v>
      </c>
      <c r="AD4">
        <v>1</v>
      </c>
      <c r="AE4">
        <v>1</v>
      </c>
      <c r="AF4" t="s">
        <v>53</v>
      </c>
      <c r="AG4">
        <v>0</v>
      </c>
      <c r="AH4">
        <v>1</v>
      </c>
      <c r="AI4">
        <v>0</v>
      </c>
      <c r="AJ4">
        <v>0</v>
      </c>
      <c r="AK4">
        <v>1</v>
      </c>
      <c r="AL4">
        <v>0</v>
      </c>
      <c r="AM4">
        <v>1</v>
      </c>
      <c r="AN4">
        <v>1</v>
      </c>
      <c r="AO4">
        <v>45448</v>
      </c>
      <c r="AP4">
        <v>0</v>
      </c>
      <c r="AQ4">
        <v>0</v>
      </c>
      <c r="AR4">
        <v>0</v>
      </c>
      <c r="AS4">
        <v>1</v>
      </c>
      <c r="AT4">
        <v>45455</v>
      </c>
      <c r="AU4">
        <v>0</v>
      </c>
      <c r="AV4">
        <v>1</v>
      </c>
      <c r="AW4">
        <v>0</v>
      </c>
      <c r="AX4">
        <v>0</v>
      </c>
      <c r="AY4">
        <v>1</v>
      </c>
      <c r="AZ4">
        <v>0</v>
      </c>
      <c r="BA4">
        <v>1</v>
      </c>
      <c r="BB4">
        <v>1</v>
      </c>
      <c r="BC4" t="s">
        <v>54</v>
      </c>
    </row>
    <row r="5" spans="1:55">
      <c r="A5">
        <v>4</v>
      </c>
      <c r="B5">
        <v>45449</v>
      </c>
      <c r="C5">
        <v>45455</v>
      </c>
      <c r="D5">
        <v>6</v>
      </c>
      <c r="E5">
        <v>77</v>
      </c>
      <c r="F5">
        <v>1</v>
      </c>
      <c r="G5">
        <v>2</v>
      </c>
      <c r="H5">
        <v>0</v>
      </c>
      <c r="I5">
        <v>0</v>
      </c>
      <c r="J5">
        <v>0</v>
      </c>
      <c r="K5">
        <v>0</v>
      </c>
      <c r="L5">
        <v>0</v>
      </c>
      <c r="M5">
        <v>0</v>
      </c>
      <c r="N5">
        <v>0</v>
      </c>
      <c r="P5" t="s">
        <v>52</v>
      </c>
      <c r="Q5">
        <v>1</v>
      </c>
      <c r="R5">
        <v>2</v>
      </c>
      <c r="S5">
        <v>45449</v>
      </c>
      <c r="T5">
        <v>45450</v>
      </c>
      <c r="U5">
        <v>1</v>
      </c>
      <c r="V5">
        <v>1</v>
      </c>
      <c r="W5">
        <v>0</v>
      </c>
      <c r="X5">
        <v>0</v>
      </c>
      <c r="Y5">
        <v>0</v>
      </c>
      <c r="Z5">
        <v>0</v>
      </c>
      <c r="AA5">
        <v>0</v>
      </c>
      <c r="AB5">
        <v>0</v>
      </c>
      <c r="AC5">
        <v>1</v>
      </c>
      <c r="AD5">
        <v>1</v>
      </c>
      <c r="AE5">
        <v>1</v>
      </c>
      <c r="AF5" t="s">
        <v>55</v>
      </c>
      <c r="AG5">
        <v>0</v>
      </c>
      <c r="AH5">
        <v>1</v>
      </c>
      <c r="AI5">
        <v>1</v>
      </c>
      <c r="AJ5">
        <v>1</v>
      </c>
      <c r="AK5">
        <v>0</v>
      </c>
      <c r="AL5">
        <v>0</v>
      </c>
      <c r="AM5">
        <v>1</v>
      </c>
      <c r="AN5">
        <v>1</v>
      </c>
      <c r="AO5">
        <v>45450</v>
      </c>
      <c r="AP5">
        <v>0</v>
      </c>
      <c r="AQ5">
        <v>0</v>
      </c>
      <c r="AR5">
        <v>1</v>
      </c>
      <c r="AS5">
        <v>1</v>
      </c>
      <c r="AT5">
        <v>45453</v>
      </c>
      <c r="AU5">
        <v>0</v>
      </c>
      <c r="AV5">
        <v>0</v>
      </c>
      <c r="AW5">
        <v>0</v>
      </c>
      <c r="AX5">
        <v>0</v>
      </c>
      <c r="AY5">
        <v>1</v>
      </c>
      <c r="AZ5">
        <v>0</v>
      </c>
      <c r="BA5">
        <v>0</v>
      </c>
      <c r="BB5">
        <v>1</v>
      </c>
      <c r="BC5" t="s">
        <v>56</v>
      </c>
    </row>
    <row r="6" spans="1:55">
      <c r="A6">
        <v>5</v>
      </c>
      <c r="B6">
        <v>45453</v>
      </c>
      <c r="C6">
        <v>45456</v>
      </c>
      <c r="D6">
        <v>3</v>
      </c>
      <c r="E6">
        <v>71</v>
      </c>
      <c r="F6">
        <v>1</v>
      </c>
      <c r="G6">
        <v>2</v>
      </c>
      <c r="H6">
        <v>1</v>
      </c>
      <c r="I6">
        <v>0</v>
      </c>
      <c r="J6">
        <v>0</v>
      </c>
      <c r="K6">
        <v>0</v>
      </c>
      <c r="L6">
        <v>1</v>
      </c>
      <c r="M6">
        <v>1</v>
      </c>
      <c r="N6">
        <v>1</v>
      </c>
      <c r="O6" t="s">
        <v>57</v>
      </c>
      <c r="P6" t="s">
        <v>52</v>
      </c>
      <c r="Q6">
        <v>1</v>
      </c>
      <c r="R6">
        <v>2</v>
      </c>
      <c r="S6">
        <v>45453</v>
      </c>
      <c r="T6">
        <v>45454</v>
      </c>
      <c r="U6">
        <v>1</v>
      </c>
      <c r="V6">
        <v>1</v>
      </c>
      <c r="W6">
        <v>0</v>
      </c>
      <c r="X6">
        <v>0</v>
      </c>
      <c r="Y6">
        <v>0</v>
      </c>
      <c r="Z6">
        <v>1</v>
      </c>
      <c r="AA6">
        <v>0</v>
      </c>
      <c r="AB6">
        <v>0</v>
      </c>
      <c r="AC6">
        <v>0</v>
      </c>
      <c r="AD6">
        <v>0</v>
      </c>
      <c r="AE6">
        <v>1</v>
      </c>
      <c r="AF6" t="s">
        <v>58</v>
      </c>
      <c r="AG6">
        <v>1</v>
      </c>
      <c r="AH6">
        <v>1</v>
      </c>
      <c r="AI6">
        <v>1</v>
      </c>
      <c r="AJ6">
        <v>1</v>
      </c>
      <c r="AK6">
        <v>0</v>
      </c>
      <c r="AL6">
        <v>0</v>
      </c>
      <c r="AM6">
        <v>0</v>
      </c>
      <c r="AN6">
        <v>1</v>
      </c>
      <c r="AO6">
        <v>45454</v>
      </c>
      <c r="AP6">
        <v>1</v>
      </c>
      <c r="AQ6">
        <v>1</v>
      </c>
      <c r="AR6">
        <v>1</v>
      </c>
      <c r="AS6">
        <v>0</v>
      </c>
      <c r="AX6">
        <v>1</v>
      </c>
      <c r="AY6">
        <v>1</v>
      </c>
      <c r="AZ6">
        <v>0</v>
      </c>
      <c r="BA6">
        <v>1</v>
      </c>
      <c r="BB6">
        <v>0</v>
      </c>
      <c r="BC6" t="s">
        <v>59</v>
      </c>
    </row>
    <row r="7" spans="1:55">
      <c r="A7">
        <v>6</v>
      </c>
      <c r="B7">
        <v>45454</v>
      </c>
      <c r="C7">
        <v>45465</v>
      </c>
      <c r="D7">
        <v>11</v>
      </c>
      <c r="E7">
        <v>81</v>
      </c>
      <c r="F7">
        <v>1</v>
      </c>
      <c r="G7">
        <v>2</v>
      </c>
      <c r="H7">
        <v>1</v>
      </c>
      <c r="I7">
        <v>0</v>
      </c>
      <c r="J7">
        <v>0</v>
      </c>
      <c r="K7">
        <v>0</v>
      </c>
      <c r="L7">
        <v>0</v>
      </c>
      <c r="M7">
        <v>0</v>
      </c>
      <c r="N7">
        <v>1</v>
      </c>
      <c r="O7" t="s">
        <v>60</v>
      </c>
      <c r="P7" t="s">
        <v>52</v>
      </c>
      <c r="Q7">
        <v>1</v>
      </c>
      <c r="R7">
        <v>4</v>
      </c>
      <c r="S7">
        <v>45454</v>
      </c>
      <c r="T7">
        <v>45458</v>
      </c>
      <c r="U7">
        <v>4</v>
      </c>
      <c r="V7">
        <v>1</v>
      </c>
      <c r="W7">
        <v>0</v>
      </c>
      <c r="X7">
        <v>1</v>
      </c>
      <c r="Y7">
        <v>0</v>
      </c>
      <c r="Z7">
        <v>0</v>
      </c>
      <c r="AA7">
        <v>1</v>
      </c>
      <c r="AB7">
        <v>0</v>
      </c>
      <c r="AC7">
        <v>0</v>
      </c>
      <c r="AD7">
        <v>0</v>
      </c>
      <c r="AE7">
        <v>1</v>
      </c>
      <c r="AF7" t="s">
        <v>61</v>
      </c>
      <c r="AG7">
        <v>0</v>
      </c>
      <c r="AH7">
        <v>1</v>
      </c>
      <c r="AI7">
        <v>1</v>
      </c>
      <c r="AJ7">
        <v>1</v>
      </c>
      <c r="AK7">
        <v>0</v>
      </c>
      <c r="AL7">
        <v>0</v>
      </c>
      <c r="AM7">
        <v>0</v>
      </c>
      <c r="AN7">
        <v>1</v>
      </c>
      <c r="AO7">
        <v>45455</v>
      </c>
      <c r="AP7">
        <v>0</v>
      </c>
      <c r="AQ7">
        <v>0</v>
      </c>
      <c r="AR7">
        <v>1</v>
      </c>
      <c r="AS7">
        <v>0</v>
      </c>
      <c r="AX7">
        <v>0</v>
      </c>
      <c r="AY7">
        <v>1</v>
      </c>
      <c r="AZ7">
        <v>0</v>
      </c>
      <c r="BA7">
        <v>1</v>
      </c>
      <c r="BB7">
        <v>0</v>
      </c>
      <c r="BC7" t="s">
        <v>62</v>
      </c>
    </row>
    <row r="8" spans="1:55">
      <c r="A8">
        <v>7</v>
      </c>
      <c r="B8">
        <v>45453</v>
      </c>
      <c r="C8">
        <v>45485</v>
      </c>
      <c r="D8">
        <v>32</v>
      </c>
      <c r="E8">
        <v>45</v>
      </c>
      <c r="F8">
        <v>2</v>
      </c>
      <c r="G8">
        <v>2</v>
      </c>
      <c r="H8">
        <v>0</v>
      </c>
      <c r="I8">
        <v>0</v>
      </c>
      <c r="J8">
        <v>0</v>
      </c>
      <c r="K8">
        <v>0</v>
      </c>
      <c r="L8">
        <v>0</v>
      </c>
      <c r="M8">
        <v>0</v>
      </c>
      <c r="N8">
        <v>0</v>
      </c>
      <c r="P8" t="s">
        <v>52</v>
      </c>
      <c r="Q8">
        <v>0</v>
      </c>
      <c r="R8">
        <v>1</v>
      </c>
      <c r="S8">
        <v>45455</v>
      </c>
      <c r="T8">
        <v>45455</v>
      </c>
      <c r="U8">
        <v>0</v>
      </c>
      <c r="V8">
        <v>0</v>
      </c>
      <c r="W8">
        <v>0</v>
      </c>
      <c r="X8">
        <v>0</v>
      </c>
      <c r="Y8">
        <v>0</v>
      </c>
      <c r="Z8">
        <v>0</v>
      </c>
      <c r="AA8">
        <v>0</v>
      </c>
      <c r="AB8">
        <v>0</v>
      </c>
      <c r="AC8">
        <v>0</v>
      </c>
      <c r="AD8">
        <v>0</v>
      </c>
      <c r="AE8">
        <v>1</v>
      </c>
      <c r="AF8" t="s">
        <v>55</v>
      </c>
      <c r="AG8">
        <v>1</v>
      </c>
      <c r="AH8">
        <v>0</v>
      </c>
      <c r="AI8">
        <v>1</v>
      </c>
      <c r="AJ8">
        <v>0</v>
      </c>
      <c r="AK8">
        <v>0</v>
      </c>
      <c r="AL8">
        <v>1</v>
      </c>
      <c r="AM8">
        <v>1</v>
      </c>
      <c r="AN8">
        <v>1</v>
      </c>
      <c r="AO8">
        <v>45457</v>
      </c>
      <c r="AP8">
        <v>0</v>
      </c>
      <c r="AQ8">
        <v>0</v>
      </c>
      <c r="AR8">
        <v>4</v>
      </c>
      <c r="AS8">
        <v>0</v>
      </c>
      <c r="AX8">
        <v>0</v>
      </c>
      <c r="AY8">
        <v>0</v>
      </c>
      <c r="AZ8">
        <v>0</v>
      </c>
      <c r="BA8">
        <v>1</v>
      </c>
      <c r="BB8">
        <v>0</v>
      </c>
      <c r="BC8" t="s">
        <v>62</v>
      </c>
    </row>
    <row r="9" spans="1:55">
      <c r="A9">
        <v>8</v>
      </c>
      <c r="B9">
        <v>45456</v>
      </c>
      <c r="C9">
        <v>45466</v>
      </c>
      <c r="D9">
        <v>10</v>
      </c>
      <c r="E9">
        <v>60</v>
      </c>
      <c r="F9">
        <v>1</v>
      </c>
      <c r="G9">
        <v>3</v>
      </c>
      <c r="H9">
        <v>1</v>
      </c>
      <c r="I9">
        <v>0</v>
      </c>
      <c r="J9">
        <v>0</v>
      </c>
      <c r="K9">
        <v>0</v>
      </c>
      <c r="L9">
        <v>0</v>
      </c>
      <c r="M9">
        <v>0</v>
      </c>
      <c r="N9">
        <v>1</v>
      </c>
      <c r="O9" t="s">
        <v>63</v>
      </c>
      <c r="P9" t="s">
        <v>52</v>
      </c>
      <c r="Q9">
        <v>1</v>
      </c>
      <c r="R9">
        <v>2</v>
      </c>
      <c r="S9">
        <v>45456</v>
      </c>
      <c r="T9">
        <v>45457</v>
      </c>
      <c r="U9">
        <v>1</v>
      </c>
      <c r="V9">
        <v>1</v>
      </c>
      <c r="W9">
        <v>0</v>
      </c>
      <c r="X9">
        <v>0</v>
      </c>
      <c r="Y9">
        <v>0</v>
      </c>
      <c r="Z9">
        <v>1</v>
      </c>
      <c r="AA9">
        <v>0</v>
      </c>
      <c r="AB9">
        <v>0</v>
      </c>
      <c r="AC9">
        <v>0</v>
      </c>
      <c r="AD9">
        <v>0</v>
      </c>
      <c r="AE9">
        <v>1</v>
      </c>
      <c r="AF9" t="s">
        <v>55</v>
      </c>
      <c r="AG9">
        <v>1</v>
      </c>
      <c r="AH9">
        <v>1</v>
      </c>
      <c r="AI9">
        <v>1</v>
      </c>
      <c r="AJ9">
        <v>1</v>
      </c>
      <c r="AK9">
        <v>0</v>
      </c>
      <c r="AL9">
        <v>0</v>
      </c>
      <c r="AM9">
        <v>1</v>
      </c>
      <c r="AN9">
        <v>1</v>
      </c>
      <c r="AO9">
        <v>45457</v>
      </c>
      <c r="AP9">
        <v>0</v>
      </c>
      <c r="AQ9">
        <v>0</v>
      </c>
      <c r="AR9">
        <v>1</v>
      </c>
      <c r="AS9">
        <v>0</v>
      </c>
      <c r="AX9">
        <v>0</v>
      </c>
      <c r="AY9">
        <v>1</v>
      </c>
      <c r="AZ9">
        <v>0</v>
      </c>
      <c r="BA9">
        <v>0</v>
      </c>
      <c r="BB9">
        <v>0</v>
      </c>
    </row>
    <row r="10" spans="1:55">
      <c r="A10">
        <v>9</v>
      </c>
      <c r="B10">
        <v>45458</v>
      </c>
      <c r="C10">
        <v>45470</v>
      </c>
      <c r="D10">
        <v>12</v>
      </c>
      <c r="E10">
        <v>64</v>
      </c>
      <c r="F10">
        <v>2</v>
      </c>
      <c r="G10">
        <v>2</v>
      </c>
      <c r="H10">
        <v>1</v>
      </c>
      <c r="I10">
        <v>0</v>
      </c>
      <c r="J10">
        <v>0</v>
      </c>
      <c r="K10">
        <v>0</v>
      </c>
      <c r="L10">
        <v>1</v>
      </c>
      <c r="M10">
        <v>0</v>
      </c>
      <c r="N10">
        <v>0</v>
      </c>
      <c r="P10" t="s">
        <v>52</v>
      </c>
      <c r="Q10">
        <v>1</v>
      </c>
      <c r="R10">
        <v>2</v>
      </c>
      <c r="S10">
        <v>45463</v>
      </c>
      <c r="T10">
        <v>45464</v>
      </c>
      <c r="U10">
        <v>1</v>
      </c>
      <c r="V10">
        <v>1</v>
      </c>
      <c r="W10">
        <v>0</v>
      </c>
      <c r="X10">
        <v>1</v>
      </c>
      <c r="Y10">
        <v>0</v>
      </c>
      <c r="Z10">
        <v>0</v>
      </c>
      <c r="AA10">
        <v>0</v>
      </c>
      <c r="AB10">
        <v>0</v>
      </c>
      <c r="AC10">
        <v>0</v>
      </c>
      <c r="AD10">
        <v>0</v>
      </c>
      <c r="AE10">
        <v>1</v>
      </c>
      <c r="AF10" t="s">
        <v>55</v>
      </c>
      <c r="AG10">
        <v>1</v>
      </c>
      <c r="AH10">
        <v>1</v>
      </c>
      <c r="AI10">
        <v>1</v>
      </c>
      <c r="AJ10">
        <v>1</v>
      </c>
      <c r="AK10">
        <v>0</v>
      </c>
      <c r="AL10">
        <v>0</v>
      </c>
      <c r="AM10">
        <v>1</v>
      </c>
      <c r="AN10">
        <v>1</v>
      </c>
      <c r="AO10">
        <v>45467</v>
      </c>
      <c r="AP10">
        <v>0</v>
      </c>
      <c r="AQ10">
        <v>0</v>
      </c>
      <c r="AR10">
        <v>9</v>
      </c>
      <c r="AS10">
        <v>0</v>
      </c>
      <c r="AX10">
        <v>0</v>
      </c>
      <c r="AY10">
        <v>1</v>
      </c>
      <c r="AZ10">
        <v>0</v>
      </c>
      <c r="BA10">
        <v>0</v>
      </c>
      <c r="BB10">
        <v>0</v>
      </c>
      <c r="BC10" t="s">
        <v>64</v>
      </c>
    </row>
    <row r="11" spans="1:55">
      <c r="A11">
        <v>10</v>
      </c>
      <c r="B11">
        <v>45468</v>
      </c>
      <c r="C11">
        <v>45475</v>
      </c>
      <c r="D11">
        <v>7</v>
      </c>
      <c r="E11">
        <v>46</v>
      </c>
      <c r="F11">
        <v>1</v>
      </c>
      <c r="G11">
        <v>2</v>
      </c>
      <c r="H11">
        <v>1</v>
      </c>
      <c r="I11">
        <v>1</v>
      </c>
      <c r="J11">
        <v>0</v>
      </c>
      <c r="K11">
        <v>0</v>
      </c>
      <c r="L11">
        <v>1</v>
      </c>
      <c r="M11">
        <v>1</v>
      </c>
      <c r="N11">
        <v>1</v>
      </c>
      <c r="O11" t="s">
        <v>65</v>
      </c>
      <c r="P11" t="s">
        <v>47</v>
      </c>
      <c r="Q11">
        <v>1</v>
      </c>
      <c r="R11">
        <v>5</v>
      </c>
      <c r="S11">
        <v>45468</v>
      </c>
      <c r="T11">
        <v>45473</v>
      </c>
      <c r="U11">
        <v>5</v>
      </c>
      <c r="V11">
        <v>1</v>
      </c>
      <c r="W11">
        <v>1</v>
      </c>
      <c r="X11">
        <v>1</v>
      </c>
      <c r="Y11">
        <v>0</v>
      </c>
      <c r="Z11">
        <v>1</v>
      </c>
      <c r="AA11">
        <v>0</v>
      </c>
      <c r="AB11">
        <v>0</v>
      </c>
      <c r="AC11">
        <v>0</v>
      </c>
      <c r="AD11">
        <v>0</v>
      </c>
      <c r="AE11">
        <v>1</v>
      </c>
      <c r="AF11" t="s">
        <v>48</v>
      </c>
      <c r="AG11">
        <v>1</v>
      </c>
      <c r="AH11">
        <v>1</v>
      </c>
      <c r="AI11">
        <v>1</v>
      </c>
      <c r="AJ11">
        <v>1</v>
      </c>
      <c r="AK11">
        <v>0</v>
      </c>
      <c r="AL11">
        <v>0</v>
      </c>
      <c r="AM11">
        <v>1</v>
      </c>
      <c r="AN11">
        <v>1</v>
      </c>
      <c r="AO11">
        <v>45468</v>
      </c>
      <c r="AP11">
        <v>1</v>
      </c>
      <c r="AQ11">
        <v>1</v>
      </c>
      <c r="AR11">
        <v>0</v>
      </c>
      <c r="AS11">
        <v>0</v>
      </c>
      <c r="AX11">
        <v>1</v>
      </c>
      <c r="AY11">
        <v>1</v>
      </c>
      <c r="AZ11">
        <v>1</v>
      </c>
      <c r="BA11">
        <v>0</v>
      </c>
      <c r="BB11">
        <v>0</v>
      </c>
      <c r="BC11" t="s">
        <v>66</v>
      </c>
    </row>
    <row r="12" spans="1:55">
      <c r="A12">
        <v>11</v>
      </c>
      <c r="B12">
        <v>45470</v>
      </c>
      <c r="C12">
        <v>45501</v>
      </c>
      <c r="D12">
        <v>31</v>
      </c>
      <c r="E12">
        <v>74</v>
      </c>
      <c r="F12">
        <v>1</v>
      </c>
      <c r="G12">
        <v>2</v>
      </c>
      <c r="H12">
        <v>1</v>
      </c>
      <c r="I12">
        <v>0</v>
      </c>
      <c r="J12">
        <v>0</v>
      </c>
      <c r="K12">
        <v>0</v>
      </c>
      <c r="L12">
        <v>0</v>
      </c>
      <c r="M12">
        <v>0</v>
      </c>
      <c r="N12">
        <v>1</v>
      </c>
      <c r="O12" t="s">
        <v>67</v>
      </c>
      <c r="P12" t="s">
        <v>52</v>
      </c>
      <c r="Q12">
        <v>0</v>
      </c>
      <c r="R12">
        <v>1</v>
      </c>
      <c r="S12">
        <v>45470</v>
      </c>
      <c r="T12">
        <v>45470</v>
      </c>
      <c r="U12">
        <v>0</v>
      </c>
      <c r="V12">
        <v>1</v>
      </c>
      <c r="W12">
        <v>0</v>
      </c>
      <c r="X12">
        <v>1</v>
      </c>
      <c r="Y12">
        <v>0</v>
      </c>
      <c r="Z12">
        <v>0</v>
      </c>
      <c r="AA12">
        <v>0</v>
      </c>
      <c r="AB12">
        <v>1</v>
      </c>
      <c r="AC12">
        <v>0</v>
      </c>
      <c r="AD12">
        <v>0</v>
      </c>
      <c r="AE12">
        <v>1</v>
      </c>
      <c r="AF12" t="s">
        <v>68</v>
      </c>
      <c r="AG12">
        <v>0</v>
      </c>
      <c r="AH12">
        <v>1</v>
      </c>
      <c r="AI12">
        <v>1</v>
      </c>
      <c r="AJ12">
        <v>1</v>
      </c>
      <c r="AK12">
        <v>0</v>
      </c>
      <c r="AL12">
        <v>0</v>
      </c>
      <c r="AM12">
        <v>0</v>
      </c>
      <c r="AN12">
        <v>1</v>
      </c>
      <c r="AO12">
        <v>45471</v>
      </c>
      <c r="AP12">
        <v>0</v>
      </c>
      <c r="AQ12">
        <v>1</v>
      </c>
      <c r="AR12">
        <v>1</v>
      </c>
      <c r="AS12">
        <v>0</v>
      </c>
      <c r="AX12">
        <v>0</v>
      </c>
      <c r="AY12">
        <v>1</v>
      </c>
      <c r="AZ12">
        <v>0</v>
      </c>
      <c r="BA12">
        <v>1</v>
      </c>
      <c r="BB12">
        <v>0</v>
      </c>
      <c r="BC12" t="s">
        <v>69</v>
      </c>
    </row>
    <row r="13" spans="1:55">
      <c r="A13">
        <v>12</v>
      </c>
      <c r="B13">
        <v>45413</v>
      </c>
      <c r="C13">
        <v>45423</v>
      </c>
      <c r="D13">
        <v>10</v>
      </c>
      <c r="E13">
        <v>70</v>
      </c>
      <c r="F13">
        <v>1</v>
      </c>
      <c r="G13">
        <v>5</v>
      </c>
      <c r="H13">
        <v>1</v>
      </c>
      <c r="I13">
        <v>0</v>
      </c>
      <c r="J13">
        <v>0</v>
      </c>
      <c r="K13">
        <v>0</v>
      </c>
      <c r="L13">
        <v>1</v>
      </c>
      <c r="M13">
        <v>0</v>
      </c>
      <c r="N13">
        <v>1</v>
      </c>
      <c r="O13" t="s">
        <v>70</v>
      </c>
      <c r="P13" t="s">
        <v>52</v>
      </c>
      <c r="Q13">
        <v>1</v>
      </c>
      <c r="R13">
        <v>2</v>
      </c>
      <c r="S13">
        <v>45413</v>
      </c>
      <c r="T13">
        <v>45415</v>
      </c>
      <c r="U13">
        <v>2</v>
      </c>
      <c r="V13">
        <v>1</v>
      </c>
      <c r="W13">
        <v>0</v>
      </c>
      <c r="X13">
        <v>0</v>
      </c>
      <c r="Y13">
        <v>1</v>
      </c>
      <c r="Z13">
        <v>0</v>
      </c>
      <c r="AA13">
        <v>0</v>
      </c>
      <c r="AB13">
        <v>0</v>
      </c>
      <c r="AC13">
        <v>0</v>
      </c>
      <c r="AD13">
        <v>0</v>
      </c>
      <c r="AE13">
        <v>1</v>
      </c>
      <c r="AF13" t="s">
        <v>55</v>
      </c>
      <c r="AG13">
        <v>1</v>
      </c>
      <c r="AH13">
        <v>1</v>
      </c>
      <c r="AI13">
        <v>1</v>
      </c>
      <c r="AJ13">
        <v>1</v>
      </c>
      <c r="AK13">
        <v>0</v>
      </c>
      <c r="AL13">
        <v>0</v>
      </c>
      <c r="AM13">
        <v>1</v>
      </c>
      <c r="AN13">
        <v>1</v>
      </c>
      <c r="AO13">
        <v>45419</v>
      </c>
      <c r="AP13">
        <v>0</v>
      </c>
      <c r="AQ13">
        <v>1</v>
      </c>
      <c r="AR13">
        <v>6</v>
      </c>
      <c r="AS13">
        <v>0</v>
      </c>
      <c r="AX13">
        <v>0</v>
      </c>
      <c r="AY13">
        <v>1</v>
      </c>
      <c r="AZ13">
        <v>0</v>
      </c>
      <c r="BA13">
        <v>0</v>
      </c>
      <c r="BB13">
        <v>0</v>
      </c>
      <c r="BC13" t="s">
        <v>71</v>
      </c>
    </row>
    <row r="14" spans="1:55">
      <c r="A14">
        <v>13</v>
      </c>
      <c r="B14">
        <v>45414</v>
      </c>
      <c r="C14">
        <v>45436</v>
      </c>
      <c r="D14">
        <v>22</v>
      </c>
      <c r="E14">
        <v>91</v>
      </c>
      <c r="F14">
        <v>2</v>
      </c>
      <c r="G14">
        <v>2</v>
      </c>
      <c r="H14">
        <v>1</v>
      </c>
      <c r="I14">
        <v>0</v>
      </c>
      <c r="J14">
        <v>0</v>
      </c>
      <c r="K14">
        <v>0</v>
      </c>
      <c r="L14">
        <v>0</v>
      </c>
      <c r="M14">
        <v>0</v>
      </c>
      <c r="N14">
        <v>1</v>
      </c>
      <c r="O14" t="s">
        <v>72</v>
      </c>
      <c r="P14" t="s">
        <v>52</v>
      </c>
      <c r="Q14">
        <v>1</v>
      </c>
      <c r="R14">
        <v>2</v>
      </c>
      <c r="S14">
        <v>45414</v>
      </c>
      <c r="T14">
        <v>45415</v>
      </c>
      <c r="U14">
        <v>1</v>
      </c>
      <c r="V14">
        <v>1</v>
      </c>
      <c r="W14">
        <v>0</v>
      </c>
      <c r="X14">
        <v>0</v>
      </c>
      <c r="Y14">
        <v>0</v>
      </c>
      <c r="Z14">
        <v>1</v>
      </c>
      <c r="AA14">
        <v>0</v>
      </c>
      <c r="AB14">
        <v>0</v>
      </c>
      <c r="AC14">
        <v>0</v>
      </c>
      <c r="AD14">
        <v>0</v>
      </c>
      <c r="AE14">
        <v>1</v>
      </c>
      <c r="AF14" t="s">
        <v>55</v>
      </c>
      <c r="AG14">
        <v>1</v>
      </c>
      <c r="AH14">
        <v>1</v>
      </c>
      <c r="AI14">
        <v>1</v>
      </c>
      <c r="AJ14">
        <v>1</v>
      </c>
      <c r="AK14">
        <v>0</v>
      </c>
      <c r="AL14">
        <v>0</v>
      </c>
      <c r="AM14">
        <v>1</v>
      </c>
      <c r="AN14">
        <v>1</v>
      </c>
      <c r="AO14">
        <v>45418</v>
      </c>
      <c r="AP14">
        <v>0</v>
      </c>
      <c r="AQ14">
        <v>0</v>
      </c>
      <c r="AR14">
        <v>4</v>
      </c>
      <c r="AS14">
        <v>0</v>
      </c>
      <c r="AX14">
        <v>0</v>
      </c>
      <c r="AY14">
        <v>1</v>
      </c>
      <c r="AZ14">
        <v>0</v>
      </c>
      <c r="BA14">
        <v>0</v>
      </c>
      <c r="BB14">
        <v>0</v>
      </c>
      <c r="BC14" t="s">
        <v>73</v>
      </c>
    </row>
    <row r="15" spans="1:55">
      <c r="A15">
        <v>14</v>
      </c>
      <c r="B15">
        <v>45419</v>
      </c>
      <c r="C15">
        <v>45433</v>
      </c>
      <c r="D15">
        <v>14</v>
      </c>
      <c r="E15">
        <v>71</v>
      </c>
      <c r="F15">
        <v>2</v>
      </c>
      <c r="G15">
        <v>2</v>
      </c>
      <c r="H15">
        <v>1</v>
      </c>
      <c r="I15">
        <v>0</v>
      </c>
      <c r="J15">
        <v>0</v>
      </c>
      <c r="K15">
        <v>0</v>
      </c>
      <c r="L15">
        <v>1</v>
      </c>
      <c r="M15">
        <v>0</v>
      </c>
      <c r="N15">
        <v>0</v>
      </c>
      <c r="P15" t="s">
        <v>52</v>
      </c>
      <c r="Q15">
        <v>1</v>
      </c>
      <c r="R15">
        <v>3</v>
      </c>
      <c r="S15">
        <v>45419</v>
      </c>
      <c r="T15">
        <v>45422</v>
      </c>
      <c r="U15">
        <v>3</v>
      </c>
      <c r="V15">
        <v>1</v>
      </c>
      <c r="W15">
        <v>0</v>
      </c>
      <c r="X15">
        <v>1</v>
      </c>
      <c r="Y15">
        <v>1</v>
      </c>
      <c r="Z15">
        <v>0</v>
      </c>
      <c r="AA15">
        <v>0</v>
      </c>
      <c r="AB15">
        <v>0</v>
      </c>
      <c r="AC15">
        <v>0</v>
      </c>
      <c r="AD15">
        <v>0</v>
      </c>
      <c r="AE15">
        <v>1</v>
      </c>
      <c r="AF15" t="s">
        <v>55</v>
      </c>
      <c r="AG15">
        <v>1</v>
      </c>
      <c r="AH15">
        <v>1</v>
      </c>
      <c r="AI15">
        <v>0</v>
      </c>
      <c r="AJ15">
        <v>0</v>
      </c>
      <c r="AK15">
        <v>1</v>
      </c>
      <c r="AL15">
        <v>0</v>
      </c>
      <c r="AM15">
        <v>1</v>
      </c>
      <c r="AN15">
        <v>1</v>
      </c>
      <c r="AO15">
        <v>45420</v>
      </c>
      <c r="AP15">
        <v>0</v>
      </c>
      <c r="AQ15">
        <v>0</v>
      </c>
      <c r="AR15">
        <v>1</v>
      </c>
      <c r="AS15">
        <v>0</v>
      </c>
      <c r="AX15">
        <v>0</v>
      </c>
      <c r="AY15">
        <v>1</v>
      </c>
      <c r="AZ15">
        <v>0</v>
      </c>
      <c r="BA15">
        <v>0</v>
      </c>
      <c r="BB15">
        <v>0</v>
      </c>
      <c r="BC15" t="s">
        <v>75</v>
      </c>
    </row>
    <row r="16" spans="1:55">
      <c r="A16">
        <v>15</v>
      </c>
      <c r="B16">
        <v>45420</v>
      </c>
      <c r="C16">
        <v>45432</v>
      </c>
      <c r="D16">
        <v>12</v>
      </c>
      <c r="E16">
        <v>77</v>
      </c>
      <c r="F16">
        <v>1</v>
      </c>
      <c r="G16">
        <v>2</v>
      </c>
      <c r="H16">
        <v>1</v>
      </c>
      <c r="I16">
        <v>0</v>
      </c>
      <c r="J16">
        <v>0</v>
      </c>
      <c r="K16">
        <v>0</v>
      </c>
      <c r="L16">
        <v>0</v>
      </c>
      <c r="M16">
        <v>0</v>
      </c>
      <c r="N16">
        <v>1</v>
      </c>
      <c r="O16" t="s">
        <v>76</v>
      </c>
      <c r="P16" t="s">
        <v>52</v>
      </c>
      <c r="Q16">
        <v>0</v>
      </c>
      <c r="R16">
        <v>1</v>
      </c>
      <c r="S16">
        <v>45420</v>
      </c>
      <c r="T16">
        <v>45420</v>
      </c>
      <c r="U16">
        <v>0</v>
      </c>
      <c r="V16">
        <v>1</v>
      </c>
      <c r="W16">
        <v>0</v>
      </c>
      <c r="X16">
        <v>0</v>
      </c>
      <c r="Y16">
        <v>0</v>
      </c>
      <c r="Z16">
        <v>1</v>
      </c>
      <c r="AA16">
        <v>0</v>
      </c>
      <c r="AB16">
        <v>0</v>
      </c>
      <c r="AC16">
        <v>1</v>
      </c>
      <c r="AD16">
        <v>0</v>
      </c>
      <c r="AE16">
        <v>1</v>
      </c>
      <c r="AF16" t="s">
        <v>55</v>
      </c>
      <c r="AG16">
        <v>1</v>
      </c>
      <c r="AH16">
        <v>1</v>
      </c>
      <c r="AI16">
        <v>1</v>
      </c>
      <c r="AJ16">
        <v>1</v>
      </c>
      <c r="AK16">
        <v>0</v>
      </c>
      <c r="AL16">
        <v>0</v>
      </c>
      <c r="AM16">
        <v>1</v>
      </c>
      <c r="AN16">
        <v>1</v>
      </c>
      <c r="AO16">
        <v>45421</v>
      </c>
      <c r="AP16">
        <v>0</v>
      </c>
      <c r="AQ16">
        <v>0</v>
      </c>
      <c r="AR16">
        <v>1</v>
      </c>
      <c r="AS16">
        <v>1</v>
      </c>
      <c r="AT16">
        <v>45425</v>
      </c>
      <c r="AU16">
        <v>0</v>
      </c>
      <c r="AV16">
        <v>0</v>
      </c>
      <c r="AW16">
        <v>0</v>
      </c>
      <c r="AX16">
        <v>0</v>
      </c>
      <c r="AY16">
        <v>1</v>
      </c>
      <c r="AZ16">
        <v>0</v>
      </c>
      <c r="BA16">
        <v>0</v>
      </c>
      <c r="BB16">
        <v>1</v>
      </c>
      <c r="BC16" t="s">
        <v>77</v>
      </c>
    </row>
    <row r="17" spans="1:55">
      <c r="A17">
        <v>16</v>
      </c>
      <c r="B17">
        <v>45420</v>
      </c>
      <c r="C17">
        <v>45435</v>
      </c>
      <c r="D17">
        <v>15</v>
      </c>
      <c r="E17">
        <v>83</v>
      </c>
      <c r="F17">
        <v>2</v>
      </c>
      <c r="G17">
        <v>2</v>
      </c>
      <c r="H17">
        <v>1</v>
      </c>
      <c r="I17">
        <v>0</v>
      </c>
      <c r="J17">
        <v>0</v>
      </c>
      <c r="K17">
        <v>0</v>
      </c>
      <c r="L17">
        <v>0</v>
      </c>
      <c r="M17">
        <v>0</v>
      </c>
      <c r="N17">
        <v>1</v>
      </c>
      <c r="O17" t="s">
        <v>78</v>
      </c>
      <c r="P17" t="s">
        <v>52</v>
      </c>
      <c r="Q17">
        <v>1</v>
      </c>
      <c r="R17">
        <v>3</v>
      </c>
      <c r="S17">
        <v>45429</v>
      </c>
      <c r="T17">
        <v>45431</v>
      </c>
      <c r="U17">
        <v>2</v>
      </c>
      <c r="V17">
        <v>0</v>
      </c>
      <c r="W17">
        <v>0</v>
      </c>
      <c r="X17">
        <v>0</v>
      </c>
      <c r="Y17">
        <v>0</v>
      </c>
      <c r="Z17">
        <v>0</v>
      </c>
      <c r="AA17">
        <v>0</v>
      </c>
      <c r="AB17">
        <v>0</v>
      </c>
      <c r="AC17">
        <v>0</v>
      </c>
      <c r="AD17">
        <v>0</v>
      </c>
      <c r="AE17">
        <v>1</v>
      </c>
      <c r="AF17" t="s">
        <v>79</v>
      </c>
      <c r="AG17">
        <v>1</v>
      </c>
      <c r="AH17">
        <v>1</v>
      </c>
      <c r="AI17">
        <v>1</v>
      </c>
      <c r="AJ17">
        <v>1</v>
      </c>
      <c r="AK17">
        <v>0</v>
      </c>
      <c r="AL17">
        <v>0</v>
      </c>
      <c r="AM17">
        <v>1</v>
      </c>
      <c r="AN17">
        <v>1</v>
      </c>
      <c r="AO17">
        <v>45432</v>
      </c>
      <c r="AP17">
        <v>0</v>
      </c>
      <c r="AQ17">
        <v>0</v>
      </c>
      <c r="AR17">
        <v>12</v>
      </c>
      <c r="AS17">
        <v>0</v>
      </c>
      <c r="AX17">
        <v>0</v>
      </c>
      <c r="AY17">
        <v>1</v>
      </c>
      <c r="AZ17">
        <v>0</v>
      </c>
      <c r="BA17">
        <v>1</v>
      </c>
      <c r="BB17">
        <v>0</v>
      </c>
      <c r="BC17" t="s">
        <v>80</v>
      </c>
    </row>
    <row r="18" spans="1:55">
      <c r="A18">
        <v>17</v>
      </c>
      <c r="B18">
        <v>45438</v>
      </c>
      <c r="C18">
        <v>45458</v>
      </c>
      <c r="D18">
        <v>20</v>
      </c>
      <c r="E18">
        <v>59</v>
      </c>
      <c r="F18">
        <v>1</v>
      </c>
      <c r="G18">
        <v>3</v>
      </c>
      <c r="H18">
        <v>1</v>
      </c>
      <c r="I18">
        <v>0</v>
      </c>
      <c r="J18">
        <v>0</v>
      </c>
      <c r="K18">
        <v>0</v>
      </c>
      <c r="L18">
        <v>0</v>
      </c>
      <c r="M18">
        <v>0</v>
      </c>
      <c r="N18">
        <v>1</v>
      </c>
      <c r="O18" t="s">
        <v>81</v>
      </c>
      <c r="P18" t="s">
        <v>52</v>
      </c>
      <c r="Q18">
        <v>1</v>
      </c>
      <c r="R18">
        <v>2</v>
      </c>
      <c r="S18">
        <v>45440</v>
      </c>
      <c r="T18">
        <v>45441</v>
      </c>
      <c r="U18">
        <v>1</v>
      </c>
      <c r="V18">
        <v>1</v>
      </c>
      <c r="W18">
        <v>0</v>
      </c>
      <c r="X18">
        <v>1</v>
      </c>
      <c r="Y18">
        <v>0</v>
      </c>
      <c r="Z18">
        <v>0</v>
      </c>
      <c r="AA18">
        <v>0</v>
      </c>
      <c r="AB18">
        <v>0</v>
      </c>
      <c r="AC18">
        <v>0</v>
      </c>
      <c r="AD18">
        <v>0</v>
      </c>
      <c r="AE18">
        <v>1</v>
      </c>
      <c r="AF18" t="s">
        <v>55</v>
      </c>
      <c r="AG18">
        <v>1</v>
      </c>
      <c r="AH18">
        <v>1</v>
      </c>
      <c r="AI18">
        <v>1</v>
      </c>
      <c r="AJ18">
        <v>1</v>
      </c>
      <c r="AK18">
        <v>0</v>
      </c>
      <c r="AL18">
        <v>0</v>
      </c>
      <c r="AM18">
        <v>1</v>
      </c>
      <c r="AN18">
        <v>1</v>
      </c>
      <c r="AO18">
        <v>45442</v>
      </c>
      <c r="AP18">
        <v>1</v>
      </c>
      <c r="AQ18">
        <v>0</v>
      </c>
      <c r="AR18">
        <v>4</v>
      </c>
      <c r="AS18">
        <v>0</v>
      </c>
      <c r="AX18">
        <v>1</v>
      </c>
      <c r="AY18">
        <v>1</v>
      </c>
      <c r="AZ18">
        <v>0</v>
      </c>
      <c r="BA18">
        <v>0</v>
      </c>
      <c r="BB18">
        <v>0</v>
      </c>
      <c r="BC18" t="s">
        <v>82</v>
      </c>
    </row>
    <row r="19" spans="1:55">
      <c r="A19">
        <v>18</v>
      </c>
      <c r="B19">
        <v>45385</v>
      </c>
      <c r="C19">
        <v>45395</v>
      </c>
      <c r="D19">
        <v>10</v>
      </c>
      <c r="E19">
        <v>51</v>
      </c>
      <c r="F19">
        <v>1</v>
      </c>
      <c r="G19">
        <v>3</v>
      </c>
      <c r="H19">
        <v>0</v>
      </c>
      <c r="I19">
        <v>0</v>
      </c>
      <c r="J19">
        <v>0</v>
      </c>
      <c r="K19">
        <v>0</v>
      </c>
      <c r="L19">
        <v>0</v>
      </c>
      <c r="M19">
        <v>0</v>
      </c>
      <c r="N19">
        <v>0</v>
      </c>
      <c r="P19" t="s">
        <v>52</v>
      </c>
      <c r="Q19">
        <v>1</v>
      </c>
      <c r="R19">
        <v>3</v>
      </c>
      <c r="S19">
        <v>45385</v>
      </c>
      <c r="T19">
        <v>45388</v>
      </c>
      <c r="U19">
        <v>3</v>
      </c>
      <c r="V19">
        <v>1</v>
      </c>
      <c r="W19">
        <v>1</v>
      </c>
      <c r="X19">
        <v>0</v>
      </c>
      <c r="Y19">
        <v>0</v>
      </c>
      <c r="Z19">
        <v>0</v>
      </c>
      <c r="AA19">
        <v>0</v>
      </c>
      <c r="AB19">
        <v>0</v>
      </c>
      <c r="AC19">
        <v>0</v>
      </c>
      <c r="AD19">
        <v>0</v>
      </c>
      <c r="AE19">
        <v>1</v>
      </c>
      <c r="AF19" t="s">
        <v>55</v>
      </c>
      <c r="AG19">
        <v>1</v>
      </c>
      <c r="AH19">
        <v>1</v>
      </c>
      <c r="AI19">
        <v>1</v>
      </c>
      <c r="AJ19">
        <v>1</v>
      </c>
      <c r="AK19">
        <v>0</v>
      </c>
      <c r="AL19">
        <v>0</v>
      </c>
      <c r="AM19">
        <v>1</v>
      </c>
      <c r="AN19">
        <v>1</v>
      </c>
      <c r="AO19">
        <v>45387</v>
      </c>
      <c r="AP19">
        <v>0</v>
      </c>
      <c r="AQ19">
        <v>0</v>
      </c>
      <c r="AR19">
        <v>2</v>
      </c>
      <c r="AS19">
        <v>1</v>
      </c>
      <c r="AT19">
        <v>45391</v>
      </c>
      <c r="AU19">
        <v>0</v>
      </c>
      <c r="AV19">
        <v>0</v>
      </c>
      <c r="AW19">
        <v>0</v>
      </c>
      <c r="AX19">
        <v>0</v>
      </c>
      <c r="AY19">
        <v>1</v>
      </c>
      <c r="AZ19">
        <v>0</v>
      </c>
      <c r="BA19">
        <v>0</v>
      </c>
      <c r="BB19">
        <v>1</v>
      </c>
      <c r="BC19" t="s">
        <v>83</v>
      </c>
    </row>
    <row r="20" spans="1:55">
      <c r="A20">
        <v>19</v>
      </c>
      <c r="B20">
        <v>45393</v>
      </c>
      <c r="C20">
        <v>45398</v>
      </c>
      <c r="D20">
        <v>5</v>
      </c>
      <c r="E20">
        <v>65</v>
      </c>
      <c r="F20">
        <v>2</v>
      </c>
      <c r="G20">
        <v>2</v>
      </c>
      <c r="H20">
        <v>1</v>
      </c>
      <c r="I20">
        <v>0</v>
      </c>
      <c r="J20">
        <v>0</v>
      </c>
      <c r="K20">
        <v>0</v>
      </c>
      <c r="L20">
        <v>0</v>
      </c>
      <c r="M20">
        <v>0</v>
      </c>
      <c r="N20">
        <v>1</v>
      </c>
      <c r="O20" t="s">
        <v>51</v>
      </c>
      <c r="P20" t="s">
        <v>47</v>
      </c>
      <c r="Q20">
        <v>1</v>
      </c>
      <c r="R20">
        <v>3</v>
      </c>
      <c r="S20">
        <v>45393</v>
      </c>
      <c r="T20">
        <v>45394</v>
      </c>
      <c r="U20">
        <v>1</v>
      </c>
      <c r="V20">
        <v>0</v>
      </c>
      <c r="W20">
        <v>0</v>
      </c>
      <c r="X20">
        <v>0</v>
      </c>
      <c r="Y20">
        <v>0</v>
      </c>
      <c r="Z20">
        <v>0</v>
      </c>
      <c r="AA20">
        <v>0</v>
      </c>
      <c r="AB20">
        <v>0</v>
      </c>
      <c r="AC20">
        <v>0</v>
      </c>
      <c r="AD20">
        <v>1</v>
      </c>
      <c r="AE20">
        <v>1</v>
      </c>
      <c r="AF20" t="s">
        <v>48</v>
      </c>
      <c r="AG20">
        <v>1</v>
      </c>
      <c r="AH20">
        <v>0</v>
      </c>
      <c r="AI20">
        <v>1</v>
      </c>
      <c r="AJ20">
        <v>0</v>
      </c>
      <c r="AK20">
        <v>0</v>
      </c>
      <c r="AL20">
        <v>1</v>
      </c>
      <c r="AM20">
        <v>1</v>
      </c>
      <c r="AN20">
        <v>1</v>
      </c>
      <c r="AO20">
        <v>45394</v>
      </c>
      <c r="AP20">
        <v>0</v>
      </c>
      <c r="AQ20">
        <v>1</v>
      </c>
      <c r="AR20">
        <v>1</v>
      </c>
      <c r="AS20">
        <v>0</v>
      </c>
      <c r="AX20">
        <v>0</v>
      </c>
      <c r="AY20">
        <v>1</v>
      </c>
      <c r="AZ20">
        <v>0</v>
      </c>
      <c r="BA20">
        <v>0</v>
      </c>
      <c r="BB20">
        <v>0</v>
      </c>
      <c r="BC20" t="s">
        <v>288</v>
      </c>
    </row>
    <row r="21" spans="1:55">
      <c r="A21">
        <v>20</v>
      </c>
      <c r="B21">
        <v>45392</v>
      </c>
      <c r="C21">
        <v>45401</v>
      </c>
      <c r="D21">
        <v>9</v>
      </c>
      <c r="E21">
        <v>85</v>
      </c>
      <c r="F21">
        <v>1</v>
      </c>
      <c r="G21">
        <v>2</v>
      </c>
      <c r="H21">
        <v>0</v>
      </c>
      <c r="I21">
        <v>0</v>
      </c>
      <c r="J21">
        <v>0</v>
      </c>
      <c r="K21">
        <v>0</v>
      </c>
      <c r="L21">
        <v>0</v>
      </c>
      <c r="M21">
        <v>0</v>
      </c>
      <c r="N21">
        <v>0</v>
      </c>
      <c r="P21" t="s">
        <v>52</v>
      </c>
      <c r="Q21">
        <v>1</v>
      </c>
      <c r="R21">
        <v>2</v>
      </c>
      <c r="S21">
        <v>45396</v>
      </c>
      <c r="T21">
        <v>45396</v>
      </c>
      <c r="U21">
        <v>0</v>
      </c>
      <c r="V21">
        <v>0</v>
      </c>
      <c r="W21">
        <v>0</v>
      </c>
      <c r="X21">
        <v>0</v>
      </c>
      <c r="Y21">
        <v>0</v>
      </c>
      <c r="Z21">
        <v>0</v>
      </c>
      <c r="AA21">
        <v>0</v>
      </c>
      <c r="AB21">
        <v>0</v>
      </c>
      <c r="AC21">
        <v>0</v>
      </c>
      <c r="AD21">
        <v>0</v>
      </c>
      <c r="AE21">
        <v>1</v>
      </c>
      <c r="AF21" t="s">
        <v>55</v>
      </c>
      <c r="AG21">
        <v>1</v>
      </c>
      <c r="AH21">
        <v>1</v>
      </c>
      <c r="AI21">
        <v>1</v>
      </c>
      <c r="AJ21">
        <v>1</v>
      </c>
      <c r="AK21">
        <v>0</v>
      </c>
      <c r="AL21">
        <v>0</v>
      </c>
      <c r="AM21">
        <v>1</v>
      </c>
      <c r="AN21">
        <v>1</v>
      </c>
      <c r="AO21">
        <v>45400</v>
      </c>
      <c r="AP21">
        <v>0</v>
      </c>
      <c r="AQ21">
        <v>0</v>
      </c>
      <c r="AR21">
        <v>8</v>
      </c>
      <c r="AS21">
        <v>0</v>
      </c>
      <c r="AX21">
        <v>0</v>
      </c>
      <c r="AY21">
        <v>1</v>
      </c>
      <c r="AZ21">
        <v>0</v>
      </c>
      <c r="BA21">
        <v>0</v>
      </c>
      <c r="BB21">
        <v>0</v>
      </c>
      <c r="BC21" t="s">
        <v>88</v>
      </c>
    </row>
    <row r="22" spans="1:55">
      <c r="A22">
        <v>21</v>
      </c>
      <c r="B22">
        <v>45400</v>
      </c>
      <c r="C22">
        <v>45408</v>
      </c>
      <c r="D22">
        <v>8</v>
      </c>
      <c r="E22">
        <v>85</v>
      </c>
      <c r="F22">
        <v>2</v>
      </c>
      <c r="G22">
        <v>2</v>
      </c>
      <c r="H22">
        <v>1</v>
      </c>
      <c r="I22">
        <v>0</v>
      </c>
      <c r="J22">
        <v>0</v>
      </c>
      <c r="K22">
        <v>0</v>
      </c>
      <c r="L22">
        <v>0</v>
      </c>
      <c r="M22">
        <v>0</v>
      </c>
      <c r="N22">
        <v>1</v>
      </c>
      <c r="O22" t="s">
        <v>70</v>
      </c>
      <c r="P22" t="s">
        <v>52</v>
      </c>
      <c r="Q22">
        <v>1</v>
      </c>
      <c r="R22">
        <v>3</v>
      </c>
      <c r="S22">
        <v>45400</v>
      </c>
      <c r="T22">
        <v>45402</v>
      </c>
      <c r="U22">
        <v>2</v>
      </c>
      <c r="V22">
        <v>1</v>
      </c>
      <c r="W22">
        <v>0</v>
      </c>
      <c r="X22">
        <v>0</v>
      </c>
      <c r="Y22">
        <v>0</v>
      </c>
      <c r="Z22">
        <v>1</v>
      </c>
      <c r="AA22">
        <v>0</v>
      </c>
      <c r="AB22">
        <v>0</v>
      </c>
      <c r="AC22">
        <v>0</v>
      </c>
      <c r="AD22">
        <v>0</v>
      </c>
      <c r="AE22">
        <v>1</v>
      </c>
      <c r="AF22" t="s">
        <v>55</v>
      </c>
      <c r="AG22">
        <v>1</v>
      </c>
      <c r="AH22">
        <v>1</v>
      </c>
      <c r="AI22">
        <v>0</v>
      </c>
      <c r="AJ22">
        <v>0</v>
      </c>
      <c r="AK22">
        <v>1</v>
      </c>
      <c r="AL22">
        <v>0</v>
      </c>
      <c r="AM22">
        <v>1</v>
      </c>
      <c r="AN22">
        <v>1</v>
      </c>
      <c r="AO22">
        <v>45404</v>
      </c>
      <c r="AP22">
        <v>0</v>
      </c>
      <c r="AQ22">
        <v>1</v>
      </c>
      <c r="AR22">
        <v>4</v>
      </c>
      <c r="AS22">
        <v>0</v>
      </c>
      <c r="AX22">
        <v>0</v>
      </c>
      <c r="AY22">
        <v>1</v>
      </c>
      <c r="AZ22">
        <v>0</v>
      </c>
      <c r="BA22">
        <v>0</v>
      </c>
      <c r="BB22">
        <v>0</v>
      </c>
      <c r="BC22" t="s">
        <v>89</v>
      </c>
    </row>
    <row r="23" spans="1:55">
      <c r="A23">
        <v>22</v>
      </c>
      <c r="B23">
        <v>45401</v>
      </c>
      <c r="C23">
        <v>45408</v>
      </c>
      <c r="D23">
        <v>7</v>
      </c>
      <c r="E23">
        <v>79</v>
      </c>
      <c r="F23">
        <v>1</v>
      </c>
      <c r="G23">
        <v>2</v>
      </c>
      <c r="H23">
        <v>1</v>
      </c>
      <c r="I23">
        <v>0</v>
      </c>
      <c r="J23">
        <v>0</v>
      </c>
      <c r="K23">
        <v>1</v>
      </c>
      <c r="L23">
        <v>0</v>
      </c>
      <c r="M23">
        <v>0</v>
      </c>
      <c r="N23">
        <v>1</v>
      </c>
      <c r="O23" t="s">
        <v>63</v>
      </c>
      <c r="P23" t="s">
        <v>52</v>
      </c>
      <c r="Q23">
        <v>1</v>
      </c>
      <c r="R23">
        <v>1</v>
      </c>
      <c r="S23">
        <v>45401</v>
      </c>
      <c r="T23">
        <v>45401</v>
      </c>
      <c r="U23">
        <v>0</v>
      </c>
      <c r="V23">
        <v>0</v>
      </c>
      <c r="W23">
        <v>0</v>
      </c>
      <c r="X23">
        <v>0</v>
      </c>
      <c r="Y23">
        <v>0</v>
      </c>
      <c r="Z23">
        <v>0</v>
      </c>
      <c r="AA23">
        <v>0</v>
      </c>
      <c r="AB23">
        <v>0</v>
      </c>
      <c r="AC23">
        <v>0</v>
      </c>
      <c r="AD23">
        <v>1</v>
      </c>
      <c r="AE23">
        <v>1</v>
      </c>
      <c r="AF23" t="s">
        <v>55</v>
      </c>
      <c r="AG23">
        <v>1</v>
      </c>
      <c r="AH23">
        <v>1</v>
      </c>
      <c r="AI23">
        <v>1</v>
      </c>
      <c r="AJ23">
        <v>1</v>
      </c>
      <c r="AK23">
        <v>0</v>
      </c>
      <c r="AL23">
        <v>0</v>
      </c>
      <c r="AM23">
        <v>0</v>
      </c>
      <c r="AN23">
        <v>1</v>
      </c>
      <c r="AO23">
        <v>45406</v>
      </c>
      <c r="AP23">
        <v>0</v>
      </c>
      <c r="AQ23">
        <v>0</v>
      </c>
      <c r="AR23">
        <v>5</v>
      </c>
      <c r="AS23">
        <v>1</v>
      </c>
      <c r="AT23">
        <v>45408</v>
      </c>
      <c r="AU23">
        <v>0</v>
      </c>
      <c r="AV23">
        <v>0</v>
      </c>
      <c r="AW23">
        <v>0</v>
      </c>
      <c r="AX23">
        <v>0</v>
      </c>
      <c r="AY23">
        <v>1</v>
      </c>
      <c r="AZ23">
        <v>1</v>
      </c>
      <c r="BA23">
        <v>0</v>
      </c>
      <c r="BB23">
        <v>1</v>
      </c>
      <c r="BC23" t="s">
        <v>90</v>
      </c>
    </row>
    <row r="24" spans="1:55">
      <c r="A24">
        <v>23</v>
      </c>
      <c r="B24">
        <v>45401</v>
      </c>
      <c r="C24">
        <v>45447</v>
      </c>
      <c r="D24">
        <v>46</v>
      </c>
      <c r="E24">
        <v>46</v>
      </c>
      <c r="F24">
        <v>2</v>
      </c>
      <c r="G24">
        <v>2</v>
      </c>
      <c r="H24">
        <v>1</v>
      </c>
      <c r="I24">
        <v>1</v>
      </c>
      <c r="J24">
        <v>0</v>
      </c>
      <c r="K24">
        <v>0</v>
      </c>
      <c r="L24">
        <v>1</v>
      </c>
      <c r="M24">
        <v>0</v>
      </c>
      <c r="N24">
        <v>0</v>
      </c>
      <c r="P24" t="s">
        <v>47</v>
      </c>
      <c r="Q24">
        <v>1</v>
      </c>
      <c r="R24">
        <v>3</v>
      </c>
      <c r="S24">
        <v>45401</v>
      </c>
      <c r="T24">
        <v>45404</v>
      </c>
      <c r="U24">
        <v>3</v>
      </c>
      <c r="V24">
        <v>1</v>
      </c>
      <c r="W24">
        <v>0</v>
      </c>
      <c r="X24">
        <v>0</v>
      </c>
      <c r="Y24">
        <v>1</v>
      </c>
      <c r="Z24">
        <v>0</v>
      </c>
      <c r="AA24">
        <v>0</v>
      </c>
      <c r="AB24">
        <v>0</v>
      </c>
      <c r="AC24">
        <v>0</v>
      </c>
      <c r="AD24">
        <v>0</v>
      </c>
      <c r="AE24">
        <v>1</v>
      </c>
      <c r="AF24" t="s">
        <v>91</v>
      </c>
      <c r="AG24">
        <v>1</v>
      </c>
      <c r="AH24">
        <v>0</v>
      </c>
      <c r="AI24">
        <v>1</v>
      </c>
      <c r="AJ24">
        <v>0</v>
      </c>
      <c r="AK24">
        <v>0</v>
      </c>
      <c r="AL24">
        <v>1</v>
      </c>
      <c r="AM24">
        <v>1</v>
      </c>
      <c r="AN24">
        <v>1</v>
      </c>
      <c r="AO24">
        <v>45406</v>
      </c>
      <c r="AP24">
        <v>0</v>
      </c>
      <c r="AQ24">
        <v>0</v>
      </c>
      <c r="AR24">
        <v>5</v>
      </c>
      <c r="AS24">
        <v>1</v>
      </c>
      <c r="AT24">
        <v>45408</v>
      </c>
      <c r="AU24">
        <v>0</v>
      </c>
      <c r="AV24">
        <v>0</v>
      </c>
      <c r="AW24">
        <v>0</v>
      </c>
      <c r="AX24">
        <v>0</v>
      </c>
      <c r="AY24">
        <v>1</v>
      </c>
      <c r="AZ24">
        <v>1</v>
      </c>
      <c r="BA24">
        <v>0</v>
      </c>
      <c r="BB24">
        <v>1</v>
      </c>
      <c r="BC24" t="s">
        <v>92</v>
      </c>
    </row>
    <row r="25" spans="1:55">
      <c r="A25">
        <v>24</v>
      </c>
      <c r="B25">
        <v>45402</v>
      </c>
      <c r="C25">
        <v>45412</v>
      </c>
      <c r="D25">
        <v>10</v>
      </c>
      <c r="E25">
        <v>87</v>
      </c>
      <c r="F25">
        <v>2</v>
      </c>
      <c r="G25">
        <v>2</v>
      </c>
      <c r="H25">
        <v>1</v>
      </c>
      <c r="I25">
        <v>0</v>
      </c>
      <c r="J25">
        <v>0</v>
      </c>
      <c r="K25">
        <v>0</v>
      </c>
      <c r="L25">
        <v>0</v>
      </c>
      <c r="M25">
        <v>0</v>
      </c>
      <c r="N25">
        <v>1</v>
      </c>
      <c r="O25" t="s">
        <v>93</v>
      </c>
      <c r="P25" t="s">
        <v>52</v>
      </c>
      <c r="Q25">
        <v>1</v>
      </c>
      <c r="R25">
        <v>2</v>
      </c>
      <c r="S25">
        <v>45402</v>
      </c>
      <c r="T25">
        <v>45403</v>
      </c>
      <c r="U25">
        <v>1</v>
      </c>
      <c r="V25">
        <v>0</v>
      </c>
      <c r="W25">
        <v>0</v>
      </c>
      <c r="X25">
        <v>0</v>
      </c>
      <c r="Y25">
        <v>0</v>
      </c>
      <c r="Z25">
        <v>0</v>
      </c>
      <c r="AA25">
        <v>0</v>
      </c>
      <c r="AB25">
        <v>0</v>
      </c>
      <c r="AC25">
        <v>0</v>
      </c>
      <c r="AD25">
        <v>0</v>
      </c>
      <c r="AE25">
        <v>1</v>
      </c>
      <c r="AF25" t="s">
        <v>55</v>
      </c>
      <c r="AG25">
        <v>1</v>
      </c>
      <c r="AH25">
        <v>1</v>
      </c>
      <c r="AI25">
        <v>1</v>
      </c>
      <c r="AJ25">
        <v>1</v>
      </c>
      <c r="AK25">
        <v>0</v>
      </c>
      <c r="AL25">
        <v>0</v>
      </c>
      <c r="AM25">
        <v>1</v>
      </c>
      <c r="AN25">
        <v>1</v>
      </c>
      <c r="AO25">
        <v>45406</v>
      </c>
      <c r="AP25">
        <v>0</v>
      </c>
      <c r="AQ25">
        <v>0</v>
      </c>
      <c r="AR25">
        <v>4</v>
      </c>
      <c r="AS25">
        <v>1</v>
      </c>
      <c r="AT25">
        <v>45411</v>
      </c>
      <c r="AU25">
        <v>0</v>
      </c>
      <c r="AV25">
        <v>0</v>
      </c>
      <c r="AW25">
        <v>1</v>
      </c>
      <c r="AX25">
        <v>0</v>
      </c>
      <c r="AY25">
        <v>1</v>
      </c>
      <c r="AZ25">
        <v>0</v>
      </c>
      <c r="BA25">
        <v>0</v>
      </c>
      <c r="BB25">
        <v>1</v>
      </c>
      <c r="BC25" t="s">
        <v>94</v>
      </c>
    </row>
    <row r="26" spans="1:55">
      <c r="A26">
        <v>25</v>
      </c>
      <c r="B26">
        <v>45405</v>
      </c>
      <c r="C26">
        <v>45423</v>
      </c>
      <c r="D26">
        <v>18</v>
      </c>
      <c r="E26">
        <v>66</v>
      </c>
      <c r="F26">
        <v>1</v>
      </c>
      <c r="G26">
        <v>2</v>
      </c>
      <c r="H26">
        <v>1</v>
      </c>
      <c r="I26">
        <v>0</v>
      </c>
      <c r="J26">
        <v>0</v>
      </c>
      <c r="K26">
        <v>0</v>
      </c>
      <c r="L26">
        <v>0</v>
      </c>
      <c r="M26">
        <v>0</v>
      </c>
      <c r="N26">
        <v>1</v>
      </c>
      <c r="O26" t="s">
        <v>63</v>
      </c>
      <c r="P26" t="s">
        <v>52</v>
      </c>
      <c r="Q26">
        <v>1</v>
      </c>
      <c r="R26">
        <v>4</v>
      </c>
      <c r="S26">
        <v>45405</v>
      </c>
      <c r="T26">
        <v>45408</v>
      </c>
      <c r="U26">
        <v>3</v>
      </c>
      <c r="V26">
        <v>1</v>
      </c>
      <c r="W26">
        <v>1</v>
      </c>
      <c r="X26">
        <v>0</v>
      </c>
      <c r="Y26">
        <v>0</v>
      </c>
      <c r="Z26">
        <v>1</v>
      </c>
      <c r="AA26">
        <v>0</v>
      </c>
      <c r="AB26">
        <v>0</v>
      </c>
      <c r="AC26">
        <v>0</v>
      </c>
      <c r="AD26">
        <v>0</v>
      </c>
      <c r="AE26">
        <v>1</v>
      </c>
      <c r="AF26" t="s">
        <v>55</v>
      </c>
      <c r="AG26">
        <v>1</v>
      </c>
      <c r="AH26">
        <v>0</v>
      </c>
      <c r="AI26">
        <v>1</v>
      </c>
      <c r="AJ26">
        <v>0</v>
      </c>
      <c r="AK26">
        <v>0</v>
      </c>
      <c r="AL26">
        <v>1</v>
      </c>
      <c r="AM26">
        <v>0</v>
      </c>
      <c r="AN26">
        <v>1</v>
      </c>
      <c r="AO26">
        <v>45411</v>
      </c>
      <c r="AP26">
        <v>0</v>
      </c>
      <c r="AQ26">
        <v>0</v>
      </c>
      <c r="AR26">
        <v>6</v>
      </c>
      <c r="AS26">
        <v>0</v>
      </c>
      <c r="AX26">
        <v>0</v>
      </c>
      <c r="AY26">
        <v>0</v>
      </c>
      <c r="AZ26">
        <v>0</v>
      </c>
      <c r="BA26">
        <v>1</v>
      </c>
      <c r="BB26">
        <v>0</v>
      </c>
      <c r="BC26" t="s">
        <v>95</v>
      </c>
    </row>
    <row r="27" spans="1:55">
      <c r="A27">
        <v>26</v>
      </c>
      <c r="B27">
        <v>45406</v>
      </c>
      <c r="C27">
        <v>45424</v>
      </c>
      <c r="D27">
        <v>18</v>
      </c>
      <c r="E27">
        <v>59</v>
      </c>
      <c r="F27">
        <v>2</v>
      </c>
      <c r="G27">
        <v>2</v>
      </c>
      <c r="H27">
        <v>1</v>
      </c>
      <c r="I27">
        <v>0</v>
      </c>
      <c r="J27">
        <v>0</v>
      </c>
      <c r="K27">
        <v>0</v>
      </c>
      <c r="L27">
        <v>1</v>
      </c>
      <c r="M27">
        <v>0</v>
      </c>
      <c r="N27">
        <v>1</v>
      </c>
      <c r="O27" t="s">
        <v>70</v>
      </c>
      <c r="P27" t="s">
        <v>52</v>
      </c>
      <c r="Q27">
        <v>1</v>
      </c>
      <c r="R27">
        <v>3</v>
      </c>
      <c r="S27">
        <v>45406</v>
      </c>
      <c r="T27">
        <v>45409</v>
      </c>
      <c r="U27">
        <v>3</v>
      </c>
      <c r="V27">
        <v>1</v>
      </c>
      <c r="W27">
        <v>0</v>
      </c>
      <c r="X27">
        <v>0</v>
      </c>
      <c r="Y27">
        <v>1</v>
      </c>
      <c r="Z27">
        <v>0</v>
      </c>
      <c r="AA27">
        <v>0</v>
      </c>
      <c r="AB27">
        <v>0</v>
      </c>
      <c r="AC27">
        <v>0</v>
      </c>
      <c r="AD27">
        <v>0</v>
      </c>
      <c r="AE27">
        <v>1</v>
      </c>
      <c r="AF27" t="s">
        <v>55</v>
      </c>
      <c r="AG27">
        <v>1</v>
      </c>
      <c r="AH27">
        <v>1</v>
      </c>
      <c r="AI27">
        <v>1</v>
      </c>
      <c r="AJ27">
        <v>1</v>
      </c>
      <c r="AK27">
        <v>0</v>
      </c>
      <c r="AL27">
        <v>0</v>
      </c>
      <c r="AM27">
        <v>1</v>
      </c>
      <c r="AN27">
        <v>1</v>
      </c>
      <c r="AO27">
        <v>45415</v>
      </c>
      <c r="AP27">
        <v>1</v>
      </c>
      <c r="AQ27">
        <v>0</v>
      </c>
      <c r="AR27">
        <v>9</v>
      </c>
      <c r="AS27">
        <v>0</v>
      </c>
      <c r="AX27">
        <v>1</v>
      </c>
      <c r="AY27">
        <v>1</v>
      </c>
      <c r="AZ27">
        <v>0</v>
      </c>
      <c r="BA27">
        <v>1</v>
      </c>
      <c r="BB27">
        <v>0</v>
      </c>
      <c r="BC27" t="s">
        <v>96</v>
      </c>
    </row>
    <row r="28" spans="1:55">
      <c r="A28">
        <v>27</v>
      </c>
      <c r="B28">
        <v>45403</v>
      </c>
      <c r="C28">
        <v>45412</v>
      </c>
      <c r="D28">
        <v>9</v>
      </c>
      <c r="E28">
        <v>72</v>
      </c>
      <c r="F28">
        <v>1</v>
      </c>
      <c r="G28">
        <v>2</v>
      </c>
      <c r="H28">
        <v>1</v>
      </c>
      <c r="I28">
        <v>0</v>
      </c>
      <c r="J28">
        <v>0</v>
      </c>
      <c r="K28">
        <v>0</v>
      </c>
      <c r="L28">
        <v>0</v>
      </c>
      <c r="M28">
        <v>0</v>
      </c>
      <c r="N28">
        <v>1</v>
      </c>
      <c r="O28" t="s">
        <v>97</v>
      </c>
      <c r="P28" t="s">
        <v>52</v>
      </c>
      <c r="Q28">
        <v>1</v>
      </c>
      <c r="R28">
        <v>2</v>
      </c>
      <c r="S28">
        <v>45407</v>
      </c>
      <c r="T28">
        <v>45409</v>
      </c>
      <c r="U28">
        <v>2</v>
      </c>
      <c r="V28">
        <v>1</v>
      </c>
      <c r="W28">
        <v>1</v>
      </c>
      <c r="X28">
        <v>0</v>
      </c>
      <c r="Y28">
        <v>0</v>
      </c>
      <c r="Z28">
        <v>0</v>
      </c>
      <c r="AA28">
        <v>0</v>
      </c>
      <c r="AB28">
        <v>0</v>
      </c>
      <c r="AC28">
        <v>0</v>
      </c>
      <c r="AD28">
        <v>1</v>
      </c>
      <c r="AE28">
        <v>1</v>
      </c>
      <c r="AF28" t="s">
        <v>55</v>
      </c>
      <c r="AG28">
        <v>1</v>
      </c>
      <c r="AH28">
        <v>1</v>
      </c>
      <c r="AI28">
        <v>1</v>
      </c>
      <c r="AJ28">
        <v>1</v>
      </c>
      <c r="AK28">
        <v>0</v>
      </c>
      <c r="AL28">
        <v>0</v>
      </c>
      <c r="AM28">
        <v>1</v>
      </c>
      <c r="AN28">
        <v>1</v>
      </c>
      <c r="AO28">
        <v>45408</v>
      </c>
      <c r="AP28">
        <v>0</v>
      </c>
      <c r="AQ28">
        <v>0</v>
      </c>
      <c r="AR28">
        <v>5</v>
      </c>
      <c r="AS28">
        <v>0</v>
      </c>
      <c r="AX28">
        <v>0</v>
      </c>
      <c r="AY28">
        <v>1</v>
      </c>
      <c r="AZ28">
        <v>0</v>
      </c>
      <c r="BA28">
        <v>0</v>
      </c>
      <c r="BB28">
        <v>0</v>
      </c>
      <c r="BC28" t="s">
        <v>98</v>
      </c>
    </row>
    <row r="29" spans="1:55">
      <c r="A29">
        <v>28</v>
      </c>
      <c r="B29">
        <v>45406</v>
      </c>
      <c r="C29">
        <v>45422</v>
      </c>
      <c r="D29">
        <v>16</v>
      </c>
      <c r="E29">
        <v>71</v>
      </c>
      <c r="F29">
        <v>2</v>
      </c>
      <c r="G29">
        <v>2</v>
      </c>
      <c r="H29">
        <v>1</v>
      </c>
      <c r="I29">
        <v>0</v>
      </c>
      <c r="J29">
        <v>0</v>
      </c>
      <c r="K29">
        <v>0</v>
      </c>
      <c r="L29">
        <v>0</v>
      </c>
      <c r="M29">
        <v>0</v>
      </c>
      <c r="N29">
        <v>1</v>
      </c>
      <c r="O29" t="s">
        <v>99</v>
      </c>
      <c r="P29" t="s">
        <v>52</v>
      </c>
      <c r="Q29">
        <v>1</v>
      </c>
      <c r="R29">
        <v>2</v>
      </c>
      <c r="S29">
        <v>45409</v>
      </c>
      <c r="T29">
        <v>45410</v>
      </c>
      <c r="U29">
        <v>1</v>
      </c>
      <c r="V29">
        <v>1</v>
      </c>
      <c r="W29">
        <v>1</v>
      </c>
      <c r="X29">
        <v>0</v>
      </c>
      <c r="Y29">
        <v>0</v>
      </c>
      <c r="Z29">
        <v>1</v>
      </c>
      <c r="AA29">
        <v>0</v>
      </c>
      <c r="AB29">
        <v>0</v>
      </c>
      <c r="AC29">
        <v>0</v>
      </c>
      <c r="AD29">
        <v>1</v>
      </c>
      <c r="AE29">
        <v>1</v>
      </c>
      <c r="AF29" t="s">
        <v>79</v>
      </c>
      <c r="AG29">
        <v>1</v>
      </c>
      <c r="AH29">
        <v>1</v>
      </c>
      <c r="AI29">
        <v>1</v>
      </c>
      <c r="AJ29">
        <v>1</v>
      </c>
      <c r="AK29">
        <v>0</v>
      </c>
      <c r="AL29">
        <v>0</v>
      </c>
      <c r="AM29">
        <v>1</v>
      </c>
      <c r="AN29">
        <v>1</v>
      </c>
      <c r="AO29">
        <v>45414</v>
      </c>
      <c r="AP29">
        <v>0</v>
      </c>
      <c r="AQ29">
        <v>0</v>
      </c>
      <c r="AR29">
        <v>8</v>
      </c>
      <c r="AS29">
        <v>0</v>
      </c>
      <c r="AX29">
        <v>0</v>
      </c>
      <c r="AY29">
        <v>1</v>
      </c>
      <c r="AZ29">
        <v>0</v>
      </c>
      <c r="BA29">
        <v>0</v>
      </c>
      <c r="BB29">
        <v>0</v>
      </c>
      <c r="BC29" t="s">
        <v>100</v>
      </c>
    </row>
    <row r="30" spans="1:55">
      <c r="A30">
        <v>29</v>
      </c>
      <c r="B30">
        <v>45347</v>
      </c>
      <c r="C30">
        <v>45454</v>
      </c>
      <c r="D30">
        <v>107</v>
      </c>
      <c r="E30">
        <v>54</v>
      </c>
      <c r="F30">
        <v>1</v>
      </c>
      <c r="G30">
        <v>3</v>
      </c>
      <c r="H30">
        <v>0</v>
      </c>
      <c r="I30">
        <v>0</v>
      </c>
      <c r="J30">
        <v>0</v>
      </c>
      <c r="K30">
        <v>0</v>
      </c>
      <c r="L30">
        <v>0</v>
      </c>
      <c r="M30">
        <v>0</v>
      </c>
      <c r="N30">
        <v>0</v>
      </c>
      <c r="P30" t="s">
        <v>47</v>
      </c>
      <c r="Q30">
        <v>1</v>
      </c>
      <c r="R30">
        <v>4</v>
      </c>
      <c r="S30">
        <v>45407</v>
      </c>
      <c r="T30">
        <v>45410</v>
      </c>
      <c r="U30">
        <v>3</v>
      </c>
      <c r="V30">
        <v>1</v>
      </c>
      <c r="W30">
        <v>0</v>
      </c>
      <c r="X30">
        <v>1</v>
      </c>
      <c r="Y30">
        <v>0</v>
      </c>
      <c r="Z30">
        <v>0</v>
      </c>
      <c r="AA30">
        <v>0</v>
      </c>
      <c r="AB30">
        <v>0</v>
      </c>
      <c r="AC30">
        <v>0</v>
      </c>
      <c r="AD30">
        <v>0</v>
      </c>
      <c r="AE30">
        <v>1</v>
      </c>
      <c r="AF30" t="s">
        <v>91</v>
      </c>
      <c r="AG30">
        <v>1</v>
      </c>
      <c r="AH30">
        <v>1</v>
      </c>
      <c r="AI30">
        <v>0</v>
      </c>
      <c r="AJ30">
        <v>0</v>
      </c>
      <c r="AK30">
        <v>1</v>
      </c>
      <c r="AL30">
        <v>0</v>
      </c>
      <c r="AM30">
        <v>1</v>
      </c>
      <c r="AN30">
        <v>1</v>
      </c>
      <c r="AO30">
        <v>45411</v>
      </c>
      <c r="AP30">
        <v>0</v>
      </c>
      <c r="AQ30">
        <v>0</v>
      </c>
      <c r="AR30">
        <v>64</v>
      </c>
      <c r="AS30">
        <v>0</v>
      </c>
      <c r="AX30">
        <v>0</v>
      </c>
      <c r="AY30">
        <v>1</v>
      </c>
      <c r="AZ30">
        <v>0</v>
      </c>
      <c r="BA30">
        <v>1</v>
      </c>
      <c r="BB30">
        <v>0</v>
      </c>
      <c r="BC30" t="s">
        <v>101</v>
      </c>
    </row>
    <row r="31" spans="1:55">
      <c r="A31">
        <v>30</v>
      </c>
      <c r="B31">
        <v>45351</v>
      </c>
      <c r="C31">
        <v>45379</v>
      </c>
      <c r="D31">
        <v>28</v>
      </c>
      <c r="E31">
        <v>28</v>
      </c>
      <c r="F31">
        <v>2</v>
      </c>
      <c r="G31">
        <v>2</v>
      </c>
      <c r="H31">
        <v>1</v>
      </c>
      <c r="I31">
        <v>1</v>
      </c>
      <c r="J31">
        <v>0</v>
      </c>
      <c r="K31">
        <v>0</v>
      </c>
      <c r="L31">
        <v>0</v>
      </c>
      <c r="M31">
        <v>0</v>
      </c>
      <c r="N31">
        <v>0</v>
      </c>
      <c r="P31" t="s">
        <v>47</v>
      </c>
      <c r="Q31">
        <v>1</v>
      </c>
      <c r="R31">
        <v>3</v>
      </c>
      <c r="S31">
        <v>45351</v>
      </c>
      <c r="T31">
        <v>45353</v>
      </c>
      <c r="U31">
        <v>2</v>
      </c>
      <c r="V31">
        <v>1</v>
      </c>
      <c r="W31">
        <v>0</v>
      </c>
      <c r="X31">
        <v>0</v>
      </c>
      <c r="Y31">
        <v>0</v>
      </c>
      <c r="Z31">
        <v>0</v>
      </c>
      <c r="AA31">
        <v>0</v>
      </c>
      <c r="AB31">
        <v>1</v>
      </c>
      <c r="AC31">
        <v>0</v>
      </c>
      <c r="AD31">
        <v>0</v>
      </c>
      <c r="AE31">
        <v>1</v>
      </c>
      <c r="AF31" t="s">
        <v>91</v>
      </c>
      <c r="AG31">
        <v>1</v>
      </c>
      <c r="AH31">
        <v>1</v>
      </c>
      <c r="AI31">
        <v>0</v>
      </c>
      <c r="AJ31">
        <v>0</v>
      </c>
      <c r="AK31">
        <v>1</v>
      </c>
      <c r="AL31">
        <v>0</v>
      </c>
      <c r="AM31">
        <v>1</v>
      </c>
      <c r="AN31">
        <v>1</v>
      </c>
      <c r="AO31">
        <v>45352</v>
      </c>
      <c r="AP31">
        <v>0</v>
      </c>
      <c r="AQ31">
        <v>1</v>
      </c>
      <c r="AR31">
        <v>1</v>
      </c>
      <c r="AS31">
        <v>1</v>
      </c>
      <c r="AT31">
        <v>45365</v>
      </c>
      <c r="AU31">
        <v>0</v>
      </c>
      <c r="AV31">
        <v>1</v>
      </c>
      <c r="AW31">
        <v>0</v>
      </c>
      <c r="AX31">
        <v>0</v>
      </c>
      <c r="AY31">
        <v>1</v>
      </c>
      <c r="AZ31">
        <v>1</v>
      </c>
      <c r="BA31">
        <v>0</v>
      </c>
      <c r="BB31">
        <v>1</v>
      </c>
      <c r="BC31" t="s">
        <v>102</v>
      </c>
    </row>
    <row r="32" spans="1:55">
      <c r="A32">
        <v>31</v>
      </c>
      <c r="B32">
        <v>45343</v>
      </c>
      <c r="C32">
        <v>45368</v>
      </c>
      <c r="D32">
        <v>25</v>
      </c>
      <c r="E32">
        <v>82</v>
      </c>
      <c r="F32">
        <v>1</v>
      </c>
      <c r="G32">
        <v>2</v>
      </c>
      <c r="H32">
        <v>1</v>
      </c>
      <c r="I32">
        <v>0</v>
      </c>
      <c r="J32">
        <v>0</v>
      </c>
      <c r="K32">
        <v>0</v>
      </c>
      <c r="L32">
        <v>1</v>
      </c>
      <c r="M32">
        <v>0</v>
      </c>
      <c r="N32">
        <v>1</v>
      </c>
      <c r="O32" t="s">
        <v>103</v>
      </c>
      <c r="P32" t="s">
        <v>52</v>
      </c>
      <c r="Q32">
        <v>1</v>
      </c>
      <c r="R32">
        <v>2</v>
      </c>
      <c r="S32">
        <v>45351</v>
      </c>
      <c r="T32">
        <v>45352</v>
      </c>
      <c r="U32">
        <v>1</v>
      </c>
      <c r="V32">
        <v>1</v>
      </c>
      <c r="W32">
        <v>0</v>
      </c>
      <c r="X32">
        <v>0</v>
      </c>
      <c r="Y32">
        <v>1</v>
      </c>
      <c r="Z32">
        <v>0</v>
      </c>
      <c r="AA32">
        <v>0</v>
      </c>
      <c r="AB32">
        <v>0</v>
      </c>
      <c r="AC32">
        <v>1</v>
      </c>
      <c r="AD32">
        <v>0</v>
      </c>
      <c r="AE32">
        <v>1</v>
      </c>
      <c r="AF32" t="s">
        <v>91</v>
      </c>
      <c r="AG32">
        <v>1</v>
      </c>
      <c r="AH32">
        <v>0</v>
      </c>
      <c r="AI32">
        <v>1</v>
      </c>
      <c r="AJ32">
        <v>0</v>
      </c>
      <c r="AK32">
        <v>0</v>
      </c>
      <c r="AL32">
        <v>1</v>
      </c>
      <c r="AM32">
        <v>0</v>
      </c>
      <c r="AN32">
        <v>1</v>
      </c>
      <c r="AO32">
        <v>45352</v>
      </c>
      <c r="AP32">
        <v>0</v>
      </c>
      <c r="AQ32">
        <v>1</v>
      </c>
      <c r="AR32">
        <v>9</v>
      </c>
      <c r="AS32">
        <v>0</v>
      </c>
      <c r="AX32">
        <v>0</v>
      </c>
      <c r="AY32">
        <v>1</v>
      </c>
      <c r="AZ32">
        <v>1</v>
      </c>
      <c r="BA32">
        <v>1</v>
      </c>
      <c r="BB32">
        <v>0</v>
      </c>
      <c r="BC32" t="s">
        <v>289</v>
      </c>
    </row>
    <row r="33" spans="1:55">
      <c r="A33">
        <v>32</v>
      </c>
      <c r="B33">
        <v>45355</v>
      </c>
      <c r="C33">
        <v>45378</v>
      </c>
      <c r="D33">
        <v>23</v>
      </c>
      <c r="E33">
        <v>79</v>
      </c>
      <c r="F33">
        <v>2</v>
      </c>
      <c r="G33">
        <v>2</v>
      </c>
      <c r="H33">
        <v>1</v>
      </c>
      <c r="I33">
        <v>0</v>
      </c>
      <c r="J33">
        <v>0</v>
      </c>
      <c r="K33">
        <v>0</v>
      </c>
      <c r="L33">
        <v>0</v>
      </c>
      <c r="M33">
        <v>0</v>
      </c>
      <c r="N33">
        <v>1</v>
      </c>
      <c r="O33" t="s">
        <v>106</v>
      </c>
      <c r="P33" t="s">
        <v>47</v>
      </c>
      <c r="Q33">
        <v>1</v>
      </c>
      <c r="R33">
        <v>5</v>
      </c>
      <c r="S33">
        <v>45355</v>
      </c>
      <c r="T33">
        <v>45359</v>
      </c>
      <c r="U33">
        <v>4</v>
      </c>
      <c r="V33">
        <v>0</v>
      </c>
      <c r="W33">
        <v>0</v>
      </c>
      <c r="X33">
        <v>0</v>
      </c>
      <c r="Y33">
        <v>0</v>
      </c>
      <c r="Z33">
        <v>0</v>
      </c>
      <c r="AA33">
        <v>0</v>
      </c>
      <c r="AB33">
        <v>0</v>
      </c>
      <c r="AC33">
        <v>0</v>
      </c>
      <c r="AD33">
        <v>0</v>
      </c>
      <c r="AE33">
        <v>1</v>
      </c>
      <c r="AF33" t="s">
        <v>48</v>
      </c>
      <c r="AG33">
        <v>1</v>
      </c>
      <c r="AH33">
        <v>1</v>
      </c>
      <c r="AI33">
        <v>1</v>
      </c>
      <c r="AJ33">
        <v>1</v>
      </c>
      <c r="AK33">
        <v>0</v>
      </c>
      <c r="AL33">
        <v>0</v>
      </c>
      <c r="AM33">
        <v>1</v>
      </c>
      <c r="AN33">
        <v>1</v>
      </c>
      <c r="AO33">
        <v>45357</v>
      </c>
      <c r="AP33">
        <v>0</v>
      </c>
      <c r="AQ33">
        <v>0</v>
      </c>
      <c r="AR33">
        <v>2</v>
      </c>
      <c r="AS33">
        <v>1</v>
      </c>
      <c r="AT33">
        <v>45364</v>
      </c>
      <c r="AU33">
        <v>0</v>
      </c>
      <c r="AV33">
        <v>0</v>
      </c>
      <c r="AW33">
        <v>0</v>
      </c>
      <c r="AX33">
        <v>0</v>
      </c>
      <c r="AY33">
        <v>1</v>
      </c>
      <c r="AZ33">
        <v>0</v>
      </c>
      <c r="BA33">
        <v>0</v>
      </c>
      <c r="BB33">
        <v>1</v>
      </c>
      <c r="BC33" t="s">
        <v>107</v>
      </c>
    </row>
    <row r="34" spans="1:55">
      <c r="A34">
        <v>33</v>
      </c>
      <c r="B34">
        <v>45356</v>
      </c>
      <c r="C34">
        <v>45383</v>
      </c>
      <c r="D34">
        <v>27</v>
      </c>
      <c r="E34">
        <v>77</v>
      </c>
      <c r="F34">
        <v>2</v>
      </c>
      <c r="G34">
        <v>3</v>
      </c>
      <c r="H34">
        <v>1</v>
      </c>
      <c r="I34">
        <v>0</v>
      </c>
      <c r="J34">
        <v>0</v>
      </c>
      <c r="K34">
        <v>1</v>
      </c>
      <c r="L34">
        <v>0</v>
      </c>
      <c r="M34">
        <v>0</v>
      </c>
      <c r="N34">
        <v>1</v>
      </c>
      <c r="O34" t="s">
        <v>108</v>
      </c>
      <c r="P34" t="s">
        <v>52</v>
      </c>
      <c r="Q34">
        <v>1</v>
      </c>
      <c r="R34">
        <v>3</v>
      </c>
      <c r="S34">
        <v>45364</v>
      </c>
      <c r="T34">
        <v>45366</v>
      </c>
      <c r="U34">
        <v>2</v>
      </c>
      <c r="V34">
        <v>0</v>
      </c>
      <c r="W34">
        <v>0</v>
      </c>
      <c r="X34">
        <v>0</v>
      </c>
      <c r="Y34">
        <v>0</v>
      </c>
      <c r="Z34">
        <v>0</v>
      </c>
      <c r="AA34">
        <v>0</v>
      </c>
      <c r="AB34">
        <v>0</v>
      </c>
      <c r="AC34">
        <v>0</v>
      </c>
      <c r="AD34">
        <v>0</v>
      </c>
      <c r="AE34">
        <v>1</v>
      </c>
      <c r="AF34" t="s">
        <v>55</v>
      </c>
      <c r="AG34">
        <v>1</v>
      </c>
      <c r="AH34">
        <v>0</v>
      </c>
      <c r="AI34">
        <v>1</v>
      </c>
      <c r="AJ34">
        <v>0</v>
      </c>
      <c r="AK34">
        <v>0</v>
      </c>
      <c r="AL34">
        <v>1</v>
      </c>
      <c r="AM34">
        <v>1</v>
      </c>
      <c r="AN34">
        <v>1</v>
      </c>
      <c r="AO34">
        <v>45365</v>
      </c>
      <c r="AP34">
        <v>0</v>
      </c>
      <c r="AQ34">
        <v>0</v>
      </c>
      <c r="AR34">
        <v>9</v>
      </c>
      <c r="AS34">
        <v>1</v>
      </c>
      <c r="AT34">
        <v>45366</v>
      </c>
      <c r="AU34">
        <v>1</v>
      </c>
      <c r="AV34">
        <v>0</v>
      </c>
      <c r="AW34">
        <v>0</v>
      </c>
      <c r="AX34">
        <v>1</v>
      </c>
      <c r="AY34">
        <v>1</v>
      </c>
      <c r="AZ34">
        <v>1</v>
      </c>
      <c r="BA34">
        <v>0</v>
      </c>
      <c r="BB34">
        <v>1</v>
      </c>
      <c r="BC34" t="s">
        <v>109</v>
      </c>
    </row>
    <row r="35" spans="1:55">
      <c r="A35">
        <v>34</v>
      </c>
      <c r="B35">
        <v>45364</v>
      </c>
      <c r="C35">
        <v>45377</v>
      </c>
      <c r="D35">
        <v>13</v>
      </c>
      <c r="E35">
        <v>95</v>
      </c>
      <c r="F35">
        <v>2</v>
      </c>
      <c r="G35">
        <v>4</v>
      </c>
      <c r="H35">
        <v>0</v>
      </c>
      <c r="I35">
        <v>0</v>
      </c>
      <c r="J35">
        <v>0</v>
      </c>
      <c r="K35">
        <v>0</v>
      </c>
      <c r="L35">
        <v>0</v>
      </c>
      <c r="M35">
        <v>0</v>
      </c>
      <c r="N35">
        <v>0</v>
      </c>
      <c r="P35" t="s">
        <v>52</v>
      </c>
      <c r="Q35">
        <v>1</v>
      </c>
      <c r="R35">
        <v>5</v>
      </c>
      <c r="S35">
        <v>45364</v>
      </c>
      <c r="T35">
        <v>45368</v>
      </c>
      <c r="U35">
        <v>4</v>
      </c>
      <c r="V35">
        <v>1</v>
      </c>
      <c r="W35">
        <v>0</v>
      </c>
      <c r="X35">
        <v>0</v>
      </c>
      <c r="Y35">
        <v>0</v>
      </c>
      <c r="Z35">
        <v>0</v>
      </c>
      <c r="AA35">
        <v>0</v>
      </c>
      <c r="AB35">
        <v>0</v>
      </c>
      <c r="AC35">
        <v>0</v>
      </c>
      <c r="AD35">
        <v>1</v>
      </c>
      <c r="AE35">
        <v>1</v>
      </c>
      <c r="AF35" t="s">
        <v>55</v>
      </c>
      <c r="AG35">
        <v>1</v>
      </c>
      <c r="AH35">
        <v>1</v>
      </c>
      <c r="AI35">
        <v>1</v>
      </c>
      <c r="AJ35">
        <v>1</v>
      </c>
      <c r="AK35">
        <v>0</v>
      </c>
      <c r="AL35">
        <v>0</v>
      </c>
      <c r="AM35">
        <v>1</v>
      </c>
      <c r="AN35">
        <v>1</v>
      </c>
      <c r="AO35">
        <v>45366</v>
      </c>
      <c r="AP35">
        <v>0</v>
      </c>
      <c r="AQ35">
        <v>0</v>
      </c>
      <c r="AR35">
        <v>2</v>
      </c>
      <c r="AS35">
        <v>0</v>
      </c>
      <c r="AX35">
        <v>0</v>
      </c>
      <c r="AY35">
        <v>1</v>
      </c>
      <c r="AZ35">
        <v>0</v>
      </c>
      <c r="BA35">
        <v>0</v>
      </c>
      <c r="BB35">
        <v>0</v>
      </c>
      <c r="BC35" t="s">
        <v>110</v>
      </c>
    </row>
    <row r="36" spans="1:55">
      <c r="A36">
        <v>35</v>
      </c>
      <c r="B36">
        <v>45390</v>
      </c>
      <c r="C36">
        <v>45425</v>
      </c>
      <c r="D36">
        <v>35</v>
      </c>
      <c r="E36">
        <v>42</v>
      </c>
      <c r="F36">
        <v>2</v>
      </c>
      <c r="G36">
        <v>4</v>
      </c>
      <c r="H36">
        <v>1</v>
      </c>
      <c r="I36">
        <v>1</v>
      </c>
      <c r="J36">
        <v>0</v>
      </c>
      <c r="K36">
        <v>0</v>
      </c>
      <c r="L36">
        <v>0</v>
      </c>
      <c r="M36">
        <v>0</v>
      </c>
      <c r="N36">
        <v>0</v>
      </c>
      <c r="P36" t="s">
        <v>47</v>
      </c>
      <c r="Q36">
        <v>1</v>
      </c>
      <c r="R36">
        <v>5</v>
      </c>
      <c r="S36">
        <v>45393</v>
      </c>
      <c r="T36">
        <v>45398</v>
      </c>
      <c r="U36">
        <v>5</v>
      </c>
      <c r="V36">
        <v>1</v>
      </c>
      <c r="W36">
        <v>1</v>
      </c>
      <c r="X36">
        <v>1</v>
      </c>
      <c r="Y36">
        <v>0</v>
      </c>
      <c r="Z36">
        <v>0</v>
      </c>
      <c r="AA36">
        <v>0</v>
      </c>
      <c r="AB36">
        <v>0</v>
      </c>
      <c r="AC36">
        <v>0</v>
      </c>
      <c r="AD36">
        <v>0</v>
      </c>
      <c r="AE36">
        <v>1</v>
      </c>
      <c r="AF36" t="s">
        <v>48</v>
      </c>
      <c r="AG36">
        <v>1</v>
      </c>
      <c r="AH36">
        <v>1</v>
      </c>
      <c r="AI36">
        <v>0</v>
      </c>
      <c r="AJ36">
        <v>0</v>
      </c>
      <c r="AK36">
        <v>1</v>
      </c>
      <c r="AL36">
        <v>0</v>
      </c>
      <c r="AM36">
        <v>1</v>
      </c>
      <c r="AN36">
        <v>1</v>
      </c>
      <c r="AO36">
        <v>45397</v>
      </c>
      <c r="AP36">
        <v>0</v>
      </c>
      <c r="AQ36">
        <v>0</v>
      </c>
      <c r="AR36">
        <v>7</v>
      </c>
      <c r="AS36">
        <v>1</v>
      </c>
      <c r="AT36">
        <v>45397</v>
      </c>
      <c r="AU36">
        <v>0</v>
      </c>
      <c r="AV36">
        <v>0</v>
      </c>
      <c r="AW36">
        <v>0</v>
      </c>
      <c r="AX36">
        <v>0</v>
      </c>
      <c r="AY36">
        <v>1</v>
      </c>
      <c r="AZ36">
        <v>1</v>
      </c>
      <c r="BA36">
        <v>0</v>
      </c>
      <c r="BB36">
        <v>1</v>
      </c>
      <c r="BC36" t="s">
        <v>111</v>
      </c>
    </row>
    <row r="37" spans="1:55">
      <c r="A37">
        <v>36</v>
      </c>
      <c r="B37">
        <v>45378</v>
      </c>
      <c r="C37">
        <v>45380</v>
      </c>
      <c r="D37">
        <v>2</v>
      </c>
      <c r="E37">
        <v>64</v>
      </c>
      <c r="F37">
        <v>2</v>
      </c>
      <c r="G37">
        <v>2</v>
      </c>
      <c r="H37">
        <v>1</v>
      </c>
      <c r="I37">
        <v>0</v>
      </c>
      <c r="J37">
        <v>0</v>
      </c>
      <c r="K37">
        <v>0</v>
      </c>
      <c r="L37">
        <v>0</v>
      </c>
      <c r="M37">
        <v>0</v>
      </c>
      <c r="N37">
        <v>1</v>
      </c>
      <c r="O37" t="s">
        <v>63</v>
      </c>
      <c r="P37" t="s">
        <v>52</v>
      </c>
      <c r="Q37">
        <v>1</v>
      </c>
      <c r="R37">
        <v>3</v>
      </c>
      <c r="S37">
        <v>45378</v>
      </c>
      <c r="T37">
        <v>45379</v>
      </c>
      <c r="U37">
        <v>1</v>
      </c>
      <c r="V37">
        <v>0</v>
      </c>
      <c r="W37">
        <v>0</v>
      </c>
      <c r="X37">
        <v>0</v>
      </c>
      <c r="Y37">
        <v>0</v>
      </c>
      <c r="Z37">
        <v>0</v>
      </c>
      <c r="AA37">
        <v>0</v>
      </c>
      <c r="AB37">
        <v>0</v>
      </c>
      <c r="AC37">
        <v>0</v>
      </c>
      <c r="AD37">
        <v>0</v>
      </c>
      <c r="AE37">
        <v>1</v>
      </c>
      <c r="AF37" t="s">
        <v>55</v>
      </c>
      <c r="AG37">
        <v>1</v>
      </c>
      <c r="AH37">
        <v>1</v>
      </c>
      <c r="AI37">
        <v>1</v>
      </c>
      <c r="AJ37">
        <v>1</v>
      </c>
      <c r="AK37">
        <v>0</v>
      </c>
      <c r="AL37">
        <v>0</v>
      </c>
      <c r="AM37">
        <v>0</v>
      </c>
      <c r="AN37">
        <v>1</v>
      </c>
      <c r="AO37">
        <v>45379</v>
      </c>
      <c r="AP37">
        <v>1</v>
      </c>
      <c r="AQ37">
        <v>1</v>
      </c>
      <c r="AR37">
        <v>1</v>
      </c>
      <c r="AS37">
        <v>0</v>
      </c>
      <c r="AX37">
        <v>1</v>
      </c>
      <c r="AY37">
        <v>1</v>
      </c>
      <c r="AZ37">
        <v>0</v>
      </c>
      <c r="BA37">
        <v>1</v>
      </c>
      <c r="BB37">
        <v>0</v>
      </c>
      <c r="BC37" t="s">
        <v>112</v>
      </c>
    </row>
    <row r="38" spans="1:55">
      <c r="A38">
        <v>37</v>
      </c>
      <c r="B38">
        <v>45379</v>
      </c>
      <c r="C38">
        <v>45390</v>
      </c>
      <c r="D38">
        <v>11</v>
      </c>
      <c r="E38">
        <v>87</v>
      </c>
      <c r="F38">
        <v>2</v>
      </c>
      <c r="G38">
        <v>2</v>
      </c>
      <c r="H38">
        <v>1</v>
      </c>
      <c r="I38">
        <v>0</v>
      </c>
      <c r="J38">
        <v>0</v>
      </c>
      <c r="K38">
        <v>1</v>
      </c>
      <c r="L38">
        <v>0</v>
      </c>
      <c r="M38">
        <v>0</v>
      </c>
      <c r="N38">
        <v>0</v>
      </c>
      <c r="O38" t="s">
        <v>72</v>
      </c>
      <c r="P38" t="s">
        <v>52</v>
      </c>
      <c r="Q38">
        <v>1</v>
      </c>
      <c r="R38">
        <v>4</v>
      </c>
      <c r="S38">
        <v>45379</v>
      </c>
      <c r="T38">
        <v>45382</v>
      </c>
      <c r="U38">
        <v>3</v>
      </c>
      <c r="V38">
        <v>0</v>
      </c>
      <c r="W38">
        <v>0</v>
      </c>
      <c r="X38">
        <v>0</v>
      </c>
      <c r="Y38">
        <v>0</v>
      </c>
      <c r="Z38">
        <v>0</v>
      </c>
      <c r="AA38">
        <v>0</v>
      </c>
      <c r="AB38">
        <v>0</v>
      </c>
      <c r="AC38">
        <v>0</v>
      </c>
      <c r="AD38">
        <v>0</v>
      </c>
      <c r="AE38">
        <v>1</v>
      </c>
      <c r="AF38" t="s">
        <v>79</v>
      </c>
      <c r="AG38">
        <v>1</v>
      </c>
      <c r="AH38">
        <v>1</v>
      </c>
      <c r="AI38">
        <v>0</v>
      </c>
      <c r="AJ38">
        <v>0</v>
      </c>
      <c r="AK38">
        <v>1</v>
      </c>
      <c r="AL38">
        <v>0</v>
      </c>
      <c r="AM38">
        <v>0</v>
      </c>
      <c r="AN38">
        <v>1</v>
      </c>
      <c r="AO38">
        <v>45383</v>
      </c>
      <c r="AP38">
        <v>0</v>
      </c>
      <c r="AQ38">
        <v>0</v>
      </c>
      <c r="AR38">
        <v>4</v>
      </c>
      <c r="AS38">
        <v>0</v>
      </c>
      <c r="AX38">
        <v>1</v>
      </c>
      <c r="AY38">
        <v>1</v>
      </c>
      <c r="AZ38">
        <v>1</v>
      </c>
      <c r="BA38">
        <v>0</v>
      </c>
      <c r="BB38">
        <v>0</v>
      </c>
      <c r="BC38" t="s">
        <v>290</v>
      </c>
    </row>
    <row r="39" spans="1:55">
      <c r="A39">
        <v>38</v>
      </c>
      <c r="B39">
        <v>45381</v>
      </c>
      <c r="C39">
        <v>45412</v>
      </c>
      <c r="D39">
        <v>31</v>
      </c>
      <c r="E39">
        <v>69</v>
      </c>
      <c r="F39">
        <v>2</v>
      </c>
      <c r="G39">
        <v>3</v>
      </c>
      <c r="H39">
        <v>0</v>
      </c>
      <c r="I39">
        <v>0</v>
      </c>
      <c r="J39">
        <v>0</v>
      </c>
      <c r="K39">
        <v>0</v>
      </c>
      <c r="L39">
        <v>0</v>
      </c>
      <c r="M39">
        <v>0</v>
      </c>
      <c r="N39">
        <v>0</v>
      </c>
      <c r="P39" t="s">
        <v>47</v>
      </c>
      <c r="Q39">
        <v>0</v>
      </c>
      <c r="R39">
        <v>1</v>
      </c>
      <c r="S39">
        <v>45381</v>
      </c>
      <c r="T39">
        <v>45381</v>
      </c>
      <c r="U39">
        <v>0</v>
      </c>
      <c r="V39">
        <v>0</v>
      </c>
      <c r="W39">
        <v>0</v>
      </c>
      <c r="X39">
        <v>0</v>
      </c>
      <c r="Y39">
        <v>0</v>
      </c>
      <c r="Z39">
        <v>0</v>
      </c>
      <c r="AA39">
        <v>0</v>
      </c>
      <c r="AB39">
        <v>0</v>
      </c>
      <c r="AC39">
        <v>0</v>
      </c>
      <c r="AD39">
        <v>0</v>
      </c>
      <c r="AE39">
        <v>1</v>
      </c>
      <c r="AF39" t="s">
        <v>48</v>
      </c>
      <c r="AG39">
        <v>1</v>
      </c>
      <c r="AH39">
        <v>1</v>
      </c>
      <c r="AI39">
        <v>1</v>
      </c>
      <c r="AJ39">
        <v>1</v>
      </c>
      <c r="AK39">
        <v>0</v>
      </c>
      <c r="AL39">
        <v>0</v>
      </c>
      <c r="AM39">
        <v>1</v>
      </c>
      <c r="AN39">
        <v>1</v>
      </c>
      <c r="AO39">
        <v>45383</v>
      </c>
      <c r="AP39">
        <v>0</v>
      </c>
      <c r="AQ39">
        <v>1</v>
      </c>
      <c r="AR39">
        <v>2</v>
      </c>
      <c r="AS39">
        <v>1</v>
      </c>
      <c r="AT39">
        <v>45385</v>
      </c>
      <c r="AU39">
        <v>0</v>
      </c>
      <c r="AV39">
        <v>0</v>
      </c>
      <c r="AW39">
        <v>1</v>
      </c>
      <c r="AX39">
        <v>0</v>
      </c>
      <c r="AY39">
        <v>1</v>
      </c>
      <c r="AZ39">
        <v>0</v>
      </c>
      <c r="BA39">
        <v>0</v>
      </c>
      <c r="BB39">
        <v>1</v>
      </c>
      <c r="BC39" t="s">
        <v>115</v>
      </c>
    </row>
    <row r="40" spans="1:55">
      <c r="A40">
        <v>39</v>
      </c>
      <c r="B40">
        <v>45443</v>
      </c>
      <c r="C40">
        <v>45455</v>
      </c>
      <c r="D40">
        <v>12</v>
      </c>
      <c r="E40">
        <v>70</v>
      </c>
      <c r="F40">
        <v>2</v>
      </c>
      <c r="G40">
        <v>2</v>
      </c>
      <c r="H40">
        <v>0</v>
      </c>
      <c r="I40">
        <v>0</v>
      </c>
      <c r="J40">
        <v>0</v>
      </c>
      <c r="K40">
        <v>0</v>
      </c>
      <c r="L40">
        <v>0</v>
      </c>
      <c r="M40">
        <v>0</v>
      </c>
      <c r="N40">
        <v>0</v>
      </c>
      <c r="P40" t="s">
        <v>116</v>
      </c>
      <c r="Q40">
        <v>0</v>
      </c>
      <c r="R40">
        <v>1</v>
      </c>
      <c r="S40">
        <v>45444</v>
      </c>
      <c r="T40">
        <v>45444</v>
      </c>
      <c r="U40">
        <v>0</v>
      </c>
      <c r="V40">
        <v>1</v>
      </c>
      <c r="W40">
        <v>1</v>
      </c>
      <c r="X40">
        <v>0</v>
      </c>
      <c r="Y40">
        <v>0</v>
      </c>
      <c r="Z40">
        <v>0</v>
      </c>
      <c r="AA40">
        <v>0</v>
      </c>
      <c r="AB40">
        <v>0</v>
      </c>
      <c r="AC40">
        <v>0</v>
      </c>
      <c r="AD40">
        <v>0</v>
      </c>
      <c r="AE40">
        <v>1</v>
      </c>
      <c r="AF40" t="s">
        <v>117</v>
      </c>
      <c r="AG40">
        <v>1</v>
      </c>
      <c r="AH40">
        <v>1</v>
      </c>
      <c r="AI40">
        <v>1</v>
      </c>
      <c r="AJ40">
        <v>1</v>
      </c>
      <c r="AK40">
        <v>0</v>
      </c>
      <c r="AL40">
        <v>0</v>
      </c>
      <c r="AM40">
        <v>1</v>
      </c>
      <c r="AN40">
        <v>1</v>
      </c>
      <c r="AO40">
        <v>45448</v>
      </c>
      <c r="AP40">
        <v>0</v>
      </c>
      <c r="AQ40">
        <v>1</v>
      </c>
      <c r="AR40">
        <v>5</v>
      </c>
      <c r="AS40">
        <v>0</v>
      </c>
      <c r="AX40">
        <v>0</v>
      </c>
      <c r="AY40">
        <v>1</v>
      </c>
      <c r="AZ40">
        <v>0</v>
      </c>
      <c r="BA40">
        <v>0</v>
      </c>
      <c r="BB40">
        <v>0</v>
      </c>
      <c r="BC40" t="s">
        <v>118</v>
      </c>
    </row>
    <row r="41" spans="1:55">
      <c r="A41">
        <v>41</v>
      </c>
      <c r="B41">
        <v>45450</v>
      </c>
      <c r="C41">
        <v>45456</v>
      </c>
      <c r="D41">
        <v>6</v>
      </c>
      <c r="E41">
        <v>71</v>
      </c>
      <c r="F41">
        <v>1</v>
      </c>
      <c r="G41">
        <v>2</v>
      </c>
      <c r="H41">
        <v>1</v>
      </c>
      <c r="I41">
        <v>0</v>
      </c>
      <c r="J41">
        <v>1</v>
      </c>
      <c r="K41">
        <v>0</v>
      </c>
      <c r="L41">
        <v>0</v>
      </c>
      <c r="M41">
        <v>0</v>
      </c>
      <c r="N41">
        <v>0</v>
      </c>
      <c r="P41" t="s">
        <v>121</v>
      </c>
      <c r="Q41">
        <v>0</v>
      </c>
      <c r="R41">
        <v>1</v>
      </c>
      <c r="S41">
        <v>45450</v>
      </c>
      <c r="T41">
        <v>45450</v>
      </c>
      <c r="U41">
        <v>0</v>
      </c>
      <c r="V41">
        <v>0</v>
      </c>
      <c r="W41">
        <v>0</v>
      </c>
      <c r="X41">
        <v>0</v>
      </c>
      <c r="Y41">
        <v>0</v>
      </c>
      <c r="Z41">
        <v>0</v>
      </c>
      <c r="AA41">
        <v>0</v>
      </c>
      <c r="AB41">
        <v>0</v>
      </c>
      <c r="AC41">
        <v>0</v>
      </c>
      <c r="AD41">
        <v>0</v>
      </c>
      <c r="AE41">
        <v>1</v>
      </c>
      <c r="AF41" t="s">
        <v>117</v>
      </c>
      <c r="AG41">
        <v>1</v>
      </c>
      <c r="AH41">
        <v>1</v>
      </c>
      <c r="AI41">
        <v>1</v>
      </c>
      <c r="AJ41">
        <v>1</v>
      </c>
      <c r="AK41">
        <v>0</v>
      </c>
      <c r="AL41">
        <v>0</v>
      </c>
      <c r="AM41">
        <v>1</v>
      </c>
      <c r="AN41">
        <v>1</v>
      </c>
      <c r="AO41">
        <v>45453</v>
      </c>
      <c r="AP41">
        <v>0</v>
      </c>
      <c r="AQ41">
        <v>0</v>
      </c>
      <c r="AR41">
        <v>3</v>
      </c>
      <c r="AS41">
        <v>1</v>
      </c>
      <c r="AT41">
        <v>45455</v>
      </c>
      <c r="AU41">
        <v>0</v>
      </c>
      <c r="AV41">
        <v>1</v>
      </c>
      <c r="AW41">
        <v>0</v>
      </c>
      <c r="AX41">
        <v>0</v>
      </c>
      <c r="AY41">
        <v>1</v>
      </c>
      <c r="AZ41">
        <v>1</v>
      </c>
      <c r="BA41">
        <v>0</v>
      </c>
      <c r="BB41">
        <v>1</v>
      </c>
      <c r="BC41" t="s">
        <v>122</v>
      </c>
    </row>
    <row r="42" spans="1:55">
      <c r="A42">
        <v>42</v>
      </c>
      <c r="B42">
        <v>45455</v>
      </c>
      <c r="C42">
        <v>45462</v>
      </c>
      <c r="D42">
        <v>7</v>
      </c>
      <c r="E42">
        <v>83</v>
      </c>
      <c r="F42">
        <v>1</v>
      </c>
      <c r="G42">
        <v>5</v>
      </c>
      <c r="H42">
        <v>0</v>
      </c>
      <c r="I42">
        <v>0</v>
      </c>
      <c r="J42">
        <v>0</v>
      </c>
      <c r="K42">
        <v>0</v>
      </c>
      <c r="L42">
        <v>0</v>
      </c>
      <c r="M42">
        <v>0</v>
      </c>
      <c r="N42">
        <v>0</v>
      </c>
      <c r="P42" t="s">
        <v>119</v>
      </c>
      <c r="Q42">
        <v>0</v>
      </c>
      <c r="R42">
        <v>1</v>
      </c>
      <c r="S42">
        <v>45455</v>
      </c>
      <c r="T42">
        <v>45455</v>
      </c>
      <c r="U42">
        <v>0</v>
      </c>
      <c r="V42">
        <v>1</v>
      </c>
      <c r="W42">
        <v>0</v>
      </c>
      <c r="X42">
        <v>0</v>
      </c>
      <c r="Y42">
        <v>0</v>
      </c>
      <c r="Z42">
        <v>1</v>
      </c>
      <c r="AA42">
        <v>0</v>
      </c>
      <c r="AB42">
        <v>0</v>
      </c>
      <c r="AC42">
        <v>0</v>
      </c>
      <c r="AD42">
        <v>0</v>
      </c>
      <c r="AE42">
        <v>1</v>
      </c>
      <c r="AF42" t="s">
        <v>117</v>
      </c>
      <c r="AG42">
        <v>1</v>
      </c>
      <c r="AH42">
        <v>1</v>
      </c>
      <c r="AI42">
        <v>1</v>
      </c>
      <c r="AJ42">
        <v>1</v>
      </c>
      <c r="AK42">
        <v>0</v>
      </c>
      <c r="AL42">
        <v>0</v>
      </c>
      <c r="AM42">
        <v>1</v>
      </c>
      <c r="AN42">
        <v>1</v>
      </c>
      <c r="AO42">
        <v>45457</v>
      </c>
      <c r="AP42">
        <v>1</v>
      </c>
      <c r="AQ42">
        <v>0</v>
      </c>
      <c r="AR42">
        <v>2</v>
      </c>
      <c r="AS42">
        <v>0</v>
      </c>
      <c r="AX42">
        <v>1</v>
      </c>
      <c r="AY42">
        <v>1</v>
      </c>
      <c r="AZ42">
        <v>0</v>
      </c>
      <c r="BA42">
        <v>0</v>
      </c>
      <c r="BB42">
        <v>0</v>
      </c>
      <c r="BC42" t="s">
        <v>123</v>
      </c>
    </row>
    <row r="43" spans="1:55">
      <c r="A43">
        <v>43</v>
      </c>
      <c r="B43">
        <v>45460</v>
      </c>
      <c r="C43">
        <v>45465</v>
      </c>
      <c r="D43">
        <v>5</v>
      </c>
      <c r="E43">
        <v>65</v>
      </c>
      <c r="F43">
        <v>1</v>
      </c>
      <c r="G43">
        <v>3</v>
      </c>
      <c r="H43">
        <v>0</v>
      </c>
      <c r="I43">
        <v>0</v>
      </c>
      <c r="J43">
        <v>0</v>
      </c>
      <c r="K43">
        <v>0</v>
      </c>
      <c r="L43">
        <v>0</v>
      </c>
      <c r="M43">
        <v>0</v>
      </c>
      <c r="N43">
        <v>0</v>
      </c>
      <c r="P43" t="s">
        <v>119</v>
      </c>
      <c r="Q43">
        <v>0</v>
      </c>
      <c r="R43">
        <v>1</v>
      </c>
      <c r="S43">
        <v>45460</v>
      </c>
      <c r="T43">
        <v>45460</v>
      </c>
      <c r="U43">
        <v>0</v>
      </c>
      <c r="V43">
        <v>1</v>
      </c>
      <c r="W43">
        <v>0</v>
      </c>
      <c r="X43">
        <v>0</v>
      </c>
      <c r="Y43">
        <v>0</v>
      </c>
      <c r="Z43">
        <v>0</v>
      </c>
      <c r="AA43">
        <v>0</v>
      </c>
      <c r="AB43">
        <v>1</v>
      </c>
      <c r="AC43">
        <v>0</v>
      </c>
      <c r="AD43">
        <v>0</v>
      </c>
      <c r="AE43">
        <v>1</v>
      </c>
      <c r="AF43" t="s">
        <v>117</v>
      </c>
      <c r="AG43">
        <v>0</v>
      </c>
      <c r="AH43">
        <v>0</v>
      </c>
      <c r="AI43">
        <v>1</v>
      </c>
      <c r="AJ43">
        <v>0</v>
      </c>
      <c r="AK43">
        <v>0</v>
      </c>
      <c r="AL43">
        <v>1</v>
      </c>
      <c r="AM43">
        <v>1</v>
      </c>
      <c r="AN43">
        <v>1</v>
      </c>
      <c r="AO43">
        <v>45463</v>
      </c>
      <c r="AP43">
        <v>0</v>
      </c>
      <c r="AQ43">
        <v>1</v>
      </c>
      <c r="AR43">
        <v>3</v>
      </c>
      <c r="AS43">
        <v>0</v>
      </c>
      <c r="AX43">
        <v>0</v>
      </c>
      <c r="AY43">
        <v>0</v>
      </c>
      <c r="AZ43">
        <v>0</v>
      </c>
      <c r="BA43">
        <v>0</v>
      </c>
      <c r="BB43">
        <v>0</v>
      </c>
      <c r="BC43" t="s">
        <v>124</v>
      </c>
    </row>
    <row r="44" spans="1:55">
      <c r="A44">
        <v>44</v>
      </c>
      <c r="B44">
        <v>45473</v>
      </c>
      <c r="C44">
        <v>45483</v>
      </c>
      <c r="D44">
        <v>10</v>
      </c>
      <c r="E44">
        <v>55</v>
      </c>
      <c r="F44">
        <v>2</v>
      </c>
      <c r="G44">
        <v>2</v>
      </c>
      <c r="H44">
        <v>1</v>
      </c>
      <c r="I44">
        <v>0</v>
      </c>
      <c r="J44">
        <v>0</v>
      </c>
      <c r="K44">
        <v>0</v>
      </c>
      <c r="L44">
        <v>1</v>
      </c>
      <c r="M44">
        <v>0</v>
      </c>
      <c r="N44">
        <v>0</v>
      </c>
      <c r="P44" t="s">
        <v>125</v>
      </c>
      <c r="Q44">
        <v>0</v>
      </c>
      <c r="R44">
        <v>1</v>
      </c>
      <c r="S44">
        <v>45473</v>
      </c>
      <c r="T44">
        <v>45473</v>
      </c>
      <c r="U44">
        <v>0</v>
      </c>
      <c r="V44">
        <v>0</v>
      </c>
      <c r="W44">
        <v>0</v>
      </c>
      <c r="X44">
        <v>0</v>
      </c>
      <c r="Y44">
        <v>0</v>
      </c>
      <c r="Z44">
        <v>0</v>
      </c>
      <c r="AA44">
        <v>0</v>
      </c>
      <c r="AB44">
        <v>0</v>
      </c>
      <c r="AC44">
        <v>0</v>
      </c>
      <c r="AD44">
        <v>0</v>
      </c>
      <c r="AE44">
        <v>1</v>
      </c>
      <c r="AF44" t="s">
        <v>126</v>
      </c>
      <c r="AG44">
        <v>0</v>
      </c>
      <c r="AH44">
        <v>1</v>
      </c>
      <c r="AI44">
        <v>0</v>
      </c>
      <c r="AJ44">
        <v>0</v>
      </c>
      <c r="AK44">
        <v>1</v>
      </c>
      <c r="AL44">
        <v>0</v>
      </c>
      <c r="AM44">
        <v>1</v>
      </c>
      <c r="AN44">
        <v>1</v>
      </c>
      <c r="AO44">
        <v>45475</v>
      </c>
      <c r="AP44">
        <v>0</v>
      </c>
      <c r="AQ44">
        <v>0</v>
      </c>
      <c r="AR44">
        <v>2</v>
      </c>
      <c r="AS44">
        <v>0</v>
      </c>
      <c r="AX44">
        <v>0</v>
      </c>
      <c r="AY44">
        <v>1</v>
      </c>
      <c r="AZ44">
        <v>0</v>
      </c>
      <c r="BA44">
        <v>0</v>
      </c>
      <c r="BB44">
        <v>0</v>
      </c>
      <c r="BC44" t="s">
        <v>127</v>
      </c>
    </row>
    <row r="45" spans="1:55">
      <c r="A45">
        <v>45</v>
      </c>
      <c r="B45">
        <v>45421</v>
      </c>
      <c r="C45">
        <v>45426</v>
      </c>
      <c r="D45">
        <v>5</v>
      </c>
      <c r="E45">
        <v>58</v>
      </c>
      <c r="F45">
        <v>1</v>
      </c>
      <c r="G45">
        <v>3</v>
      </c>
      <c r="H45">
        <v>0</v>
      </c>
      <c r="I45">
        <v>0</v>
      </c>
      <c r="J45">
        <v>0</v>
      </c>
      <c r="K45">
        <v>0</v>
      </c>
      <c r="L45">
        <v>0</v>
      </c>
      <c r="M45">
        <v>0</v>
      </c>
      <c r="N45">
        <v>1</v>
      </c>
      <c r="O45" t="s">
        <v>128</v>
      </c>
      <c r="P45" t="s">
        <v>116</v>
      </c>
      <c r="Q45">
        <v>0</v>
      </c>
      <c r="R45">
        <v>1</v>
      </c>
      <c r="S45">
        <v>45421</v>
      </c>
      <c r="T45">
        <v>45421</v>
      </c>
      <c r="U45">
        <v>0</v>
      </c>
      <c r="V45">
        <v>1</v>
      </c>
      <c r="W45">
        <v>0</v>
      </c>
      <c r="X45">
        <v>0</v>
      </c>
      <c r="Y45">
        <v>0</v>
      </c>
      <c r="Z45">
        <v>0</v>
      </c>
      <c r="AA45">
        <v>0</v>
      </c>
      <c r="AB45">
        <v>0</v>
      </c>
      <c r="AC45">
        <v>0</v>
      </c>
      <c r="AD45">
        <v>1</v>
      </c>
      <c r="AE45">
        <v>1</v>
      </c>
      <c r="AF45" t="s">
        <v>129</v>
      </c>
      <c r="AG45">
        <v>0</v>
      </c>
      <c r="AH45">
        <v>1</v>
      </c>
      <c r="AI45">
        <v>1</v>
      </c>
      <c r="AJ45">
        <v>1</v>
      </c>
      <c r="AK45">
        <v>0</v>
      </c>
      <c r="AL45">
        <v>0</v>
      </c>
      <c r="AM45">
        <v>1</v>
      </c>
      <c r="AN45">
        <v>1</v>
      </c>
      <c r="AO45">
        <v>45422</v>
      </c>
      <c r="AP45">
        <v>0</v>
      </c>
      <c r="AQ45">
        <v>0</v>
      </c>
      <c r="AR45">
        <v>1</v>
      </c>
      <c r="AS45">
        <v>1</v>
      </c>
      <c r="AT45">
        <v>45425</v>
      </c>
      <c r="AU45">
        <v>1</v>
      </c>
      <c r="AV45">
        <v>0</v>
      </c>
      <c r="AW45">
        <v>1</v>
      </c>
      <c r="AX45">
        <v>1</v>
      </c>
      <c r="AY45">
        <v>1</v>
      </c>
      <c r="AZ45">
        <v>0</v>
      </c>
      <c r="BA45">
        <v>0</v>
      </c>
      <c r="BB45">
        <v>1</v>
      </c>
      <c r="BC45" t="s">
        <v>130</v>
      </c>
    </row>
    <row r="46" spans="1:55">
      <c r="A46">
        <v>46</v>
      </c>
      <c r="B46">
        <v>45428</v>
      </c>
      <c r="C46">
        <v>45448</v>
      </c>
      <c r="D46">
        <v>20</v>
      </c>
      <c r="E46">
        <v>77</v>
      </c>
      <c r="F46">
        <v>1</v>
      </c>
      <c r="G46">
        <v>2</v>
      </c>
      <c r="H46">
        <v>0</v>
      </c>
      <c r="I46">
        <v>0</v>
      </c>
      <c r="J46">
        <v>0</v>
      </c>
      <c r="K46">
        <v>0</v>
      </c>
      <c r="L46">
        <v>0</v>
      </c>
      <c r="M46">
        <v>0</v>
      </c>
      <c r="N46">
        <v>0</v>
      </c>
      <c r="P46" t="s">
        <v>119</v>
      </c>
      <c r="Q46">
        <v>0</v>
      </c>
      <c r="R46">
        <v>1</v>
      </c>
      <c r="S46">
        <v>45429</v>
      </c>
      <c r="T46">
        <v>45429</v>
      </c>
      <c r="U46">
        <v>0</v>
      </c>
      <c r="V46">
        <v>1</v>
      </c>
      <c r="W46">
        <v>0</v>
      </c>
      <c r="X46">
        <v>0</v>
      </c>
      <c r="Y46">
        <v>0</v>
      </c>
      <c r="Z46">
        <v>0</v>
      </c>
      <c r="AA46">
        <v>0</v>
      </c>
      <c r="AB46">
        <v>0</v>
      </c>
      <c r="AC46">
        <v>0</v>
      </c>
      <c r="AD46">
        <v>1</v>
      </c>
      <c r="AE46">
        <v>1</v>
      </c>
      <c r="AF46" t="s">
        <v>91</v>
      </c>
      <c r="AG46">
        <v>1</v>
      </c>
      <c r="AH46">
        <v>1</v>
      </c>
      <c r="AI46">
        <v>0</v>
      </c>
      <c r="AJ46">
        <v>0</v>
      </c>
      <c r="AK46">
        <v>1</v>
      </c>
      <c r="AL46">
        <v>0</v>
      </c>
      <c r="AM46">
        <v>0</v>
      </c>
      <c r="AN46">
        <v>1</v>
      </c>
      <c r="AO46">
        <v>45433</v>
      </c>
      <c r="AP46">
        <v>0</v>
      </c>
      <c r="AQ46">
        <v>0</v>
      </c>
      <c r="AR46">
        <v>5</v>
      </c>
      <c r="AS46">
        <v>1</v>
      </c>
      <c r="AT46">
        <v>45434</v>
      </c>
      <c r="AU46">
        <v>0</v>
      </c>
      <c r="AV46">
        <v>0</v>
      </c>
      <c r="AW46">
        <v>0</v>
      </c>
      <c r="AX46">
        <v>0</v>
      </c>
      <c r="AY46">
        <v>1</v>
      </c>
      <c r="AZ46">
        <v>0</v>
      </c>
      <c r="BA46">
        <v>1</v>
      </c>
      <c r="BB46">
        <v>1</v>
      </c>
      <c r="BC46" t="s">
        <v>132</v>
      </c>
    </row>
    <row r="47" spans="1:55">
      <c r="A47">
        <v>47</v>
      </c>
      <c r="B47">
        <v>45433</v>
      </c>
      <c r="C47">
        <v>45447</v>
      </c>
      <c r="D47">
        <v>14</v>
      </c>
      <c r="E47">
        <v>75</v>
      </c>
      <c r="F47">
        <v>1</v>
      </c>
      <c r="G47">
        <v>2</v>
      </c>
      <c r="H47">
        <v>0</v>
      </c>
      <c r="I47">
        <v>0</v>
      </c>
      <c r="J47">
        <v>0</v>
      </c>
      <c r="K47">
        <v>0</v>
      </c>
      <c r="L47">
        <v>0</v>
      </c>
      <c r="M47">
        <v>0</v>
      </c>
      <c r="N47">
        <v>0</v>
      </c>
      <c r="P47" t="s">
        <v>119</v>
      </c>
      <c r="Q47">
        <v>0</v>
      </c>
      <c r="R47">
        <v>1</v>
      </c>
      <c r="S47">
        <v>45433</v>
      </c>
      <c r="T47">
        <v>45433</v>
      </c>
      <c r="U47">
        <v>0</v>
      </c>
      <c r="V47">
        <v>0</v>
      </c>
      <c r="W47">
        <v>0</v>
      </c>
      <c r="X47">
        <v>0</v>
      </c>
      <c r="Y47">
        <v>0</v>
      </c>
      <c r="Z47">
        <v>0</v>
      </c>
      <c r="AA47">
        <v>0</v>
      </c>
      <c r="AB47">
        <v>0</v>
      </c>
      <c r="AC47">
        <v>0</v>
      </c>
      <c r="AD47">
        <v>0</v>
      </c>
      <c r="AE47">
        <v>1</v>
      </c>
      <c r="AF47" t="s">
        <v>117</v>
      </c>
      <c r="AG47">
        <v>0</v>
      </c>
      <c r="AH47">
        <v>0</v>
      </c>
      <c r="AI47">
        <v>1</v>
      </c>
      <c r="AJ47">
        <v>0</v>
      </c>
      <c r="AK47">
        <v>0</v>
      </c>
      <c r="AL47">
        <v>1</v>
      </c>
      <c r="AM47">
        <v>1</v>
      </c>
      <c r="AN47">
        <v>1</v>
      </c>
      <c r="AO47">
        <v>45436</v>
      </c>
      <c r="AP47">
        <v>0</v>
      </c>
      <c r="AQ47">
        <v>0</v>
      </c>
      <c r="AR47">
        <v>3</v>
      </c>
      <c r="AS47">
        <v>0</v>
      </c>
      <c r="AX47">
        <v>0</v>
      </c>
      <c r="AY47">
        <v>0</v>
      </c>
      <c r="AZ47">
        <v>0</v>
      </c>
      <c r="BA47">
        <v>0</v>
      </c>
      <c r="BB47">
        <v>0</v>
      </c>
      <c r="BC47" t="s">
        <v>133</v>
      </c>
    </row>
    <row r="48" spans="1:55">
      <c r="A48">
        <v>49</v>
      </c>
      <c r="B48">
        <v>45395</v>
      </c>
      <c r="C48">
        <v>45420</v>
      </c>
      <c r="D48">
        <v>25</v>
      </c>
      <c r="E48">
        <v>78</v>
      </c>
      <c r="F48">
        <v>2</v>
      </c>
      <c r="G48">
        <v>2</v>
      </c>
      <c r="H48">
        <v>0</v>
      </c>
      <c r="I48">
        <v>0</v>
      </c>
      <c r="J48">
        <v>0</v>
      </c>
      <c r="K48">
        <v>0</v>
      </c>
      <c r="L48">
        <v>0</v>
      </c>
      <c r="M48">
        <v>0</v>
      </c>
      <c r="N48">
        <v>0</v>
      </c>
      <c r="P48" t="s">
        <v>136</v>
      </c>
      <c r="Q48">
        <v>0</v>
      </c>
      <c r="R48">
        <v>1</v>
      </c>
      <c r="S48">
        <v>45395</v>
      </c>
      <c r="T48">
        <v>45395</v>
      </c>
      <c r="U48">
        <v>0</v>
      </c>
      <c r="V48">
        <v>1</v>
      </c>
      <c r="W48">
        <v>0</v>
      </c>
      <c r="X48">
        <v>0</v>
      </c>
      <c r="Y48">
        <v>0</v>
      </c>
      <c r="Z48">
        <v>0</v>
      </c>
      <c r="AA48">
        <v>0</v>
      </c>
      <c r="AB48">
        <v>0</v>
      </c>
      <c r="AC48">
        <v>0</v>
      </c>
      <c r="AD48">
        <v>1</v>
      </c>
      <c r="AE48">
        <v>1</v>
      </c>
      <c r="AF48" t="s">
        <v>137</v>
      </c>
      <c r="AG48">
        <v>1</v>
      </c>
      <c r="AH48">
        <v>1</v>
      </c>
      <c r="AI48">
        <v>0</v>
      </c>
      <c r="AJ48">
        <v>0</v>
      </c>
      <c r="AK48">
        <v>1</v>
      </c>
      <c r="AL48">
        <v>0</v>
      </c>
      <c r="AM48">
        <v>0</v>
      </c>
      <c r="AN48">
        <v>1</v>
      </c>
      <c r="AO48">
        <v>45402</v>
      </c>
      <c r="AP48">
        <v>0</v>
      </c>
      <c r="AQ48">
        <v>0</v>
      </c>
      <c r="AR48">
        <v>7</v>
      </c>
      <c r="AS48">
        <v>0</v>
      </c>
      <c r="AX48">
        <v>0</v>
      </c>
      <c r="AY48">
        <v>1</v>
      </c>
      <c r="AZ48">
        <v>0</v>
      </c>
      <c r="BA48">
        <v>1</v>
      </c>
      <c r="BB48">
        <v>0</v>
      </c>
      <c r="BC48" t="s">
        <v>138</v>
      </c>
    </row>
    <row r="49" spans="1:55">
      <c r="A49">
        <v>50</v>
      </c>
      <c r="B49">
        <v>45409</v>
      </c>
      <c r="C49">
        <v>45435</v>
      </c>
      <c r="D49">
        <v>26</v>
      </c>
      <c r="E49">
        <v>36</v>
      </c>
      <c r="F49">
        <v>1</v>
      </c>
      <c r="G49">
        <v>3</v>
      </c>
      <c r="H49">
        <v>0</v>
      </c>
      <c r="I49">
        <v>0</v>
      </c>
      <c r="J49">
        <v>0</v>
      </c>
      <c r="K49">
        <v>0</v>
      </c>
      <c r="L49">
        <v>0</v>
      </c>
      <c r="M49">
        <v>0</v>
      </c>
      <c r="N49">
        <v>0</v>
      </c>
      <c r="P49" t="s">
        <v>125</v>
      </c>
      <c r="Q49">
        <v>0</v>
      </c>
      <c r="R49">
        <v>1</v>
      </c>
      <c r="S49">
        <v>45409</v>
      </c>
      <c r="T49">
        <v>45409</v>
      </c>
      <c r="U49">
        <v>0</v>
      </c>
      <c r="V49">
        <v>1</v>
      </c>
      <c r="W49">
        <v>0</v>
      </c>
      <c r="X49">
        <v>0</v>
      </c>
      <c r="Y49">
        <v>0</v>
      </c>
      <c r="Z49">
        <v>1</v>
      </c>
      <c r="AA49">
        <v>1</v>
      </c>
      <c r="AB49">
        <v>0</v>
      </c>
      <c r="AC49">
        <v>0</v>
      </c>
      <c r="AD49">
        <v>0</v>
      </c>
      <c r="AE49">
        <v>1</v>
      </c>
      <c r="AF49" t="s">
        <v>117</v>
      </c>
      <c r="AG49">
        <v>1</v>
      </c>
      <c r="AH49">
        <v>1</v>
      </c>
      <c r="AI49">
        <v>1</v>
      </c>
      <c r="AJ49">
        <v>1</v>
      </c>
      <c r="AK49">
        <v>0</v>
      </c>
      <c r="AL49">
        <v>0</v>
      </c>
      <c r="AM49">
        <v>0</v>
      </c>
      <c r="AN49">
        <v>1</v>
      </c>
      <c r="AO49">
        <v>45413</v>
      </c>
      <c r="AP49">
        <v>0</v>
      </c>
      <c r="AQ49">
        <v>0</v>
      </c>
      <c r="AR49">
        <v>4</v>
      </c>
      <c r="AS49">
        <v>0</v>
      </c>
      <c r="AX49">
        <v>0</v>
      </c>
      <c r="AY49">
        <v>1</v>
      </c>
      <c r="AZ49">
        <v>0</v>
      </c>
      <c r="BA49">
        <v>1</v>
      </c>
      <c r="BB49">
        <v>0</v>
      </c>
      <c r="BC49" t="s">
        <v>139</v>
      </c>
    </row>
    <row r="50" spans="1:55">
      <c r="A50">
        <v>51</v>
      </c>
      <c r="B50">
        <v>45410</v>
      </c>
      <c r="C50">
        <v>45415</v>
      </c>
      <c r="D50">
        <v>5</v>
      </c>
      <c r="E50">
        <v>95</v>
      </c>
      <c r="F50">
        <v>2</v>
      </c>
      <c r="G50">
        <v>2</v>
      </c>
      <c r="H50">
        <v>0</v>
      </c>
      <c r="I50">
        <v>0</v>
      </c>
      <c r="J50">
        <v>0</v>
      </c>
      <c r="K50">
        <v>0</v>
      </c>
      <c r="L50">
        <v>0</v>
      </c>
      <c r="M50">
        <v>0</v>
      </c>
      <c r="N50">
        <v>0</v>
      </c>
      <c r="P50" t="s">
        <v>119</v>
      </c>
      <c r="Q50">
        <v>0</v>
      </c>
      <c r="R50">
        <v>1</v>
      </c>
      <c r="S50">
        <v>45410</v>
      </c>
      <c r="T50">
        <v>45410</v>
      </c>
      <c r="U50">
        <v>0</v>
      </c>
      <c r="V50">
        <v>0</v>
      </c>
      <c r="W50">
        <v>0</v>
      </c>
      <c r="X50">
        <v>0</v>
      </c>
      <c r="Y50">
        <v>0</v>
      </c>
      <c r="Z50">
        <v>0</v>
      </c>
      <c r="AA50">
        <v>0</v>
      </c>
      <c r="AB50">
        <v>0</v>
      </c>
      <c r="AC50">
        <v>0</v>
      </c>
      <c r="AD50">
        <v>0</v>
      </c>
      <c r="AE50">
        <v>1</v>
      </c>
      <c r="AF50" t="s">
        <v>117</v>
      </c>
      <c r="AG50">
        <v>0</v>
      </c>
      <c r="AH50">
        <v>0</v>
      </c>
      <c r="AI50">
        <v>1</v>
      </c>
      <c r="AJ50">
        <v>0</v>
      </c>
      <c r="AK50">
        <v>0</v>
      </c>
      <c r="AL50">
        <v>1</v>
      </c>
      <c r="AM50">
        <v>1</v>
      </c>
      <c r="AN50">
        <v>1</v>
      </c>
      <c r="AO50">
        <v>45414</v>
      </c>
      <c r="AP50">
        <v>0</v>
      </c>
      <c r="AQ50">
        <v>0</v>
      </c>
      <c r="AR50">
        <v>4</v>
      </c>
      <c r="AS50">
        <v>0</v>
      </c>
      <c r="AX50">
        <v>0</v>
      </c>
      <c r="AY50">
        <v>0</v>
      </c>
      <c r="AZ50">
        <v>0</v>
      </c>
      <c r="BA50">
        <v>0</v>
      </c>
      <c r="BB50">
        <v>0</v>
      </c>
      <c r="BC50" t="s">
        <v>140</v>
      </c>
    </row>
    <row r="51" spans="1:55">
      <c r="A51">
        <v>52</v>
      </c>
      <c r="B51">
        <v>45356</v>
      </c>
      <c r="C51">
        <v>45366</v>
      </c>
      <c r="D51">
        <v>10</v>
      </c>
      <c r="E51">
        <v>42</v>
      </c>
      <c r="F51">
        <v>1</v>
      </c>
      <c r="G51">
        <v>2</v>
      </c>
      <c r="H51">
        <v>1</v>
      </c>
      <c r="I51">
        <v>0</v>
      </c>
      <c r="J51">
        <v>0</v>
      </c>
      <c r="K51">
        <v>0</v>
      </c>
      <c r="L51">
        <v>0</v>
      </c>
      <c r="M51">
        <v>0</v>
      </c>
      <c r="N51">
        <v>1</v>
      </c>
      <c r="O51" t="s">
        <v>141</v>
      </c>
      <c r="P51" t="s">
        <v>121</v>
      </c>
      <c r="Q51">
        <v>1</v>
      </c>
      <c r="R51">
        <v>2</v>
      </c>
      <c r="S51">
        <v>45356</v>
      </c>
      <c r="T51">
        <v>45357</v>
      </c>
      <c r="U51">
        <v>1</v>
      </c>
      <c r="V51">
        <v>0</v>
      </c>
      <c r="W51">
        <v>0</v>
      </c>
      <c r="X51">
        <v>0</v>
      </c>
      <c r="Y51">
        <v>0</v>
      </c>
      <c r="Z51">
        <v>0</v>
      </c>
      <c r="AA51">
        <v>0</v>
      </c>
      <c r="AB51">
        <v>0</v>
      </c>
      <c r="AC51">
        <v>0</v>
      </c>
      <c r="AD51">
        <v>0</v>
      </c>
      <c r="AE51">
        <v>1</v>
      </c>
      <c r="AF51" t="s">
        <v>117</v>
      </c>
      <c r="AG51">
        <v>1</v>
      </c>
      <c r="AH51">
        <v>1</v>
      </c>
      <c r="AI51">
        <v>1</v>
      </c>
      <c r="AJ51">
        <v>1</v>
      </c>
      <c r="AK51">
        <v>0</v>
      </c>
      <c r="AL51">
        <v>0</v>
      </c>
      <c r="AM51">
        <v>1</v>
      </c>
      <c r="AN51">
        <v>1</v>
      </c>
      <c r="AO51">
        <v>45357</v>
      </c>
      <c r="AP51">
        <v>1</v>
      </c>
      <c r="AQ51">
        <v>1</v>
      </c>
      <c r="AR51">
        <v>1</v>
      </c>
      <c r="AS51">
        <v>1</v>
      </c>
      <c r="AT51">
        <v>45359</v>
      </c>
      <c r="AU51">
        <v>1</v>
      </c>
      <c r="AV51">
        <v>1</v>
      </c>
      <c r="AW51">
        <v>0</v>
      </c>
      <c r="AX51">
        <v>1</v>
      </c>
      <c r="AY51">
        <v>1</v>
      </c>
      <c r="AZ51">
        <v>0</v>
      </c>
      <c r="BA51">
        <v>0</v>
      </c>
      <c r="BB51">
        <v>1</v>
      </c>
      <c r="BC51" t="s">
        <v>142</v>
      </c>
    </row>
    <row r="52" spans="1:55">
      <c r="A52">
        <v>53</v>
      </c>
      <c r="B52">
        <v>45357</v>
      </c>
      <c r="C52">
        <v>45385</v>
      </c>
      <c r="D52">
        <v>28</v>
      </c>
      <c r="E52">
        <v>37</v>
      </c>
      <c r="F52">
        <v>2</v>
      </c>
      <c r="G52">
        <v>2</v>
      </c>
      <c r="H52">
        <v>0</v>
      </c>
      <c r="I52">
        <v>0</v>
      </c>
      <c r="J52">
        <v>0</v>
      </c>
      <c r="K52">
        <v>0</v>
      </c>
      <c r="L52">
        <v>0</v>
      </c>
      <c r="M52">
        <v>0</v>
      </c>
      <c r="N52">
        <v>0</v>
      </c>
      <c r="P52" t="s">
        <v>136</v>
      </c>
      <c r="Q52">
        <v>0</v>
      </c>
      <c r="R52">
        <v>1</v>
      </c>
      <c r="S52">
        <v>45357</v>
      </c>
      <c r="T52">
        <v>45357</v>
      </c>
      <c r="U52">
        <v>0</v>
      </c>
      <c r="V52">
        <v>1</v>
      </c>
      <c r="W52">
        <v>0</v>
      </c>
      <c r="X52">
        <v>1</v>
      </c>
      <c r="Y52">
        <v>0</v>
      </c>
      <c r="Z52">
        <v>1</v>
      </c>
      <c r="AA52">
        <v>0</v>
      </c>
      <c r="AB52">
        <v>0</v>
      </c>
      <c r="AC52">
        <v>0</v>
      </c>
      <c r="AD52">
        <v>0</v>
      </c>
      <c r="AE52">
        <v>1</v>
      </c>
      <c r="AF52" t="s">
        <v>143</v>
      </c>
      <c r="AG52">
        <v>1</v>
      </c>
      <c r="AH52">
        <v>1</v>
      </c>
      <c r="AI52">
        <v>1</v>
      </c>
      <c r="AJ52">
        <v>1</v>
      </c>
      <c r="AK52">
        <v>0</v>
      </c>
      <c r="AL52">
        <v>0</v>
      </c>
      <c r="AM52">
        <v>1</v>
      </c>
      <c r="AN52">
        <v>1</v>
      </c>
      <c r="AO52">
        <v>45359</v>
      </c>
      <c r="AP52">
        <v>0</v>
      </c>
      <c r="AQ52">
        <v>0</v>
      </c>
      <c r="AR52">
        <v>2</v>
      </c>
      <c r="AS52">
        <v>0</v>
      </c>
      <c r="AX52">
        <v>0</v>
      </c>
      <c r="AY52">
        <v>1</v>
      </c>
      <c r="AZ52">
        <v>0</v>
      </c>
      <c r="BA52">
        <v>1</v>
      </c>
      <c r="BB52">
        <v>0</v>
      </c>
      <c r="BC52" t="s">
        <v>144</v>
      </c>
    </row>
    <row r="53" spans="1:55">
      <c r="A53">
        <v>54</v>
      </c>
      <c r="B53">
        <v>45359</v>
      </c>
      <c r="C53">
        <v>45366</v>
      </c>
      <c r="D53">
        <v>7</v>
      </c>
      <c r="E53">
        <v>86</v>
      </c>
      <c r="F53">
        <v>1</v>
      </c>
      <c r="G53">
        <v>2</v>
      </c>
      <c r="H53">
        <v>0</v>
      </c>
      <c r="I53">
        <v>0</v>
      </c>
      <c r="J53">
        <v>0</v>
      </c>
      <c r="K53">
        <v>0</v>
      </c>
      <c r="L53">
        <v>0</v>
      </c>
      <c r="M53">
        <v>0</v>
      </c>
      <c r="N53">
        <v>1</v>
      </c>
      <c r="O53" t="s">
        <v>145</v>
      </c>
      <c r="P53" t="s">
        <v>116</v>
      </c>
      <c r="Q53">
        <v>0</v>
      </c>
      <c r="R53">
        <v>1</v>
      </c>
      <c r="S53">
        <v>45359</v>
      </c>
      <c r="T53">
        <v>45359</v>
      </c>
      <c r="U53">
        <v>0</v>
      </c>
      <c r="V53">
        <v>1</v>
      </c>
      <c r="W53">
        <v>0</v>
      </c>
      <c r="X53">
        <v>0</v>
      </c>
      <c r="Y53">
        <v>0</v>
      </c>
      <c r="Z53">
        <v>0</v>
      </c>
      <c r="AA53">
        <v>0</v>
      </c>
      <c r="AB53">
        <v>0</v>
      </c>
      <c r="AC53">
        <v>1</v>
      </c>
      <c r="AD53">
        <v>0</v>
      </c>
      <c r="AE53">
        <v>1</v>
      </c>
      <c r="AF53" t="s">
        <v>146</v>
      </c>
      <c r="AG53">
        <v>0</v>
      </c>
      <c r="AH53">
        <v>0</v>
      </c>
      <c r="AI53">
        <v>1</v>
      </c>
      <c r="AJ53">
        <v>0</v>
      </c>
      <c r="AK53">
        <v>0</v>
      </c>
      <c r="AL53">
        <v>1</v>
      </c>
      <c r="AM53">
        <v>1</v>
      </c>
      <c r="AN53">
        <v>1</v>
      </c>
      <c r="AO53">
        <v>45363</v>
      </c>
      <c r="AP53">
        <v>0</v>
      </c>
      <c r="AQ53">
        <v>1</v>
      </c>
      <c r="AR53">
        <v>4</v>
      </c>
      <c r="AS53">
        <v>0</v>
      </c>
      <c r="AX53">
        <v>0</v>
      </c>
      <c r="AY53">
        <v>0</v>
      </c>
      <c r="AZ53">
        <v>0</v>
      </c>
      <c r="BA53">
        <v>0</v>
      </c>
      <c r="BB53">
        <v>0</v>
      </c>
      <c r="BC53" t="s">
        <v>147</v>
      </c>
    </row>
    <row r="54" spans="1:55">
      <c r="A54">
        <v>56</v>
      </c>
      <c r="B54">
        <v>45458</v>
      </c>
      <c r="C54">
        <v>45467</v>
      </c>
      <c r="D54">
        <v>9</v>
      </c>
      <c r="E54">
        <v>87</v>
      </c>
      <c r="F54">
        <v>2</v>
      </c>
      <c r="G54">
        <v>5</v>
      </c>
      <c r="H54">
        <v>0</v>
      </c>
      <c r="I54">
        <v>0</v>
      </c>
      <c r="J54">
        <v>0</v>
      </c>
      <c r="K54">
        <v>0</v>
      </c>
      <c r="L54">
        <v>0</v>
      </c>
      <c r="M54">
        <v>0</v>
      </c>
      <c r="N54">
        <v>0</v>
      </c>
      <c r="O54" t="s">
        <v>70</v>
      </c>
      <c r="P54" t="s">
        <v>155</v>
      </c>
      <c r="Q54">
        <v>1</v>
      </c>
      <c r="R54">
        <v>2</v>
      </c>
      <c r="S54">
        <v>45457</v>
      </c>
      <c r="T54">
        <v>45458</v>
      </c>
      <c r="U54">
        <v>1</v>
      </c>
      <c r="V54">
        <v>1</v>
      </c>
      <c r="W54">
        <v>0</v>
      </c>
      <c r="X54">
        <v>0</v>
      </c>
      <c r="Y54">
        <v>0</v>
      </c>
      <c r="Z54">
        <v>0</v>
      </c>
      <c r="AA54">
        <v>0</v>
      </c>
      <c r="AB54">
        <v>0</v>
      </c>
      <c r="AC54">
        <v>1</v>
      </c>
      <c r="AD54">
        <v>0</v>
      </c>
      <c r="AE54">
        <v>1</v>
      </c>
      <c r="AF54" t="s">
        <v>146</v>
      </c>
      <c r="AG54">
        <v>0</v>
      </c>
      <c r="AH54">
        <v>1</v>
      </c>
      <c r="AI54">
        <v>1</v>
      </c>
      <c r="AJ54">
        <v>1</v>
      </c>
      <c r="AK54">
        <v>0</v>
      </c>
      <c r="AL54">
        <v>0</v>
      </c>
      <c r="AM54">
        <v>1</v>
      </c>
      <c r="AN54">
        <v>1</v>
      </c>
      <c r="AO54">
        <v>45462</v>
      </c>
      <c r="AP54">
        <v>0</v>
      </c>
      <c r="AQ54">
        <v>0</v>
      </c>
      <c r="AR54">
        <v>4</v>
      </c>
      <c r="AS54">
        <v>0</v>
      </c>
      <c r="AX54">
        <v>0</v>
      </c>
      <c r="AY54">
        <v>1</v>
      </c>
      <c r="AZ54">
        <v>0</v>
      </c>
      <c r="BA54">
        <v>0</v>
      </c>
      <c r="BB54">
        <v>0</v>
      </c>
      <c r="BC54" t="s">
        <v>156</v>
      </c>
    </row>
    <row r="55" spans="1:55">
      <c r="A55">
        <v>57</v>
      </c>
      <c r="B55">
        <v>45459</v>
      </c>
      <c r="E55">
        <v>55</v>
      </c>
      <c r="F55">
        <v>2</v>
      </c>
      <c r="G55">
        <v>2</v>
      </c>
      <c r="H55">
        <v>1</v>
      </c>
      <c r="I55">
        <v>0</v>
      </c>
      <c r="J55">
        <v>0</v>
      </c>
      <c r="K55">
        <v>1</v>
      </c>
      <c r="L55">
        <v>0</v>
      </c>
      <c r="M55">
        <v>0</v>
      </c>
      <c r="N55">
        <v>1</v>
      </c>
      <c r="O55" t="s">
        <v>157</v>
      </c>
      <c r="P55" t="s">
        <v>155</v>
      </c>
      <c r="Q55">
        <v>1</v>
      </c>
      <c r="R55">
        <v>4</v>
      </c>
      <c r="S55">
        <v>45469</v>
      </c>
      <c r="T55">
        <v>45472</v>
      </c>
      <c r="U55">
        <v>3</v>
      </c>
      <c r="V55">
        <v>0</v>
      </c>
      <c r="W55">
        <v>0</v>
      </c>
      <c r="X55">
        <v>0</v>
      </c>
      <c r="Y55">
        <v>0</v>
      </c>
      <c r="Z55">
        <v>0</v>
      </c>
      <c r="AA55">
        <v>0</v>
      </c>
      <c r="AB55">
        <v>0</v>
      </c>
      <c r="AC55">
        <v>0</v>
      </c>
      <c r="AD55">
        <v>0</v>
      </c>
      <c r="AE55">
        <v>1</v>
      </c>
      <c r="AF55" t="s">
        <v>158</v>
      </c>
      <c r="AG55">
        <v>1</v>
      </c>
      <c r="AH55">
        <v>1</v>
      </c>
      <c r="AI55">
        <v>1</v>
      </c>
      <c r="AJ55">
        <v>1</v>
      </c>
      <c r="AK55">
        <v>0</v>
      </c>
      <c r="AL55">
        <v>0</v>
      </c>
      <c r="AM55">
        <v>1</v>
      </c>
      <c r="AN55">
        <v>1</v>
      </c>
      <c r="AO55">
        <v>45485</v>
      </c>
      <c r="AP55">
        <v>0</v>
      </c>
      <c r="AQ55">
        <v>1</v>
      </c>
      <c r="AR55">
        <v>26</v>
      </c>
      <c r="AS55">
        <v>0</v>
      </c>
      <c r="AX55">
        <v>1</v>
      </c>
      <c r="AY55">
        <v>1</v>
      </c>
      <c r="AZ55">
        <v>1</v>
      </c>
      <c r="BA55">
        <v>1</v>
      </c>
      <c r="BB55">
        <v>0</v>
      </c>
      <c r="BC55" t="s">
        <v>159</v>
      </c>
    </row>
    <row r="56" spans="1:55">
      <c r="A56">
        <v>58</v>
      </c>
      <c r="B56">
        <v>45469</v>
      </c>
      <c r="C56">
        <v>45484</v>
      </c>
      <c r="D56">
        <v>15</v>
      </c>
      <c r="E56">
        <v>86</v>
      </c>
      <c r="F56">
        <v>2</v>
      </c>
      <c r="G56">
        <v>2</v>
      </c>
      <c r="H56">
        <v>1</v>
      </c>
      <c r="I56">
        <v>0</v>
      </c>
      <c r="J56">
        <v>0</v>
      </c>
      <c r="K56">
        <v>1</v>
      </c>
      <c r="L56">
        <v>0</v>
      </c>
      <c r="M56">
        <v>0</v>
      </c>
      <c r="N56">
        <v>0</v>
      </c>
      <c r="P56" t="s">
        <v>155</v>
      </c>
      <c r="Q56">
        <v>0</v>
      </c>
      <c r="R56">
        <v>1</v>
      </c>
      <c r="S56">
        <v>45471</v>
      </c>
      <c r="T56">
        <v>45471</v>
      </c>
      <c r="U56">
        <v>0</v>
      </c>
      <c r="V56">
        <v>1</v>
      </c>
      <c r="W56">
        <v>0</v>
      </c>
      <c r="X56">
        <v>0</v>
      </c>
      <c r="Y56">
        <v>0</v>
      </c>
      <c r="Z56">
        <v>0</v>
      </c>
      <c r="AA56">
        <v>0</v>
      </c>
      <c r="AB56">
        <v>0</v>
      </c>
      <c r="AC56">
        <v>1</v>
      </c>
      <c r="AD56">
        <v>0</v>
      </c>
      <c r="AE56">
        <v>1</v>
      </c>
      <c r="AF56" t="s">
        <v>146</v>
      </c>
      <c r="AG56">
        <v>0</v>
      </c>
      <c r="AH56">
        <v>1</v>
      </c>
      <c r="AI56">
        <v>1</v>
      </c>
      <c r="AJ56">
        <v>1</v>
      </c>
      <c r="AK56">
        <v>0</v>
      </c>
      <c r="AL56">
        <v>0</v>
      </c>
      <c r="AM56">
        <v>1</v>
      </c>
      <c r="AN56">
        <v>1</v>
      </c>
      <c r="AO56">
        <v>45474</v>
      </c>
      <c r="AP56">
        <v>0</v>
      </c>
      <c r="AQ56">
        <v>1</v>
      </c>
      <c r="AR56">
        <v>5</v>
      </c>
      <c r="AS56">
        <v>0</v>
      </c>
      <c r="AX56">
        <v>0</v>
      </c>
      <c r="AY56">
        <v>1</v>
      </c>
      <c r="AZ56">
        <v>1</v>
      </c>
      <c r="BA56">
        <v>0</v>
      </c>
      <c r="BB56">
        <v>0</v>
      </c>
      <c r="BC56" t="s">
        <v>160</v>
      </c>
    </row>
    <row r="57" spans="1:55">
      <c r="A57">
        <v>59</v>
      </c>
      <c r="B57">
        <v>45421</v>
      </c>
      <c r="C57">
        <v>45428</v>
      </c>
      <c r="D57">
        <v>7</v>
      </c>
      <c r="E57">
        <v>77</v>
      </c>
      <c r="F57">
        <v>2</v>
      </c>
      <c r="G57">
        <v>5</v>
      </c>
      <c r="H57">
        <v>0</v>
      </c>
      <c r="I57">
        <v>0</v>
      </c>
      <c r="J57">
        <v>0</v>
      </c>
      <c r="K57">
        <v>0</v>
      </c>
      <c r="L57">
        <v>1</v>
      </c>
      <c r="M57">
        <v>0</v>
      </c>
      <c r="N57">
        <v>1</v>
      </c>
      <c r="O57" t="s">
        <v>70</v>
      </c>
      <c r="P57" t="s">
        <v>163</v>
      </c>
      <c r="Q57">
        <v>1</v>
      </c>
      <c r="R57">
        <v>4</v>
      </c>
      <c r="S57">
        <v>45421</v>
      </c>
      <c r="T57">
        <v>45428</v>
      </c>
      <c r="U57">
        <v>7</v>
      </c>
      <c r="V57">
        <v>1</v>
      </c>
      <c r="W57">
        <v>0</v>
      </c>
      <c r="X57">
        <v>0</v>
      </c>
      <c r="Y57">
        <v>1</v>
      </c>
      <c r="Z57">
        <v>0</v>
      </c>
      <c r="AA57">
        <v>1</v>
      </c>
      <c r="AB57">
        <v>0</v>
      </c>
      <c r="AC57">
        <v>0</v>
      </c>
      <c r="AD57">
        <v>0</v>
      </c>
      <c r="AE57">
        <v>1</v>
      </c>
      <c r="AF57" t="s">
        <v>48</v>
      </c>
      <c r="AG57">
        <v>1</v>
      </c>
      <c r="AH57">
        <v>0</v>
      </c>
      <c r="AI57">
        <v>1</v>
      </c>
      <c r="AJ57">
        <v>0</v>
      </c>
      <c r="AK57">
        <v>0</v>
      </c>
      <c r="AL57">
        <v>1</v>
      </c>
      <c r="AM57">
        <v>0</v>
      </c>
      <c r="AN57">
        <v>1</v>
      </c>
      <c r="AO57">
        <v>45425</v>
      </c>
      <c r="AP57">
        <v>0</v>
      </c>
      <c r="AQ57">
        <v>0</v>
      </c>
      <c r="AR57">
        <v>4</v>
      </c>
      <c r="AS57">
        <v>0</v>
      </c>
      <c r="AX57">
        <v>0</v>
      </c>
      <c r="AY57">
        <v>0</v>
      </c>
      <c r="AZ57">
        <v>0</v>
      </c>
      <c r="BA57">
        <v>1</v>
      </c>
      <c r="BB57">
        <v>0</v>
      </c>
      <c r="BC57" t="s">
        <v>164</v>
      </c>
    </row>
    <row r="58" spans="1:55">
      <c r="A58">
        <v>60</v>
      </c>
      <c r="B58">
        <v>45425</v>
      </c>
      <c r="C58">
        <v>45444</v>
      </c>
      <c r="D58">
        <v>19</v>
      </c>
      <c r="E58">
        <v>81</v>
      </c>
      <c r="F58">
        <v>1</v>
      </c>
      <c r="G58">
        <v>2</v>
      </c>
      <c r="H58">
        <v>1</v>
      </c>
      <c r="I58">
        <v>0</v>
      </c>
      <c r="J58">
        <v>0</v>
      </c>
      <c r="K58">
        <v>1</v>
      </c>
      <c r="L58">
        <v>0</v>
      </c>
      <c r="M58">
        <v>0</v>
      </c>
      <c r="N58">
        <v>1</v>
      </c>
      <c r="O58" t="s">
        <v>72</v>
      </c>
      <c r="P58" t="s">
        <v>155</v>
      </c>
      <c r="Q58">
        <v>1</v>
      </c>
      <c r="R58">
        <v>2</v>
      </c>
      <c r="S58">
        <v>45425</v>
      </c>
      <c r="T58">
        <v>45426</v>
      </c>
      <c r="U58">
        <v>1</v>
      </c>
      <c r="V58">
        <v>1</v>
      </c>
      <c r="W58">
        <v>0</v>
      </c>
      <c r="X58">
        <v>0</v>
      </c>
      <c r="Y58">
        <v>0</v>
      </c>
      <c r="Z58">
        <v>0</v>
      </c>
      <c r="AA58">
        <v>1</v>
      </c>
      <c r="AB58">
        <v>0</v>
      </c>
      <c r="AC58">
        <v>0</v>
      </c>
      <c r="AD58">
        <v>0</v>
      </c>
      <c r="AE58">
        <v>1</v>
      </c>
      <c r="AF58" t="s">
        <v>158</v>
      </c>
      <c r="AG58">
        <v>1</v>
      </c>
      <c r="AH58">
        <v>1</v>
      </c>
      <c r="AI58">
        <v>1</v>
      </c>
      <c r="AJ58">
        <v>1</v>
      </c>
      <c r="AK58">
        <v>0</v>
      </c>
      <c r="AL58">
        <v>0</v>
      </c>
      <c r="AM58">
        <v>1</v>
      </c>
      <c r="AN58">
        <v>1</v>
      </c>
      <c r="AO58">
        <v>45429</v>
      </c>
      <c r="AP58">
        <v>0</v>
      </c>
      <c r="AQ58">
        <v>1</v>
      </c>
      <c r="AR58">
        <v>4</v>
      </c>
      <c r="AS58">
        <v>0</v>
      </c>
      <c r="AX58">
        <v>0</v>
      </c>
      <c r="AY58">
        <v>1</v>
      </c>
      <c r="AZ58">
        <v>1</v>
      </c>
      <c r="BA58">
        <v>0</v>
      </c>
      <c r="BB58">
        <v>0</v>
      </c>
      <c r="BC58" t="s">
        <v>165</v>
      </c>
    </row>
    <row r="59" spans="1:55">
      <c r="A59">
        <v>61</v>
      </c>
      <c r="B59">
        <v>45381</v>
      </c>
      <c r="C59">
        <v>45387</v>
      </c>
      <c r="D59">
        <v>6</v>
      </c>
      <c r="E59">
        <v>87</v>
      </c>
      <c r="F59">
        <v>2</v>
      </c>
      <c r="G59">
        <v>3</v>
      </c>
      <c r="H59">
        <v>1</v>
      </c>
      <c r="I59">
        <v>0</v>
      </c>
      <c r="J59">
        <v>0</v>
      </c>
      <c r="K59">
        <v>1</v>
      </c>
      <c r="L59">
        <v>0</v>
      </c>
      <c r="M59">
        <v>0</v>
      </c>
      <c r="N59">
        <v>1</v>
      </c>
      <c r="O59" t="s">
        <v>166</v>
      </c>
      <c r="P59" t="s">
        <v>155</v>
      </c>
      <c r="Q59">
        <v>1</v>
      </c>
      <c r="R59">
        <v>3</v>
      </c>
      <c r="S59">
        <v>45382</v>
      </c>
      <c r="T59">
        <v>45384</v>
      </c>
      <c r="U59">
        <v>2</v>
      </c>
      <c r="V59">
        <v>0</v>
      </c>
      <c r="W59">
        <v>0</v>
      </c>
      <c r="X59">
        <v>0</v>
      </c>
      <c r="Y59">
        <v>0</v>
      </c>
      <c r="Z59">
        <v>0</v>
      </c>
      <c r="AA59">
        <v>0</v>
      </c>
      <c r="AB59">
        <v>0</v>
      </c>
      <c r="AC59">
        <v>0</v>
      </c>
      <c r="AD59">
        <v>0</v>
      </c>
      <c r="AE59">
        <v>1</v>
      </c>
      <c r="AF59" t="s">
        <v>167</v>
      </c>
      <c r="AG59">
        <v>1</v>
      </c>
      <c r="AH59">
        <v>0</v>
      </c>
      <c r="AI59">
        <v>1</v>
      </c>
      <c r="AJ59">
        <v>0</v>
      </c>
      <c r="AK59">
        <v>0</v>
      </c>
      <c r="AL59">
        <v>1</v>
      </c>
      <c r="AM59">
        <v>1</v>
      </c>
      <c r="AN59">
        <v>1</v>
      </c>
      <c r="AO59">
        <v>45383</v>
      </c>
      <c r="AP59">
        <v>0</v>
      </c>
      <c r="AQ59">
        <v>1</v>
      </c>
      <c r="AR59">
        <v>2</v>
      </c>
      <c r="AS59">
        <v>0</v>
      </c>
      <c r="AX59">
        <v>0</v>
      </c>
      <c r="AY59">
        <v>1</v>
      </c>
      <c r="AZ59">
        <v>1</v>
      </c>
      <c r="BA59">
        <v>0</v>
      </c>
      <c r="BB59">
        <v>0</v>
      </c>
      <c r="BC59" t="s">
        <v>168</v>
      </c>
    </row>
    <row r="60" spans="1:55">
      <c r="A60">
        <v>62</v>
      </c>
      <c r="B60">
        <v>45398</v>
      </c>
      <c r="C60">
        <v>45403</v>
      </c>
      <c r="D60">
        <v>5</v>
      </c>
      <c r="E60">
        <v>47</v>
      </c>
      <c r="F60">
        <v>1</v>
      </c>
      <c r="G60">
        <v>2</v>
      </c>
      <c r="H60">
        <v>1</v>
      </c>
      <c r="I60">
        <v>1</v>
      </c>
      <c r="J60">
        <v>0</v>
      </c>
      <c r="K60">
        <v>0</v>
      </c>
      <c r="L60">
        <v>0</v>
      </c>
      <c r="M60">
        <v>0</v>
      </c>
      <c r="N60">
        <v>1</v>
      </c>
      <c r="O60" t="s">
        <v>169</v>
      </c>
      <c r="P60" t="s">
        <v>155</v>
      </c>
      <c r="Q60">
        <v>1</v>
      </c>
      <c r="R60">
        <v>4</v>
      </c>
      <c r="S60">
        <v>45398</v>
      </c>
      <c r="T60">
        <v>45403</v>
      </c>
      <c r="U60">
        <v>5</v>
      </c>
      <c r="V60">
        <v>1</v>
      </c>
      <c r="W60">
        <v>0</v>
      </c>
      <c r="X60">
        <v>1</v>
      </c>
      <c r="Y60">
        <v>0</v>
      </c>
      <c r="Z60">
        <v>0</v>
      </c>
      <c r="AA60">
        <v>0</v>
      </c>
      <c r="AB60">
        <v>0</v>
      </c>
      <c r="AC60">
        <v>0</v>
      </c>
      <c r="AD60">
        <v>0</v>
      </c>
      <c r="AE60">
        <v>1</v>
      </c>
      <c r="AF60" t="s">
        <v>158</v>
      </c>
      <c r="AG60">
        <v>1</v>
      </c>
      <c r="AH60">
        <v>1</v>
      </c>
      <c r="AI60">
        <v>1</v>
      </c>
      <c r="AJ60">
        <v>1</v>
      </c>
      <c r="AK60">
        <v>0</v>
      </c>
      <c r="AL60">
        <v>0</v>
      </c>
      <c r="AM60">
        <v>1</v>
      </c>
      <c r="AN60">
        <v>1</v>
      </c>
      <c r="AO60">
        <v>45400</v>
      </c>
      <c r="AP60">
        <v>1</v>
      </c>
      <c r="AQ60">
        <v>0</v>
      </c>
      <c r="AR60">
        <v>2</v>
      </c>
      <c r="AS60">
        <v>0</v>
      </c>
      <c r="AX60">
        <v>1</v>
      </c>
      <c r="AY60">
        <v>1</v>
      </c>
      <c r="AZ60">
        <v>1</v>
      </c>
      <c r="BA60">
        <v>0</v>
      </c>
      <c r="BB60">
        <v>0</v>
      </c>
      <c r="BC60" t="s">
        <v>170</v>
      </c>
    </row>
    <row r="61" spans="1:55">
      <c r="A61">
        <v>63</v>
      </c>
      <c r="B61">
        <v>45398</v>
      </c>
      <c r="C61">
        <v>45442</v>
      </c>
      <c r="D61">
        <v>44</v>
      </c>
      <c r="E61">
        <v>54</v>
      </c>
      <c r="F61">
        <v>1</v>
      </c>
      <c r="G61">
        <v>2</v>
      </c>
      <c r="H61">
        <v>1</v>
      </c>
      <c r="I61">
        <v>0</v>
      </c>
      <c r="J61">
        <v>0</v>
      </c>
      <c r="K61">
        <v>0</v>
      </c>
      <c r="L61">
        <v>1</v>
      </c>
      <c r="M61">
        <v>0</v>
      </c>
      <c r="N61">
        <v>0</v>
      </c>
      <c r="P61" t="s">
        <v>155</v>
      </c>
      <c r="Q61">
        <v>1</v>
      </c>
      <c r="R61">
        <v>5</v>
      </c>
      <c r="S61">
        <v>45398</v>
      </c>
      <c r="T61">
        <v>45401</v>
      </c>
      <c r="U61">
        <v>3</v>
      </c>
      <c r="V61">
        <v>1</v>
      </c>
      <c r="W61">
        <v>0</v>
      </c>
      <c r="X61">
        <v>0</v>
      </c>
      <c r="Y61">
        <v>1</v>
      </c>
      <c r="Z61">
        <v>0</v>
      </c>
      <c r="AA61">
        <v>0</v>
      </c>
      <c r="AB61">
        <v>0</v>
      </c>
      <c r="AC61">
        <v>0</v>
      </c>
      <c r="AD61">
        <v>0</v>
      </c>
      <c r="AE61">
        <v>1</v>
      </c>
      <c r="AF61" t="s">
        <v>158</v>
      </c>
      <c r="AG61">
        <v>1</v>
      </c>
      <c r="AH61">
        <v>1</v>
      </c>
      <c r="AI61">
        <v>1</v>
      </c>
      <c r="AJ61">
        <v>1</v>
      </c>
      <c r="AK61">
        <v>0</v>
      </c>
      <c r="AL61">
        <v>0</v>
      </c>
      <c r="AM61">
        <v>1</v>
      </c>
      <c r="AN61">
        <v>1</v>
      </c>
      <c r="AO61">
        <v>45401</v>
      </c>
      <c r="AP61">
        <v>0</v>
      </c>
      <c r="AQ61">
        <v>0</v>
      </c>
      <c r="AR61">
        <v>3</v>
      </c>
      <c r="AS61">
        <v>0</v>
      </c>
      <c r="AX61">
        <v>0</v>
      </c>
      <c r="AY61">
        <v>1</v>
      </c>
      <c r="AZ61">
        <v>0</v>
      </c>
      <c r="BA61">
        <v>1</v>
      </c>
      <c r="BB61">
        <v>0</v>
      </c>
      <c r="BC61" t="s">
        <v>171</v>
      </c>
    </row>
    <row r="62" spans="1:55">
      <c r="A62">
        <v>64</v>
      </c>
      <c r="B62">
        <v>45409</v>
      </c>
      <c r="C62">
        <v>45419</v>
      </c>
      <c r="D62">
        <v>10</v>
      </c>
      <c r="E62">
        <v>82</v>
      </c>
      <c r="F62">
        <v>1</v>
      </c>
      <c r="G62">
        <v>2</v>
      </c>
      <c r="H62">
        <v>1</v>
      </c>
      <c r="I62">
        <v>0</v>
      </c>
      <c r="J62">
        <v>0</v>
      </c>
      <c r="K62">
        <v>0</v>
      </c>
      <c r="L62">
        <v>0</v>
      </c>
      <c r="M62">
        <v>0</v>
      </c>
      <c r="N62">
        <v>1</v>
      </c>
      <c r="O62" t="s">
        <v>172</v>
      </c>
      <c r="P62" t="s">
        <v>155</v>
      </c>
      <c r="Q62">
        <v>0</v>
      </c>
      <c r="R62">
        <v>1</v>
      </c>
      <c r="S62">
        <v>45411</v>
      </c>
      <c r="T62">
        <v>45411</v>
      </c>
      <c r="U62">
        <v>0</v>
      </c>
      <c r="V62">
        <v>1</v>
      </c>
      <c r="W62">
        <v>0</v>
      </c>
      <c r="X62">
        <v>0</v>
      </c>
      <c r="Y62">
        <v>0</v>
      </c>
      <c r="Z62">
        <v>0</v>
      </c>
      <c r="AA62">
        <v>0</v>
      </c>
      <c r="AB62">
        <v>0</v>
      </c>
      <c r="AC62">
        <v>1</v>
      </c>
      <c r="AD62">
        <v>0</v>
      </c>
      <c r="AE62">
        <v>1</v>
      </c>
      <c r="AF62" t="s">
        <v>173</v>
      </c>
      <c r="AG62">
        <v>0</v>
      </c>
      <c r="AH62">
        <v>1</v>
      </c>
      <c r="AI62">
        <v>1</v>
      </c>
      <c r="AJ62">
        <v>1</v>
      </c>
      <c r="AK62">
        <v>0</v>
      </c>
      <c r="AL62">
        <v>0</v>
      </c>
      <c r="AM62">
        <v>1</v>
      </c>
      <c r="AN62">
        <v>1</v>
      </c>
      <c r="AO62">
        <v>45411</v>
      </c>
      <c r="AP62">
        <v>0</v>
      </c>
      <c r="AQ62">
        <v>1</v>
      </c>
      <c r="AR62">
        <v>2</v>
      </c>
      <c r="AS62">
        <v>0</v>
      </c>
      <c r="AX62">
        <v>0</v>
      </c>
      <c r="AY62">
        <v>1</v>
      </c>
      <c r="AZ62">
        <v>0</v>
      </c>
      <c r="BA62">
        <v>0</v>
      </c>
      <c r="BB62">
        <v>0</v>
      </c>
      <c r="BC62" t="s">
        <v>174</v>
      </c>
    </row>
    <row r="63" spans="1:55">
      <c r="A63">
        <v>65</v>
      </c>
      <c r="B63">
        <v>45375</v>
      </c>
      <c r="C63">
        <v>45388</v>
      </c>
      <c r="D63">
        <v>13</v>
      </c>
      <c r="E63">
        <v>54</v>
      </c>
      <c r="F63">
        <v>2</v>
      </c>
      <c r="G63">
        <v>2</v>
      </c>
      <c r="H63">
        <v>0</v>
      </c>
      <c r="I63">
        <v>0</v>
      </c>
      <c r="J63">
        <v>0</v>
      </c>
      <c r="K63">
        <v>0</v>
      </c>
      <c r="L63">
        <v>0</v>
      </c>
      <c r="M63">
        <v>0</v>
      </c>
      <c r="N63">
        <v>0</v>
      </c>
      <c r="P63" t="s">
        <v>155</v>
      </c>
      <c r="Q63">
        <v>1</v>
      </c>
      <c r="R63">
        <v>6</v>
      </c>
      <c r="S63">
        <v>45375</v>
      </c>
      <c r="T63">
        <v>45380</v>
      </c>
      <c r="U63">
        <v>5</v>
      </c>
      <c r="V63">
        <v>1</v>
      </c>
      <c r="W63">
        <v>0</v>
      </c>
      <c r="X63">
        <v>0</v>
      </c>
      <c r="Y63">
        <v>0</v>
      </c>
      <c r="Z63">
        <v>0</v>
      </c>
      <c r="AA63">
        <v>0</v>
      </c>
      <c r="AB63">
        <v>0</v>
      </c>
      <c r="AC63">
        <v>1</v>
      </c>
      <c r="AD63">
        <v>0</v>
      </c>
      <c r="AE63">
        <v>1</v>
      </c>
      <c r="AF63" t="s">
        <v>175</v>
      </c>
      <c r="AG63">
        <v>0</v>
      </c>
      <c r="AH63">
        <v>1</v>
      </c>
      <c r="AI63">
        <v>0</v>
      </c>
      <c r="AJ63">
        <v>0</v>
      </c>
      <c r="AK63">
        <v>1</v>
      </c>
      <c r="AL63">
        <v>0</v>
      </c>
      <c r="AM63">
        <v>1</v>
      </c>
      <c r="AN63">
        <v>1</v>
      </c>
      <c r="AO63">
        <v>45380</v>
      </c>
      <c r="AP63">
        <v>0</v>
      </c>
      <c r="AQ63">
        <v>0</v>
      </c>
      <c r="AR63">
        <v>5</v>
      </c>
      <c r="AS63">
        <v>1</v>
      </c>
      <c r="AT63">
        <v>45383</v>
      </c>
      <c r="AU63">
        <v>0</v>
      </c>
      <c r="AV63">
        <v>0</v>
      </c>
      <c r="AW63">
        <v>1</v>
      </c>
      <c r="AX63">
        <v>0</v>
      </c>
      <c r="AY63">
        <v>1</v>
      </c>
      <c r="AZ63">
        <v>0</v>
      </c>
      <c r="BA63">
        <v>0</v>
      </c>
      <c r="BB63">
        <v>1</v>
      </c>
      <c r="BC63" t="s">
        <v>176</v>
      </c>
    </row>
    <row r="64" spans="1:55">
      <c r="A64">
        <v>66</v>
      </c>
      <c r="B64">
        <v>45433</v>
      </c>
      <c r="C64">
        <v>45443</v>
      </c>
      <c r="D64">
        <v>10</v>
      </c>
      <c r="E64">
        <v>71</v>
      </c>
      <c r="F64">
        <v>2</v>
      </c>
      <c r="G64">
        <v>2</v>
      </c>
      <c r="H64">
        <v>1</v>
      </c>
      <c r="I64">
        <v>0</v>
      </c>
      <c r="J64">
        <v>0</v>
      </c>
      <c r="K64">
        <v>0</v>
      </c>
      <c r="L64">
        <v>1</v>
      </c>
      <c r="M64">
        <v>0</v>
      </c>
      <c r="N64">
        <v>1</v>
      </c>
      <c r="O64" t="s">
        <v>99</v>
      </c>
      <c r="P64" t="s">
        <v>163</v>
      </c>
      <c r="Q64">
        <v>0</v>
      </c>
      <c r="R64">
        <v>1</v>
      </c>
      <c r="S64">
        <v>45433</v>
      </c>
      <c r="T64">
        <v>45433</v>
      </c>
      <c r="U64">
        <v>0</v>
      </c>
      <c r="V64">
        <v>1</v>
      </c>
      <c r="W64">
        <v>0</v>
      </c>
      <c r="X64">
        <v>0</v>
      </c>
      <c r="Y64">
        <v>1</v>
      </c>
      <c r="Z64">
        <v>0</v>
      </c>
      <c r="AA64">
        <v>0</v>
      </c>
      <c r="AB64">
        <v>0</v>
      </c>
      <c r="AC64">
        <v>0</v>
      </c>
      <c r="AD64">
        <v>0</v>
      </c>
      <c r="AE64">
        <v>1</v>
      </c>
      <c r="AF64" t="s">
        <v>48</v>
      </c>
      <c r="AG64">
        <v>1</v>
      </c>
      <c r="AH64">
        <v>0</v>
      </c>
      <c r="AI64">
        <v>1</v>
      </c>
      <c r="AJ64">
        <v>0</v>
      </c>
      <c r="AK64">
        <v>0</v>
      </c>
      <c r="AL64">
        <v>1</v>
      </c>
      <c r="AM64">
        <v>1</v>
      </c>
      <c r="AN64">
        <v>1</v>
      </c>
      <c r="AO64">
        <v>45436</v>
      </c>
      <c r="AP64">
        <v>0</v>
      </c>
      <c r="AQ64">
        <v>0</v>
      </c>
      <c r="AR64">
        <v>3</v>
      </c>
      <c r="AS64">
        <v>0</v>
      </c>
      <c r="AX64">
        <v>0</v>
      </c>
      <c r="AY64">
        <v>0</v>
      </c>
      <c r="AZ64">
        <v>0</v>
      </c>
      <c r="BA64">
        <v>0</v>
      </c>
      <c r="BB64">
        <v>0</v>
      </c>
      <c r="BC64" t="s">
        <v>177</v>
      </c>
    </row>
    <row r="65" spans="1:55">
      <c r="A65">
        <v>67</v>
      </c>
      <c r="B65">
        <v>45398</v>
      </c>
      <c r="C65">
        <v>45442</v>
      </c>
      <c r="D65">
        <v>44</v>
      </c>
      <c r="E65">
        <v>54</v>
      </c>
      <c r="F65">
        <v>1</v>
      </c>
      <c r="G65">
        <v>2</v>
      </c>
      <c r="H65">
        <v>1</v>
      </c>
      <c r="I65">
        <v>0</v>
      </c>
      <c r="J65">
        <v>0</v>
      </c>
      <c r="K65">
        <v>0</v>
      </c>
      <c r="L65">
        <v>1</v>
      </c>
      <c r="M65">
        <v>0</v>
      </c>
      <c r="N65">
        <v>0</v>
      </c>
      <c r="P65" t="s">
        <v>155</v>
      </c>
      <c r="Q65">
        <v>1</v>
      </c>
      <c r="R65">
        <v>5</v>
      </c>
      <c r="S65">
        <v>45398</v>
      </c>
      <c r="T65">
        <v>45401</v>
      </c>
      <c r="U65">
        <v>3</v>
      </c>
      <c r="V65">
        <v>1</v>
      </c>
      <c r="W65">
        <v>0</v>
      </c>
      <c r="X65">
        <v>0</v>
      </c>
      <c r="Y65">
        <v>1</v>
      </c>
      <c r="Z65">
        <v>0</v>
      </c>
      <c r="AA65">
        <v>1</v>
      </c>
      <c r="AB65">
        <v>0</v>
      </c>
      <c r="AC65">
        <v>0</v>
      </c>
      <c r="AD65">
        <v>0</v>
      </c>
      <c r="AE65">
        <v>1</v>
      </c>
      <c r="AF65" t="s">
        <v>158</v>
      </c>
      <c r="AG65">
        <v>1</v>
      </c>
      <c r="AH65">
        <v>1</v>
      </c>
      <c r="AI65">
        <v>1</v>
      </c>
      <c r="AJ65">
        <v>1</v>
      </c>
      <c r="AK65">
        <v>0</v>
      </c>
      <c r="AL65">
        <v>0</v>
      </c>
      <c r="AM65">
        <v>1</v>
      </c>
      <c r="AN65">
        <v>1</v>
      </c>
      <c r="AO65">
        <v>45401</v>
      </c>
      <c r="AP65">
        <v>0</v>
      </c>
      <c r="AQ65">
        <v>0</v>
      </c>
      <c r="AR65">
        <v>3</v>
      </c>
      <c r="AS65">
        <v>0</v>
      </c>
      <c r="AX65">
        <v>0</v>
      </c>
      <c r="AY65">
        <v>1</v>
      </c>
      <c r="AZ65">
        <v>0</v>
      </c>
      <c r="BA65">
        <v>0</v>
      </c>
      <c r="BB65">
        <v>0</v>
      </c>
      <c r="BC65" t="s">
        <v>178</v>
      </c>
    </row>
    <row r="66" spans="1:55">
      <c r="A66">
        <v>70</v>
      </c>
      <c r="B66">
        <v>45449</v>
      </c>
      <c r="C66">
        <v>45477</v>
      </c>
      <c r="D66">
        <v>28</v>
      </c>
      <c r="E66">
        <v>73</v>
      </c>
      <c r="F66">
        <v>2</v>
      </c>
      <c r="G66">
        <v>2</v>
      </c>
      <c r="H66">
        <v>0</v>
      </c>
      <c r="I66">
        <v>0</v>
      </c>
      <c r="J66">
        <v>0</v>
      </c>
      <c r="K66">
        <v>0</v>
      </c>
      <c r="L66">
        <v>0</v>
      </c>
      <c r="M66">
        <v>0</v>
      </c>
      <c r="N66">
        <v>0</v>
      </c>
      <c r="P66" t="s">
        <v>184</v>
      </c>
      <c r="Q66">
        <v>0</v>
      </c>
      <c r="R66">
        <v>1</v>
      </c>
      <c r="S66">
        <v>45449</v>
      </c>
      <c r="T66">
        <v>45449</v>
      </c>
      <c r="U66">
        <v>0</v>
      </c>
      <c r="V66">
        <v>1</v>
      </c>
      <c r="W66">
        <v>0</v>
      </c>
      <c r="X66">
        <v>0</v>
      </c>
      <c r="Y66">
        <v>0</v>
      </c>
      <c r="Z66">
        <v>0</v>
      </c>
      <c r="AA66">
        <v>0</v>
      </c>
      <c r="AB66">
        <v>0</v>
      </c>
      <c r="AC66">
        <v>0</v>
      </c>
      <c r="AD66">
        <v>1</v>
      </c>
      <c r="AE66">
        <v>1</v>
      </c>
      <c r="AF66" t="s">
        <v>91</v>
      </c>
      <c r="AG66">
        <v>0</v>
      </c>
      <c r="AH66">
        <v>0</v>
      </c>
      <c r="AI66">
        <v>1</v>
      </c>
      <c r="AJ66">
        <v>0</v>
      </c>
      <c r="AK66">
        <v>0</v>
      </c>
      <c r="AL66">
        <v>1</v>
      </c>
      <c r="AM66">
        <v>0</v>
      </c>
      <c r="AN66">
        <v>1</v>
      </c>
      <c r="AO66">
        <v>45453</v>
      </c>
      <c r="AP66">
        <v>0</v>
      </c>
      <c r="AQ66">
        <v>1</v>
      </c>
      <c r="AR66">
        <v>4</v>
      </c>
      <c r="AS66">
        <v>0</v>
      </c>
      <c r="AX66">
        <v>0</v>
      </c>
      <c r="AY66">
        <v>0</v>
      </c>
      <c r="AZ66">
        <v>0</v>
      </c>
      <c r="BA66">
        <v>1</v>
      </c>
      <c r="BB66">
        <v>0</v>
      </c>
      <c r="BC66" t="s">
        <v>185</v>
      </c>
    </row>
    <row r="67" spans="1:55">
      <c r="A67">
        <v>73</v>
      </c>
      <c r="B67">
        <v>45454</v>
      </c>
      <c r="C67">
        <v>45464</v>
      </c>
      <c r="D67">
        <v>10</v>
      </c>
      <c r="E67">
        <v>76</v>
      </c>
      <c r="F67">
        <v>2</v>
      </c>
      <c r="G67">
        <v>2</v>
      </c>
      <c r="H67">
        <v>0</v>
      </c>
      <c r="I67">
        <v>0</v>
      </c>
      <c r="J67">
        <v>0</v>
      </c>
      <c r="K67">
        <v>0</v>
      </c>
      <c r="L67">
        <v>0</v>
      </c>
      <c r="M67">
        <v>0</v>
      </c>
      <c r="N67">
        <v>0</v>
      </c>
      <c r="P67" t="s">
        <v>179</v>
      </c>
      <c r="Q67">
        <v>0</v>
      </c>
      <c r="R67">
        <v>1</v>
      </c>
      <c r="S67">
        <v>45454</v>
      </c>
      <c r="T67">
        <v>45454</v>
      </c>
      <c r="U67">
        <v>0</v>
      </c>
      <c r="V67">
        <v>0</v>
      </c>
      <c r="W67">
        <v>0</v>
      </c>
      <c r="X67">
        <v>0</v>
      </c>
      <c r="Y67">
        <v>0</v>
      </c>
      <c r="Z67">
        <v>0</v>
      </c>
      <c r="AA67">
        <v>0</v>
      </c>
      <c r="AB67">
        <v>0</v>
      </c>
      <c r="AC67">
        <v>0</v>
      </c>
      <c r="AD67">
        <v>0</v>
      </c>
      <c r="AE67">
        <v>1</v>
      </c>
      <c r="AF67" t="s">
        <v>190</v>
      </c>
      <c r="AG67">
        <v>0</v>
      </c>
      <c r="AH67">
        <v>0</v>
      </c>
      <c r="AI67">
        <v>1</v>
      </c>
      <c r="AJ67">
        <v>0</v>
      </c>
      <c r="AK67">
        <v>0</v>
      </c>
      <c r="AL67">
        <v>1</v>
      </c>
      <c r="AM67">
        <v>1</v>
      </c>
      <c r="AN67">
        <v>1</v>
      </c>
      <c r="AO67">
        <v>45455</v>
      </c>
      <c r="AP67">
        <v>0</v>
      </c>
      <c r="AQ67">
        <v>0</v>
      </c>
      <c r="AR67">
        <v>1</v>
      </c>
      <c r="AS67">
        <v>0</v>
      </c>
      <c r="AX67">
        <v>0</v>
      </c>
      <c r="AY67">
        <v>0</v>
      </c>
      <c r="AZ67">
        <v>0</v>
      </c>
      <c r="BA67">
        <v>0</v>
      </c>
      <c r="BB67">
        <v>0</v>
      </c>
      <c r="BC67" t="s">
        <v>191</v>
      </c>
    </row>
    <row r="68" spans="1:55">
      <c r="A68">
        <v>74</v>
      </c>
      <c r="B68">
        <v>45454</v>
      </c>
      <c r="C68">
        <v>45463</v>
      </c>
      <c r="D68">
        <v>9</v>
      </c>
      <c r="E68">
        <v>80</v>
      </c>
      <c r="F68">
        <v>1</v>
      </c>
      <c r="G68">
        <v>3</v>
      </c>
      <c r="H68">
        <v>1</v>
      </c>
      <c r="I68">
        <v>0</v>
      </c>
      <c r="J68">
        <v>0</v>
      </c>
      <c r="K68">
        <v>0</v>
      </c>
      <c r="L68">
        <v>1</v>
      </c>
      <c r="M68">
        <v>0</v>
      </c>
      <c r="N68">
        <v>1</v>
      </c>
      <c r="O68" t="s">
        <v>192</v>
      </c>
      <c r="P68" t="s">
        <v>186</v>
      </c>
      <c r="Q68">
        <v>0</v>
      </c>
      <c r="R68">
        <v>1</v>
      </c>
      <c r="S68">
        <v>45454</v>
      </c>
      <c r="T68">
        <v>45454</v>
      </c>
      <c r="U68">
        <v>0</v>
      </c>
      <c r="V68">
        <v>1</v>
      </c>
      <c r="W68">
        <v>0</v>
      </c>
      <c r="X68">
        <v>0</v>
      </c>
      <c r="Y68">
        <v>1</v>
      </c>
      <c r="Z68">
        <v>0</v>
      </c>
      <c r="AA68">
        <v>0</v>
      </c>
      <c r="AB68">
        <v>0</v>
      </c>
      <c r="AC68">
        <v>0</v>
      </c>
      <c r="AD68">
        <v>0</v>
      </c>
      <c r="AE68">
        <v>1</v>
      </c>
      <c r="AF68" t="s">
        <v>91</v>
      </c>
      <c r="AG68">
        <v>0</v>
      </c>
      <c r="AH68">
        <v>0</v>
      </c>
      <c r="AI68">
        <v>1</v>
      </c>
      <c r="AJ68">
        <v>0</v>
      </c>
      <c r="AK68">
        <v>0</v>
      </c>
      <c r="AL68">
        <v>1</v>
      </c>
      <c r="AM68">
        <v>1</v>
      </c>
      <c r="AN68">
        <v>1</v>
      </c>
      <c r="AO68">
        <v>45457</v>
      </c>
      <c r="AP68">
        <v>0</v>
      </c>
      <c r="AQ68">
        <v>1</v>
      </c>
      <c r="AR68">
        <v>3</v>
      </c>
      <c r="AS68">
        <v>0</v>
      </c>
      <c r="AX68">
        <v>0</v>
      </c>
      <c r="AY68">
        <v>0</v>
      </c>
      <c r="AZ68">
        <v>0</v>
      </c>
      <c r="BA68">
        <v>0</v>
      </c>
      <c r="BB68">
        <v>0</v>
      </c>
      <c r="BC68" t="s">
        <v>193</v>
      </c>
    </row>
    <row r="69" spans="1:55">
      <c r="A69">
        <v>75</v>
      </c>
      <c r="B69">
        <v>45455</v>
      </c>
      <c r="C69">
        <v>45463</v>
      </c>
      <c r="D69">
        <v>8</v>
      </c>
      <c r="E69">
        <v>81</v>
      </c>
      <c r="F69">
        <v>1</v>
      </c>
      <c r="G69">
        <v>3</v>
      </c>
      <c r="H69">
        <v>0</v>
      </c>
      <c r="I69">
        <v>0</v>
      </c>
      <c r="J69">
        <v>0</v>
      </c>
      <c r="K69">
        <v>0</v>
      </c>
      <c r="L69">
        <v>0</v>
      </c>
      <c r="M69">
        <v>0</v>
      </c>
      <c r="N69">
        <v>0</v>
      </c>
      <c r="P69" t="s">
        <v>179</v>
      </c>
      <c r="Q69">
        <v>0</v>
      </c>
      <c r="R69">
        <v>1</v>
      </c>
      <c r="S69">
        <v>45455</v>
      </c>
      <c r="T69">
        <v>45455</v>
      </c>
      <c r="U69">
        <v>0</v>
      </c>
      <c r="V69">
        <v>0</v>
      </c>
      <c r="W69">
        <v>0</v>
      </c>
      <c r="X69">
        <v>0</v>
      </c>
      <c r="Y69">
        <v>0</v>
      </c>
      <c r="Z69">
        <v>0</v>
      </c>
      <c r="AA69">
        <v>0</v>
      </c>
      <c r="AB69">
        <v>0</v>
      </c>
      <c r="AC69">
        <v>0</v>
      </c>
      <c r="AD69">
        <v>0</v>
      </c>
      <c r="AE69">
        <v>1</v>
      </c>
      <c r="AF69" t="s">
        <v>68</v>
      </c>
      <c r="AG69">
        <v>0</v>
      </c>
      <c r="AH69">
        <v>0</v>
      </c>
      <c r="AI69">
        <v>1</v>
      </c>
      <c r="AJ69">
        <v>0</v>
      </c>
      <c r="AK69">
        <v>0</v>
      </c>
      <c r="AL69">
        <v>1</v>
      </c>
      <c r="AM69">
        <v>1</v>
      </c>
      <c r="AN69">
        <v>1</v>
      </c>
      <c r="AO69">
        <v>45456</v>
      </c>
      <c r="AP69">
        <v>0</v>
      </c>
      <c r="AQ69">
        <v>0</v>
      </c>
      <c r="AR69">
        <v>1</v>
      </c>
      <c r="AS69">
        <v>0</v>
      </c>
      <c r="AX69">
        <v>0</v>
      </c>
      <c r="AY69">
        <v>0</v>
      </c>
      <c r="AZ69">
        <v>0</v>
      </c>
      <c r="BA69">
        <v>1</v>
      </c>
      <c r="BB69">
        <v>0</v>
      </c>
      <c r="BC69" t="s">
        <v>194</v>
      </c>
    </row>
    <row r="70" spans="1:55">
      <c r="A70">
        <v>76</v>
      </c>
      <c r="B70">
        <v>45457</v>
      </c>
      <c r="C70">
        <v>45468</v>
      </c>
      <c r="D70">
        <v>11</v>
      </c>
      <c r="E70">
        <v>59</v>
      </c>
      <c r="F70">
        <v>1</v>
      </c>
      <c r="G70">
        <v>3</v>
      </c>
      <c r="H70">
        <v>0</v>
      </c>
      <c r="I70">
        <v>0</v>
      </c>
      <c r="J70">
        <v>0</v>
      </c>
      <c r="K70">
        <v>0</v>
      </c>
      <c r="L70">
        <v>0</v>
      </c>
      <c r="M70">
        <v>0</v>
      </c>
      <c r="N70">
        <v>0</v>
      </c>
      <c r="P70" t="s">
        <v>179</v>
      </c>
      <c r="Q70">
        <v>1</v>
      </c>
      <c r="R70">
        <v>3</v>
      </c>
      <c r="S70">
        <v>45457</v>
      </c>
      <c r="T70">
        <v>45460</v>
      </c>
      <c r="U70">
        <v>3</v>
      </c>
      <c r="V70">
        <v>1</v>
      </c>
      <c r="W70">
        <v>1</v>
      </c>
      <c r="X70">
        <v>1</v>
      </c>
      <c r="Y70">
        <v>0</v>
      </c>
      <c r="Z70">
        <v>0</v>
      </c>
      <c r="AA70">
        <v>0</v>
      </c>
      <c r="AB70">
        <v>0</v>
      </c>
      <c r="AC70">
        <v>0</v>
      </c>
      <c r="AD70">
        <v>0</v>
      </c>
      <c r="AE70">
        <v>1</v>
      </c>
      <c r="AF70" t="s">
        <v>55</v>
      </c>
      <c r="AG70">
        <v>1</v>
      </c>
      <c r="AH70">
        <v>1</v>
      </c>
      <c r="AI70">
        <v>1</v>
      </c>
      <c r="AJ70">
        <v>1</v>
      </c>
      <c r="AK70">
        <v>0</v>
      </c>
      <c r="AL70">
        <v>0</v>
      </c>
      <c r="AM70">
        <v>1</v>
      </c>
      <c r="AN70">
        <v>1</v>
      </c>
      <c r="AO70">
        <v>45461</v>
      </c>
      <c r="AP70">
        <v>0</v>
      </c>
      <c r="AQ70">
        <v>0</v>
      </c>
      <c r="AR70">
        <v>4</v>
      </c>
      <c r="AS70">
        <v>1</v>
      </c>
      <c r="AT70">
        <v>45463</v>
      </c>
      <c r="AU70">
        <v>0</v>
      </c>
      <c r="AV70">
        <v>0</v>
      </c>
      <c r="AW70">
        <v>0</v>
      </c>
      <c r="AX70">
        <v>0</v>
      </c>
      <c r="AY70">
        <v>0</v>
      </c>
      <c r="AZ70">
        <v>0</v>
      </c>
      <c r="BA70">
        <v>0</v>
      </c>
      <c r="BB70">
        <v>1</v>
      </c>
    </row>
    <row r="71" spans="1:55">
      <c r="A71">
        <v>79</v>
      </c>
      <c r="B71">
        <v>45464</v>
      </c>
      <c r="C71">
        <v>45470</v>
      </c>
      <c r="D71">
        <v>6</v>
      </c>
      <c r="E71">
        <v>58</v>
      </c>
      <c r="F71">
        <v>2</v>
      </c>
      <c r="G71">
        <v>2</v>
      </c>
      <c r="H71">
        <v>0</v>
      </c>
      <c r="I71">
        <v>0</v>
      </c>
      <c r="J71">
        <v>0</v>
      </c>
      <c r="K71">
        <v>0</v>
      </c>
      <c r="L71">
        <v>0</v>
      </c>
      <c r="M71">
        <v>0</v>
      </c>
      <c r="N71">
        <v>1</v>
      </c>
      <c r="O71" t="s">
        <v>201</v>
      </c>
      <c r="P71" t="s">
        <v>179</v>
      </c>
      <c r="Q71">
        <v>0</v>
      </c>
      <c r="R71">
        <v>1</v>
      </c>
      <c r="S71">
        <v>45464</v>
      </c>
      <c r="T71">
        <v>45464</v>
      </c>
      <c r="U71">
        <v>0</v>
      </c>
      <c r="V71">
        <v>0</v>
      </c>
      <c r="W71">
        <v>0</v>
      </c>
      <c r="X71">
        <v>0</v>
      </c>
      <c r="Y71">
        <v>0</v>
      </c>
      <c r="Z71">
        <v>0</v>
      </c>
      <c r="AA71">
        <v>0</v>
      </c>
      <c r="AB71">
        <v>0</v>
      </c>
      <c r="AC71">
        <v>0</v>
      </c>
      <c r="AD71">
        <v>0</v>
      </c>
      <c r="AE71">
        <v>1</v>
      </c>
      <c r="AF71" t="s">
        <v>117</v>
      </c>
      <c r="AG71">
        <v>0</v>
      </c>
      <c r="AH71">
        <v>0</v>
      </c>
      <c r="AI71">
        <v>1</v>
      </c>
      <c r="AJ71">
        <v>0</v>
      </c>
      <c r="AK71">
        <v>0</v>
      </c>
      <c r="AL71">
        <v>1</v>
      </c>
      <c r="AM71">
        <v>0</v>
      </c>
      <c r="AN71">
        <v>1</v>
      </c>
      <c r="AO71">
        <v>45467</v>
      </c>
      <c r="AP71">
        <v>0</v>
      </c>
      <c r="AQ71">
        <v>0</v>
      </c>
      <c r="AR71">
        <v>3</v>
      </c>
      <c r="AS71">
        <v>0</v>
      </c>
      <c r="AX71">
        <v>0</v>
      </c>
      <c r="AY71">
        <v>0</v>
      </c>
      <c r="AZ71">
        <v>0</v>
      </c>
      <c r="BA71">
        <v>0</v>
      </c>
      <c r="BB71">
        <v>0</v>
      </c>
      <c r="BC71" t="s">
        <v>202</v>
      </c>
    </row>
    <row r="72" spans="1:55">
      <c r="A72">
        <v>80</v>
      </c>
      <c r="B72">
        <v>45471</v>
      </c>
      <c r="C72">
        <v>45485</v>
      </c>
      <c r="D72">
        <v>14</v>
      </c>
      <c r="E72">
        <v>68</v>
      </c>
      <c r="F72">
        <v>2</v>
      </c>
      <c r="G72">
        <v>2</v>
      </c>
      <c r="H72">
        <v>1</v>
      </c>
      <c r="I72">
        <v>0</v>
      </c>
      <c r="J72">
        <v>0</v>
      </c>
      <c r="K72">
        <v>0</v>
      </c>
      <c r="L72">
        <v>0</v>
      </c>
      <c r="M72">
        <v>0</v>
      </c>
      <c r="N72">
        <v>1</v>
      </c>
      <c r="O72" t="s">
        <v>70</v>
      </c>
      <c r="P72" t="s">
        <v>179</v>
      </c>
      <c r="Q72">
        <v>0</v>
      </c>
      <c r="R72">
        <v>1</v>
      </c>
      <c r="S72">
        <v>45471</v>
      </c>
      <c r="T72">
        <v>45471</v>
      </c>
      <c r="U72">
        <v>0</v>
      </c>
      <c r="V72">
        <v>0</v>
      </c>
      <c r="W72">
        <v>0</v>
      </c>
      <c r="X72">
        <v>0</v>
      </c>
      <c r="Y72">
        <v>0</v>
      </c>
      <c r="Z72">
        <v>0</v>
      </c>
      <c r="AA72">
        <v>0</v>
      </c>
      <c r="AB72">
        <v>0</v>
      </c>
      <c r="AC72">
        <v>0</v>
      </c>
      <c r="AD72">
        <v>0</v>
      </c>
      <c r="AE72">
        <v>1</v>
      </c>
      <c r="AF72" t="s">
        <v>55</v>
      </c>
      <c r="AG72">
        <v>0</v>
      </c>
      <c r="AH72">
        <v>0</v>
      </c>
      <c r="AI72">
        <v>1</v>
      </c>
      <c r="AJ72">
        <v>0</v>
      </c>
      <c r="AK72">
        <v>0</v>
      </c>
      <c r="AL72">
        <v>1</v>
      </c>
      <c r="AM72">
        <v>1</v>
      </c>
      <c r="AN72">
        <v>1</v>
      </c>
      <c r="AO72">
        <v>45476</v>
      </c>
      <c r="AP72">
        <v>0</v>
      </c>
      <c r="AQ72">
        <v>1</v>
      </c>
      <c r="AR72">
        <v>5</v>
      </c>
      <c r="AS72">
        <v>0</v>
      </c>
      <c r="AX72">
        <v>0</v>
      </c>
      <c r="AY72">
        <v>0</v>
      </c>
      <c r="AZ72">
        <v>0</v>
      </c>
      <c r="BA72">
        <v>0</v>
      </c>
      <c r="BB72">
        <v>0</v>
      </c>
      <c r="BC72" t="s">
        <v>205</v>
      </c>
    </row>
    <row r="73" spans="1:55">
      <c r="A73">
        <v>82</v>
      </c>
      <c r="B73">
        <v>45411</v>
      </c>
      <c r="C73">
        <v>45432</v>
      </c>
      <c r="D73">
        <v>21</v>
      </c>
      <c r="E73">
        <v>72</v>
      </c>
      <c r="F73">
        <v>2</v>
      </c>
      <c r="G73">
        <v>2</v>
      </c>
      <c r="H73">
        <v>0</v>
      </c>
      <c r="I73">
        <v>0</v>
      </c>
      <c r="J73">
        <v>0</v>
      </c>
      <c r="K73">
        <v>0</v>
      </c>
      <c r="L73">
        <v>0</v>
      </c>
      <c r="M73">
        <v>0</v>
      </c>
      <c r="N73">
        <v>0</v>
      </c>
      <c r="P73" t="s">
        <v>179</v>
      </c>
      <c r="Q73">
        <v>0</v>
      </c>
      <c r="R73">
        <v>1</v>
      </c>
      <c r="S73">
        <v>45417</v>
      </c>
      <c r="T73">
        <v>45417</v>
      </c>
      <c r="U73">
        <v>0</v>
      </c>
      <c r="V73">
        <v>0</v>
      </c>
      <c r="W73">
        <v>0</v>
      </c>
      <c r="X73">
        <v>0</v>
      </c>
      <c r="Y73">
        <v>0</v>
      </c>
      <c r="Z73">
        <v>0</v>
      </c>
      <c r="AA73">
        <v>0</v>
      </c>
      <c r="AB73">
        <v>0</v>
      </c>
      <c r="AC73">
        <v>0</v>
      </c>
      <c r="AD73">
        <v>0</v>
      </c>
      <c r="AE73">
        <v>1</v>
      </c>
      <c r="AF73" t="s">
        <v>91</v>
      </c>
      <c r="AG73">
        <v>0</v>
      </c>
      <c r="AH73">
        <v>1</v>
      </c>
      <c r="AI73">
        <v>1</v>
      </c>
      <c r="AJ73">
        <v>1</v>
      </c>
      <c r="AK73">
        <v>0</v>
      </c>
      <c r="AL73">
        <v>0</v>
      </c>
      <c r="AM73">
        <v>1</v>
      </c>
      <c r="AN73">
        <v>1</v>
      </c>
      <c r="AO73">
        <v>45419</v>
      </c>
      <c r="AP73">
        <v>0</v>
      </c>
      <c r="AQ73">
        <v>1</v>
      </c>
      <c r="AR73">
        <v>8</v>
      </c>
      <c r="AS73">
        <v>0</v>
      </c>
      <c r="AX73">
        <v>0</v>
      </c>
      <c r="AY73">
        <v>0</v>
      </c>
      <c r="AZ73">
        <v>0</v>
      </c>
      <c r="BA73">
        <v>0</v>
      </c>
      <c r="BB73">
        <v>0</v>
      </c>
      <c r="BC73" t="s">
        <v>207</v>
      </c>
    </row>
    <row r="74" spans="1:55">
      <c r="A74">
        <v>85</v>
      </c>
      <c r="B74">
        <v>45419</v>
      </c>
      <c r="C74">
        <v>45436</v>
      </c>
      <c r="D74">
        <v>17</v>
      </c>
      <c r="E74">
        <v>57</v>
      </c>
      <c r="F74">
        <v>1</v>
      </c>
      <c r="G74">
        <v>2</v>
      </c>
      <c r="H74">
        <v>0</v>
      </c>
      <c r="I74">
        <v>0</v>
      </c>
      <c r="J74">
        <v>0</v>
      </c>
      <c r="K74">
        <v>0</v>
      </c>
      <c r="L74">
        <v>0</v>
      </c>
      <c r="M74">
        <v>0</v>
      </c>
      <c r="N74">
        <v>0</v>
      </c>
      <c r="P74" t="s">
        <v>208</v>
      </c>
      <c r="Q74">
        <v>0</v>
      </c>
      <c r="R74">
        <v>1</v>
      </c>
      <c r="S74">
        <v>45419</v>
      </c>
      <c r="T74">
        <v>45419</v>
      </c>
      <c r="U74">
        <v>0</v>
      </c>
      <c r="V74">
        <v>0</v>
      </c>
      <c r="W74">
        <v>0</v>
      </c>
      <c r="X74">
        <v>0</v>
      </c>
      <c r="Y74">
        <v>0</v>
      </c>
      <c r="Z74">
        <v>0</v>
      </c>
      <c r="AA74">
        <v>0</v>
      </c>
      <c r="AB74">
        <v>0</v>
      </c>
      <c r="AC74">
        <v>0</v>
      </c>
      <c r="AD74">
        <v>0</v>
      </c>
      <c r="AE74">
        <v>1</v>
      </c>
      <c r="AF74" t="s">
        <v>209</v>
      </c>
      <c r="AG74">
        <v>1</v>
      </c>
      <c r="AH74">
        <v>1</v>
      </c>
      <c r="AI74">
        <v>0</v>
      </c>
      <c r="AJ74">
        <v>0</v>
      </c>
      <c r="AK74">
        <v>1</v>
      </c>
      <c r="AL74">
        <v>0</v>
      </c>
      <c r="AM74">
        <v>0</v>
      </c>
      <c r="AN74">
        <v>1</v>
      </c>
      <c r="AO74">
        <v>45432</v>
      </c>
      <c r="AP74">
        <v>0</v>
      </c>
      <c r="AQ74">
        <v>0</v>
      </c>
      <c r="AR74">
        <v>13</v>
      </c>
      <c r="AS74">
        <v>0</v>
      </c>
      <c r="AX74">
        <v>0</v>
      </c>
      <c r="AY74">
        <v>0</v>
      </c>
      <c r="AZ74">
        <v>0</v>
      </c>
      <c r="BA74">
        <v>0</v>
      </c>
      <c r="BB74">
        <v>0</v>
      </c>
      <c r="BC74" t="s">
        <v>210</v>
      </c>
    </row>
    <row r="75" spans="1:55">
      <c r="A75">
        <v>86</v>
      </c>
      <c r="B75">
        <v>45421</v>
      </c>
      <c r="C75">
        <v>45443</v>
      </c>
      <c r="D75">
        <v>22</v>
      </c>
      <c r="E75">
        <v>57</v>
      </c>
      <c r="F75">
        <v>2</v>
      </c>
      <c r="G75">
        <v>2</v>
      </c>
      <c r="H75">
        <v>0</v>
      </c>
      <c r="I75">
        <v>0</v>
      </c>
      <c r="J75">
        <v>0</v>
      </c>
      <c r="K75">
        <v>0</v>
      </c>
      <c r="L75">
        <v>0</v>
      </c>
      <c r="M75">
        <v>0</v>
      </c>
      <c r="N75">
        <v>0</v>
      </c>
      <c r="P75" t="s">
        <v>179</v>
      </c>
      <c r="Q75">
        <v>0</v>
      </c>
      <c r="R75">
        <v>1</v>
      </c>
      <c r="S75">
        <v>45421</v>
      </c>
      <c r="T75">
        <v>45421</v>
      </c>
      <c r="U75">
        <v>0</v>
      </c>
      <c r="V75">
        <v>0</v>
      </c>
      <c r="W75">
        <v>0</v>
      </c>
      <c r="X75">
        <v>0</v>
      </c>
      <c r="Y75">
        <v>0</v>
      </c>
      <c r="Z75">
        <v>0</v>
      </c>
      <c r="AA75">
        <v>0</v>
      </c>
      <c r="AB75">
        <v>0</v>
      </c>
      <c r="AC75">
        <v>0</v>
      </c>
      <c r="AD75">
        <v>0</v>
      </c>
      <c r="AE75">
        <v>1</v>
      </c>
      <c r="AF75" t="s">
        <v>91</v>
      </c>
      <c r="AG75">
        <v>0</v>
      </c>
      <c r="AH75">
        <v>1</v>
      </c>
      <c r="AI75">
        <v>0</v>
      </c>
      <c r="AJ75">
        <v>0</v>
      </c>
      <c r="AK75">
        <v>1</v>
      </c>
      <c r="AL75">
        <v>0</v>
      </c>
      <c r="AM75">
        <v>1</v>
      </c>
      <c r="AN75">
        <v>1</v>
      </c>
      <c r="AO75">
        <v>45427</v>
      </c>
      <c r="AP75">
        <v>0</v>
      </c>
      <c r="AQ75">
        <v>0</v>
      </c>
      <c r="AR75">
        <v>6</v>
      </c>
      <c r="AS75">
        <v>0</v>
      </c>
      <c r="AX75">
        <v>0</v>
      </c>
      <c r="AY75">
        <v>0</v>
      </c>
      <c r="AZ75">
        <v>0</v>
      </c>
      <c r="BA75">
        <v>1</v>
      </c>
      <c r="BB75">
        <v>0</v>
      </c>
      <c r="BC75" t="s">
        <v>206</v>
      </c>
    </row>
    <row r="76" spans="1:55">
      <c r="A76">
        <v>88</v>
      </c>
      <c r="B76">
        <v>45423</v>
      </c>
      <c r="C76">
        <v>45427</v>
      </c>
      <c r="D76">
        <v>4</v>
      </c>
      <c r="E76">
        <v>90</v>
      </c>
      <c r="F76">
        <v>2</v>
      </c>
      <c r="G76">
        <v>2</v>
      </c>
      <c r="H76">
        <v>1</v>
      </c>
      <c r="I76">
        <v>0</v>
      </c>
      <c r="J76">
        <v>1</v>
      </c>
      <c r="K76">
        <v>0</v>
      </c>
      <c r="L76">
        <v>0</v>
      </c>
      <c r="M76">
        <v>0</v>
      </c>
      <c r="N76">
        <v>1</v>
      </c>
      <c r="O76" t="s">
        <v>211</v>
      </c>
      <c r="P76" t="s">
        <v>179</v>
      </c>
      <c r="Q76">
        <v>0</v>
      </c>
      <c r="R76">
        <v>1</v>
      </c>
      <c r="S76">
        <v>45423</v>
      </c>
      <c r="T76">
        <v>45423</v>
      </c>
      <c r="U76">
        <v>0</v>
      </c>
      <c r="V76">
        <v>0</v>
      </c>
      <c r="W76">
        <v>0</v>
      </c>
      <c r="X76">
        <v>0</v>
      </c>
      <c r="Y76">
        <v>0</v>
      </c>
      <c r="Z76">
        <v>0</v>
      </c>
      <c r="AA76">
        <v>0</v>
      </c>
      <c r="AB76">
        <v>0</v>
      </c>
      <c r="AC76">
        <v>0</v>
      </c>
      <c r="AD76">
        <v>0</v>
      </c>
      <c r="AE76">
        <v>0</v>
      </c>
      <c r="AG76">
        <v>0</v>
      </c>
      <c r="AH76">
        <v>0</v>
      </c>
      <c r="AI76">
        <v>1</v>
      </c>
      <c r="AJ76">
        <v>0</v>
      </c>
      <c r="AK76">
        <v>0</v>
      </c>
      <c r="AL76">
        <v>1</v>
      </c>
      <c r="AM76">
        <v>1</v>
      </c>
      <c r="AN76">
        <v>1</v>
      </c>
      <c r="AO76">
        <v>45427</v>
      </c>
      <c r="AP76">
        <v>0</v>
      </c>
      <c r="AQ76">
        <v>1</v>
      </c>
      <c r="AR76">
        <v>4</v>
      </c>
      <c r="AS76">
        <v>0</v>
      </c>
      <c r="AX76">
        <v>0</v>
      </c>
      <c r="AY76">
        <v>0</v>
      </c>
      <c r="AZ76">
        <v>1</v>
      </c>
      <c r="BA76">
        <v>0</v>
      </c>
      <c r="BB76">
        <v>0</v>
      </c>
      <c r="BC76" t="s">
        <v>212</v>
      </c>
    </row>
    <row r="77" spans="1:55">
      <c r="A77">
        <v>89</v>
      </c>
      <c r="B77">
        <v>45423</v>
      </c>
      <c r="C77">
        <v>45426</v>
      </c>
      <c r="D77">
        <v>3</v>
      </c>
      <c r="E77">
        <v>83</v>
      </c>
      <c r="F77">
        <v>1</v>
      </c>
      <c r="G77">
        <v>2</v>
      </c>
      <c r="H77">
        <v>1</v>
      </c>
      <c r="I77">
        <v>0</v>
      </c>
      <c r="J77">
        <v>0</v>
      </c>
      <c r="K77">
        <v>0</v>
      </c>
      <c r="L77">
        <v>0</v>
      </c>
      <c r="M77">
        <v>0</v>
      </c>
      <c r="N77">
        <v>1</v>
      </c>
      <c r="O77" t="s">
        <v>192</v>
      </c>
      <c r="P77" t="s">
        <v>179</v>
      </c>
      <c r="Q77">
        <v>0</v>
      </c>
      <c r="R77">
        <v>1</v>
      </c>
      <c r="S77">
        <v>45423</v>
      </c>
      <c r="T77">
        <v>45423</v>
      </c>
      <c r="U77">
        <v>0</v>
      </c>
      <c r="V77">
        <v>0</v>
      </c>
      <c r="W77">
        <v>0</v>
      </c>
      <c r="X77">
        <v>0</v>
      </c>
      <c r="Y77">
        <v>0</v>
      </c>
      <c r="Z77">
        <v>0</v>
      </c>
      <c r="AA77">
        <v>0</v>
      </c>
      <c r="AB77">
        <v>0</v>
      </c>
      <c r="AC77">
        <v>0</v>
      </c>
      <c r="AD77">
        <v>0</v>
      </c>
      <c r="AE77">
        <v>1</v>
      </c>
      <c r="AF77" t="s">
        <v>91</v>
      </c>
      <c r="AG77">
        <v>0</v>
      </c>
      <c r="AH77">
        <v>0</v>
      </c>
      <c r="AI77">
        <v>1</v>
      </c>
      <c r="AJ77">
        <v>0</v>
      </c>
      <c r="AK77">
        <v>0</v>
      </c>
      <c r="AL77">
        <v>1</v>
      </c>
      <c r="AM77">
        <v>1</v>
      </c>
      <c r="AN77">
        <v>1</v>
      </c>
      <c r="AO77">
        <v>45426</v>
      </c>
      <c r="AP77">
        <v>0</v>
      </c>
      <c r="AQ77">
        <v>0</v>
      </c>
      <c r="AR77">
        <v>3</v>
      </c>
      <c r="AS77">
        <v>0</v>
      </c>
      <c r="AX77">
        <v>0</v>
      </c>
      <c r="AY77">
        <v>0</v>
      </c>
      <c r="AZ77">
        <v>0</v>
      </c>
      <c r="BA77">
        <v>0</v>
      </c>
      <c r="BB77">
        <v>0</v>
      </c>
      <c r="BC77" t="s">
        <v>206</v>
      </c>
    </row>
    <row r="78" spans="1:55">
      <c r="A78">
        <v>91</v>
      </c>
      <c r="B78">
        <v>45425</v>
      </c>
      <c r="C78">
        <v>45430</v>
      </c>
      <c r="D78">
        <v>5</v>
      </c>
      <c r="E78">
        <v>94</v>
      </c>
      <c r="F78">
        <v>2</v>
      </c>
      <c r="G78">
        <v>2</v>
      </c>
      <c r="H78">
        <v>0</v>
      </c>
      <c r="I78">
        <v>0</v>
      </c>
      <c r="J78">
        <v>0</v>
      </c>
      <c r="K78">
        <v>0</v>
      </c>
      <c r="L78">
        <v>0</v>
      </c>
      <c r="M78">
        <v>0</v>
      </c>
      <c r="N78">
        <v>0</v>
      </c>
      <c r="P78" t="s">
        <v>179</v>
      </c>
      <c r="Q78">
        <v>0</v>
      </c>
      <c r="R78">
        <v>1</v>
      </c>
      <c r="S78">
        <v>45425</v>
      </c>
      <c r="T78">
        <v>45425</v>
      </c>
      <c r="U78">
        <v>0</v>
      </c>
      <c r="V78">
        <v>0</v>
      </c>
      <c r="W78">
        <v>0</v>
      </c>
      <c r="X78">
        <v>0</v>
      </c>
      <c r="Y78">
        <v>0</v>
      </c>
      <c r="Z78">
        <v>0</v>
      </c>
      <c r="AA78">
        <v>0</v>
      </c>
      <c r="AB78">
        <v>0</v>
      </c>
      <c r="AC78">
        <v>0</v>
      </c>
      <c r="AD78">
        <v>0</v>
      </c>
      <c r="AE78">
        <v>1</v>
      </c>
      <c r="AF78" t="s">
        <v>117</v>
      </c>
      <c r="AG78">
        <v>0</v>
      </c>
      <c r="AH78">
        <v>0</v>
      </c>
      <c r="AI78">
        <v>1</v>
      </c>
      <c r="AJ78">
        <v>0</v>
      </c>
      <c r="AK78">
        <v>0</v>
      </c>
      <c r="AL78">
        <v>1</v>
      </c>
      <c r="AM78">
        <v>1</v>
      </c>
      <c r="AN78">
        <v>1</v>
      </c>
      <c r="AO78">
        <v>45426</v>
      </c>
      <c r="AP78">
        <v>0</v>
      </c>
      <c r="AQ78">
        <v>0</v>
      </c>
      <c r="AR78">
        <v>1</v>
      </c>
      <c r="AS78">
        <v>0</v>
      </c>
      <c r="AX78">
        <v>0</v>
      </c>
      <c r="AY78">
        <v>0</v>
      </c>
      <c r="AZ78">
        <v>0</v>
      </c>
      <c r="BA78">
        <v>0</v>
      </c>
      <c r="BB78">
        <v>0</v>
      </c>
      <c r="BC78" t="s">
        <v>206</v>
      </c>
    </row>
    <row r="79" spans="1:55">
      <c r="A79">
        <v>92</v>
      </c>
      <c r="B79">
        <v>45427</v>
      </c>
      <c r="C79">
        <v>45430</v>
      </c>
      <c r="D79">
        <v>3</v>
      </c>
      <c r="E79">
        <v>79</v>
      </c>
      <c r="F79">
        <v>1</v>
      </c>
      <c r="G79">
        <v>4</v>
      </c>
      <c r="H79">
        <v>1</v>
      </c>
      <c r="I79">
        <v>0</v>
      </c>
      <c r="J79">
        <v>0</v>
      </c>
      <c r="K79">
        <v>0</v>
      </c>
      <c r="L79">
        <v>0</v>
      </c>
      <c r="M79">
        <v>0</v>
      </c>
      <c r="N79">
        <v>1</v>
      </c>
      <c r="O79" t="s">
        <v>213</v>
      </c>
      <c r="P79" t="s">
        <v>195</v>
      </c>
      <c r="Q79">
        <v>0</v>
      </c>
      <c r="R79">
        <v>1</v>
      </c>
      <c r="S79">
        <v>45427</v>
      </c>
      <c r="T79">
        <v>45427</v>
      </c>
      <c r="U79">
        <v>0</v>
      </c>
      <c r="V79">
        <v>0</v>
      </c>
      <c r="W79">
        <v>0</v>
      </c>
      <c r="X79">
        <v>0</v>
      </c>
      <c r="Y79">
        <v>0</v>
      </c>
      <c r="Z79">
        <v>0</v>
      </c>
      <c r="AA79">
        <v>0</v>
      </c>
      <c r="AB79">
        <v>0</v>
      </c>
      <c r="AC79">
        <v>0</v>
      </c>
      <c r="AD79">
        <v>0</v>
      </c>
      <c r="AE79">
        <v>1</v>
      </c>
      <c r="AF79" t="s">
        <v>214</v>
      </c>
      <c r="AG79">
        <v>0</v>
      </c>
      <c r="AH79">
        <v>0</v>
      </c>
      <c r="AI79">
        <v>1</v>
      </c>
      <c r="AJ79">
        <v>0</v>
      </c>
      <c r="AK79">
        <v>0</v>
      </c>
      <c r="AL79">
        <v>1</v>
      </c>
      <c r="AM79">
        <v>1</v>
      </c>
      <c r="AN79">
        <v>1</v>
      </c>
      <c r="AO79">
        <v>45429</v>
      </c>
      <c r="AP79">
        <v>0</v>
      </c>
      <c r="AQ79">
        <v>0</v>
      </c>
      <c r="AR79">
        <v>2</v>
      </c>
      <c r="AS79">
        <v>0</v>
      </c>
      <c r="AX79">
        <v>0</v>
      </c>
      <c r="AY79">
        <v>0</v>
      </c>
      <c r="AZ79">
        <v>0</v>
      </c>
      <c r="BA79">
        <v>0</v>
      </c>
      <c r="BB79">
        <v>0</v>
      </c>
      <c r="BC79" t="s">
        <v>206</v>
      </c>
    </row>
    <row r="80" spans="1:55">
      <c r="A80">
        <v>94</v>
      </c>
      <c r="B80">
        <v>45433</v>
      </c>
      <c r="C80">
        <v>45440</v>
      </c>
      <c r="D80">
        <v>7</v>
      </c>
      <c r="E80">
        <v>75</v>
      </c>
      <c r="F80">
        <v>1</v>
      </c>
      <c r="G80">
        <v>2</v>
      </c>
      <c r="H80">
        <v>0</v>
      </c>
      <c r="I80">
        <v>0</v>
      </c>
      <c r="J80">
        <v>0</v>
      </c>
      <c r="K80">
        <v>0</v>
      </c>
      <c r="L80">
        <v>0</v>
      </c>
      <c r="M80">
        <v>0</v>
      </c>
      <c r="N80">
        <v>0</v>
      </c>
      <c r="P80" t="s">
        <v>179</v>
      </c>
      <c r="Q80">
        <v>0</v>
      </c>
      <c r="R80">
        <v>1</v>
      </c>
      <c r="S80">
        <v>45433</v>
      </c>
      <c r="T80">
        <v>45433</v>
      </c>
      <c r="U80">
        <v>0</v>
      </c>
      <c r="V80">
        <v>0</v>
      </c>
      <c r="W80">
        <v>0</v>
      </c>
      <c r="X80">
        <v>0</v>
      </c>
      <c r="Y80">
        <v>0</v>
      </c>
      <c r="Z80">
        <v>0</v>
      </c>
      <c r="AA80">
        <v>0</v>
      </c>
      <c r="AB80">
        <v>0</v>
      </c>
      <c r="AC80">
        <v>0</v>
      </c>
      <c r="AD80">
        <v>0</v>
      </c>
      <c r="AE80">
        <v>1</v>
      </c>
      <c r="AF80" t="s">
        <v>117</v>
      </c>
      <c r="AG80">
        <v>0</v>
      </c>
      <c r="AH80">
        <v>0</v>
      </c>
      <c r="AI80">
        <v>1</v>
      </c>
      <c r="AJ80">
        <v>0</v>
      </c>
      <c r="AK80">
        <v>0</v>
      </c>
      <c r="AL80">
        <v>1</v>
      </c>
      <c r="AM80">
        <v>1</v>
      </c>
      <c r="AN80">
        <v>1</v>
      </c>
      <c r="AO80">
        <v>45440</v>
      </c>
      <c r="AP80">
        <v>0</v>
      </c>
      <c r="AQ80">
        <v>0</v>
      </c>
      <c r="AR80">
        <v>7</v>
      </c>
      <c r="AS80">
        <v>0</v>
      </c>
      <c r="AX80">
        <v>0</v>
      </c>
      <c r="AY80">
        <v>0</v>
      </c>
      <c r="AZ80">
        <v>0</v>
      </c>
      <c r="BA80">
        <v>0</v>
      </c>
      <c r="BB80">
        <v>0</v>
      </c>
      <c r="BC80" t="s">
        <v>206</v>
      </c>
    </row>
    <row r="81" spans="1:55">
      <c r="A81">
        <v>95</v>
      </c>
      <c r="B81">
        <v>45434</v>
      </c>
      <c r="C81">
        <v>45439</v>
      </c>
      <c r="D81">
        <v>5</v>
      </c>
      <c r="E81">
        <v>90</v>
      </c>
      <c r="F81">
        <v>1</v>
      </c>
      <c r="G81">
        <v>2</v>
      </c>
      <c r="H81">
        <v>1</v>
      </c>
      <c r="I81">
        <v>0</v>
      </c>
      <c r="J81">
        <v>0</v>
      </c>
      <c r="K81">
        <v>0</v>
      </c>
      <c r="L81">
        <v>0</v>
      </c>
      <c r="M81">
        <v>0</v>
      </c>
      <c r="N81">
        <v>1</v>
      </c>
      <c r="O81" t="s">
        <v>216</v>
      </c>
      <c r="P81" t="s">
        <v>179</v>
      </c>
      <c r="Q81">
        <v>1</v>
      </c>
      <c r="R81">
        <v>2</v>
      </c>
      <c r="S81">
        <v>45434</v>
      </c>
      <c r="T81">
        <v>45434</v>
      </c>
      <c r="U81">
        <v>0</v>
      </c>
      <c r="V81">
        <v>0</v>
      </c>
      <c r="W81">
        <v>0</v>
      </c>
      <c r="X81">
        <v>0</v>
      </c>
      <c r="Y81">
        <v>0</v>
      </c>
      <c r="Z81">
        <v>0</v>
      </c>
      <c r="AA81">
        <v>0</v>
      </c>
      <c r="AB81">
        <v>0</v>
      </c>
      <c r="AC81">
        <v>0</v>
      </c>
      <c r="AD81">
        <v>0</v>
      </c>
      <c r="AE81">
        <v>1</v>
      </c>
      <c r="AF81" t="s">
        <v>217</v>
      </c>
      <c r="AG81">
        <v>0</v>
      </c>
      <c r="AH81">
        <v>0</v>
      </c>
      <c r="AI81">
        <v>1</v>
      </c>
      <c r="AJ81">
        <v>0</v>
      </c>
      <c r="AK81">
        <v>0</v>
      </c>
      <c r="AL81">
        <v>1</v>
      </c>
      <c r="AM81">
        <v>1</v>
      </c>
      <c r="AN81">
        <v>1</v>
      </c>
      <c r="AO81">
        <v>45436</v>
      </c>
      <c r="AP81">
        <v>0</v>
      </c>
      <c r="AQ81">
        <v>0</v>
      </c>
      <c r="AR81">
        <v>2</v>
      </c>
      <c r="AS81">
        <v>0</v>
      </c>
      <c r="AX81">
        <v>0</v>
      </c>
      <c r="AY81">
        <v>0</v>
      </c>
      <c r="AZ81">
        <v>0</v>
      </c>
      <c r="BA81">
        <v>0</v>
      </c>
      <c r="BB81">
        <v>0</v>
      </c>
      <c r="BC81" t="s">
        <v>206</v>
      </c>
    </row>
    <row r="82" spans="1:55">
      <c r="A82">
        <v>98</v>
      </c>
      <c r="B82">
        <v>45439</v>
      </c>
      <c r="C82">
        <v>45445</v>
      </c>
      <c r="D82">
        <v>6</v>
      </c>
      <c r="E82">
        <v>75</v>
      </c>
      <c r="F82">
        <v>2</v>
      </c>
      <c r="G82">
        <v>3</v>
      </c>
      <c r="H82">
        <v>1</v>
      </c>
      <c r="I82">
        <v>0</v>
      </c>
      <c r="J82">
        <v>0</v>
      </c>
      <c r="K82">
        <v>0</v>
      </c>
      <c r="L82">
        <v>0</v>
      </c>
      <c r="M82">
        <v>0</v>
      </c>
      <c r="N82">
        <v>1</v>
      </c>
      <c r="O82" t="s">
        <v>218</v>
      </c>
      <c r="P82" t="s">
        <v>179</v>
      </c>
      <c r="Q82">
        <v>0</v>
      </c>
      <c r="R82">
        <v>1</v>
      </c>
      <c r="S82">
        <v>45439</v>
      </c>
      <c r="T82">
        <v>45439</v>
      </c>
      <c r="U82">
        <v>0</v>
      </c>
      <c r="V82">
        <v>0</v>
      </c>
      <c r="W82">
        <v>0</v>
      </c>
      <c r="X82">
        <v>0</v>
      </c>
      <c r="Y82">
        <v>0</v>
      </c>
      <c r="Z82">
        <v>0</v>
      </c>
      <c r="AA82">
        <v>0</v>
      </c>
      <c r="AB82">
        <v>0</v>
      </c>
      <c r="AC82">
        <v>0</v>
      </c>
      <c r="AD82">
        <v>0</v>
      </c>
      <c r="AE82">
        <v>1</v>
      </c>
      <c r="AF82" t="s">
        <v>91</v>
      </c>
      <c r="AG82">
        <v>0</v>
      </c>
      <c r="AH82">
        <v>0</v>
      </c>
      <c r="AI82">
        <v>1</v>
      </c>
      <c r="AJ82">
        <v>0</v>
      </c>
      <c r="AK82">
        <v>0</v>
      </c>
      <c r="AL82">
        <v>1</v>
      </c>
      <c r="AM82">
        <v>1</v>
      </c>
      <c r="AN82">
        <v>1</v>
      </c>
      <c r="AO82">
        <v>45440</v>
      </c>
      <c r="AP82">
        <v>0</v>
      </c>
      <c r="AQ82">
        <v>1</v>
      </c>
      <c r="AR82">
        <v>1</v>
      </c>
      <c r="AS82">
        <v>0</v>
      </c>
      <c r="AX82">
        <v>0</v>
      </c>
      <c r="AY82">
        <v>0</v>
      </c>
      <c r="AZ82">
        <v>0</v>
      </c>
      <c r="BA82">
        <v>1</v>
      </c>
      <c r="BB82">
        <v>0</v>
      </c>
      <c r="BC82" t="s">
        <v>219</v>
      </c>
    </row>
    <row r="83" spans="1:55">
      <c r="A83">
        <v>103</v>
      </c>
      <c r="B83">
        <v>45390</v>
      </c>
      <c r="C83">
        <v>45488</v>
      </c>
      <c r="D83">
        <v>98</v>
      </c>
      <c r="E83">
        <v>51</v>
      </c>
      <c r="F83">
        <v>1</v>
      </c>
      <c r="G83">
        <v>2</v>
      </c>
      <c r="H83">
        <v>1</v>
      </c>
      <c r="I83">
        <v>0</v>
      </c>
      <c r="J83">
        <v>0</v>
      </c>
      <c r="K83">
        <v>0</v>
      </c>
      <c r="L83">
        <v>1</v>
      </c>
      <c r="M83">
        <v>0</v>
      </c>
      <c r="N83">
        <v>1</v>
      </c>
      <c r="O83" t="s">
        <v>72</v>
      </c>
      <c r="P83" t="s">
        <v>179</v>
      </c>
      <c r="Q83">
        <v>0</v>
      </c>
      <c r="R83">
        <v>1</v>
      </c>
      <c r="S83">
        <v>45390</v>
      </c>
      <c r="T83">
        <v>45390</v>
      </c>
      <c r="U83">
        <v>0</v>
      </c>
      <c r="V83">
        <v>1</v>
      </c>
      <c r="W83">
        <v>0</v>
      </c>
      <c r="X83">
        <v>0</v>
      </c>
      <c r="Y83">
        <v>1</v>
      </c>
      <c r="Z83">
        <v>0</v>
      </c>
      <c r="AA83">
        <v>0</v>
      </c>
      <c r="AB83">
        <v>0</v>
      </c>
      <c r="AC83">
        <v>0</v>
      </c>
      <c r="AD83">
        <v>0</v>
      </c>
      <c r="AE83">
        <v>1</v>
      </c>
      <c r="AF83" t="s">
        <v>55</v>
      </c>
      <c r="AG83">
        <v>0</v>
      </c>
      <c r="AH83">
        <v>0</v>
      </c>
      <c r="AI83">
        <v>1</v>
      </c>
      <c r="AJ83">
        <v>0</v>
      </c>
      <c r="AK83">
        <v>0</v>
      </c>
      <c r="AL83">
        <v>1</v>
      </c>
      <c r="AM83">
        <v>1</v>
      </c>
      <c r="AN83">
        <v>1</v>
      </c>
      <c r="AO83">
        <v>45391</v>
      </c>
      <c r="AP83">
        <v>0</v>
      </c>
      <c r="AQ83">
        <v>0</v>
      </c>
      <c r="AR83">
        <v>1</v>
      </c>
      <c r="AS83">
        <v>0</v>
      </c>
      <c r="AX83">
        <v>0</v>
      </c>
      <c r="AY83">
        <v>0</v>
      </c>
      <c r="AZ83">
        <v>0</v>
      </c>
      <c r="BA83">
        <v>1</v>
      </c>
      <c r="BB83">
        <v>0</v>
      </c>
      <c r="BC83" t="s">
        <v>221</v>
      </c>
    </row>
    <row r="84" spans="1:55">
      <c r="A84">
        <v>105</v>
      </c>
      <c r="B84">
        <v>45395</v>
      </c>
      <c r="C84">
        <v>45401</v>
      </c>
      <c r="D84">
        <v>6</v>
      </c>
      <c r="E84">
        <v>81</v>
      </c>
      <c r="F84">
        <v>2</v>
      </c>
      <c r="G84">
        <v>2</v>
      </c>
      <c r="H84">
        <v>0</v>
      </c>
      <c r="I84">
        <v>0</v>
      </c>
      <c r="J84">
        <v>0</v>
      </c>
      <c r="K84">
        <v>0</v>
      </c>
      <c r="L84">
        <v>0</v>
      </c>
      <c r="M84">
        <v>0</v>
      </c>
      <c r="N84">
        <v>1</v>
      </c>
      <c r="O84" t="s">
        <v>70</v>
      </c>
      <c r="P84" t="s">
        <v>179</v>
      </c>
      <c r="Q84">
        <v>0</v>
      </c>
      <c r="R84">
        <v>1</v>
      </c>
      <c r="S84">
        <v>45395</v>
      </c>
      <c r="T84">
        <v>45395</v>
      </c>
      <c r="U84">
        <v>0</v>
      </c>
      <c r="V84">
        <v>1</v>
      </c>
      <c r="W84">
        <v>0</v>
      </c>
      <c r="X84">
        <v>0</v>
      </c>
      <c r="Y84">
        <v>0</v>
      </c>
      <c r="Z84">
        <v>0</v>
      </c>
      <c r="AA84">
        <v>0</v>
      </c>
      <c r="AB84">
        <v>0</v>
      </c>
      <c r="AC84">
        <v>1</v>
      </c>
      <c r="AD84">
        <v>0</v>
      </c>
      <c r="AE84">
        <v>1</v>
      </c>
      <c r="AF84" t="s">
        <v>91</v>
      </c>
      <c r="AG84">
        <v>0</v>
      </c>
      <c r="AH84">
        <v>0</v>
      </c>
      <c r="AI84">
        <v>1</v>
      </c>
      <c r="AJ84">
        <v>0</v>
      </c>
      <c r="AK84">
        <v>0</v>
      </c>
      <c r="AL84">
        <v>1</v>
      </c>
      <c r="AM84">
        <v>1</v>
      </c>
      <c r="AN84">
        <v>1</v>
      </c>
      <c r="AO84">
        <v>45399</v>
      </c>
      <c r="AP84">
        <v>0</v>
      </c>
      <c r="AQ84">
        <v>0</v>
      </c>
      <c r="AR84">
        <v>4</v>
      </c>
      <c r="AS84">
        <v>0</v>
      </c>
      <c r="AX84">
        <v>0</v>
      </c>
      <c r="AY84">
        <v>0</v>
      </c>
      <c r="AZ84">
        <v>0</v>
      </c>
      <c r="BA84">
        <v>0</v>
      </c>
      <c r="BB84">
        <v>0</v>
      </c>
      <c r="BC84" t="s">
        <v>223</v>
      </c>
    </row>
    <row r="85" spans="1:55">
      <c r="A85">
        <v>106</v>
      </c>
      <c r="B85">
        <v>45396</v>
      </c>
      <c r="C85">
        <v>45412</v>
      </c>
      <c r="D85">
        <v>16</v>
      </c>
      <c r="E85">
        <v>66</v>
      </c>
      <c r="F85">
        <v>1</v>
      </c>
      <c r="G85">
        <v>2</v>
      </c>
      <c r="H85">
        <v>0</v>
      </c>
      <c r="I85">
        <v>0</v>
      </c>
      <c r="J85">
        <v>0</v>
      </c>
      <c r="K85">
        <v>0</v>
      </c>
      <c r="L85">
        <v>0</v>
      </c>
      <c r="M85">
        <v>0</v>
      </c>
      <c r="N85">
        <v>0</v>
      </c>
      <c r="P85" t="s">
        <v>215</v>
      </c>
      <c r="Q85">
        <v>1</v>
      </c>
      <c r="R85">
        <v>2</v>
      </c>
      <c r="S85">
        <v>45396</v>
      </c>
      <c r="T85">
        <v>45397</v>
      </c>
      <c r="U85">
        <v>1</v>
      </c>
      <c r="V85">
        <v>0</v>
      </c>
      <c r="W85">
        <v>0</v>
      </c>
      <c r="X85">
        <v>0</v>
      </c>
      <c r="Y85">
        <v>0</v>
      </c>
      <c r="Z85">
        <v>0</v>
      </c>
      <c r="AA85">
        <v>0</v>
      </c>
      <c r="AB85">
        <v>0</v>
      </c>
      <c r="AC85">
        <v>0</v>
      </c>
      <c r="AD85">
        <v>0</v>
      </c>
      <c r="AE85">
        <v>1</v>
      </c>
      <c r="AF85" t="s">
        <v>91</v>
      </c>
      <c r="AG85">
        <v>0</v>
      </c>
      <c r="AH85">
        <v>1</v>
      </c>
      <c r="AI85">
        <v>1</v>
      </c>
      <c r="AJ85">
        <v>1</v>
      </c>
      <c r="AK85">
        <v>0</v>
      </c>
      <c r="AL85">
        <v>0</v>
      </c>
      <c r="AM85">
        <v>1</v>
      </c>
      <c r="AN85">
        <v>1</v>
      </c>
      <c r="AO85">
        <v>45401</v>
      </c>
      <c r="AP85">
        <v>0</v>
      </c>
      <c r="AQ85">
        <v>0</v>
      </c>
      <c r="AR85">
        <v>5</v>
      </c>
      <c r="AS85">
        <v>0</v>
      </c>
      <c r="AX85">
        <v>0</v>
      </c>
      <c r="AY85">
        <v>0</v>
      </c>
      <c r="AZ85">
        <v>0</v>
      </c>
      <c r="BA85">
        <v>0</v>
      </c>
      <c r="BB85">
        <v>0</v>
      </c>
      <c r="BC85" t="s">
        <v>206</v>
      </c>
    </row>
    <row r="86" spans="1:55">
      <c r="A86">
        <v>107</v>
      </c>
      <c r="B86">
        <v>45398</v>
      </c>
      <c r="C86">
        <v>45401</v>
      </c>
      <c r="D86">
        <v>3</v>
      </c>
      <c r="E86">
        <v>79</v>
      </c>
      <c r="F86">
        <v>1</v>
      </c>
      <c r="G86">
        <v>2</v>
      </c>
      <c r="H86">
        <v>1</v>
      </c>
      <c r="I86">
        <v>0</v>
      </c>
      <c r="J86">
        <v>1</v>
      </c>
      <c r="K86">
        <v>0</v>
      </c>
      <c r="L86">
        <v>0</v>
      </c>
      <c r="M86">
        <v>0</v>
      </c>
      <c r="N86">
        <v>1</v>
      </c>
      <c r="O86" t="s">
        <v>224</v>
      </c>
      <c r="P86" t="s">
        <v>179</v>
      </c>
      <c r="Q86">
        <v>0</v>
      </c>
      <c r="R86">
        <v>1</v>
      </c>
      <c r="S86">
        <v>45398</v>
      </c>
      <c r="T86">
        <v>45398</v>
      </c>
      <c r="U86">
        <v>0</v>
      </c>
      <c r="V86">
        <v>0</v>
      </c>
      <c r="W86">
        <v>0</v>
      </c>
      <c r="X86">
        <v>0</v>
      </c>
      <c r="Y86">
        <v>0</v>
      </c>
      <c r="Z86">
        <v>0</v>
      </c>
      <c r="AA86">
        <v>0</v>
      </c>
      <c r="AB86">
        <v>0</v>
      </c>
      <c r="AC86">
        <v>0</v>
      </c>
      <c r="AD86">
        <v>0</v>
      </c>
      <c r="AE86">
        <v>1</v>
      </c>
      <c r="AF86" t="s">
        <v>117</v>
      </c>
      <c r="AG86">
        <v>0</v>
      </c>
      <c r="AH86">
        <v>0</v>
      </c>
      <c r="AI86">
        <v>1</v>
      </c>
      <c r="AJ86">
        <v>0</v>
      </c>
      <c r="AK86">
        <v>0</v>
      </c>
      <c r="AL86">
        <v>1</v>
      </c>
      <c r="AM86">
        <v>1</v>
      </c>
      <c r="AN86">
        <v>1</v>
      </c>
      <c r="AO86">
        <v>45400</v>
      </c>
      <c r="AP86">
        <v>0</v>
      </c>
      <c r="AQ86">
        <v>0</v>
      </c>
      <c r="AR86">
        <v>2</v>
      </c>
      <c r="AS86">
        <v>0</v>
      </c>
      <c r="AX86">
        <v>0</v>
      </c>
      <c r="AY86">
        <v>0</v>
      </c>
      <c r="AZ86">
        <v>1</v>
      </c>
      <c r="BA86">
        <v>0</v>
      </c>
      <c r="BB86">
        <v>0</v>
      </c>
      <c r="BC86" t="s">
        <v>206</v>
      </c>
    </row>
    <row r="87" spans="1:55">
      <c r="A87">
        <v>108</v>
      </c>
      <c r="B87">
        <v>45398</v>
      </c>
      <c r="C87">
        <v>45412</v>
      </c>
      <c r="D87">
        <v>14</v>
      </c>
      <c r="E87">
        <v>78</v>
      </c>
      <c r="F87">
        <v>2</v>
      </c>
      <c r="G87">
        <v>2</v>
      </c>
      <c r="H87">
        <v>1</v>
      </c>
      <c r="I87">
        <v>0</v>
      </c>
      <c r="J87">
        <v>1</v>
      </c>
      <c r="K87">
        <v>0</v>
      </c>
      <c r="L87">
        <v>0</v>
      </c>
      <c r="M87">
        <v>0</v>
      </c>
      <c r="N87">
        <v>1</v>
      </c>
      <c r="O87" t="s">
        <v>225</v>
      </c>
      <c r="P87" t="s">
        <v>179</v>
      </c>
      <c r="Q87">
        <v>1</v>
      </c>
      <c r="R87">
        <v>4</v>
      </c>
      <c r="S87">
        <v>45398</v>
      </c>
      <c r="T87">
        <v>45404</v>
      </c>
      <c r="U87">
        <v>6</v>
      </c>
      <c r="V87">
        <v>0</v>
      </c>
      <c r="W87">
        <v>0</v>
      </c>
      <c r="X87">
        <v>0</v>
      </c>
      <c r="Y87">
        <v>0</v>
      </c>
      <c r="Z87">
        <v>0</v>
      </c>
      <c r="AA87">
        <v>0</v>
      </c>
      <c r="AB87">
        <v>0</v>
      </c>
      <c r="AC87">
        <v>0</v>
      </c>
      <c r="AD87">
        <v>0</v>
      </c>
      <c r="AE87">
        <v>1</v>
      </c>
      <c r="AF87" t="s">
        <v>91</v>
      </c>
      <c r="AG87">
        <v>1</v>
      </c>
      <c r="AH87">
        <v>1</v>
      </c>
      <c r="AI87">
        <v>1</v>
      </c>
      <c r="AJ87">
        <v>1</v>
      </c>
      <c r="AK87">
        <v>0</v>
      </c>
      <c r="AL87">
        <v>0</v>
      </c>
      <c r="AM87">
        <v>1</v>
      </c>
      <c r="AN87">
        <v>1</v>
      </c>
      <c r="AO87">
        <v>45399</v>
      </c>
      <c r="AP87">
        <v>0</v>
      </c>
      <c r="AQ87">
        <v>1</v>
      </c>
      <c r="AR87">
        <v>1</v>
      </c>
      <c r="AS87">
        <v>1</v>
      </c>
      <c r="AT87">
        <v>45404</v>
      </c>
      <c r="AU87">
        <v>1</v>
      </c>
      <c r="AV87">
        <v>1</v>
      </c>
      <c r="AW87">
        <v>0</v>
      </c>
      <c r="AX87">
        <v>1</v>
      </c>
      <c r="AY87">
        <v>1</v>
      </c>
      <c r="AZ87">
        <v>1</v>
      </c>
      <c r="BA87">
        <v>0</v>
      </c>
      <c r="BB87">
        <v>1</v>
      </c>
      <c r="BC87" t="s">
        <v>226</v>
      </c>
    </row>
    <row r="88" spans="1:55">
      <c r="A88">
        <v>113</v>
      </c>
      <c r="B88">
        <v>45407</v>
      </c>
      <c r="C88">
        <v>45431</v>
      </c>
      <c r="D88">
        <v>24</v>
      </c>
      <c r="E88">
        <v>89</v>
      </c>
      <c r="F88">
        <v>2</v>
      </c>
      <c r="G88">
        <v>3</v>
      </c>
      <c r="H88">
        <v>0</v>
      </c>
      <c r="I88">
        <v>0</v>
      </c>
      <c r="J88">
        <v>0</v>
      </c>
      <c r="K88">
        <v>0</v>
      </c>
      <c r="L88">
        <v>0</v>
      </c>
      <c r="M88">
        <v>0</v>
      </c>
      <c r="N88">
        <v>0</v>
      </c>
      <c r="P88" t="s">
        <v>195</v>
      </c>
      <c r="Q88">
        <v>0</v>
      </c>
      <c r="R88">
        <v>1</v>
      </c>
      <c r="S88">
        <v>45407</v>
      </c>
      <c r="T88">
        <v>45407</v>
      </c>
      <c r="U88">
        <v>0</v>
      </c>
      <c r="V88">
        <v>0</v>
      </c>
      <c r="W88">
        <v>0</v>
      </c>
      <c r="X88">
        <v>0</v>
      </c>
      <c r="Y88">
        <v>0</v>
      </c>
      <c r="Z88">
        <v>0</v>
      </c>
      <c r="AA88">
        <v>0</v>
      </c>
      <c r="AB88">
        <v>0</v>
      </c>
      <c r="AC88">
        <v>0</v>
      </c>
      <c r="AD88">
        <v>0</v>
      </c>
      <c r="AE88">
        <v>1</v>
      </c>
      <c r="AF88" t="s">
        <v>217</v>
      </c>
      <c r="AG88">
        <v>0</v>
      </c>
      <c r="AH88">
        <v>0</v>
      </c>
      <c r="AI88">
        <v>1</v>
      </c>
      <c r="AJ88">
        <v>0</v>
      </c>
      <c r="AK88">
        <v>0</v>
      </c>
      <c r="AL88">
        <v>1</v>
      </c>
      <c r="AM88">
        <v>1</v>
      </c>
      <c r="AN88">
        <v>1</v>
      </c>
      <c r="AO88">
        <v>45419</v>
      </c>
      <c r="AP88">
        <v>0</v>
      </c>
      <c r="AQ88">
        <v>1</v>
      </c>
      <c r="AR88">
        <v>12</v>
      </c>
      <c r="AS88">
        <v>0</v>
      </c>
      <c r="AX88">
        <v>0</v>
      </c>
      <c r="AY88">
        <v>0</v>
      </c>
      <c r="AZ88">
        <v>0</v>
      </c>
      <c r="BA88">
        <v>0</v>
      </c>
      <c r="BB88">
        <v>0</v>
      </c>
      <c r="BC88" t="s">
        <v>228</v>
      </c>
    </row>
    <row r="89" spans="1:55">
      <c r="A89">
        <v>114</v>
      </c>
      <c r="B89">
        <v>45408</v>
      </c>
      <c r="C89">
        <v>45429</v>
      </c>
      <c r="D89">
        <v>21</v>
      </c>
      <c r="E89">
        <v>88</v>
      </c>
      <c r="F89">
        <v>2</v>
      </c>
      <c r="G89">
        <v>2</v>
      </c>
      <c r="H89">
        <v>1</v>
      </c>
      <c r="I89">
        <v>0</v>
      </c>
      <c r="J89">
        <v>0</v>
      </c>
      <c r="K89">
        <v>1</v>
      </c>
      <c r="L89">
        <v>0</v>
      </c>
      <c r="M89">
        <v>0</v>
      </c>
      <c r="N89">
        <v>1</v>
      </c>
      <c r="O89" t="s">
        <v>181</v>
      </c>
      <c r="P89" t="s">
        <v>179</v>
      </c>
      <c r="Q89">
        <v>0</v>
      </c>
      <c r="R89">
        <v>1</v>
      </c>
      <c r="S89">
        <v>45408</v>
      </c>
      <c r="T89">
        <v>45408</v>
      </c>
      <c r="U89">
        <v>0</v>
      </c>
      <c r="V89">
        <v>0</v>
      </c>
      <c r="W89">
        <v>0</v>
      </c>
      <c r="X89">
        <v>0</v>
      </c>
      <c r="Y89">
        <v>0</v>
      </c>
      <c r="Z89">
        <v>0</v>
      </c>
      <c r="AA89">
        <v>0</v>
      </c>
      <c r="AB89">
        <v>0</v>
      </c>
      <c r="AC89">
        <v>0</v>
      </c>
      <c r="AD89">
        <v>0</v>
      </c>
      <c r="AE89">
        <v>1</v>
      </c>
      <c r="AF89" t="s">
        <v>229</v>
      </c>
      <c r="AG89">
        <v>0</v>
      </c>
      <c r="AH89">
        <v>0</v>
      </c>
      <c r="AI89">
        <v>1</v>
      </c>
      <c r="AJ89">
        <v>0</v>
      </c>
      <c r="AK89">
        <v>0</v>
      </c>
      <c r="AL89">
        <v>1</v>
      </c>
      <c r="AM89">
        <v>0</v>
      </c>
      <c r="AN89">
        <v>1</v>
      </c>
      <c r="AO89">
        <v>45419</v>
      </c>
      <c r="AP89">
        <v>0</v>
      </c>
      <c r="AQ89">
        <v>1</v>
      </c>
      <c r="AR89">
        <v>11</v>
      </c>
      <c r="AS89">
        <v>0</v>
      </c>
      <c r="AX89">
        <v>0</v>
      </c>
      <c r="AY89">
        <v>0</v>
      </c>
      <c r="AZ89">
        <v>1</v>
      </c>
      <c r="BA89">
        <v>0</v>
      </c>
      <c r="BB89">
        <v>0</v>
      </c>
      <c r="BC89" t="s">
        <v>206</v>
      </c>
    </row>
    <row r="90" spans="1:55">
      <c r="A90">
        <v>115</v>
      </c>
      <c r="B90">
        <v>45409</v>
      </c>
      <c r="C90">
        <v>45413</v>
      </c>
      <c r="D90">
        <v>4</v>
      </c>
      <c r="E90">
        <v>43</v>
      </c>
      <c r="F90">
        <v>2</v>
      </c>
      <c r="G90">
        <v>2</v>
      </c>
      <c r="H90">
        <v>1</v>
      </c>
      <c r="I90">
        <v>0</v>
      </c>
      <c r="J90">
        <v>0</v>
      </c>
      <c r="K90">
        <v>0</v>
      </c>
      <c r="L90">
        <v>0</v>
      </c>
      <c r="M90">
        <v>0</v>
      </c>
      <c r="N90">
        <v>1</v>
      </c>
      <c r="O90" t="s">
        <v>230</v>
      </c>
      <c r="P90" t="s">
        <v>208</v>
      </c>
      <c r="Q90">
        <v>0</v>
      </c>
      <c r="R90">
        <v>1</v>
      </c>
      <c r="S90">
        <v>45409</v>
      </c>
      <c r="T90">
        <v>45409</v>
      </c>
      <c r="U90">
        <v>0</v>
      </c>
      <c r="V90">
        <v>0</v>
      </c>
      <c r="W90">
        <v>0</v>
      </c>
      <c r="X90">
        <v>0</v>
      </c>
      <c r="Y90">
        <v>0</v>
      </c>
      <c r="Z90">
        <v>0</v>
      </c>
      <c r="AA90">
        <v>0</v>
      </c>
      <c r="AB90">
        <v>0</v>
      </c>
      <c r="AC90">
        <v>0</v>
      </c>
      <c r="AD90">
        <v>0</v>
      </c>
      <c r="AE90">
        <v>1</v>
      </c>
      <c r="AF90" t="s">
        <v>91</v>
      </c>
      <c r="AG90">
        <v>0</v>
      </c>
      <c r="AH90">
        <v>0</v>
      </c>
      <c r="AI90">
        <v>1</v>
      </c>
      <c r="AJ90">
        <v>0</v>
      </c>
      <c r="AK90">
        <v>0</v>
      </c>
      <c r="AL90">
        <v>1</v>
      </c>
      <c r="AM90">
        <v>1</v>
      </c>
      <c r="AN90">
        <v>1</v>
      </c>
      <c r="AO90">
        <v>45411</v>
      </c>
      <c r="AP90">
        <v>0</v>
      </c>
      <c r="AQ90">
        <v>0</v>
      </c>
      <c r="AR90">
        <v>2</v>
      </c>
      <c r="AS90">
        <v>0</v>
      </c>
      <c r="AX90">
        <v>0</v>
      </c>
      <c r="AY90">
        <v>0</v>
      </c>
      <c r="AZ90">
        <v>0</v>
      </c>
      <c r="BA90">
        <v>0</v>
      </c>
      <c r="BB90">
        <v>0</v>
      </c>
      <c r="BC90" t="s">
        <v>206</v>
      </c>
    </row>
    <row r="91" spans="1:55">
      <c r="A91">
        <v>119</v>
      </c>
      <c r="B91">
        <v>45354</v>
      </c>
      <c r="C91">
        <v>45365</v>
      </c>
      <c r="D91">
        <v>11</v>
      </c>
      <c r="E91">
        <v>65</v>
      </c>
      <c r="F91">
        <v>1</v>
      </c>
      <c r="G91">
        <v>2</v>
      </c>
      <c r="H91">
        <v>0</v>
      </c>
      <c r="I91">
        <v>0</v>
      </c>
      <c r="J91">
        <v>0</v>
      </c>
      <c r="K91">
        <v>0</v>
      </c>
      <c r="L91">
        <v>0</v>
      </c>
      <c r="M91">
        <v>0</v>
      </c>
      <c r="N91">
        <v>0</v>
      </c>
      <c r="P91" t="s">
        <v>179</v>
      </c>
      <c r="Q91">
        <v>0</v>
      </c>
      <c r="R91">
        <v>1</v>
      </c>
      <c r="S91">
        <v>45354</v>
      </c>
      <c r="T91">
        <v>45354</v>
      </c>
      <c r="U91">
        <v>0</v>
      </c>
      <c r="V91">
        <v>0</v>
      </c>
      <c r="W91">
        <v>0</v>
      </c>
      <c r="X91">
        <v>0</v>
      </c>
      <c r="Y91">
        <v>0</v>
      </c>
      <c r="Z91">
        <v>0</v>
      </c>
      <c r="AA91">
        <v>0</v>
      </c>
      <c r="AB91">
        <v>0</v>
      </c>
      <c r="AC91">
        <v>0</v>
      </c>
      <c r="AD91">
        <v>0</v>
      </c>
      <c r="AE91">
        <v>1</v>
      </c>
      <c r="AF91" t="s">
        <v>233</v>
      </c>
      <c r="AG91">
        <v>0</v>
      </c>
      <c r="AH91">
        <v>0</v>
      </c>
      <c r="AI91">
        <v>1</v>
      </c>
      <c r="AJ91">
        <v>0</v>
      </c>
      <c r="AK91">
        <v>0</v>
      </c>
      <c r="AL91">
        <v>1</v>
      </c>
      <c r="AM91">
        <v>1</v>
      </c>
      <c r="AN91">
        <v>1</v>
      </c>
      <c r="AO91">
        <v>45357</v>
      </c>
      <c r="AP91">
        <v>0</v>
      </c>
      <c r="AQ91">
        <v>0</v>
      </c>
      <c r="AR91">
        <v>3</v>
      </c>
      <c r="AS91">
        <v>0</v>
      </c>
      <c r="AX91">
        <v>0</v>
      </c>
      <c r="AY91">
        <v>0</v>
      </c>
      <c r="AZ91">
        <v>0</v>
      </c>
      <c r="BA91">
        <v>0</v>
      </c>
      <c r="BB91">
        <v>0</v>
      </c>
      <c r="BC91" t="s">
        <v>206</v>
      </c>
    </row>
    <row r="92" spans="1:55">
      <c r="A92">
        <v>120</v>
      </c>
      <c r="B92">
        <v>45354</v>
      </c>
      <c r="C92">
        <v>45358</v>
      </c>
      <c r="D92">
        <v>4</v>
      </c>
      <c r="E92">
        <v>77</v>
      </c>
      <c r="F92">
        <v>2</v>
      </c>
      <c r="G92">
        <v>3</v>
      </c>
      <c r="H92">
        <v>0</v>
      </c>
      <c r="I92">
        <v>0</v>
      </c>
      <c r="J92">
        <v>0</v>
      </c>
      <c r="K92">
        <v>0</v>
      </c>
      <c r="L92">
        <v>0</v>
      </c>
      <c r="M92">
        <v>0</v>
      </c>
      <c r="N92">
        <v>0</v>
      </c>
      <c r="P92" t="s">
        <v>208</v>
      </c>
      <c r="Q92">
        <v>0</v>
      </c>
      <c r="R92">
        <v>1</v>
      </c>
      <c r="S92">
        <v>45354</v>
      </c>
      <c r="T92">
        <v>45354</v>
      </c>
      <c r="U92">
        <v>0</v>
      </c>
      <c r="V92">
        <v>0</v>
      </c>
      <c r="W92">
        <v>0</v>
      </c>
      <c r="X92">
        <v>0</v>
      </c>
      <c r="Y92">
        <v>0</v>
      </c>
      <c r="Z92">
        <v>0</v>
      </c>
      <c r="AA92">
        <v>0</v>
      </c>
      <c r="AB92">
        <v>0</v>
      </c>
      <c r="AC92">
        <v>0</v>
      </c>
      <c r="AD92">
        <v>0</v>
      </c>
      <c r="AE92">
        <v>1</v>
      </c>
      <c r="AF92" t="s">
        <v>91</v>
      </c>
      <c r="AG92">
        <v>0</v>
      </c>
      <c r="AH92">
        <v>1</v>
      </c>
      <c r="AI92">
        <v>1</v>
      </c>
      <c r="AJ92">
        <v>1</v>
      </c>
      <c r="AK92">
        <v>0</v>
      </c>
      <c r="AL92">
        <v>0</v>
      </c>
      <c r="AM92">
        <v>1</v>
      </c>
      <c r="AN92">
        <v>1</v>
      </c>
      <c r="AO92">
        <v>45357</v>
      </c>
      <c r="AP92">
        <v>0</v>
      </c>
      <c r="AQ92">
        <v>0</v>
      </c>
      <c r="AR92">
        <v>3</v>
      </c>
      <c r="AS92">
        <v>0</v>
      </c>
      <c r="AX92">
        <v>0</v>
      </c>
      <c r="AY92">
        <v>0</v>
      </c>
      <c r="AZ92">
        <v>0</v>
      </c>
      <c r="BA92">
        <v>0</v>
      </c>
      <c r="BB92">
        <v>0</v>
      </c>
      <c r="BC92" t="s">
        <v>206</v>
      </c>
    </row>
    <row r="93" spans="1:55">
      <c r="A93">
        <v>121</v>
      </c>
      <c r="B93">
        <v>45356</v>
      </c>
      <c r="C93">
        <v>45363</v>
      </c>
      <c r="D93">
        <v>7</v>
      </c>
      <c r="E93">
        <v>70</v>
      </c>
      <c r="F93">
        <v>1</v>
      </c>
      <c r="G93">
        <v>2</v>
      </c>
      <c r="H93">
        <v>0</v>
      </c>
      <c r="I93">
        <v>0</v>
      </c>
      <c r="J93">
        <v>0</v>
      </c>
      <c r="K93">
        <v>0</v>
      </c>
      <c r="L93">
        <v>0</v>
      </c>
      <c r="M93">
        <v>0</v>
      </c>
      <c r="N93">
        <v>0</v>
      </c>
      <c r="P93" t="s">
        <v>179</v>
      </c>
      <c r="Q93">
        <v>0</v>
      </c>
      <c r="R93">
        <v>1</v>
      </c>
      <c r="S93">
        <v>45356</v>
      </c>
      <c r="T93">
        <v>45356</v>
      </c>
      <c r="U93">
        <v>0</v>
      </c>
      <c r="V93">
        <v>0</v>
      </c>
      <c r="W93">
        <v>0</v>
      </c>
      <c r="X93">
        <v>0</v>
      </c>
      <c r="Y93">
        <v>0</v>
      </c>
      <c r="Z93">
        <v>0</v>
      </c>
      <c r="AA93">
        <v>0</v>
      </c>
      <c r="AB93">
        <v>0</v>
      </c>
      <c r="AC93">
        <v>0</v>
      </c>
      <c r="AD93">
        <v>0</v>
      </c>
      <c r="AE93">
        <v>1</v>
      </c>
      <c r="AF93" t="s">
        <v>68</v>
      </c>
      <c r="AG93">
        <v>0</v>
      </c>
      <c r="AH93">
        <v>0</v>
      </c>
      <c r="AI93">
        <v>1</v>
      </c>
      <c r="AJ93">
        <v>0</v>
      </c>
      <c r="AK93">
        <v>0</v>
      </c>
      <c r="AL93">
        <v>1</v>
      </c>
      <c r="AM93">
        <v>1</v>
      </c>
      <c r="AN93">
        <v>1</v>
      </c>
      <c r="AO93">
        <v>45362</v>
      </c>
      <c r="AP93">
        <v>0</v>
      </c>
      <c r="AQ93">
        <v>1</v>
      </c>
      <c r="AR93">
        <v>6</v>
      </c>
      <c r="AS93">
        <v>0</v>
      </c>
      <c r="AX93">
        <v>0</v>
      </c>
      <c r="AY93">
        <v>0</v>
      </c>
      <c r="AZ93">
        <v>0</v>
      </c>
      <c r="BA93">
        <v>0</v>
      </c>
      <c r="BB93">
        <v>0</v>
      </c>
      <c r="BC93" t="s">
        <v>234</v>
      </c>
    </row>
    <row r="94" spans="1:55">
      <c r="A94">
        <v>123</v>
      </c>
      <c r="B94">
        <v>45359</v>
      </c>
      <c r="C94">
        <v>45362</v>
      </c>
      <c r="D94">
        <v>3</v>
      </c>
      <c r="E94">
        <v>75</v>
      </c>
      <c r="F94">
        <v>1</v>
      </c>
      <c r="G94">
        <v>3</v>
      </c>
      <c r="H94">
        <v>1</v>
      </c>
      <c r="I94">
        <v>0</v>
      </c>
      <c r="J94">
        <v>0</v>
      </c>
      <c r="K94">
        <v>0</v>
      </c>
      <c r="L94">
        <v>0</v>
      </c>
      <c r="M94">
        <v>0</v>
      </c>
      <c r="N94">
        <v>1</v>
      </c>
      <c r="O94" t="s">
        <v>70</v>
      </c>
      <c r="P94" t="s">
        <v>195</v>
      </c>
      <c r="Q94">
        <v>0</v>
      </c>
      <c r="R94">
        <v>1</v>
      </c>
      <c r="S94">
        <v>45359</v>
      </c>
      <c r="T94">
        <v>45359</v>
      </c>
      <c r="U94">
        <v>0</v>
      </c>
      <c r="V94">
        <v>0</v>
      </c>
      <c r="W94">
        <v>0</v>
      </c>
      <c r="X94">
        <v>0</v>
      </c>
      <c r="Y94">
        <v>0</v>
      </c>
      <c r="Z94">
        <v>0</v>
      </c>
      <c r="AA94">
        <v>0</v>
      </c>
      <c r="AB94">
        <v>0</v>
      </c>
      <c r="AC94">
        <v>0</v>
      </c>
      <c r="AD94">
        <v>0</v>
      </c>
      <c r="AE94">
        <v>1</v>
      </c>
      <c r="AF94" t="s">
        <v>117</v>
      </c>
      <c r="AG94">
        <v>0</v>
      </c>
      <c r="AH94">
        <v>0</v>
      </c>
      <c r="AI94">
        <v>1</v>
      </c>
      <c r="AJ94">
        <v>0</v>
      </c>
      <c r="AK94">
        <v>0</v>
      </c>
      <c r="AL94">
        <v>1</v>
      </c>
      <c r="AM94">
        <v>1</v>
      </c>
      <c r="AN94">
        <v>1</v>
      </c>
      <c r="AO94">
        <v>45361</v>
      </c>
      <c r="AP94">
        <v>0</v>
      </c>
      <c r="AQ94">
        <v>1</v>
      </c>
      <c r="AR94">
        <v>2</v>
      </c>
      <c r="AS94">
        <v>0</v>
      </c>
      <c r="AX94">
        <v>0</v>
      </c>
      <c r="AY94">
        <v>0</v>
      </c>
      <c r="AZ94">
        <v>0</v>
      </c>
      <c r="BA94">
        <v>0</v>
      </c>
      <c r="BB94">
        <v>0</v>
      </c>
      <c r="BC94" t="s">
        <v>236</v>
      </c>
    </row>
    <row r="95" spans="1:55">
      <c r="A95">
        <v>125</v>
      </c>
      <c r="B95">
        <v>45361</v>
      </c>
      <c r="C95">
        <v>45373</v>
      </c>
      <c r="D95">
        <v>12</v>
      </c>
      <c r="E95">
        <v>71</v>
      </c>
      <c r="F95">
        <v>1</v>
      </c>
      <c r="G95">
        <v>2</v>
      </c>
      <c r="H95">
        <v>1</v>
      </c>
      <c r="I95">
        <v>0</v>
      </c>
      <c r="J95">
        <v>0</v>
      </c>
      <c r="K95">
        <v>0</v>
      </c>
      <c r="L95">
        <v>1</v>
      </c>
      <c r="M95">
        <v>0</v>
      </c>
      <c r="N95">
        <v>0</v>
      </c>
      <c r="P95" t="s">
        <v>179</v>
      </c>
      <c r="Q95">
        <v>0</v>
      </c>
      <c r="R95">
        <v>1</v>
      </c>
      <c r="S95">
        <v>45361</v>
      </c>
      <c r="T95">
        <v>45361</v>
      </c>
      <c r="U95">
        <v>0</v>
      </c>
      <c r="V95">
        <v>1</v>
      </c>
      <c r="W95">
        <v>0</v>
      </c>
      <c r="X95">
        <v>0</v>
      </c>
      <c r="Y95">
        <v>1</v>
      </c>
      <c r="Z95">
        <v>0</v>
      </c>
      <c r="AA95">
        <v>0</v>
      </c>
      <c r="AB95">
        <v>0</v>
      </c>
      <c r="AC95">
        <v>0</v>
      </c>
      <c r="AD95">
        <v>0</v>
      </c>
      <c r="AE95">
        <v>1</v>
      </c>
      <c r="AF95" t="s">
        <v>237</v>
      </c>
      <c r="AG95">
        <v>0</v>
      </c>
      <c r="AH95">
        <v>1</v>
      </c>
      <c r="AI95">
        <v>1</v>
      </c>
      <c r="AJ95">
        <v>1</v>
      </c>
      <c r="AK95">
        <v>0</v>
      </c>
      <c r="AL95">
        <v>0</v>
      </c>
      <c r="AM95">
        <v>1</v>
      </c>
      <c r="AN95">
        <v>1</v>
      </c>
      <c r="AO95">
        <v>45362</v>
      </c>
      <c r="AP95">
        <v>0</v>
      </c>
      <c r="AQ95">
        <v>0</v>
      </c>
      <c r="AR95">
        <v>1</v>
      </c>
      <c r="AS95">
        <v>0</v>
      </c>
      <c r="AX95">
        <v>0</v>
      </c>
      <c r="AY95">
        <v>0</v>
      </c>
      <c r="AZ95">
        <v>0</v>
      </c>
      <c r="BA95">
        <v>0</v>
      </c>
      <c r="BB95">
        <v>0</v>
      </c>
      <c r="BC95" t="s">
        <v>238</v>
      </c>
    </row>
    <row r="96" spans="1:55">
      <c r="A96">
        <v>126</v>
      </c>
      <c r="B96">
        <v>45362</v>
      </c>
      <c r="C96">
        <v>45367</v>
      </c>
      <c r="D96">
        <v>5</v>
      </c>
      <c r="E96">
        <v>80</v>
      </c>
      <c r="F96">
        <v>2</v>
      </c>
      <c r="G96">
        <v>2</v>
      </c>
      <c r="H96">
        <v>1</v>
      </c>
      <c r="I96">
        <v>0</v>
      </c>
      <c r="J96">
        <v>0</v>
      </c>
      <c r="K96">
        <v>0</v>
      </c>
      <c r="L96">
        <v>0</v>
      </c>
      <c r="M96">
        <v>0</v>
      </c>
      <c r="N96">
        <v>1</v>
      </c>
      <c r="O96" t="s">
        <v>70</v>
      </c>
      <c r="P96" t="s">
        <v>195</v>
      </c>
      <c r="Q96">
        <v>0</v>
      </c>
      <c r="R96">
        <v>1</v>
      </c>
      <c r="S96">
        <v>45362</v>
      </c>
      <c r="T96">
        <v>45362</v>
      </c>
      <c r="U96">
        <v>0</v>
      </c>
      <c r="V96">
        <v>0</v>
      </c>
      <c r="W96">
        <v>0</v>
      </c>
      <c r="X96">
        <v>0</v>
      </c>
      <c r="Y96">
        <v>0</v>
      </c>
      <c r="Z96">
        <v>0</v>
      </c>
      <c r="AA96">
        <v>0</v>
      </c>
      <c r="AB96">
        <v>0</v>
      </c>
      <c r="AC96">
        <v>0</v>
      </c>
      <c r="AD96">
        <v>0</v>
      </c>
      <c r="AE96">
        <v>1</v>
      </c>
      <c r="AF96" t="s">
        <v>239</v>
      </c>
      <c r="AG96">
        <v>0</v>
      </c>
      <c r="AH96">
        <v>1</v>
      </c>
      <c r="AI96">
        <v>1</v>
      </c>
      <c r="AJ96">
        <v>1</v>
      </c>
      <c r="AK96">
        <v>0</v>
      </c>
      <c r="AL96">
        <v>0</v>
      </c>
      <c r="AM96">
        <v>0</v>
      </c>
      <c r="AN96">
        <v>1</v>
      </c>
      <c r="AO96">
        <v>45366</v>
      </c>
      <c r="AP96">
        <v>0</v>
      </c>
      <c r="AQ96">
        <v>0</v>
      </c>
      <c r="AR96">
        <v>4</v>
      </c>
      <c r="AS96">
        <v>0</v>
      </c>
      <c r="AX96">
        <v>0</v>
      </c>
      <c r="AY96">
        <v>0</v>
      </c>
      <c r="AZ96">
        <v>0</v>
      </c>
      <c r="BA96">
        <v>0</v>
      </c>
      <c r="BB96">
        <v>0</v>
      </c>
      <c r="BC96" t="s">
        <v>206</v>
      </c>
    </row>
    <row r="97" spans="1:55">
      <c r="A97">
        <v>127</v>
      </c>
      <c r="B97">
        <v>45362</v>
      </c>
      <c r="C97">
        <v>45370</v>
      </c>
      <c r="D97">
        <v>8</v>
      </c>
      <c r="E97">
        <v>61</v>
      </c>
      <c r="F97">
        <v>1</v>
      </c>
      <c r="G97">
        <v>3</v>
      </c>
      <c r="H97">
        <v>0</v>
      </c>
      <c r="I97">
        <v>0</v>
      </c>
      <c r="J97">
        <v>0</v>
      </c>
      <c r="K97">
        <v>0</v>
      </c>
      <c r="L97">
        <v>0</v>
      </c>
      <c r="M97">
        <v>0</v>
      </c>
      <c r="N97">
        <v>0</v>
      </c>
      <c r="P97" t="s">
        <v>195</v>
      </c>
      <c r="Q97">
        <v>0</v>
      </c>
      <c r="R97">
        <v>1</v>
      </c>
      <c r="S97">
        <v>45362</v>
      </c>
      <c r="T97">
        <v>45362</v>
      </c>
      <c r="U97">
        <v>0</v>
      </c>
      <c r="V97">
        <v>0</v>
      </c>
      <c r="W97">
        <v>0</v>
      </c>
      <c r="X97">
        <v>0</v>
      </c>
      <c r="Y97">
        <v>0</v>
      </c>
      <c r="Z97">
        <v>0</v>
      </c>
      <c r="AA97">
        <v>0</v>
      </c>
      <c r="AB97">
        <v>0</v>
      </c>
      <c r="AC97">
        <v>0</v>
      </c>
      <c r="AD97">
        <v>0</v>
      </c>
      <c r="AE97">
        <v>1</v>
      </c>
      <c r="AF97" t="s">
        <v>217</v>
      </c>
      <c r="AG97">
        <v>0</v>
      </c>
      <c r="AH97">
        <v>1</v>
      </c>
      <c r="AI97">
        <v>1</v>
      </c>
      <c r="AJ97">
        <v>1</v>
      </c>
      <c r="AK97">
        <v>0</v>
      </c>
      <c r="AL97">
        <v>0</v>
      </c>
      <c r="AM97">
        <v>1</v>
      </c>
      <c r="AN97">
        <v>1</v>
      </c>
      <c r="AO97">
        <v>45364</v>
      </c>
      <c r="AP97">
        <v>0</v>
      </c>
      <c r="AQ97">
        <v>0</v>
      </c>
      <c r="AR97">
        <v>2</v>
      </c>
      <c r="AS97">
        <v>0</v>
      </c>
      <c r="AX97">
        <v>0</v>
      </c>
      <c r="AY97">
        <v>0</v>
      </c>
      <c r="AZ97">
        <v>0</v>
      </c>
      <c r="BA97">
        <v>0</v>
      </c>
      <c r="BB97">
        <v>0</v>
      </c>
      <c r="BC97" t="s">
        <v>206</v>
      </c>
    </row>
    <row r="98" spans="1:55">
      <c r="A98">
        <v>128</v>
      </c>
      <c r="B98">
        <v>45365</v>
      </c>
      <c r="C98">
        <v>45377</v>
      </c>
      <c r="D98">
        <v>12</v>
      </c>
      <c r="E98">
        <v>54</v>
      </c>
      <c r="F98">
        <v>1</v>
      </c>
      <c r="G98">
        <v>2</v>
      </c>
      <c r="H98">
        <v>1</v>
      </c>
      <c r="I98">
        <v>0</v>
      </c>
      <c r="J98">
        <v>0</v>
      </c>
      <c r="K98">
        <v>0</v>
      </c>
      <c r="L98">
        <v>1</v>
      </c>
      <c r="M98">
        <v>0</v>
      </c>
      <c r="N98">
        <v>0</v>
      </c>
      <c r="P98" t="s">
        <v>179</v>
      </c>
      <c r="Q98">
        <v>0</v>
      </c>
      <c r="R98">
        <v>1</v>
      </c>
      <c r="S98">
        <v>45365</v>
      </c>
      <c r="T98">
        <v>45365</v>
      </c>
      <c r="U98">
        <v>0</v>
      </c>
      <c r="V98">
        <v>1</v>
      </c>
      <c r="W98">
        <v>0</v>
      </c>
      <c r="X98">
        <v>0</v>
      </c>
      <c r="Y98">
        <v>1</v>
      </c>
      <c r="Z98">
        <v>0</v>
      </c>
      <c r="AA98">
        <v>0</v>
      </c>
      <c r="AB98">
        <v>0</v>
      </c>
      <c r="AC98">
        <v>0</v>
      </c>
      <c r="AD98">
        <v>0</v>
      </c>
      <c r="AE98">
        <v>1</v>
      </c>
      <c r="AF98" t="s">
        <v>240</v>
      </c>
      <c r="AG98">
        <v>0</v>
      </c>
      <c r="AH98">
        <v>1</v>
      </c>
      <c r="AI98">
        <v>1</v>
      </c>
      <c r="AJ98">
        <v>1</v>
      </c>
      <c r="AK98">
        <v>0</v>
      </c>
      <c r="AL98">
        <v>0</v>
      </c>
      <c r="AM98">
        <v>1</v>
      </c>
      <c r="AN98">
        <v>1</v>
      </c>
      <c r="AO98">
        <v>45370</v>
      </c>
      <c r="AP98">
        <v>0</v>
      </c>
      <c r="AQ98">
        <v>0</v>
      </c>
      <c r="AR98">
        <v>5</v>
      </c>
      <c r="AS98">
        <v>0</v>
      </c>
      <c r="AX98">
        <v>0</v>
      </c>
      <c r="AY98">
        <v>0</v>
      </c>
      <c r="AZ98">
        <v>0</v>
      </c>
      <c r="BA98">
        <v>0</v>
      </c>
      <c r="BB98">
        <v>0</v>
      </c>
      <c r="BC98" t="s">
        <v>241</v>
      </c>
    </row>
    <row r="99" spans="1:55">
      <c r="A99">
        <v>131</v>
      </c>
      <c r="B99">
        <v>45368</v>
      </c>
      <c r="C99">
        <v>45376</v>
      </c>
      <c r="D99">
        <v>8</v>
      </c>
      <c r="E99">
        <v>23</v>
      </c>
      <c r="F99">
        <v>2</v>
      </c>
      <c r="G99">
        <v>2</v>
      </c>
      <c r="H99">
        <v>0</v>
      </c>
      <c r="I99">
        <v>0</v>
      </c>
      <c r="J99">
        <v>0</v>
      </c>
      <c r="K99">
        <v>0</v>
      </c>
      <c r="L99">
        <v>0</v>
      </c>
      <c r="M99">
        <v>0</v>
      </c>
      <c r="N99">
        <v>0</v>
      </c>
      <c r="P99" t="s">
        <v>179</v>
      </c>
      <c r="Q99">
        <v>0</v>
      </c>
      <c r="R99">
        <v>1</v>
      </c>
      <c r="S99">
        <v>45368</v>
      </c>
      <c r="T99">
        <v>45368</v>
      </c>
      <c r="U99">
        <v>0</v>
      </c>
      <c r="V99">
        <v>0</v>
      </c>
      <c r="W99">
        <v>0</v>
      </c>
      <c r="X99">
        <v>0</v>
      </c>
      <c r="Y99">
        <v>0</v>
      </c>
      <c r="Z99">
        <v>0</v>
      </c>
      <c r="AA99">
        <v>0</v>
      </c>
      <c r="AB99">
        <v>0</v>
      </c>
      <c r="AC99">
        <v>0</v>
      </c>
      <c r="AD99">
        <v>0</v>
      </c>
      <c r="AE99">
        <v>1</v>
      </c>
      <c r="AF99" t="s">
        <v>91</v>
      </c>
      <c r="AG99">
        <v>0</v>
      </c>
      <c r="AH99">
        <v>1</v>
      </c>
      <c r="AI99">
        <v>0</v>
      </c>
      <c r="AJ99">
        <v>0</v>
      </c>
      <c r="AK99">
        <v>1</v>
      </c>
      <c r="AL99">
        <v>0</v>
      </c>
      <c r="AM99">
        <v>1</v>
      </c>
      <c r="AN99">
        <v>1</v>
      </c>
      <c r="AO99">
        <v>45373</v>
      </c>
      <c r="AP99">
        <v>0</v>
      </c>
      <c r="AQ99">
        <v>0</v>
      </c>
      <c r="AR99">
        <v>5</v>
      </c>
      <c r="AS99">
        <v>0</v>
      </c>
      <c r="AX99">
        <v>0</v>
      </c>
      <c r="AY99">
        <v>0</v>
      </c>
      <c r="AZ99">
        <v>0</v>
      </c>
      <c r="BA99">
        <v>0</v>
      </c>
      <c r="BB99">
        <v>0</v>
      </c>
      <c r="BC99" t="s">
        <v>206</v>
      </c>
    </row>
    <row r="100" spans="1:55">
      <c r="A100">
        <v>132</v>
      </c>
      <c r="B100">
        <v>45363</v>
      </c>
      <c r="C100">
        <v>45401</v>
      </c>
      <c r="D100">
        <v>38</v>
      </c>
      <c r="E100">
        <v>41</v>
      </c>
      <c r="F100">
        <v>1</v>
      </c>
      <c r="G100">
        <v>3</v>
      </c>
      <c r="H100">
        <v>1</v>
      </c>
      <c r="I100">
        <v>0</v>
      </c>
      <c r="J100">
        <v>0</v>
      </c>
      <c r="K100">
        <v>0</v>
      </c>
      <c r="L100">
        <v>1</v>
      </c>
      <c r="M100">
        <v>0</v>
      </c>
      <c r="N100">
        <v>0</v>
      </c>
      <c r="P100" t="s">
        <v>179</v>
      </c>
      <c r="Q100">
        <v>0</v>
      </c>
      <c r="R100">
        <v>1</v>
      </c>
      <c r="S100">
        <v>45370</v>
      </c>
      <c r="T100">
        <v>45370</v>
      </c>
      <c r="U100">
        <v>0</v>
      </c>
      <c r="V100">
        <v>1</v>
      </c>
      <c r="W100">
        <v>0</v>
      </c>
      <c r="X100">
        <v>0</v>
      </c>
      <c r="Y100">
        <v>1</v>
      </c>
      <c r="Z100">
        <v>0</v>
      </c>
      <c r="AA100">
        <v>0</v>
      </c>
      <c r="AB100">
        <v>0</v>
      </c>
      <c r="AC100">
        <v>0</v>
      </c>
      <c r="AD100">
        <v>0</v>
      </c>
      <c r="AE100">
        <v>1</v>
      </c>
      <c r="AF100" t="s">
        <v>91</v>
      </c>
      <c r="AG100">
        <v>1</v>
      </c>
      <c r="AH100">
        <v>1</v>
      </c>
      <c r="AI100">
        <v>1</v>
      </c>
      <c r="AJ100">
        <v>1</v>
      </c>
      <c r="AK100">
        <v>0</v>
      </c>
      <c r="AL100">
        <v>0</v>
      </c>
      <c r="AM100">
        <v>1</v>
      </c>
      <c r="AN100">
        <v>1</v>
      </c>
      <c r="AO100">
        <v>45372</v>
      </c>
      <c r="AP100">
        <v>0</v>
      </c>
      <c r="AQ100">
        <v>0</v>
      </c>
      <c r="AR100">
        <v>9</v>
      </c>
      <c r="AS100">
        <v>0</v>
      </c>
      <c r="AX100">
        <v>0</v>
      </c>
      <c r="AY100">
        <v>0</v>
      </c>
      <c r="AZ100">
        <v>0</v>
      </c>
      <c r="BA100">
        <v>0</v>
      </c>
      <c r="BB100">
        <v>0</v>
      </c>
      <c r="BC100" t="s">
        <v>242</v>
      </c>
    </row>
    <row r="104" spans="1:55" ht="50.25" customHeight="1">
      <c r="B104" s="84" t="s">
        <v>360</v>
      </c>
      <c r="C104" s="84"/>
      <c r="D104" s="84"/>
      <c r="E104" s="84"/>
      <c r="G104" s="84" t="s">
        <v>361</v>
      </c>
      <c r="H104" s="84"/>
      <c r="I104" s="84"/>
      <c r="J104" s="84"/>
      <c r="L104" s="84" t="s">
        <v>362</v>
      </c>
      <c r="M104" s="84"/>
      <c r="N104" s="84"/>
      <c r="O104" s="84"/>
    </row>
    <row r="106" spans="1:55">
      <c r="B106" s="45" t="s">
        <v>326</v>
      </c>
      <c r="C106" s="45" t="s">
        <v>38</v>
      </c>
      <c r="G106" s="45" t="s">
        <v>326</v>
      </c>
      <c r="H106" s="45" t="s">
        <v>38</v>
      </c>
      <c r="L106" s="45" t="s">
        <v>326</v>
      </c>
      <c r="M106" s="45" t="s">
        <v>38</v>
      </c>
    </row>
    <row r="107" spans="1:55">
      <c r="B107" s="45" t="s">
        <v>284</v>
      </c>
      <c r="C107">
        <v>0</v>
      </c>
      <c r="D107">
        <v>1</v>
      </c>
      <c r="E107" t="s">
        <v>329</v>
      </c>
      <c r="G107" s="45" t="s">
        <v>285</v>
      </c>
      <c r="H107">
        <v>0</v>
      </c>
      <c r="I107">
        <v>1</v>
      </c>
      <c r="J107" t="s">
        <v>329</v>
      </c>
      <c r="L107" s="45" t="s">
        <v>39</v>
      </c>
      <c r="M107">
        <v>0</v>
      </c>
      <c r="N107">
        <v>1</v>
      </c>
      <c r="O107" t="s">
        <v>329</v>
      </c>
    </row>
    <row r="108" spans="1:55">
      <c r="B108">
        <v>0</v>
      </c>
      <c r="C108">
        <v>62</v>
      </c>
      <c r="D108">
        <v>24</v>
      </c>
      <c r="E108">
        <v>86</v>
      </c>
      <c r="G108">
        <v>0</v>
      </c>
      <c r="H108">
        <v>30</v>
      </c>
      <c r="I108">
        <v>12</v>
      </c>
      <c r="J108">
        <v>42</v>
      </c>
      <c r="L108">
        <v>0</v>
      </c>
      <c r="M108">
        <v>53</v>
      </c>
      <c r="N108">
        <v>26</v>
      </c>
      <c r="O108">
        <v>79</v>
      </c>
    </row>
    <row r="109" spans="1:55">
      <c r="B109">
        <v>1</v>
      </c>
      <c r="C109">
        <v>7</v>
      </c>
      <c r="D109">
        <v>6</v>
      </c>
      <c r="E109">
        <v>13</v>
      </c>
      <c r="G109">
        <v>1</v>
      </c>
      <c r="H109">
        <v>39</v>
      </c>
      <c r="I109">
        <v>18</v>
      </c>
      <c r="J109">
        <v>57</v>
      </c>
      <c r="L109">
        <v>1</v>
      </c>
      <c r="M109">
        <v>16</v>
      </c>
      <c r="N109">
        <v>4</v>
      </c>
      <c r="O109">
        <v>20</v>
      </c>
    </row>
    <row r="110" spans="1:55">
      <c r="B110" t="s">
        <v>329</v>
      </c>
      <c r="C110">
        <v>69</v>
      </c>
      <c r="D110">
        <v>30</v>
      </c>
      <c r="E110">
        <v>99</v>
      </c>
      <c r="G110" t="s">
        <v>329</v>
      </c>
      <c r="H110">
        <v>69</v>
      </c>
      <c r="I110">
        <v>30</v>
      </c>
      <c r="J110">
        <v>99</v>
      </c>
      <c r="L110" t="s">
        <v>329</v>
      </c>
      <c r="M110">
        <v>69</v>
      </c>
      <c r="N110">
        <v>30</v>
      </c>
      <c r="O110">
        <v>99</v>
      </c>
    </row>
    <row r="113" spans="2:14">
      <c r="B113" s="46"/>
      <c r="C113" s="46">
        <v>0</v>
      </c>
      <c r="D113" s="46">
        <v>1</v>
      </c>
      <c r="G113" s="46"/>
      <c r="H113" s="46">
        <v>0</v>
      </c>
      <c r="I113" s="46">
        <v>1</v>
      </c>
      <c r="L113" s="46"/>
      <c r="M113" s="46">
        <v>0</v>
      </c>
      <c r="N113" s="46">
        <v>1</v>
      </c>
    </row>
    <row r="114" spans="2:14">
      <c r="B114">
        <v>0</v>
      </c>
      <c r="C114">
        <f>(C110*E108)/E110</f>
        <v>59.939393939393938</v>
      </c>
      <c r="D114">
        <f>(E108*D110)/E110</f>
        <v>26.060606060606062</v>
      </c>
      <c r="G114">
        <v>0</v>
      </c>
      <c r="H114">
        <f>(H110*J108)/J110</f>
        <v>29.272727272727273</v>
      </c>
      <c r="I114">
        <f>(J108*I110)/J110</f>
        <v>12.727272727272727</v>
      </c>
      <c r="L114">
        <v>0</v>
      </c>
      <c r="M114">
        <f>(M110*O108)/O110</f>
        <v>55.060606060606062</v>
      </c>
      <c r="N114">
        <f>(O108*N110)/O110</f>
        <v>23.939393939393938</v>
      </c>
    </row>
    <row r="115" spans="2:14">
      <c r="B115">
        <v>1</v>
      </c>
      <c r="C115">
        <f>(C110*E109)/E110</f>
        <v>9.0606060606060606</v>
      </c>
      <c r="D115">
        <f>(D110*E109)/E110</f>
        <v>3.9393939393939394</v>
      </c>
      <c r="G115">
        <v>1</v>
      </c>
      <c r="H115">
        <f>(H110*J109)/J110</f>
        <v>39.727272727272727</v>
      </c>
      <c r="I115">
        <f>(I110*J109)/J110</f>
        <v>17.272727272727273</v>
      </c>
      <c r="L115">
        <v>1</v>
      </c>
      <c r="M115">
        <f>(M110*O109)/O110</f>
        <v>13.939393939393939</v>
      </c>
      <c r="N115">
        <f>(N110*O109)/O110</f>
        <v>6.0606060606060606</v>
      </c>
    </row>
    <row r="117" spans="2:14">
      <c r="B117">
        <f>_xlfn.CHISQ.TEST(C108:D109,C114:D115)</f>
        <v>0.18211743010514442</v>
      </c>
      <c r="G117">
        <f>_xlfn.CHISQ.TEST(H108:I109,H114:I115)</f>
        <v>0.7475947783871032</v>
      </c>
      <c r="L117">
        <f>_xlfn.CHISQ.TEST(M108:N109,M114:N115)</f>
        <v>0.26170735269387324</v>
      </c>
    </row>
  </sheetData>
  <mergeCells count="3">
    <mergeCell ref="B104:E104"/>
    <mergeCell ref="G104:J104"/>
    <mergeCell ref="L104:O10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2C91F-AD35-4502-AEA0-0A5DDE0B2F53}">
  <dimension ref="A1:EI135"/>
  <sheetViews>
    <sheetView tabSelected="1" workbookViewId="0">
      <selection activeCell="DE14" sqref="DE14"/>
    </sheetView>
  </sheetViews>
  <sheetFormatPr defaultRowHeight="15"/>
  <cols>
    <col min="1" max="135" width="9.140625" customWidth="1"/>
    <col min="136" max="136" width="17.5703125" customWidth="1"/>
    <col min="137" max="137" width="13" customWidth="1"/>
    <col min="138" max="138" width="3.28515625" customWidth="1"/>
    <col min="139" max="139" width="11.42578125" customWidth="1"/>
    <col min="140" max="140" width="9.140625" customWidth="1"/>
  </cols>
  <sheetData>
    <row r="1" spans="1:139" ht="54.75" customHeight="1">
      <c r="A1" s="84" t="s">
        <v>363</v>
      </c>
      <c r="B1" s="84"/>
      <c r="C1" s="84"/>
      <c r="D1" s="84"/>
      <c r="F1" s="84" t="s">
        <v>364</v>
      </c>
      <c r="G1" s="84"/>
      <c r="H1" s="84"/>
      <c r="I1" s="84"/>
      <c r="K1" s="85" t="s">
        <v>365</v>
      </c>
      <c r="L1" s="86"/>
      <c r="M1" s="86"/>
      <c r="N1" s="87"/>
      <c r="P1" s="84" t="s">
        <v>366</v>
      </c>
      <c r="Q1" s="84"/>
      <c r="R1" s="84"/>
      <c r="S1" s="84"/>
      <c r="U1" s="84" t="s">
        <v>367</v>
      </c>
      <c r="V1" s="84"/>
      <c r="W1" s="84"/>
      <c r="X1" s="84"/>
      <c r="Z1" s="81" t="s">
        <v>368</v>
      </c>
      <c r="AA1" s="82"/>
      <c r="AB1" s="82"/>
      <c r="AC1" s="83"/>
      <c r="AE1" s="85" t="s">
        <v>369</v>
      </c>
      <c r="AF1" s="86"/>
      <c r="AG1" s="86"/>
      <c r="AH1" s="87"/>
      <c r="AJ1" s="85" t="s">
        <v>370</v>
      </c>
      <c r="AK1" s="86"/>
      <c r="AL1" s="86"/>
      <c r="AM1" s="87"/>
      <c r="AO1" s="84" t="s">
        <v>371</v>
      </c>
      <c r="AP1" s="84"/>
      <c r="AQ1" s="84"/>
      <c r="AR1" s="84"/>
      <c r="AT1" s="84" t="s">
        <v>372</v>
      </c>
      <c r="AU1" s="84"/>
      <c r="AV1" s="84"/>
      <c r="AW1" s="84"/>
      <c r="AY1" s="84" t="s">
        <v>373</v>
      </c>
      <c r="AZ1" s="84"/>
      <c r="BA1" s="84"/>
      <c r="BB1" s="84"/>
      <c r="BD1" s="84" t="s">
        <v>374</v>
      </c>
      <c r="BE1" s="84"/>
      <c r="BF1" s="84"/>
      <c r="BG1" s="84"/>
      <c r="BI1" s="84" t="s">
        <v>375</v>
      </c>
      <c r="BJ1" s="84"/>
      <c r="BK1" s="84"/>
      <c r="BL1" s="84"/>
      <c r="BN1" s="84" t="s">
        <v>376</v>
      </c>
      <c r="BO1" s="84"/>
      <c r="BP1" s="84"/>
      <c r="BQ1" s="84"/>
      <c r="BS1" s="84" t="s">
        <v>377</v>
      </c>
      <c r="BT1" s="84"/>
      <c r="BU1" s="84"/>
      <c r="BV1" s="84"/>
      <c r="BX1" s="85" t="s">
        <v>378</v>
      </c>
      <c r="BY1" s="86"/>
      <c r="BZ1" s="86"/>
      <c r="CA1" s="87"/>
      <c r="CC1" s="84" t="s">
        <v>379</v>
      </c>
      <c r="CD1" s="84"/>
      <c r="CE1" s="84"/>
      <c r="CF1" s="84"/>
      <c r="CH1" s="84" t="s">
        <v>380</v>
      </c>
      <c r="CI1" s="84"/>
      <c r="CJ1" s="84"/>
      <c r="CK1" s="84"/>
      <c r="CM1" s="85" t="s">
        <v>381</v>
      </c>
      <c r="CN1" s="86"/>
      <c r="CO1" s="86"/>
      <c r="CP1" s="87"/>
      <c r="CR1" s="84" t="s">
        <v>382</v>
      </c>
      <c r="CS1" s="84"/>
      <c r="CT1" s="84"/>
      <c r="CU1" s="84"/>
      <c r="CW1" s="84" t="s">
        <v>383</v>
      </c>
      <c r="CX1" s="84"/>
      <c r="CY1" s="84"/>
      <c r="CZ1" s="84"/>
      <c r="DB1" s="85" t="s">
        <v>384</v>
      </c>
      <c r="DC1" s="86"/>
      <c r="DD1" s="86"/>
      <c r="DE1" s="87"/>
      <c r="DG1" s="85" t="s">
        <v>385</v>
      </c>
      <c r="DH1" s="86"/>
      <c r="DI1" s="86"/>
      <c r="DJ1" s="87"/>
      <c r="DL1" s="85" t="s">
        <v>386</v>
      </c>
      <c r="DM1" s="86"/>
      <c r="DN1" s="86"/>
      <c r="DO1" s="87"/>
      <c r="DQ1" s="84" t="s">
        <v>387</v>
      </c>
      <c r="DR1" s="84"/>
      <c r="DS1" s="84"/>
      <c r="DT1" s="84"/>
      <c r="DV1" s="84" t="s">
        <v>388</v>
      </c>
      <c r="DW1" s="84"/>
      <c r="DX1" s="84"/>
      <c r="DY1" s="84"/>
      <c r="EA1" s="84" t="s">
        <v>389</v>
      </c>
      <c r="EB1" s="84"/>
      <c r="EC1" s="84"/>
      <c r="ED1" s="84"/>
      <c r="EF1" s="85" t="s">
        <v>390</v>
      </c>
      <c r="EG1" s="86"/>
      <c r="EH1" s="86"/>
      <c r="EI1" s="87"/>
    </row>
    <row r="2" spans="1:139">
      <c r="K2" s="67"/>
      <c r="N2" s="66"/>
      <c r="Z2" s="56"/>
      <c r="AC2" s="55"/>
      <c r="AE2" s="67"/>
      <c r="AH2" s="66"/>
      <c r="AJ2" s="67"/>
      <c r="AM2" s="66"/>
      <c r="BX2" s="67"/>
      <c r="CA2" s="66"/>
      <c r="CM2" s="67"/>
      <c r="CP2" s="66"/>
      <c r="DB2" s="67"/>
      <c r="DE2" s="66"/>
      <c r="DG2" s="67"/>
      <c r="DJ2" s="66"/>
      <c r="DL2" s="67"/>
      <c r="DO2" s="66"/>
      <c r="EF2" s="67"/>
      <c r="EI2" s="66"/>
    </row>
    <row r="3" spans="1:139">
      <c r="A3" s="45" t="s">
        <v>326</v>
      </c>
      <c r="B3" s="45" t="s">
        <v>39</v>
      </c>
      <c r="F3" s="45" t="s">
        <v>326</v>
      </c>
      <c r="G3" s="45" t="s">
        <v>39</v>
      </c>
      <c r="K3" s="65" t="s">
        <v>326</v>
      </c>
      <c r="L3" s="45" t="s">
        <v>39</v>
      </c>
      <c r="N3" s="66"/>
      <c r="P3" s="45" t="s">
        <v>326</v>
      </c>
      <c r="Q3" s="45" t="s">
        <v>39</v>
      </c>
      <c r="U3" s="45" t="s">
        <v>326</v>
      </c>
      <c r="V3" s="45" t="s">
        <v>39</v>
      </c>
      <c r="Z3" s="62" t="s">
        <v>326</v>
      </c>
      <c r="AA3" s="45" t="s">
        <v>39</v>
      </c>
      <c r="AC3" s="55"/>
      <c r="AE3" s="65" t="s">
        <v>326</v>
      </c>
      <c r="AF3" s="45" t="s">
        <v>39</v>
      </c>
      <c r="AH3" s="66"/>
      <c r="AJ3" s="65" t="s">
        <v>326</v>
      </c>
      <c r="AK3" s="45" t="s">
        <v>39</v>
      </c>
      <c r="AM3" s="66"/>
      <c r="AO3" s="45" t="s">
        <v>326</v>
      </c>
      <c r="AP3" s="45" t="s">
        <v>39</v>
      </c>
      <c r="AT3" s="45" t="s">
        <v>326</v>
      </c>
      <c r="AU3" s="45" t="s">
        <v>39</v>
      </c>
      <c r="AY3" s="45" t="s">
        <v>326</v>
      </c>
      <c r="AZ3" s="45" t="s">
        <v>39</v>
      </c>
      <c r="BD3" s="45" t="s">
        <v>326</v>
      </c>
      <c r="BE3" s="45" t="s">
        <v>39</v>
      </c>
      <c r="BI3" s="45" t="s">
        <v>326</v>
      </c>
      <c r="BJ3" s="45" t="s">
        <v>39</v>
      </c>
      <c r="BN3" s="45" t="s">
        <v>326</v>
      </c>
      <c r="BO3" s="45" t="s">
        <v>39</v>
      </c>
      <c r="BS3" s="45" t="s">
        <v>326</v>
      </c>
      <c r="BT3" s="45" t="s">
        <v>39</v>
      </c>
      <c r="BX3" s="65" t="s">
        <v>326</v>
      </c>
      <c r="BY3" s="45" t="s">
        <v>39</v>
      </c>
      <c r="CA3" s="66"/>
      <c r="CC3" s="45" t="s">
        <v>326</v>
      </c>
      <c r="CD3" s="45" t="s">
        <v>39</v>
      </c>
      <c r="CH3" s="45" t="s">
        <v>326</v>
      </c>
      <c r="CI3" s="45" t="s">
        <v>39</v>
      </c>
      <c r="CM3" s="65" t="s">
        <v>326</v>
      </c>
      <c r="CN3" s="45" t="s">
        <v>39</v>
      </c>
      <c r="CP3" s="66"/>
      <c r="CR3" s="45" t="s">
        <v>326</v>
      </c>
      <c r="CS3" s="45" t="s">
        <v>39</v>
      </c>
      <c r="CW3" s="45" t="s">
        <v>326</v>
      </c>
      <c r="CX3" s="45" t="s">
        <v>39</v>
      </c>
      <c r="DB3" s="65" t="s">
        <v>326</v>
      </c>
      <c r="DC3" s="45" t="s">
        <v>39</v>
      </c>
      <c r="DE3" s="66"/>
      <c r="DG3" s="65" t="s">
        <v>326</v>
      </c>
      <c r="DH3" s="45" t="s">
        <v>39</v>
      </c>
      <c r="DJ3" s="66"/>
      <c r="DL3" s="65" t="s">
        <v>326</v>
      </c>
      <c r="DM3" s="45" t="s">
        <v>39</v>
      </c>
      <c r="DO3" s="66"/>
      <c r="DQ3" s="45" t="s">
        <v>326</v>
      </c>
      <c r="DR3" s="45" t="s">
        <v>39</v>
      </c>
      <c r="DV3" s="45" t="s">
        <v>326</v>
      </c>
      <c r="DW3" s="45" t="s">
        <v>39</v>
      </c>
      <c r="EA3" s="45" t="s">
        <v>326</v>
      </c>
      <c r="EB3" s="45" t="s">
        <v>39</v>
      </c>
      <c r="EF3" s="65" t="s">
        <v>326</v>
      </c>
      <c r="EG3" s="45" t="s">
        <v>35</v>
      </c>
      <c r="EI3" s="66"/>
    </row>
    <row r="4" spans="1:139">
      <c r="A4" s="45" t="s">
        <v>7</v>
      </c>
      <c r="B4">
        <v>0</v>
      </c>
      <c r="C4">
        <v>1</v>
      </c>
      <c r="D4" t="s">
        <v>329</v>
      </c>
      <c r="F4" s="45" t="s">
        <v>20</v>
      </c>
      <c r="G4">
        <v>0</v>
      </c>
      <c r="H4">
        <v>1</v>
      </c>
      <c r="I4" t="s">
        <v>329</v>
      </c>
      <c r="K4" s="65" t="s">
        <v>33</v>
      </c>
      <c r="L4">
        <v>0</v>
      </c>
      <c r="M4">
        <v>1</v>
      </c>
      <c r="N4" s="66" t="s">
        <v>329</v>
      </c>
      <c r="P4" s="45" t="s">
        <v>34</v>
      </c>
      <c r="Q4">
        <v>0</v>
      </c>
      <c r="R4">
        <v>1</v>
      </c>
      <c r="S4" t="s">
        <v>329</v>
      </c>
      <c r="U4" s="45" t="s">
        <v>295</v>
      </c>
      <c r="V4">
        <v>0</v>
      </c>
      <c r="W4">
        <v>1</v>
      </c>
      <c r="X4" t="s">
        <v>329</v>
      </c>
      <c r="Z4" s="62" t="s">
        <v>296</v>
      </c>
      <c r="AA4">
        <v>0</v>
      </c>
      <c r="AB4">
        <v>1</v>
      </c>
      <c r="AC4" s="55" t="s">
        <v>329</v>
      </c>
      <c r="AE4" s="65" t="s">
        <v>31</v>
      </c>
      <c r="AF4">
        <v>0</v>
      </c>
      <c r="AG4">
        <v>1</v>
      </c>
      <c r="AH4" s="66" t="s">
        <v>329</v>
      </c>
      <c r="AJ4" s="65" t="s">
        <v>16</v>
      </c>
      <c r="AK4">
        <v>0</v>
      </c>
      <c r="AL4">
        <v>1</v>
      </c>
      <c r="AM4" s="66" t="s">
        <v>329</v>
      </c>
      <c r="AO4" s="45" t="s">
        <v>44</v>
      </c>
      <c r="AP4">
        <v>0</v>
      </c>
      <c r="AQ4">
        <v>1</v>
      </c>
      <c r="AR4" t="s">
        <v>329</v>
      </c>
      <c r="AT4" s="45" t="s">
        <v>32</v>
      </c>
      <c r="AU4">
        <v>0</v>
      </c>
      <c r="AV4">
        <v>1</v>
      </c>
      <c r="AW4" t="s">
        <v>329</v>
      </c>
      <c r="AY4" s="45" t="s">
        <v>286</v>
      </c>
      <c r="AZ4">
        <v>0</v>
      </c>
      <c r="BA4">
        <v>1</v>
      </c>
      <c r="BB4" t="s">
        <v>329</v>
      </c>
      <c r="BD4" s="45" t="s">
        <v>284</v>
      </c>
      <c r="BE4">
        <v>0</v>
      </c>
      <c r="BF4">
        <v>1</v>
      </c>
      <c r="BG4" t="s">
        <v>329</v>
      </c>
      <c r="BI4" s="45" t="s">
        <v>297</v>
      </c>
      <c r="BJ4">
        <v>0</v>
      </c>
      <c r="BK4">
        <v>1</v>
      </c>
      <c r="BL4" t="s">
        <v>329</v>
      </c>
      <c r="BN4" s="45" t="s">
        <v>280</v>
      </c>
      <c r="BO4">
        <v>0</v>
      </c>
      <c r="BP4">
        <v>1</v>
      </c>
      <c r="BQ4" t="s">
        <v>329</v>
      </c>
      <c r="BS4" s="45" t="s">
        <v>281</v>
      </c>
      <c r="BT4">
        <v>0</v>
      </c>
      <c r="BU4">
        <v>1</v>
      </c>
      <c r="BV4" t="s">
        <v>329</v>
      </c>
      <c r="BX4" s="65" t="s">
        <v>276</v>
      </c>
      <c r="BY4">
        <v>0</v>
      </c>
      <c r="BZ4">
        <v>1</v>
      </c>
      <c r="CA4" s="66" t="s">
        <v>329</v>
      </c>
      <c r="CC4" s="45" t="s">
        <v>277</v>
      </c>
      <c r="CD4">
        <v>0</v>
      </c>
      <c r="CE4">
        <v>1</v>
      </c>
      <c r="CF4" t="s">
        <v>329</v>
      </c>
      <c r="CH4" s="45" t="s">
        <v>278</v>
      </c>
      <c r="CI4">
        <v>0</v>
      </c>
      <c r="CJ4">
        <v>1</v>
      </c>
      <c r="CK4" t="s">
        <v>329</v>
      </c>
      <c r="CM4" s="65" t="s">
        <v>279</v>
      </c>
      <c r="CN4">
        <v>0</v>
      </c>
      <c r="CO4">
        <v>1</v>
      </c>
      <c r="CP4" s="66" t="s">
        <v>329</v>
      </c>
      <c r="CR4" s="45" t="s">
        <v>5</v>
      </c>
      <c r="CS4">
        <v>0</v>
      </c>
      <c r="CT4">
        <v>1</v>
      </c>
      <c r="CU4" t="s">
        <v>329</v>
      </c>
      <c r="CW4" s="45" t="s">
        <v>6</v>
      </c>
      <c r="CX4">
        <v>0</v>
      </c>
      <c r="CY4">
        <v>1</v>
      </c>
      <c r="CZ4" t="s">
        <v>329</v>
      </c>
      <c r="DB4" s="65" t="s">
        <v>9</v>
      </c>
      <c r="DC4">
        <v>0</v>
      </c>
      <c r="DD4">
        <v>1</v>
      </c>
      <c r="DE4" s="66" t="s">
        <v>329</v>
      </c>
      <c r="DG4" s="65" t="s">
        <v>10</v>
      </c>
      <c r="DH4">
        <v>0</v>
      </c>
      <c r="DI4">
        <v>1</v>
      </c>
      <c r="DJ4" s="66" t="s">
        <v>329</v>
      </c>
      <c r="DL4" s="65" t="s">
        <v>8</v>
      </c>
      <c r="DM4">
        <v>0</v>
      </c>
      <c r="DN4">
        <v>1</v>
      </c>
      <c r="DO4" s="66" t="s">
        <v>329</v>
      </c>
      <c r="DQ4" s="45" t="s">
        <v>11</v>
      </c>
      <c r="DR4">
        <v>0</v>
      </c>
      <c r="DS4">
        <v>1</v>
      </c>
      <c r="DT4" t="s">
        <v>329</v>
      </c>
      <c r="DV4" s="45" t="s">
        <v>13</v>
      </c>
      <c r="DW4">
        <v>0</v>
      </c>
      <c r="DX4">
        <v>1</v>
      </c>
      <c r="DY4" t="s">
        <v>329</v>
      </c>
      <c r="EA4" s="45" t="s">
        <v>12</v>
      </c>
      <c r="EB4">
        <v>0</v>
      </c>
      <c r="EC4">
        <v>1</v>
      </c>
      <c r="ED4" t="s">
        <v>329</v>
      </c>
      <c r="EF4" s="65" t="s">
        <v>279</v>
      </c>
      <c r="EG4">
        <v>0</v>
      </c>
      <c r="EH4">
        <v>1</v>
      </c>
      <c r="EI4" s="66" t="s">
        <v>329</v>
      </c>
    </row>
    <row r="5" spans="1:139">
      <c r="A5">
        <v>0</v>
      </c>
      <c r="B5">
        <v>60</v>
      </c>
      <c r="C5">
        <v>7</v>
      </c>
      <c r="D5">
        <v>67</v>
      </c>
      <c r="F5">
        <v>0</v>
      </c>
      <c r="G5">
        <v>68</v>
      </c>
      <c r="H5">
        <v>11</v>
      </c>
      <c r="I5">
        <v>79</v>
      </c>
      <c r="K5" s="67">
        <v>0</v>
      </c>
      <c r="L5">
        <v>10</v>
      </c>
      <c r="M5" s="61">
        <v>5</v>
      </c>
      <c r="N5" s="66">
        <v>15</v>
      </c>
      <c r="P5">
        <v>0</v>
      </c>
      <c r="Q5">
        <v>16</v>
      </c>
      <c r="R5" s="9">
        <v>2</v>
      </c>
      <c r="S5">
        <v>18</v>
      </c>
      <c r="U5">
        <v>0</v>
      </c>
      <c r="V5">
        <v>102</v>
      </c>
      <c r="W5">
        <v>17</v>
      </c>
      <c r="X5">
        <v>119</v>
      </c>
      <c r="Z5" s="56">
        <v>0</v>
      </c>
      <c r="AA5">
        <v>23</v>
      </c>
      <c r="AB5">
        <v>6</v>
      </c>
      <c r="AC5" s="55">
        <v>29</v>
      </c>
      <c r="AE5" s="67">
        <v>0</v>
      </c>
      <c r="AF5">
        <v>74</v>
      </c>
      <c r="AG5">
        <v>5</v>
      </c>
      <c r="AH5" s="66">
        <v>79</v>
      </c>
      <c r="AJ5" s="67">
        <v>0</v>
      </c>
      <c r="AK5">
        <v>80</v>
      </c>
      <c r="AL5">
        <v>6</v>
      </c>
      <c r="AM5" s="66">
        <v>86</v>
      </c>
      <c r="AO5">
        <v>0</v>
      </c>
      <c r="AP5">
        <v>90</v>
      </c>
      <c r="AQ5">
        <v>19</v>
      </c>
      <c r="AR5">
        <v>109</v>
      </c>
      <c r="AT5">
        <v>0</v>
      </c>
      <c r="AU5">
        <v>58</v>
      </c>
      <c r="AV5">
        <v>3</v>
      </c>
      <c r="AW5">
        <v>61</v>
      </c>
      <c r="AY5">
        <v>0</v>
      </c>
      <c r="AZ5">
        <v>101</v>
      </c>
      <c r="BA5">
        <v>12</v>
      </c>
      <c r="BB5">
        <v>113</v>
      </c>
      <c r="BD5">
        <v>0</v>
      </c>
      <c r="BE5">
        <v>104</v>
      </c>
      <c r="BF5">
        <v>17</v>
      </c>
      <c r="BG5">
        <v>121</v>
      </c>
      <c r="BI5">
        <v>0</v>
      </c>
      <c r="BJ5">
        <v>74</v>
      </c>
      <c r="BK5">
        <v>1</v>
      </c>
      <c r="BL5">
        <v>75</v>
      </c>
      <c r="BN5">
        <v>0</v>
      </c>
      <c r="BO5">
        <v>68</v>
      </c>
      <c r="BP5">
        <v>8</v>
      </c>
      <c r="BQ5">
        <v>76</v>
      </c>
      <c r="BS5">
        <v>0</v>
      </c>
      <c r="BT5">
        <v>103</v>
      </c>
      <c r="BU5">
        <v>16</v>
      </c>
      <c r="BV5">
        <v>119</v>
      </c>
      <c r="BX5" s="67">
        <v>0</v>
      </c>
      <c r="BY5">
        <v>88</v>
      </c>
      <c r="BZ5">
        <v>8</v>
      </c>
      <c r="CA5" s="66">
        <v>96</v>
      </c>
      <c r="CC5">
        <v>0</v>
      </c>
      <c r="CD5">
        <v>100</v>
      </c>
      <c r="CE5">
        <v>17</v>
      </c>
      <c r="CF5">
        <v>117</v>
      </c>
      <c r="CH5">
        <v>0</v>
      </c>
      <c r="CI5">
        <v>102</v>
      </c>
      <c r="CJ5">
        <v>20</v>
      </c>
      <c r="CK5">
        <v>122</v>
      </c>
      <c r="CM5" s="67">
        <v>0</v>
      </c>
      <c r="CN5">
        <v>49</v>
      </c>
      <c r="CO5">
        <v>18</v>
      </c>
      <c r="CP5" s="66">
        <v>67</v>
      </c>
      <c r="CR5">
        <v>1</v>
      </c>
      <c r="CS5">
        <v>57</v>
      </c>
      <c r="CT5">
        <v>11</v>
      </c>
      <c r="CU5">
        <v>68</v>
      </c>
      <c r="CW5">
        <v>2</v>
      </c>
      <c r="CX5">
        <v>82</v>
      </c>
      <c r="CY5">
        <v>15</v>
      </c>
      <c r="CZ5">
        <v>97</v>
      </c>
      <c r="DB5" s="67">
        <v>0</v>
      </c>
      <c r="DC5">
        <v>111</v>
      </c>
      <c r="DD5">
        <v>18</v>
      </c>
      <c r="DE5" s="66">
        <v>129</v>
      </c>
      <c r="DG5" s="67">
        <v>0</v>
      </c>
      <c r="DH5">
        <v>106</v>
      </c>
      <c r="DI5">
        <v>17</v>
      </c>
      <c r="DJ5" s="66">
        <v>123</v>
      </c>
      <c r="DL5" s="67">
        <v>0</v>
      </c>
      <c r="DM5">
        <v>111</v>
      </c>
      <c r="DN5">
        <v>18</v>
      </c>
      <c r="DO5" s="66">
        <v>129</v>
      </c>
      <c r="DQ5">
        <v>0</v>
      </c>
      <c r="DR5">
        <v>92</v>
      </c>
      <c r="DS5">
        <v>20</v>
      </c>
      <c r="DT5">
        <v>112</v>
      </c>
      <c r="DV5">
        <v>0</v>
      </c>
      <c r="DW5">
        <v>69</v>
      </c>
      <c r="DX5">
        <v>11</v>
      </c>
      <c r="DY5">
        <v>80</v>
      </c>
      <c r="EA5">
        <v>0</v>
      </c>
      <c r="EB5">
        <v>111</v>
      </c>
      <c r="EC5">
        <v>21</v>
      </c>
      <c r="ED5">
        <v>132</v>
      </c>
      <c r="EF5" s="67">
        <v>0</v>
      </c>
      <c r="EG5">
        <v>3</v>
      </c>
      <c r="EH5">
        <v>64</v>
      </c>
      <c r="EI5" s="66">
        <v>67</v>
      </c>
    </row>
    <row r="6" spans="1:139">
      <c r="A6">
        <v>1</v>
      </c>
      <c r="B6">
        <v>53</v>
      </c>
      <c r="C6">
        <v>14</v>
      </c>
      <c r="D6">
        <v>67</v>
      </c>
      <c r="F6">
        <v>1</v>
      </c>
      <c r="G6">
        <v>45</v>
      </c>
      <c r="H6">
        <v>10</v>
      </c>
      <c r="I6">
        <v>55</v>
      </c>
      <c r="K6" s="67">
        <v>1</v>
      </c>
      <c r="L6">
        <v>103</v>
      </c>
      <c r="M6">
        <v>16</v>
      </c>
      <c r="N6" s="66">
        <v>119</v>
      </c>
      <c r="P6">
        <v>1</v>
      </c>
      <c r="Q6">
        <v>97</v>
      </c>
      <c r="R6">
        <v>19</v>
      </c>
      <c r="S6">
        <v>116</v>
      </c>
      <c r="U6">
        <v>1</v>
      </c>
      <c r="V6">
        <v>11</v>
      </c>
      <c r="W6">
        <v>4</v>
      </c>
      <c r="X6">
        <v>15</v>
      </c>
      <c r="Z6" s="56">
        <v>1</v>
      </c>
      <c r="AA6">
        <v>90</v>
      </c>
      <c r="AB6">
        <v>15</v>
      </c>
      <c r="AC6" s="55">
        <v>105</v>
      </c>
      <c r="AE6" s="67">
        <v>1</v>
      </c>
      <c r="AF6">
        <v>39</v>
      </c>
      <c r="AG6" s="61">
        <v>16</v>
      </c>
      <c r="AH6" s="66">
        <v>55</v>
      </c>
      <c r="AJ6" s="67">
        <v>1</v>
      </c>
      <c r="AK6">
        <v>33</v>
      </c>
      <c r="AL6" s="61">
        <v>15</v>
      </c>
      <c r="AM6" s="66">
        <v>48</v>
      </c>
      <c r="AO6">
        <v>1</v>
      </c>
      <c r="AP6">
        <v>23</v>
      </c>
      <c r="AQ6">
        <v>2</v>
      </c>
      <c r="AR6">
        <v>25</v>
      </c>
      <c r="AT6">
        <v>1</v>
      </c>
      <c r="AU6">
        <v>55</v>
      </c>
      <c r="AV6" s="61">
        <v>18</v>
      </c>
      <c r="AW6">
        <v>73</v>
      </c>
      <c r="AY6">
        <v>1</v>
      </c>
      <c r="AZ6">
        <v>12</v>
      </c>
      <c r="BA6">
        <v>9</v>
      </c>
      <c r="BB6">
        <v>21</v>
      </c>
      <c r="BD6">
        <v>1</v>
      </c>
      <c r="BE6">
        <v>9</v>
      </c>
      <c r="BF6">
        <v>4</v>
      </c>
      <c r="BG6">
        <v>13</v>
      </c>
      <c r="BI6">
        <v>1</v>
      </c>
      <c r="BJ6">
        <v>39</v>
      </c>
      <c r="BK6">
        <v>20</v>
      </c>
      <c r="BL6">
        <v>59</v>
      </c>
      <c r="BN6">
        <v>1</v>
      </c>
      <c r="BO6">
        <v>45</v>
      </c>
      <c r="BP6">
        <v>13</v>
      </c>
      <c r="BQ6">
        <v>58</v>
      </c>
      <c r="BS6">
        <v>1</v>
      </c>
      <c r="BT6">
        <v>10</v>
      </c>
      <c r="BU6">
        <v>5</v>
      </c>
      <c r="BV6">
        <v>15</v>
      </c>
      <c r="BX6" s="67">
        <v>1</v>
      </c>
      <c r="BY6">
        <v>25</v>
      </c>
      <c r="BZ6">
        <v>13</v>
      </c>
      <c r="CA6" s="66">
        <v>38</v>
      </c>
      <c r="CC6">
        <v>1</v>
      </c>
      <c r="CD6">
        <v>13</v>
      </c>
      <c r="CE6">
        <v>4</v>
      </c>
      <c r="CF6">
        <v>17</v>
      </c>
      <c r="CH6">
        <v>1</v>
      </c>
      <c r="CI6">
        <v>11</v>
      </c>
      <c r="CJ6">
        <v>1</v>
      </c>
      <c r="CK6">
        <v>12</v>
      </c>
      <c r="CM6" s="67">
        <v>1</v>
      </c>
      <c r="CN6">
        <v>64</v>
      </c>
      <c r="CO6">
        <v>3</v>
      </c>
      <c r="CP6" s="66">
        <v>67</v>
      </c>
      <c r="CR6">
        <v>2</v>
      </c>
      <c r="CS6">
        <v>56</v>
      </c>
      <c r="CT6">
        <v>10</v>
      </c>
      <c r="CU6">
        <v>66</v>
      </c>
      <c r="CW6">
        <v>3</v>
      </c>
      <c r="CX6">
        <v>23</v>
      </c>
      <c r="CY6">
        <v>5</v>
      </c>
      <c r="CZ6">
        <v>28</v>
      </c>
      <c r="DB6" s="67">
        <v>1</v>
      </c>
      <c r="DC6">
        <v>2</v>
      </c>
      <c r="DD6">
        <v>3</v>
      </c>
      <c r="DE6" s="66">
        <v>5</v>
      </c>
      <c r="DG6" s="67">
        <v>1</v>
      </c>
      <c r="DH6">
        <v>7</v>
      </c>
      <c r="DI6">
        <v>4</v>
      </c>
      <c r="DJ6" s="66">
        <v>11</v>
      </c>
      <c r="DL6" s="67">
        <v>1</v>
      </c>
      <c r="DM6">
        <v>2</v>
      </c>
      <c r="DN6">
        <v>3</v>
      </c>
      <c r="DO6" s="66">
        <v>5</v>
      </c>
      <c r="DQ6">
        <v>1</v>
      </c>
      <c r="DR6">
        <v>21</v>
      </c>
      <c r="DS6">
        <v>1</v>
      </c>
      <c r="DT6">
        <v>22</v>
      </c>
      <c r="DV6">
        <v>1</v>
      </c>
      <c r="DW6">
        <v>44</v>
      </c>
      <c r="DX6">
        <v>10</v>
      </c>
      <c r="DY6">
        <v>54</v>
      </c>
      <c r="EA6">
        <v>1</v>
      </c>
      <c r="EB6">
        <v>2</v>
      </c>
      <c r="ED6">
        <v>2</v>
      </c>
      <c r="EF6" s="67">
        <v>1</v>
      </c>
      <c r="EG6">
        <v>32</v>
      </c>
      <c r="EH6">
        <v>35</v>
      </c>
      <c r="EI6" s="66">
        <v>67</v>
      </c>
    </row>
    <row r="7" spans="1:139">
      <c r="A7" t="s">
        <v>329</v>
      </c>
      <c r="B7">
        <v>113</v>
      </c>
      <c r="C7">
        <v>21</v>
      </c>
      <c r="D7">
        <v>134</v>
      </c>
      <c r="F7" t="s">
        <v>329</v>
      </c>
      <c r="G7">
        <v>113</v>
      </c>
      <c r="H7">
        <v>21</v>
      </c>
      <c r="I7">
        <v>134</v>
      </c>
      <c r="K7" s="67" t="s">
        <v>329</v>
      </c>
      <c r="L7">
        <v>113</v>
      </c>
      <c r="M7">
        <v>21</v>
      </c>
      <c r="N7" s="66">
        <v>134</v>
      </c>
      <c r="P7" t="s">
        <v>329</v>
      </c>
      <c r="Q7">
        <v>113</v>
      </c>
      <c r="R7">
        <v>21</v>
      </c>
      <c r="S7">
        <v>134</v>
      </c>
      <c r="U7" t="s">
        <v>329</v>
      </c>
      <c r="V7">
        <v>113</v>
      </c>
      <c r="W7">
        <v>21</v>
      </c>
      <c r="X7">
        <v>134</v>
      </c>
      <c r="Z7" s="56" t="s">
        <v>329</v>
      </c>
      <c r="AA7">
        <v>113</v>
      </c>
      <c r="AB7">
        <v>21</v>
      </c>
      <c r="AC7" s="55">
        <v>134</v>
      </c>
      <c r="AE7" s="67" t="s">
        <v>329</v>
      </c>
      <c r="AF7">
        <v>113</v>
      </c>
      <c r="AG7">
        <v>21</v>
      </c>
      <c r="AH7" s="66">
        <v>134</v>
      </c>
      <c r="AJ7" s="67" t="s">
        <v>329</v>
      </c>
      <c r="AK7">
        <v>113</v>
      </c>
      <c r="AL7">
        <v>21</v>
      </c>
      <c r="AM7" s="66">
        <v>134</v>
      </c>
      <c r="AO7" t="s">
        <v>329</v>
      </c>
      <c r="AP7">
        <v>113</v>
      </c>
      <c r="AQ7">
        <v>21</v>
      </c>
      <c r="AR7">
        <v>134</v>
      </c>
      <c r="AT7" t="s">
        <v>329</v>
      </c>
      <c r="AU7">
        <v>113</v>
      </c>
      <c r="AV7">
        <v>21</v>
      </c>
      <c r="AW7">
        <v>134</v>
      </c>
      <c r="AY7" t="s">
        <v>329</v>
      </c>
      <c r="AZ7">
        <v>113</v>
      </c>
      <c r="BA7">
        <v>21</v>
      </c>
      <c r="BB7">
        <v>134</v>
      </c>
      <c r="BD7" t="s">
        <v>329</v>
      </c>
      <c r="BE7">
        <v>113</v>
      </c>
      <c r="BF7">
        <v>21</v>
      </c>
      <c r="BG7">
        <v>134</v>
      </c>
      <c r="BI7" t="s">
        <v>329</v>
      </c>
      <c r="BJ7">
        <v>113</v>
      </c>
      <c r="BK7">
        <v>21</v>
      </c>
      <c r="BL7">
        <v>134</v>
      </c>
      <c r="BN7" t="s">
        <v>329</v>
      </c>
      <c r="BO7">
        <v>113</v>
      </c>
      <c r="BP7">
        <v>21</v>
      </c>
      <c r="BQ7">
        <v>134</v>
      </c>
      <c r="BS7" t="s">
        <v>329</v>
      </c>
      <c r="BT7">
        <v>113</v>
      </c>
      <c r="BU7">
        <v>21</v>
      </c>
      <c r="BV7">
        <v>134</v>
      </c>
      <c r="BX7" s="67" t="s">
        <v>329</v>
      </c>
      <c r="BY7">
        <v>113</v>
      </c>
      <c r="BZ7">
        <v>21</v>
      </c>
      <c r="CA7" s="66">
        <v>134</v>
      </c>
      <c r="CC7" t="s">
        <v>329</v>
      </c>
      <c r="CD7">
        <v>113</v>
      </c>
      <c r="CE7">
        <v>21</v>
      </c>
      <c r="CF7">
        <v>134</v>
      </c>
      <c r="CH7" t="s">
        <v>329</v>
      </c>
      <c r="CI7">
        <v>113</v>
      </c>
      <c r="CJ7">
        <v>21</v>
      </c>
      <c r="CK7">
        <v>134</v>
      </c>
      <c r="CM7" s="67" t="s">
        <v>329</v>
      </c>
      <c r="CN7">
        <v>113</v>
      </c>
      <c r="CO7">
        <v>21</v>
      </c>
      <c r="CP7" s="66">
        <v>134</v>
      </c>
      <c r="CR7" t="s">
        <v>329</v>
      </c>
      <c r="CS7">
        <v>113</v>
      </c>
      <c r="CT7">
        <v>21</v>
      </c>
      <c r="CU7">
        <v>134</v>
      </c>
      <c r="CW7">
        <v>4</v>
      </c>
      <c r="CX7">
        <v>2</v>
      </c>
      <c r="CY7">
        <v>1</v>
      </c>
      <c r="CZ7">
        <v>3</v>
      </c>
      <c r="DB7" s="67" t="s">
        <v>329</v>
      </c>
      <c r="DC7">
        <v>113</v>
      </c>
      <c r="DD7">
        <v>21</v>
      </c>
      <c r="DE7" s="66">
        <v>134</v>
      </c>
      <c r="DG7" s="67" t="s">
        <v>329</v>
      </c>
      <c r="DH7">
        <v>113</v>
      </c>
      <c r="DI7">
        <v>21</v>
      </c>
      <c r="DJ7" s="66">
        <v>134</v>
      </c>
      <c r="DL7" s="67" t="s">
        <v>329</v>
      </c>
      <c r="DM7">
        <v>113</v>
      </c>
      <c r="DN7">
        <v>21</v>
      </c>
      <c r="DO7" s="66">
        <v>134</v>
      </c>
      <c r="DQ7" t="s">
        <v>329</v>
      </c>
      <c r="DR7">
        <v>113</v>
      </c>
      <c r="DS7">
        <v>21</v>
      </c>
      <c r="DT7">
        <v>134</v>
      </c>
      <c r="DV7" t="s">
        <v>329</v>
      </c>
      <c r="DW7">
        <v>113</v>
      </c>
      <c r="DX7">
        <v>21</v>
      </c>
      <c r="DY7">
        <v>134</v>
      </c>
      <c r="EA7" t="s">
        <v>329</v>
      </c>
      <c r="EB7">
        <v>113</v>
      </c>
      <c r="EC7">
        <v>21</v>
      </c>
      <c r="ED7">
        <v>134</v>
      </c>
      <c r="EF7" s="67" t="s">
        <v>329</v>
      </c>
      <c r="EG7">
        <v>35</v>
      </c>
      <c r="EH7">
        <v>99</v>
      </c>
      <c r="EI7" s="66">
        <v>134</v>
      </c>
    </row>
    <row r="8" spans="1:139">
      <c r="K8" s="67"/>
      <c r="N8" s="66"/>
      <c r="Z8" s="56"/>
      <c r="AC8" s="55"/>
      <c r="AE8" s="67"/>
      <c r="AH8" s="66"/>
      <c r="AJ8" s="67"/>
      <c r="AM8" s="66"/>
      <c r="BX8" s="67"/>
      <c r="CA8" s="66"/>
      <c r="CM8" s="67"/>
      <c r="CP8" s="66"/>
      <c r="CW8">
        <v>5</v>
      </c>
      <c r="CX8">
        <v>6</v>
      </c>
      <c r="CZ8">
        <v>6</v>
      </c>
      <c r="DB8" s="67"/>
      <c r="DE8" s="66"/>
      <c r="DG8" s="67"/>
      <c r="DJ8" s="66"/>
      <c r="DL8" s="67"/>
      <c r="DO8" s="66"/>
      <c r="EF8" s="67"/>
      <c r="EI8" s="66"/>
    </row>
    <row r="9" spans="1:139">
      <c r="K9" s="67"/>
      <c r="N9" s="66"/>
      <c r="Z9" s="56"/>
      <c r="AC9" s="55"/>
      <c r="AE9" s="67"/>
      <c r="AH9" s="66"/>
      <c r="AJ9" s="67"/>
      <c r="AM9" s="66"/>
      <c r="BX9" s="67"/>
      <c r="CA9" s="66"/>
      <c r="CM9" s="67"/>
      <c r="CP9" s="66"/>
      <c r="CW9" t="s">
        <v>329</v>
      </c>
      <c r="CX9">
        <v>113</v>
      </c>
      <c r="CY9">
        <v>21</v>
      </c>
      <c r="CZ9">
        <v>134</v>
      </c>
      <c r="DB9" s="67"/>
      <c r="DE9" s="66"/>
      <c r="DG9" s="67"/>
      <c r="DJ9" s="66"/>
      <c r="DL9" s="67"/>
      <c r="DO9" s="66"/>
      <c r="EF9" s="67"/>
      <c r="EI9" s="66"/>
    </row>
    <row r="10" spans="1:139">
      <c r="A10" s="46"/>
      <c r="B10" s="46">
        <v>0</v>
      </c>
      <c r="C10" s="46">
        <v>1</v>
      </c>
      <c r="F10" s="46"/>
      <c r="G10" s="46">
        <v>0</v>
      </c>
      <c r="H10" s="46">
        <v>1</v>
      </c>
      <c r="K10" s="68"/>
      <c r="L10" s="46">
        <v>0</v>
      </c>
      <c r="M10" s="46">
        <v>1</v>
      </c>
      <c r="N10" s="66"/>
      <c r="P10" s="46"/>
      <c r="Q10" s="46">
        <v>0</v>
      </c>
      <c r="R10" s="46">
        <v>1</v>
      </c>
      <c r="U10" s="46"/>
      <c r="V10" s="46">
        <v>0</v>
      </c>
      <c r="W10" s="46">
        <v>1</v>
      </c>
      <c r="Z10" s="58"/>
      <c r="AA10" s="46">
        <v>0</v>
      </c>
      <c r="AB10" s="46">
        <v>1</v>
      </c>
      <c r="AC10" s="55"/>
      <c r="AE10" s="68"/>
      <c r="AF10" s="46">
        <v>0</v>
      </c>
      <c r="AG10" s="46">
        <v>1</v>
      </c>
      <c r="AH10" s="66"/>
      <c r="AJ10" s="68"/>
      <c r="AK10" s="46">
        <v>0</v>
      </c>
      <c r="AL10" s="46">
        <v>1</v>
      </c>
      <c r="AM10" s="66"/>
      <c r="AO10" s="46"/>
      <c r="AP10" s="46">
        <v>0</v>
      </c>
      <c r="AQ10" s="46">
        <v>1</v>
      </c>
      <c r="AT10" s="46"/>
      <c r="AU10" s="46">
        <v>0</v>
      </c>
      <c r="AV10" s="46">
        <v>1</v>
      </c>
      <c r="AY10" s="46"/>
      <c r="AZ10" s="46">
        <v>0</v>
      </c>
      <c r="BA10" s="46">
        <v>1</v>
      </c>
      <c r="BD10" s="46"/>
      <c r="BE10" s="46">
        <v>0</v>
      </c>
      <c r="BF10" s="46">
        <v>1</v>
      </c>
      <c r="BI10" s="46"/>
      <c r="BJ10" s="46">
        <v>0</v>
      </c>
      <c r="BK10" s="46">
        <v>1</v>
      </c>
      <c r="BN10" s="46"/>
      <c r="BO10" s="46">
        <v>0</v>
      </c>
      <c r="BP10" s="46">
        <v>1</v>
      </c>
      <c r="BS10" s="46"/>
      <c r="BT10" s="46">
        <v>0</v>
      </c>
      <c r="BU10" s="46">
        <v>1</v>
      </c>
      <c r="BX10" s="68"/>
      <c r="BY10" s="46">
        <v>0</v>
      </c>
      <c r="BZ10" s="46">
        <v>1</v>
      </c>
      <c r="CA10" s="66"/>
      <c r="CC10" s="46"/>
      <c r="CD10" s="46">
        <v>0</v>
      </c>
      <c r="CE10" s="46">
        <v>1</v>
      </c>
      <c r="CH10" s="46"/>
      <c r="CI10" s="46">
        <v>0</v>
      </c>
      <c r="CJ10" s="46">
        <v>1</v>
      </c>
      <c r="CM10" s="68"/>
      <c r="CN10" s="46">
        <v>0</v>
      </c>
      <c r="CO10" s="46">
        <v>1</v>
      </c>
      <c r="CP10" s="66"/>
      <c r="CR10" s="46"/>
      <c r="CS10" s="46">
        <v>0</v>
      </c>
      <c r="CT10" s="46">
        <v>1</v>
      </c>
      <c r="DB10" s="68"/>
      <c r="DC10" s="46">
        <v>0</v>
      </c>
      <c r="DD10" s="46">
        <v>1</v>
      </c>
      <c r="DE10" s="66"/>
      <c r="DG10" s="68"/>
      <c r="DH10" s="46">
        <v>0</v>
      </c>
      <c r="DI10" s="46">
        <v>1</v>
      </c>
      <c r="DJ10" s="66"/>
      <c r="DL10" s="68"/>
      <c r="DM10" s="46">
        <v>0</v>
      </c>
      <c r="DN10" s="46">
        <v>1</v>
      </c>
      <c r="DO10" s="66"/>
      <c r="DQ10" s="46"/>
      <c r="DR10" s="46">
        <v>0</v>
      </c>
      <c r="DS10" s="46">
        <v>1</v>
      </c>
      <c r="DV10" s="46"/>
      <c r="DW10" s="46">
        <v>0</v>
      </c>
      <c r="DX10" s="46">
        <v>1</v>
      </c>
      <c r="EA10" s="46"/>
      <c r="EB10" s="46">
        <v>0</v>
      </c>
      <c r="EC10" s="46">
        <v>1</v>
      </c>
      <c r="EF10" s="68"/>
      <c r="EG10" s="46">
        <v>0</v>
      </c>
      <c r="EH10" s="46">
        <v>1</v>
      </c>
      <c r="EI10" s="66"/>
    </row>
    <row r="11" spans="1:139">
      <c r="A11">
        <v>0</v>
      </c>
      <c r="B11">
        <f>(B7*D5)/D7</f>
        <v>56.5</v>
      </c>
      <c r="C11">
        <f>(D5*C7)/D7</f>
        <v>10.5</v>
      </c>
      <c r="F11">
        <v>0</v>
      </c>
      <c r="G11">
        <f>(G7*I5)/I7</f>
        <v>66.619402985074629</v>
      </c>
      <c r="H11">
        <f>(I5*H7)/I7</f>
        <v>12.380597014925373</v>
      </c>
      <c r="K11" s="67">
        <v>0</v>
      </c>
      <c r="L11">
        <f>(L7*N5)/N7</f>
        <v>12.649253731343284</v>
      </c>
      <c r="M11">
        <f>(N5*M7)/N7</f>
        <v>2.3507462686567164</v>
      </c>
      <c r="N11" s="66"/>
      <c r="P11">
        <v>0</v>
      </c>
      <c r="Q11">
        <f>(Q7*S5)/S7</f>
        <v>15.17910447761194</v>
      </c>
      <c r="R11">
        <f>(S5*R7)/S7</f>
        <v>2.8208955223880596</v>
      </c>
      <c r="U11">
        <v>0</v>
      </c>
      <c r="V11">
        <f>(V7*X5)/X7</f>
        <v>100.35074626865672</v>
      </c>
      <c r="W11">
        <f>(X5*W7)/X7</f>
        <v>18.649253731343283</v>
      </c>
      <c r="Z11" s="56">
        <v>0</v>
      </c>
      <c r="AA11">
        <f>(AA7*AC5)/AC7</f>
        <v>24.455223880597014</v>
      </c>
      <c r="AB11">
        <f>(AC5*AB7)/AC7</f>
        <v>4.544776119402985</v>
      </c>
      <c r="AC11" s="55"/>
      <c r="AE11" s="67">
        <v>0</v>
      </c>
      <c r="AF11">
        <f>(AF7*AH5)/AH7</f>
        <v>66.619402985074629</v>
      </c>
      <c r="AG11">
        <f>(AH5*AG7)/AH7</f>
        <v>12.380597014925373</v>
      </c>
      <c r="AH11" s="66"/>
      <c r="AJ11" s="67">
        <v>0</v>
      </c>
      <c r="AK11">
        <f>(AK7*AM5)/AM7</f>
        <v>72.522388059701498</v>
      </c>
      <c r="AL11">
        <f>(AM5*AL7)/AM7</f>
        <v>13.477611940298507</v>
      </c>
      <c r="AM11" s="66"/>
      <c r="AO11">
        <v>0</v>
      </c>
      <c r="AP11">
        <f>(AP7*AR5)/AR7</f>
        <v>91.917910447761187</v>
      </c>
      <c r="AQ11">
        <f>(AR5*AQ7)/AR7</f>
        <v>17.082089552238806</v>
      </c>
      <c r="AT11">
        <v>0</v>
      </c>
      <c r="AU11">
        <f>(AU7*AW5)/AW7</f>
        <v>51.440298507462686</v>
      </c>
      <c r="AV11">
        <f>(AW5*AV7)/AW7</f>
        <v>9.5597014925373127</v>
      </c>
      <c r="AY11">
        <v>0</v>
      </c>
      <c r="AZ11">
        <f>(AZ7*BB5)/BB7</f>
        <v>95.291044776119406</v>
      </c>
      <c r="BA11">
        <f>(BB5*BA7)/BB7</f>
        <v>17.708955223880597</v>
      </c>
      <c r="BD11">
        <v>0</v>
      </c>
      <c r="BE11">
        <f>(BE7*BG5)/BG7</f>
        <v>102.03731343283582</v>
      </c>
      <c r="BF11">
        <f>(BG5*BF7)/BG7</f>
        <v>18.96268656716418</v>
      </c>
      <c r="BI11">
        <v>0</v>
      </c>
      <c r="BJ11">
        <f>(BJ7*BL5)/BL7</f>
        <v>63.246268656716417</v>
      </c>
      <c r="BK11">
        <f>(BL5*BK7)/BL7</f>
        <v>11.753731343283581</v>
      </c>
      <c r="BN11">
        <v>0</v>
      </c>
      <c r="BO11">
        <f>(BO7*BQ5)/BQ7</f>
        <v>64.089552238805965</v>
      </c>
      <c r="BP11">
        <f>(BQ5*BP7)/BQ7</f>
        <v>11.91044776119403</v>
      </c>
      <c r="BS11">
        <v>0</v>
      </c>
      <c r="BT11">
        <f>(BT7*BV5)/BV7</f>
        <v>100.35074626865672</v>
      </c>
      <c r="BU11">
        <f>(BV5*BU7)/BV7</f>
        <v>18.649253731343283</v>
      </c>
      <c r="BX11" s="67">
        <v>0</v>
      </c>
      <c r="BY11">
        <f>(BY7*CA5)/CA7</f>
        <v>80.955223880597018</v>
      </c>
      <c r="BZ11">
        <f>(CA5*BZ7)/CA7</f>
        <v>15.044776119402986</v>
      </c>
      <c r="CA11" s="66"/>
      <c r="CC11">
        <v>0</v>
      </c>
      <c r="CD11">
        <f>(CD7*CF5)/CF7</f>
        <v>98.664179104477611</v>
      </c>
      <c r="CE11">
        <f>(CF5*CE7)/CF7</f>
        <v>18.335820895522389</v>
      </c>
      <c r="CH11">
        <v>0</v>
      </c>
      <c r="CI11">
        <f>(CI7*CK5)/CK7</f>
        <v>102.88059701492537</v>
      </c>
      <c r="CJ11">
        <f>(CK5*CJ7)/CK7</f>
        <v>19.119402985074625</v>
      </c>
      <c r="CM11" s="67">
        <v>0</v>
      </c>
      <c r="CN11">
        <f>(CN7*CP5)/CP7</f>
        <v>56.5</v>
      </c>
      <c r="CO11">
        <f>(CP5*CO7)/CP7</f>
        <v>10.5</v>
      </c>
      <c r="CP11" s="66"/>
      <c r="CR11">
        <v>1</v>
      </c>
      <c r="CS11">
        <f>(CS7*CU5)/CU7</f>
        <v>57.343283582089555</v>
      </c>
      <c r="CT11">
        <f>(CU5*CT7)/CU7</f>
        <v>10.656716417910447</v>
      </c>
      <c r="DB11" s="67">
        <v>0</v>
      </c>
      <c r="DC11">
        <f>(DC7*DE5)/DE7</f>
        <v>108.78358208955224</v>
      </c>
      <c r="DD11">
        <f>(DE5*DD7)/DE7</f>
        <v>20.21641791044776</v>
      </c>
      <c r="DE11" s="66"/>
      <c r="DG11" s="67">
        <v>0</v>
      </c>
      <c r="DH11">
        <f>(DH7*DJ5)/DJ7</f>
        <v>103.72388059701493</v>
      </c>
      <c r="DI11">
        <f>(DJ5*DI7)/DJ7</f>
        <v>19.276119402985074</v>
      </c>
      <c r="DJ11" s="66"/>
      <c r="DL11" s="67">
        <v>0</v>
      </c>
      <c r="DM11">
        <f>(DM7*DO5)/DO7</f>
        <v>108.78358208955224</v>
      </c>
      <c r="DN11">
        <f>(DO5*DN7)/DO7</f>
        <v>20.21641791044776</v>
      </c>
      <c r="DO11" s="66"/>
      <c r="DQ11">
        <v>0</v>
      </c>
      <c r="DR11">
        <f>(DR7*DT5)/DT7</f>
        <v>94.447761194029852</v>
      </c>
      <c r="DS11">
        <f>(DT5*DS7)/DT7</f>
        <v>17.552238805970148</v>
      </c>
      <c r="DV11">
        <v>0</v>
      </c>
      <c r="DW11">
        <f>(DW7*DY5)/DY7</f>
        <v>67.462686567164184</v>
      </c>
      <c r="DX11">
        <f>(DY5*DX7)/DY7</f>
        <v>12.537313432835822</v>
      </c>
      <c r="EA11">
        <v>0</v>
      </c>
      <c r="EB11">
        <f>(EB7*ED5)/ED7</f>
        <v>111.31343283582089</v>
      </c>
      <c r="EC11">
        <f>(ED5*EC7)/ED7</f>
        <v>20.686567164179106</v>
      </c>
      <c r="EF11" s="67">
        <v>0</v>
      </c>
      <c r="EG11">
        <f>(EG7*EI5)/EI7</f>
        <v>17.5</v>
      </c>
      <c r="EH11">
        <f>(EI5*EH7)/EI7</f>
        <v>49.5</v>
      </c>
      <c r="EI11" s="66"/>
    </row>
    <row r="12" spans="1:139">
      <c r="A12">
        <v>1</v>
      </c>
      <c r="B12">
        <f>(B7*D6)/D7</f>
        <v>56.5</v>
      </c>
      <c r="C12">
        <f>(C7*D6)/D7</f>
        <v>10.5</v>
      </c>
      <c r="F12">
        <v>1</v>
      </c>
      <c r="G12">
        <f>(G7*I6)/I7</f>
        <v>46.380597014925371</v>
      </c>
      <c r="H12">
        <f>(H7*I6)/I7</f>
        <v>8.6194029850746272</v>
      </c>
      <c r="K12" s="67">
        <v>1</v>
      </c>
      <c r="L12">
        <f>(L7*N6)/N7</f>
        <v>100.35074626865672</v>
      </c>
      <c r="M12">
        <f>(M7*N6)/N7</f>
        <v>18.649253731343283</v>
      </c>
      <c r="N12" s="66"/>
      <c r="P12">
        <v>1</v>
      </c>
      <c r="Q12">
        <f>(Q7*S6)/S7</f>
        <v>97.820895522388057</v>
      </c>
      <c r="R12">
        <f>(R7*S6)/S7</f>
        <v>18.17910447761194</v>
      </c>
      <c r="U12">
        <v>1</v>
      </c>
      <c r="V12">
        <f>(V7*X6)/X7</f>
        <v>12.649253731343284</v>
      </c>
      <c r="W12">
        <f>(W7*X6)/X7</f>
        <v>2.3507462686567164</v>
      </c>
      <c r="Z12" s="56">
        <v>1</v>
      </c>
      <c r="AA12">
        <f>(AA7*AC6)/AC7</f>
        <v>88.544776119402982</v>
      </c>
      <c r="AB12">
        <f>(AB7*AC6)/AC7</f>
        <v>16.455223880597014</v>
      </c>
      <c r="AC12" s="55"/>
      <c r="AE12" s="67">
        <v>1</v>
      </c>
      <c r="AF12">
        <f>(AF7*AH6)/AH7</f>
        <v>46.380597014925371</v>
      </c>
      <c r="AG12">
        <f>(AG7*AH6)/AH7</f>
        <v>8.6194029850746272</v>
      </c>
      <c r="AH12" s="66"/>
      <c r="AJ12" s="67">
        <v>1</v>
      </c>
      <c r="AK12">
        <f>(AK7*AM6)/AM7</f>
        <v>40.477611940298509</v>
      </c>
      <c r="AL12">
        <f>(AL7*AM6)/AM7</f>
        <v>7.5223880597014929</v>
      </c>
      <c r="AM12" s="66"/>
      <c r="AO12">
        <v>1</v>
      </c>
      <c r="AP12">
        <f>(AP7*AR6)/AR7</f>
        <v>21.082089552238806</v>
      </c>
      <c r="AQ12">
        <f>(AQ7*AR6)/AR7</f>
        <v>3.9179104477611939</v>
      </c>
      <c r="AT12">
        <v>1</v>
      </c>
      <c r="AU12">
        <f>(AU7*AW6)/AW7</f>
        <v>61.559701492537314</v>
      </c>
      <c r="AV12">
        <f>(AV7*AW6)/AW7</f>
        <v>11.440298507462687</v>
      </c>
      <c r="AY12">
        <v>1</v>
      </c>
      <c r="AZ12">
        <f>(AZ7*BB6)/BB7</f>
        <v>17.708955223880597</v>
      </c>
      <c r="BA12">
        <f>(BA7*BB6)/BB7</f>
        <v>3.2910447761194028</v>
      </c>
      <c r="BD12">
        <v>1</v>
      </c>
      <c r="BE12">
        <f>(BE7*BG6)/BG7</f>
        <v>10.962686567164178</v>
      </c>
      <c r="BF12">
        <f>(BF7*BG6)/BG7</f>
        <v>2.0373134328358211</v>
      </c>
      <c r="BI12">
        <v>1</v>
      </c>
      <c r="BJ12">
        <f>(BJ7*BL6)/BL7</f>
        <v>49.753731343283583</v>
      </c>
      <c r="BK12">
        <f>(BK7*BL6)/BL7</f>
        <v>9.2462686567164187</v>
      </c>
      <c r="BN12">
        <v>1</v>
      </c>
      <c r="BO12">
        <f>(BO7*BQ6)/BQ7</f>
        <v>48.910447761194028</v>
      </c>
      <c r="BP12">
        <f>(BP7*BQ6)/BQ7</f>
        <v>9.08955223880597</v>
      </c>
      <c r="BS12">
        <v>1</v>
      </c>
      <c r="BT12">
        <f>(BT7*BV6)/BV7</f>
        <v>12.649253731343284</v>
      </c>
      <c r="BU12">
        <f>(BU7*BV6)/BV7</f>
        <v>2.3507462686567164</v>
      </c>
      <c r="BX12" s="67">
        <v>1</v>
      </c>
      <c r="BY12">
        <f>(BY7*CA6)/CA7</f>
        <v>32.044776119402982</v>
      </c>
      <c r="BZ12">
        <f>(BZ7*CA6)/CA7</f>
        <v>5.955223880597015</v>
      </c>
      <c r="CA12" s="66"/>
      <c r="CC12">
        <v>1</v>
      </c>
      <c r="CD12">
        <f>(CD7*CF6)/CF7</f>
        <v>14.335820895522389</v>
      </c>
      <c r="CE12">
        <f>(CE7*CF6)/CF7</f>
        <v>2.6641791044776117</v>
      </c>
      <c r="CH12">
        <v>1</v>
      </c>
      <c r="CI12">
        <f>(CI7*CK6)/CK7</f>
        <v>10.119402985074627</v>
      </c>
      <c r="CJ12">
        <f>(CJ7*CK6)/CK7</f>
        <v>1.8805970149253732</v>
      </c>
      <c r="CM12" s="67">
        <v>1</v>
      </c>
      <c r="CN12">
        <f>(CN7*CP6)/CP7</f>
        <v>56.5</v>
      </c>
      <c r="CO12">
        <f>(CO7*CP6)/CP7</f>
        <v>10.5</v>
      </c>
      <c r="CP12" s="66"/>
      <c r="CR12">
        <v>2</v>
      </c>
      <c r="CS12">
        <f>(CS7*CU6)/CU7</f>
        <v>55.656716417910445</v>
      </c>
      <c r="CT12">
        <f>(CT7*CU6)/CU7</f>
        <v>10.343283582089553</v>
      </c>
      <c r="CW12" s="46"/>
      <c r="CX12" s="46">
        <v>0</v>
      </c>
      <c r="CY12" s="46">
        <v>1</v>
      </c>
      <c r="DB12" s="67">
        <v>1</v>
      </c>
      <c r="DC12">
        <f>(DC7*DE6)/DE7</f>
        <v>4.2164179104477615</v>
      </c>
      <c r="DD12">
        <f>(DD7*DE6)/DE7</f>
        <v>0.78358208955223885</v>
      </c>
      <c r="DE12" s="66"/>
      <c r="DG12" s="67">
        <v>1</v>
      </c>
      <c r="DH12">
        <f>(DH7*DJ6)/DJ7</f>
        <v>9.2761194029850742</v>
      </c>
      <c r="DI12">
        <f>(DI7*DJ6)/DJ7</f>
        <v>1.7238805970149254</v>
      </c>
      <c r="DJ12" s="66"/>
      <c r="DL12" s="67">
        <v>1</v>
      </c>
      <c r="DM12">
        <f>(DM7*DO6)/DO7</f>
        <v>4.2164179104477615</v>
      </c>
      <c r="DN12">
        <f>(DN7*DO6)/DO7</f>
        <v>0.78358208955223885</v>
      </c>
      <c r="DO12" s="66"/>
      <c r="DQ12">
        <v>1</v>
      </c>
      <c r="DR12">
        <f>(DR7*DT6)/DT7</f>
        <v>18.552238805970148</v>
      </c>
      <c r="DS12">
        <f>(DS7*DT6)/DT7</f>
        <v>3.4477611940298507</v>
      </c>
      <c r="DV12">
        <v>1</v>
      </c>
      <c r="DW12">
        <f>(DW7*DY6)/DY7</f>
        <v>45.537313432835823</v>
      </c>
      <c r="DX12">
        <f>(DX7*DY6)/DY7</f>
        <v>8.4626865671641784</v>
      </c>
      <c r="EA12">
        <v>1</v>
      </c>
      <c r="EB12">
        <f>(EB7*ED6)/ED7</f>
        <v>1.6865671641791045</v>
      </c>
      <c r="EC12">
        <f>(EC7*ED6)/ED7</f>
        <v>0.31343283582089554</v>
      </c>
      <c r="EF12" s="67">
        <v>1</v>
      </c>
      <c r="EG12">
        <f>(EG7*EI6)/EI7</f>
        <v>17.5</v>
      </c>
      <c r="EH12">
        <f>(EH7*EI6)/EI7</f>
        <v>49.5</v>
      </c>
      <c r="EI12" s="66"/>
    </row>
    <row r="13" spans="1:139">
      <c r="K13" s="67"/>
      <c r="N13" s="66"/>
      <c r="Z13" s="56"/>
      <c r="AC13" s="55"/>
      <c r="AE13" s="67"/>
      <c r="AH13" s="66"/>
      <c r="AJ13" s="67"/>
      <c r="AM13" s="66"/>
      <c r="BX13" s="67"/>
      <c r="CA13" s="66"/>
      <c r="CM13" s="67"/>
      <c r="CP13" s="66"/>
      <c r="CW13">
        <v>2</v>
      </c>
      <c r="CX13">
        <f>(CX9*CZ5)/CZ9</f>
        <v>81.798507462686572</v>
      </c>
      <c r="CY13">
        <f>(CZ5*CY9)/CZ9</f>
        <v>15.201492537313433</v>
      </c>
      <c r="DB13" s="67"/>
      <c r="DE13" s="66"/>
      <c r="DG13" s="67"/>
      <c r="DJ13" s="66"/>
      <c r="DL13" s="67"/>
      <c r="DO13" s="66"/>
      <c r="EF13" s="67"/>
      <c r="EI13" s="66"/>
    </row>
    <row r="14" spans="1:139">
      <c r="A14">
        <f>_xlfn.CHISQ.TEST(B5:C6,B11:C12)</f>
        <v>9.6228659639195233E-2</v>
      </c>
      <c r="F14">
        <f>_xlfn.CHISQ.TEST(G5:H6,G11:H12)</f>
        <v>0.50481673473951816</v>
      </c>
      <c r="K14" s="77">
        <f>_xlfn.CHISQ.TEST(L5:M6,L11:M12)</f>
        <v>4.5857804643026905E-2</v>
      </c>
      <c r="N14" s="66">
        <f>SQRT(K15/(134*(2-1)))</f>
        <v>0.17248859065141958</v>
      </c>
      <c r="P14">
        <f>_xlfn.CHISQ.TEST(Q5:R6,Q11:R12)</f>
        <v>0.56729079794159687</v>
      </c>
      <c r="U14">
        <f>_xlfn.CHISQ.TEST(V5:W6,V11:W12)</f>
        <v>0.21386196426434081</v>
      </c>
      <c r="Z14" s="57">
        <f>_xlfn.CHISQ.TEST(AA5:AB6,AA11:AB12)</f>
        <v>0.40105455838507337</v>
      </c>
      <c r="AA14" s="59"/>
      <c r="AB14" s="59"/>
      <c r="AC14" s="60"/>
      <c r="AE14" s="77">
        <f>_xlfn.CHISQ.TEST(AF5:AG6,AF11:AG12)</f>
        <v>3.6333952906326175E-4</v>
      </c>
      <c r="AH14" s="66">
        <f>SQRT(AE15/(134*(2-1)))</f>
        <v>0.30800128761629464</v>
      </c>
      <c r="AJ14" s="77">
        <f>_xlfn.CHISQ.TEST(AK5:AL6,AK11:AL12)</f>
        <v>2.1058671562119738E-4</v>
      </c>
      <c r="AM14" s="66">
        <f>SQRT(AJ15/(134*(2-1)))</f>
        <v>0.3201466841799383</v>
      </c>
      <c r="AO14">
        <f>_xlfn.CHISQ.TEST(AP5:AQ6,AP11:AQ12)</f>
        <v>0.24203616257198182</v>
      </c>
      <c r="AT14" s="47">
        <f>_xlfn.CHISQ.TEST(AU5:AV6,AU11:AV12)</f>
        <v>1.747131719093532E-3</v>
      </c>
      <c r="AY14" s="47">
        <f>_xlfn.CHISQ.TEST(AZ5:BA6,AZ11:BA12)</f>
        <v>1.9013110799513455E-4</v>
      </c>
      <c r="BD14">
        <f>_xlfn.CHISQ.TEST(BE5:BF6,BE11:BF12)</f>
        <v>0.11507707090406052</v>
      </c>
      <c r="BI14" s="47">
        <f>_xlfn.CHISQ.TEST(BJ5:BK6,BJ11:BK12)</f>
        <v>2.637390248942722E-7</v>
      </c>
      <c r="BN14">
        <f>_xlfn.CHISQ.TEST(BO5:BP6,BO11:BP12)</f>
        <v>6.0725776481765074E-2</v>
      </c>
      <c r="BS14" s="9">
        <f>_xlfn.CHISQ.TEST(BT5:BU6,BT11:BU12)</f>
        <v>4.5857804643026932E-2</v>
      </c>
      <c r="BX14" s="77">
        <f>_xlfn.CHISQ.TEST(BY5:BZ6,BY11:BZ12)</f>
        <v>2.0396596032033778E-4</v>
      </c>
      <c r="CA14" s="66">
        <f>SQRT(BX15/(134*(2-1)))</f>
        <v>0.3208453211158232</v>
      </c>
      <c r="CC14">
        <f>_xlfn.CHISQ.TEST(CD5:CE6,CD11:CE12)</f>
        <v>0.3402050688587801</v>
      </c>
      <c r="CH14">
        <f>_xlfn.CHISQ.TEST(CI5:CJ6,CI11:CJ12)</f>
        <v>0.46365001755766472</v>
      </c>
      <c r="CM14" s="77">
        <f>_xlfn.CHISQ.TEST(CN5:CO6,CN11:CO12)</f>
        <v>3.6459414005905717E-4</v>
      </c>
      <c r="CP14" s="66">
        <f>SQRT(CM15/(134*(2-1)))</f>
        <v>0.3079231847994589</v>
      </c>
      <c r="CR14">
        <f>_xlfn.CHISQ.TEST(CS5:CT6,CS11:CT12)</f>
        <v>0.87038617639237192</v>
      </c>
      <c r="CW14">
        <v>3</v>
      </c>
      <c r="CX14">
        <f>(CX9*CZ6)/CZ9</f>
        <v>23.611940298507463</v>
      </c>
      <c r="CY14">
        <f>(CY9*CZ6)/CZ9</f>
        <v>4.3880597014925371</v>
      </c>
      <c r="DB14" s="77">
        <f>_xlfn.CHISQ.TEST(DC5:DD6,DC11:DD12)</f>
        <v>5.4535574791279937E-3</v>
      </c>
      <c r="DE14" s="66">
        <f>SQRT(DB15/(134*(2-1)))</f>
        <v>0.24006437851152296</v>
      </c>
      <c r="DG14" s="77">
        <f>_xlfn.CHISQ.TEST(DH5:DI6,DH11:DI12)</f>
        <v>4.8792508028143423E-2</v>
      </c>
      <c r="DJ14" s="66">
        <f>SQRT(DG15/(134*(2-1)))</f>
        <v>0.17021666291003162</v>
      </c>
      <c r="DL14" s="77">
        <f>_xlfn.CHISQ.TEST(DM5:DN6,DM11:DN12)</f>
        <v>5.4535574791279937E-3</v>
      </c>
      <c r="DO14" s="66">
        <f>SQRT(DL15/(134*(2-1)))</f>
        <v>0.24006437851152296</v>
      </c>
      <c r="DQ14">
        <f>_xlfn.CHISQ.TEST(DR5:DS6,DR11:DS12)</f>
        <v>0.11636686662363989</v>
      </c>
      <c r="DV14">
        <f>_xlfn.CHISQ.TEST(DW5:DX6,DW11:DX12)</f>
        <v>0.45640382399664137</v>
      </c>
      <c r="EA14">
        <f>_xlfn.CHISQ.TEST(EB5:EC6,EB11:EC12)</f>
        <v>0.80046514667273327</v>
      </c>
      <c r="EF14" s="77">
        <f>_xlfn.CHISQ.TEST(EG5:EH6,EG11:EH12)</f>
        <v>1.1775866720493353E-8</v>
      </c>
      <c r="EI14" s="66">
        <f>SQRT(EF15/(134*(2-1)))</f>
        <v>0.49265895172303797</v>
      </c>
    </row>
    <row r="15" spans="1:139">
      <c r="K15" s="67">
        <f>(((L5-L11)^2)/L11) + (((L6-L12)^2)/L12) + (((M5-M11)^2)/M11) + (((M6-M12)^2)/M12)</f>
        <v>3.9868100632583414</v>
      </c>
      <c r="N15" s="66"/>
      <c r="AE15" s="67">
        <f>(((AF5-AF11)^2)/AF11) + (((AF6-AF12)^2)/AF12) + (((AG5-AG11)^2)/AG11) + (((AG6-AG12)^2)/AG12)</f>
        <v>12.711882285221591</v>
      </c>
      <c r="AH15" s="66"/>
      <c r="AJ15" s="67">
        <f>(((AK5-AK11)^2)/AK11) + (((AK6-AK12)^2)/AK12) + (((AL5-AL11)^2)/AL11) + (((AL6-AL12)^2)/AL12)</f>
        <v>13.734182518448826</v>
      </c>
      <c r="AM15" s="66"/>
      <c r="AT15">
        <f>(((AU5-AU11)^2)/AU11) + (((AU6-AU12)^2)/AU12) + (((AV5-AV11)^2)/AV11) + (((AV6-AV12)^2)/AV12)</f>
        <v>9.7978799786390951</v>
      </c>
      <c r="AY15">
        <f>(((AZ5-AZ11)^2)/AZ11) + (((AZ6-AZ12)^2)/AZ12) + (((BA5-BA11)^2)/BA11) + (((BA6-BA12)^2)/BA12)</f>
        <v>13.926186027704215</v>
      </c>
      <c r="BI15">
        <f>(((BJ5-BJ11)^2)/BJ11) + (((BJ6-BJ12)^2)/BJ12) + (((BK5-BK11)^2)/BK11) + (((BK6-BK12)^2)/BK12)</f>
        <v>26.498527835512981</v>
      </c>
      <c r="BX15" s="67">
        <f>(((BY5-BY11)^2)/BY11) + (((BY6-BY12)^2)/BY12) + (((BZ5-BZ11)^2)/BZ11) + (((BZ6-BZ12)^2)/BZ12)</f>
        <v>13.794190490976703</v>
      </c>
      <c r="CA15" s="66"/>
      <c r="CM15" s="67">
        <f>(((CN5-CN11)^2)/CN11) + (((CN6-CN12)^2)/CN12) + (((CO5-CO11)^2)/CO11) + (((CO6-CO12)^2)/CO12)</f>
        <v>12.705436156763589</v>
      </c>
      <c r="CP15" s="66"/>
      <c r="CW15">
        <v>4</v>
      </c>
      <c r="CX15">
        <f>(CX9*CZ7)/CZ9</f>
        <v>2.5298507462686568</v>
      </c>
      <c r="CY15">
        <f>(CY9*CZ7)/CZ9</f>
        <v>0.47014925373134331</v>
      </c>
      <c r="DB15" s="67">
        <f>(((DC5-DC11)^2)/DC11) + (((DC6-DC12)^2)/DC12) + (((DD5-DD11)^2)/DD11) + (((DD6-DD12)^2)/DD12)</f>
        <v>7.7225413812365851</v>
      </c>
      <c r="DE15" s="66"/>
      <c r="DG15" s="67">
        <f>(((DH5-DH11)^2)/DH11) + (((DH6-DH12)^2)/DH12) + (((DI5-DI11)^2)/DI11) + (((DI6-DI12)^2)/DI12)</f>
        <v>3.8824774525184624</v>
      </c>
      <c r="DJ15" s="66"/>
      <c r="DL15" s="67">
        <f>(((DM5-DM11)^2)/DM11) + (((DM6-DM12)^2)/DM12) + (((DN5-DN11)^2)/DN11) + (((DN6-DN12)^2)/DN12)</f>
        <v>7.7225413812365851</v>
      </c>
      <c r="DO15" s="66"/>
      <c r="EF15" s="67">
        <f>(((EG5-EG11)^2)/EG11) + (((EG6-EG12)^2)/EG12) + (((EH5-EH11)^2)/EH11) + (((EH6-EH12)^2)/EH12)</f>
        <v>32.52352092352092</v>
      </c>
      <c r="EI15" s="66"/>
    </row>
    <row r="16" spans="1:139">
      <c r="K16" s="67">
        <v>1</v>
      </c>
      <c r="N16" s="66"/>
      <c r="AE16" s="67">
        <v>1</v>
      </c>
      <c r="AH16" s="66"/>
      <c r="AJ16" s="67">
        <v>1</v>
      </c>
      <c r="AM16" s="66"/>
      <c r="AT16">
        <v>1</v>
      </c>
      <c r="AY16">
        <v>1</v>
      </c>
      <c r="BI16">
        <v>1</v>
      </c>
      <c r="BX16" s="67">
        <v>1</v>
      </c>
      <c r="CA16" s="66"/>
      <c r="CM16" s="67">
        <v>1</v>
      </c>
      <c r="CP16" s="66"/>
      <c r="CW16">
        <v>5</v>
      </c>
      <c r="CX16">
        <f t="shared" ref="CX15:CX16" si="0">(CX9*CZ8)/CZ9</f>
        <v>5.0597014925373136</v>
      </c>
      <c r="CY16">
        <f t="shared" ref="CY15:CY16" si="1">(CY9*CZ8)/CZ9</f>
        <v>0.94029850746268662</v>
      </c>
      <c r="DB16" s="67">
        <v>1</v>
      </c>
      <c r="DE16" s="66"/>
      <c r="DG16" s="67">
        <v>1</v>
      </c>
      <c r="DJ16" s="66"/>
      <c r="DL16" s="67">
        <v>1</v>
      </c>
      <c r="DO16" s="66"/>
      <c r="EF16" s="67">
        <v>1</v>
      </c>
      <c r="EI16" s="66"/>
    </row>
    <row r="17" spans="11:139">
      <c r="K17" s="67"/>
      <c r="L17" t="s">
        <v>309</v>
      </c>
      <c r="M17" t="s">
        <v>310</v>
      </c>
      <c r="N17" s="66"/>
      <c r="AE17" s="67"/>
      <c r="AF17" t="s">
        <v>309</v>
      </c>
      <c r="AG17" t="s">
        <v>310</v>
      </c>
      <c r="AH17" s="66"/>
      <c r="AJ17" s="67"/>
      <c r="AK17" t="s">
        <v>309</v>
      </c>
      <c r="AL17" t="s">
        <v>310</v>
      </c>
      <c r="AM17" s="66"/>
      <c r="AU17" t="s">
        <v>309</v>
      </c>
      <c r="AV17" t="s">
        <v>310</v>
      </c>
      <c r="AZ17" t="s">
        <v>309</v>
      </c>
      <c r="BA17" t="s">
        <v>310</v>
      </c>
      <c r="BJ17" t="s">
        <v>309</v>
      </c>
      <c r="BK17" t="s">
        <v>310</v>
      </c>
      <c r="BT17" t="s">
        <v>309</v>
      </c>
      <c r="BU17" t="s">
        <v>310</v>
      </c>
      <c r="BX17" s="67"/>
      <c r="BY17" t="s">
        <v>309</v>
      </c>
      <c r="BZ17" t="s">
        <v>310</v>
      </c>
      <c r="CA17" s="66"/>
      <c r="CM17" s="67"/>
      <c r="CN17" t="s">
        <v>309</v>
      </c>
      <c r="CO17" t="s">
        <v>310</v>
      </c>
      <c r="CP17" s="66"/>
      <c r="DB17" s="67"/>
      <c r="DC17" t="s">
        <v>309</v>
      </c>
      <c r="DD17" t="s">
        <v>310</v>
      </c>
      <c r="DE17" s="66"/>
      <c r="DG17" s="67"/>
      <c r="DH17" t="s">
        <v>309</v>
      </c>
      <c r="DI17" t="s">
        <v>310</v>
      </c>
      <c r="DJ17" s="66"/>
      <c r="DL17" s="67"/>
      <c r="DM17" t="s">
        <v>309</v>
      </c>
      <c r="DN17" t="s">
        <v>310</v>
      </c>
      <c r="DO17" s="66"/>
      <c r="EF17" s="67"/>
      <c r="EG17" t="s">
        <v>309</v>
      </c>
      <c r="EH17" t="s">
        <v>310</v>
      </c>
      <c r="EI17" s="66"/>
    </row>
    <row r="18" spans="11:139">
      <c r="K18" s="78" t="s">
        <v>391</v>
      </c>
      <c r="L18">
        <f>L11</f>
        <v>12.649253731343284</v>
      </c>
      <c r="M18">
        <f>L5</f>
        <v>10</v>
      </c>
      <c r="N18" s="66"/>
      <c r="AE18" s="78" t="s">
        <v>392</v>
      </c>
      <c r="AF18">
        <f>AF11</f>
        <v>66.619402985074629</v>
      </c>
      <c r="AG18">
        <f>AF5</f>
        <v>74</v>
      </c>
      <c r="AH18" s="66"/>
      <c r="AJ18" s="78" t="s">
        <v>393</v>
      </c>
      <c r="AK18">
        <f>AK11</f>
        <v>72.522388059701498</v>
      </c>
      <c r="AL18">
        <f>AK5</f>
        <v>80</v>
      </c>
      <c r="AM18" s="66"/>
      <c r="AT18" s="50" t="s">
        <v>394</v>
      </c>
      <c r="AU18">
        <f>AU11</f>
        <v>51.440298507462686</v>
      </c>
      <c r="AV18">
        <f>AU5</f>
        <v>58</v>
      </c>
      <c r="AY18" s="50" t="s">
        <v>395</v>
      </c>
      <c r="AZ18">
        <f>AZ11</f>
        <v>95.291044776119406</v>
      </c>
      <c r="BA18">
        <f>AZ5</f>
        <v>101</v>
      </c>
      <c r="BI18" s="50" t="s">
        <v>396</v>
      </c>
      <c r="BJ18">
        <f>BJ11</f>
        <v>63.246268656716417</v>
      </c>
      <c r="BK18">
        <f>BJ5</f>
        <v>74</v>
      </c>
      <c r="BS18" s="50" t="s">
        <v>397</v>
      </c>
      <c r="BT18">
        <f>BT11</f>
        <v>100.35074626865672</v>
      </c>
      <c r="BU18">
        <f>BT5</f>
        <v>103</v>
      </c>
      <c r="BX18" s="78" t="s">
        <v>398</v>
      </c>
      <c r="BY18">
        <f>BY11</f>
        <v>80.955223880597018</v>
      </c>
      <c r="BZ18">
        <f>BY5</f>
        <v>88</v>
      </c>
      <c r="CA18" s="66"/>
      <c r="CM18" s="78" t="s">
        <v>399</v>
      </c>
      <c r="CN18">
        <f>CN11</f>
        <v>56.5</v>
      </c>
      <c r="CO18">
        <f>CN5</f>
        <v>49</v>
      </c>
      <c r="CP18" s="66"/>
      <c r="CW18">
        <f>_xlfn.CHISQ.TEST(CX5:CY8,CX13:CY16)</f>
        <v>0.80434529595892557</v>
      </c>
      <c r="DB18" s="78" t="s">
        <v>400</v>
      </c>
      <c r="DC18">
        <f>DC11</f>
        <v>108.78358208955224</v>
      </c>
      <c r="DD18">
        <f>DC5</f>
        <v>111</v>
      </c>
      <c r="DE18" s="66"/>
      <c r="DG18" s="78" t="s">
        <v>401</v>
      </c>
      <c r="DH18">
        <f>DH11</f>
        <v>103.72388059701493</v>
      </c>
      <c r="DI18">
        <f>DH5</f>
        <v>106</v>
      </c>
      <c r="DJ18" s="66"/>
      <c r="DL18" s="78" t="s">
        <v>402</v>
      </c>
      <c r="DM18">
        <f>DM11</f>
        <v>108.78358208955224</v>
      </c>
      <c r="DN18">
        <f>DM5</f>
        <v>111</v>
      </c>
      <c r="DO18" s="66"/>
      <c r="EF18" s="78" t="s">
        <v>399</v>
      </c>
      <c r="EG18">
        <f>EG11</f>
        <v>17.5</v>
      </c>
      <c r="EH18">
        <f>EG5</f>
        <v>3</v>
      </c>
      <c r="EI18" s="66"/>
    </row>
    <row r="19" spans="11:139">
      <c r="K19" s="78" t="s">
        <v>403</v>
      </c>
      <c r="L19">
        <f>M11</f>
        <v>2.3507462686567164</v>
      </c>
      <c r="M19">
        <f>M5</f>
        <v>5</v>
      </c>
      <c r="N19" s="66"/>
      <c r="AE19" s="78" t="s">
        <v>404</v>
      </c>
      <c r="AF19">
        <f>AG11</f>
        <v>12.380597014925373</v>
      </c>
      <c r="AG19">
        <f>AG5</f>
        <v>5</v>
      </c>
      <c r="AH19" s="66"/>
      <c r="AJ19" s="78" t="s">
        <v>405</v>
      </c>
      <c r="AK19">
        <f>AL11</f>
        <v>13.477611940298507</v>
      </c>
      <c r="AL19">
        <f>AL5</f>
        <v>6</v>
      </c>
      <c r="AM19" s="66"/>
      <c r="AT19" s="50" t="s">
        <v>406</v>
      </c>
      <c r="AU19">
        <f>AV11</f>
        <v>9.5597014925373127</v>
      </c>
      <c r="AV19">
        <f>AV5</f>
        <v>3</v>
      </c>
      <c r="AY19" s="50" t="s">
        <v>407</v>
      </c>
      <c r="AZ19">
        <f>BA11</f>
        <v>17.708955223880597</v>
      </c>
      <c r="BA19">
        <f>BA5</f>
        <v>12</v>
      </c>
      <c r="BI19" s="50" t="s">
        <v>408</v>
      </c>
      <c r="BJ19">
        <f>BK11</f>
        <v>11.753731343283581</v>
      </c>
      <c r="BK19">
        <f>BK5</f>
        <v>1</v>
      </c>
      <c r="BS19" s="50" t="s">
        <v>409</v>
      </c>
      <c r="BT19">
        <f>BU11</f>
        <v>18.649253731343283</v>
      </c>
      <c r="BU19">
        <f>BU5</f>
        <v>16</v>
      </c>
      <c r="BX19" s="78" t="s">
        <v>410</v>
      </c>
      <c r="BY19">
        <f>BZ11</f>
        <v>15.044776119402986</v>
      </c>
      <c r="BZ19">
        <f>BZ5</f>
        <v>8</v>
      </c>
      <c r="CA19" s="66"/>
      <c r="CM19" s="78" t="s">
        <v>411</v>
      </c>
      <c r="CN19">
        <f>CO11</f>
        <v>10.5</v>
      </c>
      <c r="CO19">
        <f>CO5</f>
        <v>18</v>
      </c>
      <c r="CP19" s="66"/>
      <c r="DB19" s="78" t="s">
        <v>412</v>
      </c>
      <c r="DC19">
        <f>DD11</f>
        <v>20.21641791044776</v>
      </c>
      <c r="DD19">
        <f>DD5</f>
        <v>18</v>
      </c>
      <c r="DE19" s="66"/>
      <c r="DG19" s="78" t="s">
        <v>413</v>
      </c>
      <c r="DH19">
        <f>DI11</f>
        <v>19.276119402985074</v>
      </c>
      <c r="DI19">
        <f>DI5</f>
        <v>17</v>
      </c>
      <c r="DJ19" s="66"/>
      <c r="DL19" s="78" t="s">
        <v>414</v>
      </c>
      <c r="DM19">
        <f>DN11</f>
        <v>20.21641791044776</v>
      </c>
      <c r="DN19">
        <f>DN5</f>
        <v>18</v>
      </c>
      <c r="DO19" s="66"/>
      <c r="EF19" s="78" t="s">
        <v>411</v>
      </c>
      <c r="EG19">
        <f>EH11</f>
        <v>49.5</v>
      </c>
      <c r="EH19">
        <f>EH5</f>
        <v>64</v>
      </c>
      <c r="EI19" s="66"/>
    </row>
    <row r="20" spans="11:139">
      <c r="K20" s="78" t="s">
        <v>415</v>
      </c>
      <c r="L20">
        <f>L12</f>
        <v>100.35074626865672</v>
      </c>
      <c r="M20">
        <f>L6</f>
        <v>103</v>
      </c>
      <c r="N20" s="66"/>
      <c r="AE20" s="78" t="s">
        <v>416</v>
      </c>
      <c r="AF20">
        <f>AF12</f>
        <v>46.380597014925371</v>
      </c>
      <c r="AG20">
        <f>AF6</f>
        <v>39</v>
      </c>
      <c r="AH20" s="66"/>
      <c r="AJ20" s="78" t="s">
        <v>417</v>
      </c>
      <c r="AK20">
        <f>AK12</f>
        <v>40.477611940298509</v>
      </c>
      <c r="AL20">
        <f>AK6</f>
        <v>33</v>
      </c>
      <c r="AM20" s="66"/>
      <c r="AT20" s="50" t="s">
        <v>418</v>
      </c>
      <c r="AU20">
        <f>AU12</f>
        <v>61.559701492537314</v>
      </c>
      <c r="AV20">
        <f>AU6</f>
        <v>55</v>
      </c>
      <c r="AY20" s="50" t="s">
        <v>419</v>
      </c>
      <c r="AZ20">
        <f>AZ12</f>
        <v>17.708955223880597</v>
      </c>
      <c r="BA20">
        <f>AZ6</f>
        <v>12</v>
      </c>
      <c r="BI20" s="50" t="s">
        <v>420</v>
      </c>
      <c r="BJ20">
        <f>BJ12</f>
        <v>49.753731343283583</v>
      </c>
      <c r="BK20">
        <f>BJ6</f>
        <v>39</v>
      </c>
      <c r="BS20" s="50" t="s">
        <v>421</v>
      </c>
      <c r="BT20">
        <f>BT12</f>
        <v>12.649253731343284</v>
      </c>
      <c r="BU20">
        <f>BT6</f>
        <v>10</v>
      </c>
      <c r="BX20" s="78" t="s">
        <v>422</v>
      </c>
      <c r="BY20">
        <f>BY12</f>
        <v>32.044776119402982</v>
      </c>
      <c r="BZ20">
        <f>BY6</f>
        <v>25</v>
      </c>
      <c r="CA20" s="66"/>
      <c r="CM20" s="78" t="s">
        <v>423</v>
      </c>
      <c r="CN20">
        <f>CN12</f>
        <v>56.5</v>
      </c>
      <c r="CO20">
        <f>CN6</f>
        <v>64</v>
      </c>
      <c r="CP20" s="66"/>
      <c r="DB20" s="78" t="s">
        <v>424</v>
      </c>
      <c r="DC20">
        <f>DC12</f>
        <v>4.2164179104477615</v>
      </c>
      <c r="DD20">
        <f>DC6</f>
        <v>2</v>
      </c>
      <c r="DE20" s="66"/>
      <c r="DG20" s="78" t="s">
        <v>425</v>
      </c>
      <c r="DH20">
        <f>DH12</f>
        <v>9.2761194029850742</v>
      </c>
      <c r="DI20">
        <f>DH6</f>
        <v>7</v>
      </c>
      <c r="DJ20" s="66"/>
      <c r="DL20" s="78" t="s">
        <v>426</v>
      </c>
      <c r="DM20">
        <f>DM12</f>
        <v>4.2164179104477615</v>
      </c>
      <c r="DN20">
        <f>DM6</f>
        <v>2</v>
      </c>
      <c r="DO20" s="66"/>
      <c r="EF20" s="78" t="s">
        <v>423</v>
      </c>
      <c r="EG20">
        <f>EG12</f>
        <v>17.5</v>
      </c>
      <c r="EH20">
        <f>EG6</f>
        <v>32</v>
      </c>
      <c r="EI20" s="66"/>
    </row>
    <row r="21" spans="11:139">
      <c r="K21" s="79" t="s">
        <v>427</v>
      </c>
      <c r="L21" s="70">
        <f>M12</f>
        <v>18.649253731343283</v>
      </c>
      <c r="M21" s="70">
        <f>M6</f>
        <v>16</v>
      </c>
      <c r="N21" s="71"/>
      <c r="AE21" s="79" t="s">
        <v>428</v>
      </c>
      <c r="AF21" s="70">
        <f>AG12</f>
        <v>8.6194029850746272</v>
      </c>
      <c r="AG21" s="70">
        <f>AG6</f>
        <v>16</v>
      </c>
      <c r="AH21" s="71"/>
      <c r="AJ21" s="79" t="s">
        <v>429</v>
      </c>
      <c r="AK21" s="70">
        <f>AL12</f>
        <v>7.5223880597014929</v>
      </c>
      <c r="AL21" s="70">
        <f>AL6</f>
        <v>15</v>
      </c>
      <c r="AM21" s="71"/>
      <c r="AT21" s="50" t="s">
        <v>430</v>
      </c>
      <c r="AU21">
        <f>AV12</f>
        <v>11.440298507462687</v>
      </c>
      <c r="AV21">
        <f>AV6</f>
        <v>18</v>
      </c>
      <c r="AY21" s="50" t="s">
        <v>431</v>
      </c>
      <c r="AZ21">
        <f>BA12</f>
        <v>3.2910447761194028</v>
      </c>
      <c r="BA21">
        <f>BA6</f>
        <v>9</v>
      </c>
      <c r="BI21" s="50" t="s">
        <v>432</v>
      </c>
      <c r="BJ21">
        <f>BK12</f>
        <v>9.2462686567164187</v>
      </c>
      <c r="BK21">
        <f>BK6</f>
        <v>20</v>
      </c>
      <c r="BS21" s="50" t="s">
        <v>433</v>
      </c>
      <c r="BT21">
        <f>BU12</f>
        <v>2.3507462686567164</v>
      </c>
      <c r="BU21">
        <f>BU6</f>
        <v>5</v>
      </c>
      <c r="BX21" s="79" t="s">
        <v>434</v>
      </c>
      <c r="BY21" s="70">
        <f>BZ12</f>
        <v>5.955223880597015</v>
      </c>
      <c r="BZ21" s="70">
        <f>BZ6</f>
        <v>13</v>
      </c>
      <c r="CA21" s="71"/>
      <c r="CM21" s="79" t="s">
        <v>435</v>
      </c>
      <c r="CN21" s="70">
        <f>CO12</f>
        <v>10.5</v>
      </c>
      <c r="CO21" s="70">
        <f>CO6</f>
        <v>3</v>
      </c>
      <c r="CP21" s="71"/>
      <c r="DB21" s="79" t="s">
        <v>436</v>
      </c>
      <c r="DC21" s="70">
        <f>DD12</f>
        <v>0.78358208955223885</v>
      </c>
      <c r="DD21" s="70">
        <f>DD6</f>
        <v>3</v>
      </c>
      <c r="DE21" s="71"/>
      <c r="DG21" s="79" t="s">
        <v>437</v>
      </c>
      <c r="DH21" s="70">
        <f>DI12</f>
        <v>1.7238805970149254</v>
      </c>
      <c r="DI21" s="70">
        <f>DI6</f>
        <v>4</v>
      </c>
      <c r="DJ21" s="71"/>
      <c r="DL21" s="79" t="s">
        <v>438</v>
      </c>
      <c r="DM21" s="70">
        <f>DN12</f>
        <v>0.78358208955223885</v>
      </c>
      <c r="DN21" s="70">
        <f>DN6</f>
        <v>3</v>
      </c>
      <c r="DO21" s="71"/>
      <c r="EF21" s="79" t="s">
        <v>435</v>
      </c>
      <c r="EG21" s="70">
        <f>EH12</f>
        <v>49.5</v>
      </c>
      <c r="EH21" s="70">
        <f>EH6</f>
        <v>35</v>
      </c>
      <c r="EI21" s="71"/>
    </row>
    <row r="39" spans="1:134" ht="50.25" customHeight="1">
      <c r="A39" s="84" t="s">
        <v>439</v>
      </c>
      <c r="B39" s="84"/>
      <c r="C39" s="84"/>
      <c r="D39" s="84"/>
      <c r="F39" s="84" t="s">
        <v>440</v>
      </c>
      <c r="G39" s="84"/>
      <c r="H39" s="84"/>
      <c r="I39" s="84"/>
      <c r="K39" s="84" t="s">
        <v>441</v>
      </c>
      <c r="L39" s="84"/>
      <c r="M39" s="84"/>
      <c r="N39" s="84"/>
      <c r="P39" s="84" t="s">
        <v>442</v>
      </c>
      <c r="Q39" s="84"/>
      <c r="R39" s="84"/>
      <c r="S39" s="84"/>
      <c r="U39" s="84" t="s">
        <v>443</v>
      </c>
      <c r="V39" s="84"/>
      <c r="W39" s="84"/>
      <c r="X39" s="84"/>
      <c r="Z39" s="84" t="s">
        <v>444</v>
      </c>
      <c r="AA39" s="84"/>
      <c r="AB39" s="84"/>
      <c r="AC39" s="84"/>
      <c r="AE39" s="85" t="s">
        <v>445</v>
      </c>
      <c r="AF39" s="86"/>
      <c r="AG39" s="86"/>
      <c r="AH39" s="87"/>
      <c r="AJ39" s="85" t="s">
        <v>446</v>
      </c>
      <c r="AK39" s="86"/>
      <c r="AL39" s="86"/>
      <c r="AM39" s="87"/>
      <c r="AO39" s="84" t="s">
        <v>447</v>
      </c>
      <c r="AP39" s="84"/>
      <c r="AQ39" s="84"/>
      <c r="AR39" s="84"/>
      <c r="AT39" s="84" t="s">
        <v>448</v>
      </c>
      <c r="AU39" s="84"/>
      <c r="AV39" s="84"/>
      <c r="AW39" s="84"/>
      <c r="AY39" s="84" t="s">
        <v>449</v>
      </c>
      <c r="AZ39" s="84"/>
      <c r="BA39" s="84"/>
      <c r="BB39" s="84"/>
      <c r="BD39" s="84" t="s">
        <v>450</v>
      </c>
      <c r="BE39" s="84"/>
      <c r="BF39" s="84"/>
      <c r="BG39" s="84"/>
      <c r="BI39" s="84" t="s">
        <v>451</v>
      </c>
      <c r="BJ39" s="84"/>
      <c r="BK39" s="84"/>
      <c r="BL39" s="84"/>
      <c r="BN39" s="84" t="s">
        <v>452</v>
      </c>
      <c r="BO39" s="84"/>
      <c r="BP39" s="84"/>
      <c r="BQ39" s="84"/>
      <c r="BS39" s="84" t="s">
        <v>453</v>
      </c>
      <c r="BT39" s="84"/>
      <c r="BU39" s="84"/>
      <c r="BV39" s="84"/>
      <c r="BX39" s="85" t="s">
        <v>454</v>
      </c>
      <c r="BY39" s="86"/>
      <c r="BZ39" s="86"/>
      <c r="CA39" s="87"/>
      <c r="CC39" s="84" t="s">
        <v>455</v>
      </c>
      <c r="CD39" s="84"/>
      <c r="CE39" s="84"/>
      <c r="CF39" s="84"/>
      <c r="CH39" s="84" t="s">
        <v>456</v>
      </c>
      <c r="CI39" s="84"/>
      <c r="CJ39" s="84"/>
      <c r="CK39" s="84"/>
      <c r="CM39" s="85" t="s">
        <v>457</v>
      </c>
      <c r="CN39" s="86"/>
      <c r="CO39" s="86"/>
      <c r="CP39" s="87"/>
      <c r="CR39" s="84" t="s">
        <v>458</v>
      </c>
      <c r="CS39" s="84"/>
      <c r="CT39" s="84"/>
      <c r="CU39" s="84"/>
      <c r="CW39" s="84" t="s">
        <v>459</v>
      </c>
      <c r="CX39" s="84"/>
      <c r="CY39" s="84"/>
      <c r="CZ39" s="84"/>
      <c r="DB39" s="84" t="s">
        <v>460</v>
      </c>
      <c r="DC39" s="84"/>
      <c r="DD39" s="84"/>
      <c r="DE39" s="84"/>
      <c r="DG39" s="84" t="s">
        <v>461</v>
      </c>
      <c r="DH39" s="84"/>
      <c r="DI39" s="84"/>
      <c r="DJ39" s="84"/>
      <c r="DL39" s="84" t="s">
        <v>462</v>
      </c>
      <c r="DM39" s="84"/>
      <c r="DN39" s="84"/>
      <c r="DO39" s="84"/>
      <c r="DQ39" s="84" t="s">
        <v>463</v>
      </c>
      <c r="DR39" s="84"/>
      <c r="DS39" s="84"/>
      <c r="DT39" s="84"/>
      <c r="DV39" s="84" t="s">
        <v>464</v>
      </c>
      <c r="DW39" s="84"/>
      <c r="DX39" s="84"/>
      <c r="DY39" s="84"/>
      <c r="EA39" s="84" t="s">
        <v>465</v>
      </c>
      <c r="EB39" s="84"/>
      <c r="EC39" s="84"/>
      <c r="ED39" s="84"/>
    </row>
    <row r="40" spans="1:134">
      <c r="AE40" s="67"/>
      <c r="AH40" s="66"/>
      <c r="AJ40" s="67"/>
      <c r="AM40" s="66"/>
      <c r="BX40" s="67"/>
      <c r="CA40" s="66"/>
      <c r="CM40" s="67"/>
      <c r="CP40" s="66"/>
    </row>
    <row r="41" spans="1:134">
      <c r="A41" s="45" t="s">
        <v>326</v>
      </c>
      <c r="B41" s="45" t="s">
        <v>284</v>
      </c>
      <c r="F41" s="45" t="s">
        <v>326</v>
      </c>
      <c r="G41" s="45" t="s">
        <v>284</v>
      </c>
      <c r="K41" s="45" t="s">
        <v>326</v>
      </c>
      <c r="L41" s="45" t="s">
        <v>284</v>
      </c>
      <c r="P41" s="45" t="s">
        <v>326</v>
      </c>
      <c r="Q41" s="45" t="s">
        <v>284</v>
      </c>
      <c r="U41" s="45" t="s">
        <v>326</v>
      </c>
      <c r="V41" s="45" t="s">
        <v>284</v>
      </c>
      <c r="Z41" s="45" t="s">
        <v>326</v>
      </c>
      <c r="AA41" s="45" t="s">
        <v>284</v>
      </c>
      <c r="AE41" s="65" t="s">
        <v>326</v>
      </c>
      <c r="AF41" s="45" t="s">
        <v>284</v>
      </c>
      <c r="AH41" s="66"/>
      <c r="AJ41" s="65" t="s">
        <v>326</v>
      </c>
      <c r="AK41" s="45" t="s">
        <v>284</v>
      </c>
      <c r="AM41" s="66"/>
      <c r="AO41" s="45" t="s">
        <v>326</v>
      </c>
      <c r="AP41" s="45" t="s">
        <v>284</v>
      </c>
      <c r="AT41" s="45" t="s">
        <v>326</v>
      </c>
      <c r="AU41" s="45" t="s">
        <v>284</v>
      </c>
      <c r="AY41" s="45" t="s">
        <v>326</v>
      </c>
      <c r="AZ41" s="45" t="s">
        <v>284</v>
      </c>
      <c r="BD41" s="45" t="s">
        <v>326</v>
      </c>
      <c r="BE41" s="45" t="s">
        <v>284</v>
      </c>
      <c r="BI41" s="45" t="s">
        <v>326</v>
      </c>
      <c r="BJ41" s="45" t="s">
        <v>284</v>
      </c>
      <c r="BN41" s="45" t="s">
        <v>326</v>
      </c>
      <c r="BO41" s="45" t="s">
        <v>284</v>
      </c>
      <c r="BS41" s="45" t="s">
        <v>326</v>
      </c>
      <c r="BT41" s="45" t="s">
        <v>284</v>
      </c>
      <c r="BX41" s="65" t="s">
        <v>326</v>
      </c>
      <c r="BY41" s="45" t="s">
        <v>284</v>
      </c>
      <c r="CA41" s="66"/>
      <c r="CC41" s="45" t="s">
        <v>326</v>
      </c>
      <c r="CD41" s="45" t="s">
        <v>284</v>
      </c>
      <c r="CH41" s="45" t="s">
        <v>326</v>
      </c>
      <c r="CI41" s="45" t="s">
        <v>284</v>
      </c>
      <c r="CM41" s="65" t="s">
        <v>326</v>
      </c>
      <c r="CN41" s="45" t="s">
        <v>284</v>
      </c>
      <c r="CP41" s="66"/>
      <c r="CR41" s="45" t="s">
        <v>326</v>
      </c>
      <c r="CS41" s="45" t="s">
        <v>284</v>
      </c>
      <c r="CW41" s="45" t="s">
        <v>326</v>
      </c>
      <c r="CX41" s="45" t="s">
        <v>284</v>
      </c>
      <c r="DB41" s="45" t="s">
        <v>326</v>
      </c>
      <c r="DC41" s="45" t="s">
        <v>284</v>
      </c>
      <c r="DG41" s="45" t="s">
        <v>326</v>
      </c>
      <c r="DH41" s="45" t="s">
        <v>284</v>
      </c>
      <c r="DL41" s="45" t="s">
        <v>326</v>
      </c>
      <c r="DM41" s="45" t="s">
        <v>284</v>
      </c>
      <c r="DQ41" s="45" t="s">
        <v>326</v>
      </c>
      <c r="DR41" s="45" t="s">
        <v>284</v>
      </c>
      <c r="DV41" s="45" t="s">
        <v>326</v>
      </c>
      <c r="DW41" s="45" t="s">
        <v>284</v>
      </c>
      <c r="EA41" s="45" t="s">
        <v>326</v>
      </c>
      <c r="EB41" s="45" t="s">
        <v>284</v>
      </c>
    </row>
    <row r="42" spans="1:134">
      <c r="A42" s="45" t="s">
        <v>7</v>
      </c>
      <c r="B42">
        <v>0</v>
      </c>
      <c r="C42">
        <v>1</v>
      </c>
      <c r="D42" t="s">
        <v>329</v>
      </c>
      <c r="F42" s="45" t="s">
        <v>20</v>
      </c>
      <c r="G42">
        <v>0</v>
      </c>
      <c r="H42">
        <v>1</v>
      </c>
      <c r="I42" t="s">
        <v>329</v>
      </c>
      <c r="K42" s="45" t="s">
        <v>33</v>
      </c>
      <c r="L42">
        <v>0</v>
      </c>
      <c r="M42">
        <v>1</v>
      </c>
      <c r="N42" t="s">
        <v>329</v>
      </c>
      <c r="P42" s="45" t="s">
        <v>34</v>
      </c>
      <c r="Q42">
        <v>0</v>
      </c>
      <c r="R42">
        <v>1</v>
      </c>
      <c r="S42" t="s">
        <v>329</v>
      </c>
      <c r="U42" s="45" t="s">
        <v>295</v>
      </c>
      <c r="V42">
        <v>0</v>
      </c>
      <c r="W42">
        <v>1</v>
      </c>
      <c r="X42" t="s">
        <v>329</v>
      </c>
      <c r="Z42" s="45" t="s">
        <v>296</v>
      </c>
      <c r="AA42">
        <v>0</v>
      </c>
      <c r="AB42">
        <v>1</v>
      </c>
      <c r="AC42" t="s">
        <v>329</v>
      </c>
      <c r="AE42" s="65" t="s">
        <v>31</v>
      </c>
      <c r="AF42">
        <v>0</v>
      </c>
      <c r="AG42">
        <v>1</v>
      </c>
      <c r="AH42" s="66" t="s">
        <v>329</v>
      </c>
      <c r="AJ42" s="65" t="s">
        <v>16</v>
      </c>
      <c r="AK42">
        <v>0</v>
      </c>
      <c r="AL42">
        <v>1</v>
      </c>
      <c r="AM42" s="66" t="s">
        <v>329</v>
      </c>
      <c r="AO42" s="45" t="s">
        <v>44</v>
      </c>
      <c r="AP42">
        <v>0</v>
      </c>
      <c r="AQ42">
        <v>1</v>
      </c>
      <c r="AR42" t="s">
        <v>329</v>
      </c>
      <c r="AT42" s="45" t="s">
        <v>32</v>
      </c>
      <c r="AU42">
        <v>0</v>
      </c>
      <c r="AV42">
        <v>1</v>
      </c>
      <c r="AW42" t="s">
        <v>329</v>
      </c>
      <c r="AY42" s="45" t="s">
        <v>286</v>
      </c>
      <c r="AZ42">
        <v>0</v>
      </c>
      <c r="BA42">
        <v>1</v>
      </c>
      <c r="BB42" t="s">
        <v>329</v>
      </c>
      <c r="BD42" s="45" t="s">
        <v>35</v>
      </c>
      <c r="BE42">
        <v>0</v>
      </c>
      <c r="BF42">
        <v>1</v>
      </c>
      <c r="BG42" t="s">
        <v>329</v>
      </c>
      <c r="BI42" s="45" t="s">
        <v>39</v>
      </c>
      <c r="BJ42">
        <v>0</v>
      </c>
      <c r="BK42">
        <v>1</v>
      </c>
      <c r="BL42" t="s">
        <v>329</v>
      </c>
      <c r="BN42" s="45" t="s">
        <v>280</v>
      </c>
      <c r="BO42">
        <v>0</v>
      </c>
      <c r="BP42">
        <v>1</v>
      </c>
      <c r="BQ42" t="s">
        <v>329</v>
      </c>
      <c r="BS42" s="45" t="s">
        <v>281</v>
      </c>
      <c r="BT42">
        <v>0</v>
      </c>
      <c r="BU42">
        <v>1</v>
      </c>
      <c r="BV42" t="s">
        <v>329</v>
      </c>
      <c r="BX42" s="65" t="s">
        <v>276</v>
      </c>
      <c r="BY42">
        <v>0</v>
      </c>
      <c r="BZ42">
        <v>1</v>
      </c>
      <c r="CA42" s="66" t="s">
        <v>329</v>
      </c>
      <c r="CC42" s="45" t="s">
        <v>277</v>
      </c>
      <c r="CD42">
        <v>0</v>
      </c>
      <c r="CE42">
        <v>1</v>
      </c>
      <c r="CF42" t="s">
        <v>329</v>
      </c>
      <c r="CH42" s="45" t="s">
        <v>278</v>
      </c>
      <c r="CI42">
        <v>0</v>
      </c>
      <c r="CJ42">
        <v>1</v>
      </c>
      <c r="CK42" t="s">
        <v>329</v>
      </c>
      <c r="CM42" s="65" t="s">
        <v>279</v>
      </c>
      <c r="CN42">
        <v>0</v>
      </c>
      <c r="CO42">
        <v>1</v>
      </c>
      <c r="CP42" s="66" t="s">
        <v>329</v>
      </c>
      <c r="CR42" s="45" t="s">
        <v>5</v>
      </c>
      <c r="CS42">
        <v>0</v>
      </c>
      <c r="CT42">
        <v>1</v>
      </c>
      <c r="CU42" t="s">
        <v>329</v>
      </c>
      <c r="CW42" s="45" t="s">
        <v>6</v>
      </c>
      <c r="CX42">
        <v>0</v>
      </c>
      <c r="CY42">
        <v>1</v>
      </c>
      <c r="CZ42" t="s">
        <v>329</v>
      </c>
      <c r="DB42" s="45" t="s">
        <v>9</v>
      </c>
      <c r="DC42">
        <v>0</v>
      </c>
      <c r="DD42">
        <v>1</v>
      </c>
      <c r="DE42" t="s">
        <v>329</v>
      </c>
      <c r="DG42" s="45" t="s">
        <v>10</v>
      </c>
      <c r="DH42">
        <v>0</v>
      </c>
      <c r="DI42">
        <v>1</v>
      </c>
      <c r="DJ42" t="s">
        <v>329</v>
      </c>
      <c r="DL42" s="45" t="s">
        <v>8</v>
      </c>
      <c r="DM42">
        <v>0</v>
      </c>
      <c r="DN42">
        <v>1</v>
      </c>
      <c r="DO42" t="s">
        <v>329</v>
      </c>
      <c r="DQ42" s="45" t="s">
        <v>11</v>
      </c>
      <c r="DR42">
        <v>0</v>
      </c>
      <c r="DS42">
        <v>1</v>
      </c>
      <c r="DT42" t="s">
        <v>329</v>
      </c>
      <c r="DV42" s="45" t="s">
        <v>13</v>
      </c>
      <c r="DW42">
        <v>0</v>
      </c>
      <c r="DX42">
        <v>1</v>
      </c>
      <c r="DY42" t="s">
        <v>329</v>
      </c>
      <c r="EA42" s="45" t="s">
        <v>12</v>
      </c>
      <c r="EB42">
        <v>0</v>
      </c>
      <c r="EC42">
        <v>1</v>
      </c>
      <c r="ED42" t="s">
        <v>329</v>
      </c>
    </row>
    <row r="43" spans="1:134">
      <c r="A43">
        <v>0</v>
      </c>
      <c r="B43">
        <v>65</v>
      </c>
      <c r="C43">
        <v>2</v>
      </c>
      <c r="D43">
        <v>67</v>
      </c>
      <c r="F43">
        <v>0</v>
      </c>
      <c r="G43">
        <v>73</v>
      </c>
      <c r="H43">
        <v>6</v>
      </c>
      <c r="I43">
        <v>79</v>
      </c>
      <c r="K43">
        <v>0</v>
      </c>
      <c r="L43">
        <v>14</v>
      </c>
      <c r="M43">
        <v>1</v>
      </c>
      <c r="N43">
        <v>15</v>
      </c>
      <c r="P43">
        <v>0</v>
      </c>
      <c r="Q43">
        <v>15</v>
      </c>
      <c r="R43">
        <v>3</v>
      </c>
      <c r="S43">
        <v>18</v>
      </c>
      <c r="U43">
        <v>0</v>
      </c>
      <c r="V43">
        <v>108</v>
      </c>
      <c r="W43">
        <v>11</v>
      </c>
      <c r="X43">
        <v>119</v>
      </c>
      <c r="Z43">
        <v>0</v>
      </c>
      <c r="AA43">
        <v>26</v>
      </c>
      <c r="AB43">
        <v>3</v>
      </c>
      <c r="AC43">
        <v>29</v>
      </c>
      <c r="AE43" s="67">
        <v>0</v>
      </c>
      <c r="AF43">
        <v>78</v>
      </c>
      <c r="AG43">
        <v>1</v>
      </c>
      <c r="AH43" s="66">
        <v>79</v>
      </c>
      <c r="AJ43" s="67">
        <v>0</v>
      </c>
      <c r="AK43">
        <v>84</v>
      </c>
      <c r="AL43">
        <v>2</v>
      </c>
      <c r="AM43" s="66">
        <v>86</v>
      </c>
      <c r="AO43">
        <v>0</v>
      </c>
      <c r="AP43">
        <v>100</v>
      </c>
      <c r="AQ43">
        <v>9</v>
      </c>
      <c r="AR43">
        <v>109</v>
      </c>
      <c r="AT43">
        <v>0</v>
      </c>
      <c r="AU43">
        <v>60</v>
      </c>
      <c r="AV43">
        <v>1</v>
      </c>
      <c r="AW43">
        <v>61</v>
      </c>
      <c r="AY43">
        <v>0</v>
      </c>
      <c r="AZ43">
        <v>106</v>
      </c>
      <c r="BA43">
        <v>7</v>
      </c>
      <c r="BB43">
        <v>113</v>
      </c>
      <c r="BD43">
        <v>0</v>
      </c>
      <c r="BE43">
        <v>35</v>
      </c>
      <c r="BG43">
        <v>35</v>
      </c>
      <c r="BI43">
        <v>0</v>
      </c>
      <c r="BJ43">
        <v>104</v>
      </c>
      <c r="BK43">
        <v>9</v>
      </c>
      <c r="BL43">
        <v>113</v>
      </c>
      <c r="BN43">
        <v>0</v>
      </c>
      <c r="BO43">
        <v>74</v>
      </c>
      <c r="BP43">
        <v>2</v>
      </c>
      <c r="BQ43">
        <v>76</v>
      </c>
      <c r="BS43">
        <v>0</v>
      </c>
      <c r="BT43">
        <v>107</v>
      </c>
      <c r="BU43">
        <v>12</v>
      </c>
      <c r="BV43">
        <v>119</v>
      </c>
      <c r="BX43" s="67">
        <v>0</v>
      </c>
      <c r="BY43">
        <v>90</v>
      </c>
      <c r="BZ43">
        <v>6</v>
      </c>
      <c r="CA43" s="66">
        <v>96</v>
      </c>
      <c r="CC43">
        <v>0</v>
      </c>
      <c r="CD43">
        <v>107</v>
      </c>
      <c r="CE43">
        <v>10</v>
      </c>
      <c r="CF43">
        <v>117</v>
      </c>
      <c r="CH43">
        <v>0</v>
      </c>
      <c r="CI43">
        <v>111</v>
      </c>
      <c r="CJ43">
        <v>11</v>
      </c>
      <c r="CK43">
        <v>122</v>
      </c>
      <c r="CM43" s="67">
        <v>0</v>
      </c>
      <c r="CN43">
        <v>55</v>
      </c>
      <c r="CO43">
        <v>12</v>
      </c>
      <c r="CP43" s="66">
        <v>67</v>
      </c>
      <c r="CR43">
        <v>1</v>
      </c>
      <c r="CS43">
        <v>61</v>
      </c>
      <c r="CT43">
        <v>7</v>
      </c>
      <c r="CU43">
        <v>68</v>
      </c>
      <c r="CW43">
        <v>2</v>
      </c>
      <c r="CX43">
        <v>88</v>
      </c>
      <c r="CY43">
        <v>9</v>
      </c>
      <c r="CZ43">
        <v>97</v>
      </c>
      <c r="DB43">
        <v>0</v>
      </c>
      <c r="DC43">
        <v>117</v>
      </c>
      <c r="DD43">
        <v>12</v>
      </c>
      <c r="DE43">
        <v>129</v>
      </c>
      <c r="DG43">
        <v>0</v>
      </c>
      <c r="DH43">
        <v>113</v>
      </c>
      <c r="DI43">
        <v>10</v>
      </c>
      <c r="DJ43">
        <v>123</v>
      </c>
      <c r="DL43">
        <v>0</v>
      </c>
      <c r="DM43">
        <v>118</v>
      </c>
      <c r="DN43">
        <v>11</v>
      </c>
      <c r="DO43">
        <v>129</v>
      </c>
      <c r="DQ43">
        <v>0</v>
      </c>
      <c r="DR43">
        <v>102</v>
      </c>
      <c r="DS43">
        <v>10</v>
      </c>
      <c r="DT43">
        <v>112</v>
      </c>
      <c r="DV43">
        <v>0</v>
      </c>
      <c r="DW43">
        <v>78</v>
      </c>
      <c r="DX43">
        <v>2</v>
      </c>
      <c r="DY43">
        <v>80</v>
      </c>
      <c r="EA43">
        <v>0</v>
      </c>
      <c r="EB43">
        <v>121</v>
      </c>
      <c r="EC43">
        <v>11</v>
      </c>
      <c r="ED43">
        <v>132</v>
      </c>
    </row>
    <row r="44" spans="1:134">
      <c r="A44">
        <v>1</v>
      </c>
      <c r="B44">
        <v>56</v>
      </c>
      <c r="C44">
        <v>11</v>
      </c>
      <c r="D44">
        <v>67</v>
      </c>
      <c r="F44">
        <v>1</v>
      </c>
      <c r="G44">
        <v>48</v>
      </c>
      <c r="H44">
        <v>7</v>
      </c>
      <c r="I44">
        <v>55</v>
      </c>
      <c r="K44">
        <v>1</v>
      </c>
      <c r="L44">
        <v>107</v>
      </c>
      <c r="M44">
        <v>12</v>
      </c>
      <c r="N44">
        <v>119</v>
      </c>
      <c r="P44">
        <v>1</v>
      </c>
      <c r="Q44">
        <v>106</v>
      </c>
      <c r="R44">
        <v>10</v>
      </c>
      <c r="S44">
        <v>116</v>
      </c>
      <c r="U44">
        <v>1</v>
      </c>
      <c r="V44">
        <v>13</v>
      </c>
      <c r="W44">
        <v>2</v>
      </c>
      <c r="X44">
        <v>15</v>
      </c>
      <c r="Z44">
        <v>1</v>
      </c>
      <c r="AA44">
        <v>95</v>
      </c>
      <c r="AB44">
        <v>10</v>
      </c>
      <c r="AC44">
        <v>105</v>
      </c>
      <c r="AE44" s="67">
        <v>1</v>
      </c>
      <c r="AF44">
        <v>43</v>
      </c>
      <c r="AG44">
        <v>12</v>
      </c>
      <c r="AH44" s="66">
        <v>55</v>
      </c>
      <c r="AJ44" s="67">
        <v>1</v>
      </c>
      <c r="AK44">
        <v>37</v>
      </c>
      <c r="AL44">
        <v>11</v>
      </c>
      <c r="AM44" s="66">
        <v>48</v>
      </c>
      <c r="AO44">
        <v>1</v>
      </c>
      <c r="AP44">
        <v>21</v>
      </c>
      <c r="AQ44">
        <v>4</v>
      </c>
      <c r="AR44">
        <v>25</v>
      </c>
      <c r="AT44">
        <v>1</v>
      </c>
      <c r="AU44">
        <v>61</v>
      </c>
      <c r="AV44">
        <v>12</v>
      </c>
      <c r="AW44">
        <v>73</v>
      </c>
      <c r="AY44">
        <v>1</v>
      </c>
      <c r="AZ44">
        <v>15</v>
      </c>
      <c r="BA44">
        <v>6</v>
      </c>
      <c r="BB44">
        <v>21</v>
      </c>
      <c r="BD44">
        <v>1</v>
      </c>
      <c r="BE44">
        <v>86</v>
      </c>
      <c r="BF44">
        <v>13</v>
      </c>
      <c r="BG44">
        <v>99</v>
      </c>
      <c r="BI44">
        <v>1</v>
      </c>
      <c r="BJ44">
        <v>17</v>
      </c>
      <c r="BK44">
        <v>4</v>
      </c>
      <c r="BL44">
        <v>21</v>
      </c>
      <c r="BN44">
        <v>1</v>
      </c>
      <c r="BO44">
        <v>47</v>
      </c>
      <c r="BP44">
        <v>11</v>
      </c>
      <c r="BQ44">
        <v>58</v>
      </c>
      <c r="BS44">
        <v>1</v>
      </c>
      <c r="BT44">
        <v>14</v>
      </c>
      <c r="BU44">
        <v>1</v>
      </c>
      <c r="BV44">
        <v>15</v>
      </c>
      <c r="BX44" s="67">
        <v>1</v>
      </c>
      <c r="BY44">
        <v>31</v>
      </c>
      <c r="BZ44">
        <v>7</v>
      </c>
      <c r="CA44" s="66">
        <v>38</v>
      </c>
      <c r="CC44">
        <v>1</v>
      </c>
      <c r="CD44">
        <v>14</v>
      </c>
      <c r="CE44">
        <v>3</v>
      </c>
      <c r="CF44">
        <v>17</v>
      </c>
      <c r="CH44">
        <v>1</v>
      </c>
      <c r="CI44">
        <v>10</v>
      </c>
      <c r="CJ44">
        <v>2</v>
      </c>
      <c r="CK44">
        <v>12</v>
      </c>
      <c r="CM44" s="67">
        <v>1</v>
      </c>
      <c r="CN44">
        <v>66</v>
      </c>
      <c r="CO44">
        <v>1</v>
      </c>
      <c r="CP44" s="66">
        <v>67</v>
      </c>
      <c r="CR44">
        <v>2</v>
      </c>
      <c r="CS44">
        <v>60</v>
      </c>
      <c r="CT44">
        <v>6</v>
      </c>
      <c r="CU44">
        <v>66</v>
      </c>
      <c r="CW44">
        <v>3</v>
      </c>
      <c r="CX44">
        <v>25</v>
      </c>
      <c r="CY44">
        <v>3</v>
      </c>
      <c r="CZ44">
        <v>28</v>
      </c>
      <c r="DB44">
        <v>1</v>
      </c>
      <c r="DC44">
        <v>4</v>
      </c>
      <c r="DD44">
        <v>1</v>
      </c>
      <c r="DE44">
        <v>5</v>
      </c>
      <c r="DG44">
        <v>1</v>
      </c>
      <c r="DH44">
        <v>8</v>
      </c>
      <c r="DI44">
        <v>3</v>
      </c>
      <c r="DJ44">
        <v>11</v>
      </c>
      <c r="DL44">
        <v>1</v>
      </c>
      <c r="DM44">
        <v>3</v>
      </c>
      <c r="DN44">
        <v>2</v>
      </c>
      <c r="DO44">
        <v>5</v>
      </c>
      <c r="DQ44">
        <v>1</v>
      </c>
      <c r="DR44">
        <v>19</v>
      </c>
      <c r="DS44">
        <v>3</v>
      </c>
      <c r="DT44">
        <v>22</v>
      </c>
      <c r="DV44">
        <v>1</v>
      </c>
      <c r="DW44">
        <v>43</v>
      </c>
      <c r="DX44">
        <v>11</v>
      </c>
      <c r="DY44">
        <v>54</v>
      </c>
      <c r="EA44">
        <v>1</v>
      </c>
      <c r="EC44">
        <v>2</v>
      </c>
      <c r="ED44">
        <v>2</v>
      </c>
    </row>
    <row r="45" spans="1:134">
      <c r="A45" t="s">
        <v>329</v>
      </c>
      <c r="B45">
        <v>121</v>
      </c>
      <c r="C45">
        <v>13</v>
      </c>
      <c r="D45">
        <v>134</v>
      </c>
      <c r="F45" t="s">
        <v>329</v>
      </c>
      <c r="G45">
        <v>121</v>
      </c>
      <c r="H45">
        <v>13</v>
      </c>
      <c r="I45">
        <v>134</v>
      </c>
      <c r="K45" t="s">
        <v>329</v>
      </c>
      <c r="L45">
        <v>121</v>
      </c>
      <c r="M45">
        <v>13</v>
      </c>
      <c r="N45">
        <v>134</v>
      </c>
      <c r="P45" t="s">
        <v>329</v>
      </c>
      <c r="Q45">
        <v>121</v>
      </c>
      <c r="R45">
        <v>13</v>
      </c>
      <c r="S45">
        <v>134</v>
      </c>
      <c r="U45" t="s">
        <v>329</v>
      </c>
      <c r="V45">
        <v>121</v>
      </c>
      <c r="W45">
        <v>13</v>
      </c>
      <c r="X45">
        <v>134</v>
      </c>
      <c r="Z45" t="s">
        <v>329</v>
      </c>
      <c r="AA45">
        <v>121</v>
      </c>
      <c r="AB45">
        <v>13</v>
      </c>
      <c r="AC45">
        <v>134</v>
      </c>
      <c r="AE45" s="67" t="s">
        <v>329</v>
      </c>
      <c r="AF45">
        <v>121</v>
      </c>
      <c r="AG45">
        <v>13</v>
      </c>
      <c r="AH45" s="66">
        <v>134</v>
      </c>
      <c r="AJ45" s="67" t="s">
        <v>329</v>
      </c>
      <c r="AK45">
        <v>121</v>
      </c>
      <c r="AL45">
        <v>13</v>
      </c>
      <c r="AM45" s="66">
        <v>134</v>
      </c>
      <c r="AO45" t="s">
        <v>329</v>
      </c>
      <c r="AP45">
        <v>121</v>
      </c>
      <c r="AQ45">
        <v>13</v>
      </c>
      <c r="AR45">
        <v>134</v>
      </c>
      <c r="AT45" t="s">
        <v>329</v>
      </c>
      <c r="AU45">
        <v>121</v>
      </c>
      <c r="AV45">
        <v>13</v>
      </c>
      <c r="AW45">
        <v>134</v>
      </c>
      <c r="AY45" t="s">
        <v>329</v>
      </c>
      <c r="AZ45">
        <v>121</v>
      </c>
      <c r="BA45">
        <v>13</v>
      </c>
      <c r="BB45">
        <v>134</v>
      </c>
      <c r="BD45" t="s">
        <v>329</v>
      </c>
      <c r="BE45">
        <v>121</v>
      </c>
      <c r="BF45">
        <v>13</v>
      </c>
      <c r="BG45">
        <v>134</v>
      </c>
      <c r="BI45" t="s">
        <v>329</v>
      </c>
      <c r="BJ45">
        <v>121</v>
      </c>
      <c r="BK45">
        <v>13</v>
      </c>
      <c r="BL45">
        <v>134</v>
      </c>
      <c r="BN45" t="s">
        <v>329</v>
      </c>
      <c r="BO45">
        <v>121</v>
      </c>
      <c r="BP45">
        <v>13</v>
      </c>
      <c r="BQ45">
        <v>134</v>
      </c>
      <c r="BS45" t="s">
        <v>329</v>
      </c>
      <c r="BT45">
        <v>121</v>
      </c>
      <c r="BU45">
        <v>13</v>
      </c>
      <c r="BV45">
        <v>134</v>
      </c>
      <c r="BX45" s="67" t="s">
        <v>329</v>
      </c>
      <c r="BY45">
        <v>121</v>
      </c>
      <c r="BZ45">
        <v>13</v>
      </c>
      <c r="CA45" s="66">
        <v>134</v>
      </c>
      <c r="CC45" t="s">
        <v>329</v>
      </c>
      <c r="CD45">
        <v>121</v>
      </c>
      <c r="CE45">
        <v>13</v>
      </c>
      <c r="CF45">
        <v>134</v>
      </c>
      <c r="CH45" t="s">
        <v>329</v>
      </c>
      <c r="CI45">
        <v>121</v>
      </c>
      <c r="CJ45">
        <v>13</v>
      </c>
      <c r="CK45">
        <v>134</v>
      </c>
      <c r="CM45" s="67" t="s">
        <v>329</v>
      </c>
      <c r="CN45">
        <v>121</v>
      </c>
      <c r="CO45">
        <v>13</v>
      </c>
      <c r="CP45" s="66">
        <v>134</v>
      </c>
      <c r="CR45" t="s">
        <v>329</v>
      </c>
      <c r="CS45">
        <v>121</v>
      </c>
      <c r="CT45">
        <v>13</v>
      </c>
      <c r="CU45">
        <v>134</v>
      </c>
      <c r="CW45">
        <v>4</v>
      </c>
      <c r="CX45">
        <v>3</v>
      </c>
      <c r="CZ45">
        <v>3</v>
      </c>
      <c r="DB45" t="s">
        <v>329</v>
      </c>
      <c r="DC45">
        <v>121</v>
      </c>
      <c r="DD45">
        <v>13</v>
      </c>
      <c r="DE45">
        <v>134</v>
      </c>
      <c r="DG45" t="s">
        <v>329</v>
      </c>
      <c r="DH45">
        <v>121</v>
      </c>
      <c r="DI45">
        <v>13</v>
      </c>
      <c r="DJ45">
        <v>134</v>
      </c>
      <c r="DL45" t="s">
        <v>329</v>
      </c>
      <c r="DM45">
        <v>121</v>
      </c>
      <c r="DN45">
        <v>13</v>
      </c>
      <c r="DO45">
        <v>134</v>
      </c>
      <c r="DQ45" t="s">
        <v>329</v>
      </c>
      <c r="DR45">
        <v>121</v>
      </c>
      <c r="DS45">
        <v>13</v>
      </c>
      <c r="DT45">
        <v>134</v>
      </c>
      <c r="DV45" t="s">
        <v>329</v>
      </c>
      <c r="DW45">
        <v>121</v>
      </c>
      <c r="DX45">
        <v>13</v>
      </c>
      <c r="DY45">
        <v>134</v>
      </c>
      <c r="EA45" t="s">
        <v>329</v>
      </c>
      <c r="EB45">
        <v>121</v>
      </c>
      <c r="EC45">
        <v>13</v>
      </c>
      <c r="ED45">
        <v>134</v>
      </c>
    </row>
    <row r="46" spans="1:134">
      <c r="AE46" s="67"/>
      <c r="AH46" s="66"/>
      <c r="AJ46" s="67"/>
      <c r="AM46" s="66"/>
      <c r="BX46" s="67"/>
      <c r="CA46" s="66"/>
      <c r="CM46" s="67"/>
      <c r="CP46" s="66"/>
      <c r="CW46">
        <v>5</v>
      </c>
      <c r="CX46">
        <v>5</v>
      </c>
      <c r="CY46">
        <v>1</v>
      </c>
      <c r="CZ46">
        <v>6</v>
      </c>
    </row>
    <row r="47" spans="1:134">
      <c r="AE47" s="67"/>
      <c r="AH47" s="66"/>
      <c r="AJ47" s="67"/>
      <c r="AM47" s="66"/>
      <c r="BX47" s="67"/>
      <c r="CA47" s="66"/>
      <c r="CM47" s="67"/>
      <c r="CP47" s="66"/>
      <c r="CW47" t="s">
        <v>329</v>
      </c>
      <c r="CX47">
        <v>121</v>
      </c>
      <c r="CY47">
        <v>13</v>
      </c>
      <c r="CZ47">
        <v>134</v>
      </c>
    </row>
    <row r="48" spans="1:134">
      <c r="A48" s="46"/>
      <c r="B48" s="46">
        <v>0</v>
      </c>
      <c r="C48" s="46">
        <v>1</v>
      </c>
      <c r="F48" s="46"/>
      <c r="G48" s="46">
        <v>0</v>
      </c>
      <c r="H48" s="46">
        <v>1</v>
      </c>
      <c r="K48" s="46"/>
      <c r="L48" s="46">
        <v>0</v>
      </c>
      <c r="M48" s="46">
        <v>1</v>
      </c>
      <c r="P48" s="46"/>
      <c r="Q48" s="46">
        <v>0</v>
      </c>
      <c r="R48" s="46">
        <v>1</v>
      </c>
      <c r="U48" s="46"/>
      <c r="V48" s="46">
        <v>0</v>
      </c>
      <c r="W48" s="46">
        <v>1</v>
      </c>
      <c r="Z48" s="46"/>
      <c r="AA48" s="46">
        <v>0</v>
      </c>
      <c r="AB48" s="46">
        <v>1</v>
      </c>
      <c r="AE48" s="68"/>
      <c r="AF48" s="46">
        <v>0</v>
      </c>
      <c r="AG48" s="46">
        <v>1</v>
      </c>
      <c r="AH48" s="66"/>
      <c r="AJ48" s="68"/>
      <c r="AK48" s="46">
        <v>0</v>
      </c>
      <c r="AL48" s="46">
        <v>1</v>
      </c>
      <c r="AM48" s="66"/>
      <c r="AO48" s="46"/>
      <c r="AP48" s="46">
        <v>0</v>
      </c>
      <c r="AQ48" s="46">
        <v>1</v>
      </c>
      <c r="AT48" s="46"/>
      <c r="AU48" s="46">
        <v>0</v>
      </c>
      <c r="AV48" s="46">
        <v>1</v>
      </c>
      <c r="AY48" s="46"/>
      <c r="AZ48" s="46">
        <v>0</v>
      </c>
      <c r="BA48" s="46">
        <v>1</v>
      </c>
      <c r="BD48" s="46"/>
      <c r="BE48" s="46">
        <v>0</v>
      </c>
      <c r="BF48" s="46">
        <v>1</v>
      </c>
      <c r="BI48" s="46"/>
      <c r="BJ48" s="46">
        <v>0</v>
      </c>
      <c r="BK48" s="46">
        <v>1</v>
      </c>
      <c r="BN48" s="46"/>
      <c r="BO48" s="46">
        <v>0</v>
      </c>
      <c r="BP48" s="46">
        <v>1</v>
      </c>
      <c r="BS48" s="46"/>
      <c r="BT48" s="46">
        <v>0</v>
      </c>
      <c r="BU48" s="46">
        <v>1</v>
      </c>
      <c r="BX48" s="68"/>
      <c r="BY48" s="46">
        <v>0</v>
      </c>
      <c r="BZ48" s="46">
        <v>1</v>
      </c>
      <c r="CA48" s="66"/>
      <c r="CC48" s="46"/>
      <c r="CD48" s="46">
        <v>0</v>
      </c>
      <c r="CE48" s="46">
        <v>1</v>
      </c>
      <c r="CH48" s="46"/>
      <c r="CI48" s="46">
        <v>0</v>
      </c>
      <c r="CJ48" s="46">
        <v>1</v>
      </c>
      <c r="CM48" s="68"/>
      <c r="CN48" s="46">
        <v>0</v>
      </c>
      <c r="CO48" s="46">
        <v>1</v>
      </c>
      <c r="CP48" s="66"/>
      <c r="CR48" s="46"/>
      <c r="CS48" s="46">
        <v>0</v>
      </c>
      <c r="CT48" s="46">
        <v>1</v>
      </c>
      <c r="DB48" s="46"/>
      <c r="DC48" s="46">
        <v>0</v>
      </c>
      <c r="DD48" s="46">
        <v>1</v>
      </c>
      <c r="DG48" s="46"/>
      <c r="DH48" s="46">
        <v>0</v>
      </c>
      <c r="DI48" s="46">
        <v>1</v>
      </c>
      <c r="DL48" s="46"/>
      <c r="DM48" s="46">
        <v>0</v>
      </c>
      <c r="DN48" s="46">
        <v>1</v>
      </c>
      <c r="DQ48" s="46"/>
      <c r="DR48" s="46">
        <v>0</v>
      </c>
      <c r="DS48" s="46">
        <v>1</v>
      </c>
      <c r="DV48" s="46"/>
      <c r="DW48" s="46">
        <v>0</v>
      </c>
      <c r="DX48" s="46">
        <v>1</v>
      </c>
      <c r="EA48" s="46"/>
      <c r="EB48" s="46">
        <v>0</v>
      </c>
      <c r="EC48" s="46">
        <v>1</v>
      </c>
    </row>
    <row r="49" spans="1:133">
      <c r="A49">
        <v>0</v>
      </c>
      <c r="B49">
        <f>(B45*D43)/D45</f>
        <v>60.5</v>
      </c>
      <c r="C49">
        <f>(D43*C45)/D45</f>
        <v>6.5</v>
      </c>
      <c r="F49">
        <v>0</v>
      </c>
      <c r="G49">
        <f>(G45*I43)/I45</f>
        <v>71.335820895522389</v>
      </c>
      <c r="H49">
        <f>(I43*H45)/I45</f>
        <v>7.6641791044776122</v>
      </c>
      <c r="K49">
        <v>0</v>
      </c>
      <c r="L49">
        <f>(L45*N43)/N45</f>
        <v>13.544776119402986</v>
      </c>
      <c r="M49">
        <f>(N43*M45)/N45</f>
        <v>1.455223880597015</v>
      </c>
      <c r="P49">
        <v>0</v>
      </c>
      <c r="Q49">
        <f>(Q45*S43)/S45</f>
        <v>16.253731343283583</v>
      </c>
      <c r="R49">
        <f>(S43*R45)/S45</f>
        <v>1.7462686567164178</v>
      </c>
      <c r="U49">
        <v>0</v>
      </c>
      <c r="V49">
        <f>(V45*X43)/X45</f>
        <v>107.45522388059702</v>
      </c>
      <c r="W49">
        <f>(X43*W45)/X45</f>
        <v>11.544776119402986</v>
      </c>
      <c r="Z49">
        <v>0</v>
      </c>
      <c r="AA49">
        <f>(AA45*AC43)/AC45</f>
        <v>26.186567164179106</v>
      </c>
      <c r="AB49">
        <f>(AC43*AB45)/AC45</f>
        <v>2.8134328358208953</v>
      </c>
      <c r="AE49" s="67">
        <v>0</v>
      </c>
      <c r="AF49">
        <f>(AF45*AH43)/AH45</f>
        <v>71.335820895522389</v>
      </c>
      <c r="AG49">
        <f>(AH43*AG45)/AH45</f>
        <v>7.6641791044776122</v>
      </c>
      <c r="AH49" s="66"/>
      <c r="AJ49" s="67">
        <v>0</v>
      </c>
      <c r="AK49">
        <f>(AK45*AM43)/AM45</f>
        <v>77.656716417910445</v>
      </c>
      <c r="AL49">
        <f>(AM43*AL45)/AM45</f>
        <v>8.343283582089553</v>
      </c>
      <c r="AM49" s="66"/>
      <c r="AO49">
        <v>0</v>
      </c>
      <c r="AP49">
        <f>(AP45*AR43)/AR45</f>
        <v>98.425373134328353</v>
      </c>
      <c r="AQ49">
        <f>(AR43*AQ45)/AR45</f>
        <v>10.574626865671641</v>
      </c>
      <c r="AT49">
        <v>0</v>
      </c>
      <c r="AU49">
        <f>(AU45*AW43)/AW45</f>
        <v>55.082089552238806</v>
      </c>
      <c r="AV49">
        <f>(AW43*AV45)/AW45</f>
        <v>5.9179104477611943</v>
      </c>
      <c r="AY49">
        <v>0</v>
      </c>
      <c r="AZ49">
        <f>(AZ45*BB43)/BB45</f>
        <v>102.03731343283582</v>
      </c>
      <c r="BA49">
        <f>(BB43*BA45)/BB45</f>
        <v>10.962686567164178</v>
      </c>
      <c r="BD49">
        <v>0</v>
      </c>
      <c r="BE49">
        <f>(BE45*BG43)/BG45</f>
        <v>31.604477611940297</v>
      </c>
      <c r="BF49">
        <f>(BG43*BF45)/BG45</f>
        <v>3.3955223880597014</v>
      </c>
      <c r="BI49">
        <v>0</v>
      </c>
      <c r="BJ49">
        <f>(BJ45*BL43)/BL45</f>
        <v>102.03731343283582</v>
      </c>
      <c r="BK49">
        <f>(BL43*BK45)/BL45</f>
        <v>10.962686567164178</v>
      </c>
      <c r="BN49">
        <v>0</v>
      </c>
      <c r="BO49">
        <f>(BO45*BQ43)/BQ45</f>
        <v>68.626865671641795</v>
      </c>
      <c r="BP49">
        <f>(BQ43*BP45)/BQ45</f>
        <v>7.3731343283582094</v>
      </c>
      <c r="BS49">
        <v>0</v>
      </c>
      <c r="BT49">
        <f>(BT45*BV43)/BV45</f>
        <v>107.45522388059702</v>
      </c>
      <c r="BU49">
        <f>(BV43*BU45)/BV45</f>
        <v>11.544776119402986</v>
      </c>
      <c r="BX49" s="67">
        <v>0</v>
      </c>
      <c r="BY49">
        <f>(BY45*CA43)/CA45</f>
        <v>86.68656716417911</v>
      </c>
      <c r="BZ49">
        <f>(CA43*BZ45)/CA45</f>
        <v>9.3134328358208958</v>
      </c>
      <c r="CA49" s="66"/>
      <c r="CC49">
        <v>0</v>
      </c>
      <c r="CD49">
        <f>(CD45*CF43)/CF45</f>
        <v>105.64925373134328</v>
      </c>
      <c r="CE49">
        <f>(CF43*CE45)/CF45</f>
        <v>11.350746268656716</v>
      </c>
      <c r="CH49">
        <v>0</v>
      </c>
      <c r="CI49">
        <f>(CI45*CK43)/CK45</f>
        <v>110.16417910447761</v>
      </c>
      <c r="CJ49">
        <f>(CK43*CJ45)/CK45</f>
        <v>11.835820895522389</v>
      </c>
      <c r="CM49" s="67">
        <v>0</v>
      </c>
      <c r="CN49">
        <f>(CN45*CP43)/CP45</f>
        <v>60.5</v>
      </c>
      <c r="CO49">
        <f>(CP43*CO45)/CP45</f>
        <v>6.5</v>
      </c>
      <c r="CP49" s="66"/>
      <c r="CR49">
        <v>1</v>
      </c>
      <c r="CS49">
        <f>(CS45*CU43)/CU45</f>
        <v>61.402985074626862</v>
      </c>
      <c r="CT49">
        <f>(CU43*CT45)/CU45</f>
        <v>6.5970149253731343</v>
      </c>
      <c r="DB49">
        <v>0</v>
      </c>
      <c r="DC49">
        <f>(DC45*DE43)/DE45</f>
        <v>116.48507462686567</v>
      </c>
      <c r="DD49">
        <f>(DE43*DD45)/DE45</f>
        <v>12.514925373134329</v>
      </c>
      <c r="DG49">
        <v>0</v>
      </c>
      <c r="DH49">
        <f>(DH45*DJ43)/DJ45</f>
        <v>111.06716417910448</v>
      </c>
      <c r="DI49">
        <f>(DJ43*DI45)/DJ45</f>
        <v>11.932835820895523</v>
      </c>
      <c r="DL49">
        <v>0</v>
      </c>
      <c r="DM49">
        <f>(DM45*DO43)/DO45</f>
        <v>116.48507462686567</v>
      </c>
      <c r="DN49">
        <f>(DO43*DN45)/DO45</f>
        <v>12.514925373134329</v>
      </c>
      <c r="DQ49">
        <v>0</v>
      </c>
      <c r="DR49">
        <f>(DR45*DT43)/DT45</f>
        <v>101.13432835820896</v>
      </c>
      <c r="DS49">
        <f>(DT43*DS45)/DT45</f>
        <v>10.865671641791044</v>
      </c>
      <c r="DV49">
        <v>0</v>
      </c>
      <c r="DW49">
        <f>(DW45*DY43)/DY45</f>
        <v>72.238805970149258</v>
      </c>
      <c r="DX49">
        <f>(DY43*DX45)/DY45</f>
        <v>7.7611940298507465</v>
      </c>
      <c r="EA49">
        <v>0</v>
      </c>
      <c r="EB49">
        <f>(EB45*ED43)/ED45</f>
        <v>119.19402985074628</v>
      </c>
      <c r="EC49">
        <f>(ED43*EC45)/ED45</f>
        <v>12.805970149253731</v>
      </c>
    </row>
    <row r="50" spans="1:133">
      <c r="A50">
        <v>1</v>
      </c>
      <c r="B50">
        <f>(B45*D44)/D45</f>
        <v>60.5</v>
      </c>
      <c r="C50">
        <f>(C45*D44)/D45</f>
        <v>6.5</v>
      </c>
      <c r="F50">
        <v>1</v>
      </c>
      <c r="G50">
        <f>(G45*I44)/I45</f>
        <v>49.664179104477611</v>
      </c>
      <c r="H50">
        <f>(H45*I44)/I45</f>
        <v>5.3358208955223878</v>
      </c>
      <c r="K50">
        <v>1</v>
      </c>
      <c r="L50">
        <f>(L45*N44)/N45</f>
        <v>107.45522388059702</v>
      </c>
      <c r="M50">
        <f>(M45*N44)/N45</f>
        <v>11.544776119402986</v>
      </c>
      <c r="P50">
        <v>1</v>
      </c>
      <c r="Q50">
        <f>(Q45*S44)/S45</f>
        <v>104.74626865671642</v>
      </c>
      <c r="R50">
        <f>(R45*S44)/S45</f>
        <v>11.253731343283581</v>
      </c>
      <c r="U50">
        <v>1</v>
      </c>
      <c r="V50">
        <f>(V45*X44)/X45</f>
        <v>13.544776119402986</v>
      </c>
      <c r="W50">
        <f>(W45*X44)/X45</f>
        <v>1.455223880597015</v>
      </c>
      <c r="Z50">
        <v>1</v>
      </c>
      <c r="AA50">
        <f>(AA45*AC44)/AC45</f>
        <v>94.81343283582089</v>
      </c>
      <c r="AB50">
        <f>(AB45*AC44)/AC45</f>
        <v>10.186567164179104</v>
      </c>
      <c r="AE50" s="67">
        <v>1</v>
      </c>
      <c r="AF50">
        <f>(AF45*AH44)/AH45</f>
        <v>49.664179104477611</v>
      </c>
      <c r="AG50">
        <f>(AG45*AH44)/AH45</f>
        <v>5.3358208955223878</v>
      </c>
      <c r="AH50" s="66"/>
      <c r="AJ50" s="67">
        <v>1</v>
      </c>
      <c r="AK50">
        <f>(AK45*AM44)/AM45</f>
        <v>43.343283582089555</v>
      </c>
      <c r="AL50">
        <f>(AL45*AM44)/AM45</f>
        <v>4.6567164179104479</v>
      </c>
      <c r="AM50" s="66"/>
      <c r="AO50">
        <v>1</v>
      </c>
      <c r="AP50">
        <f>(AP45*AR44)/AR45</f>
        <v>22.574626865671643</v>
      </c>
      <c r="AQ50">
        <f>(AQ45*AR44)/AR45</f>
        <v>2.4253731343283582</v>
      </c>
      <c r="AT50">
        <v>1</v>
      </c>
      <c r="AU50">
        <f>(AU45*AW44)/AW45</f>
        <v>65.917910447761187</v>
      </c>
      <c r="AV50">
        <f>(AV45*AW44)/AW45</f>
        <v>7.0820895522388057</v>
      </c>
      <c r="AY50">
        <v>1</v>
      </c>
      <c r="AZ50">
        <f>(AZ45*BB44)/BB45</f>
        <v>18.96268656716418</v>
      </c>
      <c r="BA50">
        <f>(BA45*BB44)/BB45</f>
        <v>2.0373134328358211</v>
      </c>
      <c r="BD50">
        <v>1</v>
      </c>
      <c r="BE50">
        <f>(BE45*BG44)/BG45</f>
        <v>89.395522388059703</v>
      </c>
      <c r="BF50">
        <f>(BF45*BG44)/BG45</f>
        <v>9.6044776119402986</v>
      </c>
      <c r="BI50">
        <v>1</v>
      </c>
      <c r="BJ50">
        <f>(BJ45*BL44)/BL45</f>
        <v>18.96268656716418</v>
      </c>
      <c r="BK50">
        <f>(BK45*BL44)/BL45</f>
        <v>2.0373134328358211</v>
      </c>
      <c r="BN50">
        <v>1</v>
      </c>
      <c r="BO50">
        <f>(BO45*BQ44)/BQ45</f>
        <v>52.373134328358212</v>
      </c>
      <c r="BP50">
        <f>(BP45*BQ44)/BQ45</f>
        <v>5.6268656716417906</v>
      </c>
      <c r="BS50">
        <v>1</v>
      </c>
      <c r="BT50">
        <f>(BT45*BV44)/BV45</f>
        <v>13.544776119402986</v>
      </c>
      <c r="BU50">
        <f>(BU45*BV44)/BV45</f>
        <v>1.455223880597015</v>
      </c>
      <c r="BX50" s="67">
        <v>1</v>
      </c>
      <c r="BY50">
        <f>(BY45*CA44)/CA45</f>
        <v>34.313432835820898</v>
      </c>
      <c r="BZ50">
        <f>(BZ45*CA44)/CA45</f>
        <v>3.6865671641791047</v>
      </c>
      <c r="CA50" s="66"/>
      <c r="CC50">
        <v>1</v>
      </c>
      <c r="CD50">
        <f>(CD45*CF44)/CF45</f>
        <v>15.350746268656716</v>
      </c>
      <c r="CE50">
        <f>(CE45*CF44)/CF45</f>
        <v>1.6492537313432836</v>
      </c>
      <c r="CH50">
        <v>1</v>
      </c>
      <c r="CI50">
        <f>(CI45*CK44)/CK45</f>
        <v>10.835820895522389</v>
      </c>
      <c r="CJ50">
        <f>(CJ45*CK44)/CK45</f>
        <v>1.164179104477612</v>
      </c>
      <c r="CM50" s="67">
        <v>1</v>
      </c>
      <c r="CN50">
        <f>(CN45*CP44)/CP45</f>
        <v>60.5</v>
      </c>
      <c r="CO50">
        <f>(CO45*CP44)/CP45</f>
        <v>6.5</v>
      </c>
      <c r="CP50" s="66"/>
      <c r="CR50">
        <v>2</v>
      </c>
      <c r="CS50">
        <f>(CS45*CU44)/CU45</f>
        <v>59.597014925373138</v>
      </c>
      <c r="CT50">
        <f>(CT45*CU44)/CU45</f>
        <v>6.4029850746268657</v>
      </c>
      <c r="CW50" s="46"/>
      <c r="CX50" s="46">
        <v>0</v>
      </c>
      <c r="CY50" s="46">
        <v>1</v>
      </c>
      <c r="DB50">
        <v>1</v>
      </c>
      <c r="DC50">
        <f>(DC45*DE44)/DE45</f>
        <v>4.5149253731343286</v>
      </c>
      <c r="DD50">
        <f>(DD45*DE44)/DE45</f>
        <v>0.48507462686567165</v>
      </c>
      <c r="DG50">
        <v>1</v>
      </c>
      <c r="DH50">
        <f>(DH45*DJ44)/DJ45</f>
        <v>9.932835820895523</v>
      </c>
      <c r="DI50">
        <f>(DI45*DJ44)/DJ45</f>
        <v>1.0671641791044777</v>
      </c>
      <c r="DL50">
        <v>1</v>
      </c>
      <c r="DM50">
        <f>(DM45*DO44)/DO45</f>
        <v>4.5149253731343286</v>
      </c>
      <c r="DN50">
        <f>(DN45*DO44)/DO45</f>
        <v>0.48507462686567165</v>
      </c>
      <c r="DQ50">
        <v>1</v>
      </c>
      <c r="DR50">
        <f>(DR45*DT44)/DT45</f>
        <v>19.865671641791046</v>
      </c>
      <c r="DS50">
        <f>(DS45*DT44)/DT45</f>
        <v>2.1343283582089554</v>
      </c>
      <c r="DV50">
        <v>1</v>
      </c>
      <c r="DW50">
        <f>(DW45*DY44)/DY45</f>
        <v>48.761194029850749</v>
      </c>
      <c r="DX50">
        <f>(DX45*DY44)/DY45</f>
        <v>5.2388059701492535</v>
      </c>
      <c r="EA50">
        <v>1</v>
      </c>
      <c r="EB50">
        <f>(EB45*ED44)/ED45</f>
        <v>1.8059701492537314</v>
      </c>
      <c r="EC50">
        <f>(EC45*ED44)/ED45</f>
        <v>0.19402985074626866</v>
      </c>
    </row>
    <row r="51" spans="1:133">
      <c r="AE51" s="67"/>
      <c r="AH51" s="66"/>
      <c r="AJ51" s="67"/>
      <c r="AM51" s="66"/>
      <c r="BX51" s="67"/>
      <c r="CA51" s="66"/>
      <c r="CM51" s="67"/>
      <c r="CP51" s="66"/>
      <c r="CW51">
        <v>2</v>
      </c>
      <c r="CX51">
        <f>(CX47*CZ43)/CZ47</f>
        <v>87.589552238805965</v>
      </c>
      <c r="CY51">
        <f>(CZ43*CY47)/CZ47</f>
        <v>9.41044776119403</v>
      </c>
    </row>
    <row r="52" spans="1:133">
      <c r="A52" s="47">
        <f>_xlfn.CHISQ.TEST(B43:C44,B49:C50)</f>
        <v>8.6186554888691182E-3</v>
      </c>
      <c r="F52">
        <f>_xlfn.CHISQ.TEST(G43:H44,G49:H50)</f>
        <v>0.32344113886084314</v>
      </c>
      <c r="K52">
        <f>_xlfn.CHISQ.TEST(L43:M44,L49:M50)</f>
        <v>0.67346002156996398</v>
      </c>
      <c r="P52">
        <f>_xlfn.CHISQ.TEST(Q43:R44,Q49:R50)</f>
        <v>0.28323525486272932</v>
      </c>
      <c r="U52">
        <f>_xlfn.CHISQ.TEST(V43:W44,V49:W50)</f>
        <v>0.61404827703498754</v>
      </c>
      <c r="Z52">
        <f>_xlfn.CHISQ.TEST(AA43:AB44,AA49:AB50)</f>
        <v>0.89480131325408163</v>
      </c>
      <c r="AE52" s="77">
        <f>_xlfn.CHISQ.TEST(AF43:AG44,AF49:AG50)</f>
        <v>7.6832174957202181E-5</v>
      </c>
      <c r="AH52" s="66">
        <f>SQRT(AE53/(134*(2-1)))</f>
        <v>0.34157982145232269</v>
      </c>
      <c r="AJ52" s="77">
        <f>_xlfn.CHISQ.TEST(AK43:AL44,AK49:AL50)</f>
        <v>1.1277064419848607E-4</v>
      </c>
      <c r="AM52" s="66">
        <f>SQRT(AJ53/(134*(2-1)))</f>
        <v>0.33356826042811083</v>
      </c>
      <c r="AO52">
        <f>_xlfn.CHISQ.TEST(AP43:AQ44,AP49:AQ50)</f>
        <v>0.23810262899568041</v>
      </c>
      <c r="AT52" s="47">
        <f>_xlfn.CHISQ.TEST(AU43:AV44,AU49:AV50)</f>
        <v>3.9471778255890438E-3</v>
      </c>
      <c r="AY52" s="47">
        <f>_xlfn.CHISQ.TEST(AZ43:BA44,AZ49:BA50)</f>
        <v>1.4650799308185787E-3</v>
      </c>
      <c r="BD52">
        <f>_xlfn.CHISQ.TEST(BE43:BF44,BE49:BF50)</f>
        <v>0.19304587712926424</v>
      </c>
      <c r="BI52">
        <f>_xlfn.CHISQ.TEST(BJ43:BK44,BJ49:BK50)</f>
        <v>0.11507707090406052</v>
      </c>
      <c r="BN52" s="9">
        <f>_xlfn.CHISQ.TEST(BO43:BP44,BO49:BP50)</f>
        <v>1.549818807375239E-3</v>
      </c>
      <c r="BS52">
        <f>_xlfn.CHISQ.TEST(BT43:BU44,BT49:BU50)</f>
        <v>0.67346002156996398</v>
      </c>
      <c r="BX52" s="77">
        <f>_xlfn.CHISQ.TEST(BY43:BZ44,BY49:BZ50)</f>
        <v>3.190694400836331E-2</v>
      </c>
      <c r="CA52" s="66">
        <f>SQRT(BX53/(134*(2-1)))</f>
        <v>0.18534940404350364</v>
      </c>
      <c r="CC52">
        <f>_xlfn.CHISQ.TEST(CD43:CE44,CD49:CE50)</f>
        <v>0.2361999218276877</v>
      </c>
      <c r="CH52">
        <f>_xlfn.CHISQ.TEST(CI43:CJ44,CI49:CJ50)</f>
        <v>0.39291141960958248</v>
      </c>
      <c r="CM52" s="77">
        <f>_xlfn.CHISQ.TEST(CN43:CO44,CN49:CO50)</f>
        <v>1.3247683908571913E-3</v>
      </c>
      <c r="CP52" s="66"/>
      <c r="CR52">
        <f>_xlfn.CHISQ.TEST(CS43:CT44,CS49:CT50)</f>
        <v>0.81400387818444631</v>
      </c>
      <c r="CW52">
        <v>3</v>
      </c>
      <c r="CX52">
        <f>(CX47*CZ44)/CZ47</f>
        <v>25.28358208955224</v>
      </c>
      <c r="CY52">
        <f>(CY47*CZ44)/CZ47</f>
        <v>2.716417910447761</v>
      </c>
      <c r="DB52">
        <f>_xlfn.CHISQ.TEST(DC43:DD44,DC49:DD50)</f>
        <v>0.42779475476446027</v>
      </c>
      <c r="DG52" s="47">
        <f>_xlfn.CHISQ.TEST(DH43:DI44,DH49:DI50)</f>
        <v>3.9866630620408537E-2</v>
      </c>
      <c r="DL52" s="47">
        <f>_xlfn.CHISQ.TEST(DM43:DN44,DM49:DN50)</f>
        <v>1.9651111614441281E-2</v>
      </c>
      <c r="DQ52">
        <f>_xlfn.CHISQ.TEST(DR43:DS44,DR49:DS50)</f>
        <v>0.49519793912772458</v>
      </c>
      <c r="DV52" s="47">
        <f>_xlfn.CHISQ.TEST(DW43:DX44,DW49:DX50)</f>
        <v>6.0764511380471562E-4</v>
      </c>
      <c r="EA52" s="47">
        <f>_xlfn.CHISQ.TEST(EB43:EC44,EB49:EC50)</f>
        <v>3.5622018111759785E-5</v>
      </c>
    </row>
    <row r="53" spans="1:133">
      <c r="A53">
        <f>(((B43-B49)^2)/B49) + (((B44-B50)^2)/B50) + (((C43-C49)^2)/C49) + (((C44-C50)^2)/C50)</f>
        <v>6.9001907183725368</v>
      </c>
      <c r="AE53" s="67">
        <f>(((AF43-AF49)^2)/AF49) + (((AF44-AF50)^2)/AF50) + (((AG43-AG49)^2)/AG49) + (((AG44-AG50)^2)/AG50)</f>
        <v>15.634687772735688</v>
      </c>
      <c r="AH53" s="66"/>
      <c r="AJ53" s="67">
        <f>(((AK43-AK49)^2)/AK49) + (((AK44-AK50)^2)/AK50) + (((AL43-AL49)^2)/AL49) + (((AL44-AL50)^2)/AL50)</f>
        <v>14.909883104914819</v>
      </c>
      <c r="AM53" s="66"/>
      <c r="AT53">
        <f>(((AU43-AU49)^2)/AU49) + (((AU44-AU50)^2)/AU50) + (((AV43-AV49)^2)/AV49) + (((AV44-AV50)^2)/AV50)</f>
        <v>8.3079564210160548</v>
      </c>
      <c r="AY53">
        <f>(((AZ43-AZ49)^2)/AZ49) + (((AZ44-AZ50)^2)/AZ50) + (((BA43-BA49)^2)/BA49) + (((BA44-BA50)^2)/BA50)</f>
        <v>10.122024395556172</v>
      </c>
      <c r="BX53" s="67">
        <f>(((BY43-BY49)^2)/BY49) + (((BY44-BY50)^2)/BY50) + (((BZ43-BZ49)^2)/BZ49) + (((BZ44-BZ50)^2)/BZ50)</f>
        <v>4.603489811623783</v>
      </c>
      <c r="CA53" s="66"/>
      <c r="CM53" s="67">
        <f>(((CN43-CN49)^2)/CN49) + (((CN44-CN50)^2)/CN50) + (((CO43-CO49)^2)/CO49) + (((CO44-CO50)^2)/CO50)</f>
        <v>10.307692307692308</v>
      </c>
      <c r="CP53" s="66"/>
      <c r="CW53">
        <v>4</v>
      </c>
      <c r="CX53">
        <f>(CX47*CZ45)/CZ47</f>
        <v>2.7089552238805972</v>
      </c>
      <c r="CY53">
        <f>(CY47*CZ45)/CZ47</f>
        <v>0.29104477611940299</v>
      </c>
    </row>
    <row r="54" spans="1:133">
      <c r="A54">
        <v>1</v>
      </c>
      <c r="AE54" s="67">
        <v>1</v>
      </c>
      <c r="AH54" s="66"/>
      <c r="AJ54" s="67">
        <v>1</v>
      </c>
      <c r="AM54" s="66"/>
      <c r="AT54">
        <v>1</v>
      </c>
      <c r="AY54">
        <v>1</v>
      </c>
      <c r="BH54" s="50"/>
      <c r="BX54" s="67">
        <v>1</v>
      </c>
      <c r="CA54" s="66"/>
      <c r="CM54" s="67">
        <v>1</v>
      </c>
      <c r="CP54" s="66"/>
      <c r="CW54">
        <v>5</v>
      </c>
      <c r="CX54">
        <f t="shared" ref="CX54" si="2">(CX47*CZ46)/CZ47</f>
        <v>5.4179104477611943</v>
      </c>
      <c r="CY54">
        <f t="shared" ref="CY54" si="3">(CY47*CZ46)/CZ47</f>
        <v>0.58208955223880599</v>
      </c>
    </row>
    <row r="55" spans="1:133">
      <c r="B55" t="s">
        <v>309</v>
      </c>
      <c r="C55" t="s">
        <v>310</v>
      </c>
      <c r="AE55" s="67"/>
      <c r="AF55" t="s">
        <v>309</v>
      </c>
      <c r="AG55" t="s">
        <v>310</v>
      </c>
      <c r="AH55" s="66"/>
      <c r="AJ55" s="67"/>
      <c r="AK55" t="s">
        <v>309</v>
      </c>
      <c r="AL55" t="s">
        <v>310</v>
      </c>
      <c r="AM55" s="66"/>
      <c r="AU55" t="s">
        <v>309</v>
      </c>
      <c r="AV55" t="s">
        <v>310</v>
      </c>
      <c r="AZ55" t="s">
        <v>309</v>
      </c>
      <c r="BA55" t="s">
        <v>310</v>
      </c>
      <c r="BO55" t="s">
        <v>309</v>
      </c>
      <c r="BP55" t="s">
        <v>310</v>
      </c>
      <c r="BX55" s="67"/>
      <c r="BY55" t="s">
        <v>309</v>
      </c>
      <c r="BZ55" t="s">
        <v>310</v>
      </c>
      <c r="CA55" s="66"/>
      <c r="CM55" s="67"/>
      <c r="CN55" t="s">
        <v>309</v>
      </c>
      <c r="CO55" t="s">
        <v>310</v>
      </c>
      <c r="CP55" s="66"/>
      <c r="DH55" t="s">
        <v>309</v>
      </c>
      <c r="DI55" t="s">
        <v>310</v>
      </c>
      <c r="DM55" t="s">
        <v>309</v>
      </c>
      <c r="DN55" t="s">
        <v>310</v>
      </c>
      <c r="DW55" t="s">
        <v>309</v>
      </c>
      <c r="DX55" t="s">
        <v>310</v>
      </c>
      <c r="EB55" t="s">
        <v>309</v>
      </c>
      <c r="EC55" t="s">
        <v>310</v>
      </c>
    </row>
    <row r="56" spans="1:133">
      <c r="A56" s="50" t="s">
        <v>466</v>
      </c>
      <c r="B56">
        <f>B49</f>
        <v>60.5</v>
      </c>
      <c r="C56">
        <f>B43</f>
        <v>65</v>
      </c>
      <c r="AE56" s="78" t="s">
        <v>467</v>
      </c>
      <c r="AF56">
        <f>AF49</f>
        <v>71.335820895522389</v>
      </c>
      <c r="AG56">
        <f>AF43</f>
        <v>78</v>
      </c>
      <c r="AH56" s="66"/>
      <c r="AJ56" s="78" t="s">
        <v>468</v>
      </c>
      <c r="AK56">
        <f>AK49</f>
        <v>77.656716417910445</v>
      </c>
      <c r="AL56">
        <f>AK43</f>
        <v>84</v>
      </c>
      <c r="AM56" s="66"/>
      <c r="AT56" s="50" t="s">
        <v>469</v>
      </c>
      <c r="AU56">
        <f>AU49</f>
        <v>55.082089552238806</v>
      </c>
      <c r="AV56">
        <f>AU43</f>
        <v>60</v>
      </c>
      <c r="AY56" s="50" t="s">
        <v>470</v>
      </c>
      <c r="AZ56">
        <f>AZ49</f>
        <v>102.03731343283582</v>
      </c>
      <c r="BA56">
        <f>AZ43</f>
        <v>106</v>
      </c>
      <c r="BN56" s="50" t="s">
        <v>471</v>
      </c>
      <c r="BO56">
        <f>BO49</f>
        <v>68.626865671641795</v>
      </c>
      <c r="BP56">
        <f>BO43</f>
        <v>74</v>
      </c>
      <c r="BX56" s="78" t="s">
        <v>472</v>
      </c>
      <c r="BY56">
        <f>BY49</f>
        <v>86.68656716417911</v>
      </c>
      <c r="BZ56">
        <f>BY43</f>
        <v>90</v>
      </c>
      <c r="CA56" s="66"/>
      <c r="CM56" s="78" t="s">
        <v>473</v>
      </c>
      <c r="CN56">
        <f>CN49</f>
        <v>60.5</v>
      </c>
      <c r="CO56">
        <f>CN43</f>
        <v>55</v>
      </c>
      <c r="CP56" s="66"/>
      <c r="CW56">
        <f>_xlfn.CHISQ.TEST(CX43:CY46,CX51:CY54)</f>
        <v>0.93688560957993439</v>
      </c>
      <c r="DG56" s="50" t="s">
        <v>474</v>
      </c>
      <c r="DH56">
        <f>DH49</f>
        <v>111.06716417910448</v>
      </c>
      <c r="DI56">
        <f>DH43</f>
        <v>113</v>
      </c>
      <c r="DL56" s="50" t="s">
        <v>475</v>
      </c>
      <c r="DM56">
        <f>DM49</f>
        <v>116.48507462686567</v>
      </c>
      <c r="DN56">
        <f>DM43</f>
        <v>118</v>
      </c>
      <c r="DV56" s="50" t="s">
        <v>476</v>
      </c>
      <c r="DW56">
        <f>DW49</f>
        <v>72.238805970149258</v>
      </c>
      <c r="DX56">
        <f>DW43</f>
        <v>78</v>
      </c>
      <c r="EA56" s="50" t="s">
        <v>477</v>
      </c>
      <c r="EB56">
        <f>EB49</f>
        <v>119.19402985074628</v>
      </c>
      <c r="EC56">
        <f>EB43</f>
        <v>121</v>
      </c>
    </row>
    <row r="57" spans="1:133">
      <c r="A57" s="50" t="s">
        <v>478</v>
      </c>
      <c r="B57">
        <f>C49</f>
        <v>6.5</v>
      </c>
      <c r="C57">
        <f>C43</f>
        <v>2</v>
      </c>
      <c r="AE57" s="78" t="s">
        <v>479</v>
      </c>
      <c r="AF57">
        <f>AG49</f>
        <v>7.6641791044776122</v>
      </c>
      <c r="AG57">
        <f>AG43</f>
        <v>1</v>
      </c>
      <c r="AH57" s="66"/>
      <c r="AJ57" s="78" t="s">
        <v>480</v>
      </c>
      <c r="AK57">
        <f>AL49</f>
        <v>8.343283582089553</v>
      </c>
      <c r="AL57">
        <f>AL43</f>
        <v>2</v>
      </c>
      <c r="AM57" s="66"/>
      <c r="AT57" s="50" t="s">
        <v>481</v>
      </c>
      <c r="AU57">
        <f>AV49</f>
        <v>5.9179104477611943</v>
      </c>
      <c r="AV57">
        <f>AV43</f>
        <v>1</v>
      </c>
      <c r="AY57" s="50" t="s">
        <v>482</v>
      </c>
      <c r="AZ57">
        <f>BA49</f>
        <v>10.962686567164178</v>
      </c>
      <c r="BA57">
        <f>BA43</f>
        <v>7</v>
      </c>
      <c r="BN57" s="50" t="s">
        <v>483</v>
      </c>
      <c r="BO57">
        <f>BP49</f>
        <v>7.3731343283582094</v>
      </c>
      <c r="BP57">
        <f>BP43</f>
        <v>2</v>
      </c>
      <c r="BX57" s="78" t="s">
        <v>484</v>
      </c>
      <c r="BY57">
        <f>BZ49</f>
        <v>9.3134328358208958</v>
      </c>
      <c r="BZ57">
        <f>BZ43</f>
        <v>6</v>
      </c>
      <c r="CA57" s="66"/>
      <c r="CM57" s="78" t="s">
        <v>485</v>
      </c>
      <c r="CN57">
        <f>CO49</f>
        <v>6.5</v>
      </c>
      <c r="CO57">
        <f>CO43</f>
        <v>12</v>
      </c>
      <c r="CP57" s="66"/>
      <c r="DG57" s="50" t="s">
        <v>486</v>
      </c>
      <c r="DH57">
        <f>DI49</f>
        <v>11.932835820895523</v>
      </c>
      <c r="DI57">
        <f>DI43</f>
        <v>10</v>
      </c>
      <c r="DL57" s="50" t="s">
        <v>487</v>
      </c>
      <c r="DM57">
        <f>DN49</f>
        <v>12.514925373134329</v>
      </c>
      <c r="DN57">
        <f>DN43</f>
        <v>11</v>
      </c>
      <c r="DV57" s="50" t="s">
        <v>488</v>
      </c>
      <c r="DW57">
        <f>DX49</f>
        <v>7.7611940298507465</v>
      </c>
      <c r="DX57">
        <f>DX43</f>
        <v>2</v>
      </c>
      <c r="EA57" s="50" t="s">
        <v>489</v>
      </c>
      <c r="EB57">
        <f>EC49</f>
        <v>12.805970149253731</v>
      </c>
      <c r="EC57">
        <f>EC43</f>
        <v>11</v>
      </c>
    </row>
    <row r="58" spans="1:133">
      <c r="A58" s="50" t="s">
        <v>490</v>
      </c>
      <c r="B58">
        <f>B50</f>
        <v>60.5</v>
      </c>
      <c r="C58">
        <f>B44</f>
        <v>56</v>
      </c>
      <c r="AE58" s="78" t="s">
        <v>491</v>
      </c>
      <c r="AF58">
        <f>AF50</f>
        <v>49.664179104477611</v>
      </c>
      <c r="AG58">
        <f>AF44</f>
        <v>43</v>
      </c>
      <c r="AH58" s="66"/>
      <c r="AJ58" s="78" t="s">
        <v>492</v>
      </c>
      <c r="AK58">
        <f>AK50</f>
        <v>43.343283582089555</v>
      </c>
      <c r="AL58">
        <f>AK44</f>
        <v>37</v>
      </c>
      <c r="AM58" s="66"/>
      <c r="AT58" s="50" t="s">
        <v>493</v>
      </c>
      <c r="AU58">
        <f>AU50</f>
        <v>65.917910447761187</v>
      </c>
      <c r="AV58">
        <f>AU44</f>
        <v>61</v>
      </c>
      <c r="AY58" s="50" t="s">
        <v>494</v>
      </c>
      <c r="AZ58">
        <f>AZ50</f>
        <v>18.96268656716418</v>
      </c>
      <c r="BA58">
        <f>AZ44</f>
        <v>15</v>
      </c>
      <c r="BN58" s="50" t="s">
        <v>495</v>
      </c>
      <c r="BO58">
        <f>BO50</f>
        <v>52.373134328358212</v>
      </c>
      <c r="BP58">
        <f>BO44</f>
        <v>47</v>
      </c>
      <c r="BX58" s="78" t="s">
        <v>496</v>
      </c>
      <c r="BY58">
        <f>BY50</f>
        <v>34.313432835820898</v>
      </c>
      <c r="BZ58">
        <f>BY44</f>
        <v>31</v>
      </c>
      <c r="CA58" s="66"/>
      <c r="CM58" s="78" t="s">
        <v>497</v>
      </c>
      <c r="CN58">
        <f>CN50</f>
        <v>60.5</v>
      </c>
      <c r="CO58">
        <f>CN44</f>
        <v>66</v>
      </c>
      <c r="CP58" s="66"/>
      <c r="DG58" s="50" t="s">
        <v>498</v>
      </c>
      <c r="DH58">
        <f>DH50</f>
        <v>9.932835820895523</v>
      </c>
      <c r="DI58">
        <f>DH44</f>
        <v>8</v>
      </c>
      <c r="DL58" s="50" t="s">
        <v>499</v>
      </c>
      <c r="DM58">
        <f>DM50</f>
        <v>4.5149253731343286</v>
      </c>
      <c r="DN58">
        <f>DM44</f>
        <v>3</v>
      </c>
      <c r="DV58" s="50" t="s">
        <v>500</v>
      </c>
      <c r="DW58">
        <f>DW50</f>
        <v>48.761194029850749</v>
      </c>
      <c r="DX58">
        <f>DW44</f>
        <v>43</v>
      </c>
      <c r="EA58" s="50" t="s">
        <v>501</v>
      </c>
      <c r="EB58">
        <f>EB50</f>
        <v>1.8059701492537314</v>
      </c>
      <c r="EC58">
        <f>EB44</f>
        <v>0</v>
      </c>
    </row>
    <row r="59" spans="1:133">
      <c r="A59" s="50" t="s">
        <v>502</v>
      </c>
      <c r="B59">
        <f>C50</f>
        <v>6.5</v>
      </c>
      <c r="C59">
        <f>C44</f>
        <v>11</v>
      </c>
      <c r="AE59" s="79" t="s">
        <v>503</v>
      </c>
      <c r="AF59" s="70">
        <f>AG50</f>
        <v>5.3358208955223878</v>
      </c>
      <c r="AG59" s="70">
        <f>AG44</f>
        <v>12</v>
      </c>
      <c r="AH59" s="71"/>
      <c r="AJ59" s="79" t="s">
        <v>504</v>
      </c>
      <c r="AK59" s="70">
        <f>AL50</f>
        <v>4.6567164179104479</v>
      </c>
      <c r="AL59" s="70">
        <f>AL44</f>
        <v>11</v>
      </c>
      <c r="AM59" s="71"/>
      <c r="AT59" s="50" t="s">
        <v>505</v>
      </c>
      <c r="AU59">
        <f>AV50</f>
        <v>7.0820895522388057</v>
      </c>
      <c r="AV59">
        <f>AV44</f>
        <v>12</v>
      </c>
      <c r="AY59" s="50" t="s">
        <v>506</v>
      </c>
      <c r="AZ59">
        <f>BA50</f>
        <v>2.0373134328358211</v>
      </c>
      <c r="BA59">
        <f>BA44</f>
        <v>6</v>
      </c>
      <c r="BN59" s="50" t="s">
        <v>507</v>
      </c>
      <c r="BO59">
        <f>BP50</f>
        <v>5.6268656716417906</v>
      </c>
      <c r="BP59">
        <f>BP44</f>
        <v>11</v>
      </c>
      <c r="BX59" s="79" t="s">
        <v>508</v>
      </c>
      <c r="BY59" s="70">
        <f>BZ50</f>
        <v>3.6865671641791047</v>
      </c>
      <c r="BZ59" s="70">
        <f>BZ44</f>
        <v>7</v>
      </c>
      <c r="CA59" s="71"/>
      <c r="CM59" s="79" t="s">
        <v>509</v>
      </c>
      <c r="CN59" s="70">
        <f>CO50</f>
        <v>6.5</v>
      </c>
      <c r="CO59" s="70">
        <f>CO44</f>
        <v>1</v>
      </c>
      <c r="CP59" s="71"/>
      <c r="DG59" s="50" t="s">
        <v>510</v>
      </c>
      <c r="DH59">
        <f>DI50</f>
        <v>1.0671641791044777</v>
      </c>
      <c r="DI59">
        <f>DI44</f>
        <v>3</v>
      </c>
      <c r="DL59" s="50" t="s">
        <v>511</v>
      </c>
      <c r="DM59">
        <f>DN50</f>
        <v>0.48507462686567165</v>
      </c>
      <c r="DN59">
        <f>DN44</f>
        <v>2</v>
      </c>
      <c r="DV59" s="50" t="s">
        <v>512</v>
      </c>
      <c r="DW59">
        <f>DX50</f>
        <v>5.2388059701492535</v>
      </c>
      <c r="DX59">
        <f>DX44</f>
        <v>11</v>
      </c>
      <c r="EA59" s="50" t="s">
        <v>513</v>
      </c>
      <c r="EB59">
        <f>EC50</f>
        <v>0.19402985074626866</v>
      </c>
      <c r="EC59">
        <f>EC44</f>
        <v>2</v>
      </c>
    </row>
    <row r="77" spans="1:134" ht="50.25" customHeight="1">
      <c r="A77" s="84" t="s">
        <v>514</v>
      </c>
      <c r="B77" s="84"/>
      <c r="C77" s="84"/>
      <c r="D77" s="84"/>
      <c r="F77" s="84" t="s">
        <v>515</v>
      </c>
      <c r="G77" s="84"/>
      <c r="H77" s="84"/>
      <c r="I77" s="84"/>
      <c r="K77" s="85" t="s">
        <v>516</v>
      </c>
      <c r="L77" s="86"/>
      <c r="M77" s="86"/>
      <c r="N77" s="87"/>
      <c r="P77" s="84" t="s">
        <v>517</v>
      </c>
      <c r="Q77" s="84"/>
      <c r="R77" s="84"/>
      <c r="S77" s="84"/>
      <c r="U77" s="84" t="s">
        <v>518</v>
      </c>
      <c r="V77" s="84"/>
      <c r="W77" s="84"/>
      <c r="X77" s="84"/>
      <c r="Z77" s="84" t="s">
        <v>519</v>
      </c>
      <c r="AA77" s="84"/>
      <c r="AB77" s="84"/>
      <c r="AC77" s="84"/>
      <c r="AE77" s="85" t="s">
        <v>520</v>
      </c>
      <c r="AF77" s="86"/>
      <c r="AG77" s="86"/>
      <c r="AH77" s="87"/>
      <c r="AJ77" s="85" t="s">
        <v>521</v>
      </c>
      <c r="AK77" s="86"/>
      <c r="AL77" s="86"/>
      <c r="AM77" s="87"/>
      <c r="AO77" s="84" t="s">
        <v>522</v>
      </c>
      <c r="AP77" s="84"/>
      <c r="AQ77" s="84"/>
      <c r="AR77" s="84"/>
      <c r="AT77" s="84" t="s">
        <v>523</v>
      </c>
      <c r="AU77" s="84"/>
      <c r="AV77" s="84"/>
      <c r="AW77" s="84"/>
      <c r="AY77" s="84" t="s">
        <v>524</v>
      </c>
      <c r="AZ77" s="84"/>
      <c r="BA77" s="84"/>
      <c r="BB77" s="84"/>
      <c r="BD77" s="84" t="s">
        <v>525</v>
      </c>
      <c r="BE77" s="84"/>
      <c r="BF77" s="84"/>
      <c r="BG77" s="84"/>
      <c r="BI77" s="84" t="s">
        <v>526</v>
      </c>
      <c r="BJ77" s="84"/>
      <c r="BK77" s="84"/>
      <c r="BL77" s="84"/>
      <c r="BN77" s="84" t="s">
        <v>527</v>
      </c>
      <c r="BO77" s="84"/>
      <c r="BP77" s="84"/>
      <c r="BQ77" s="84"/>
      <c r="BS77" s="84" t="s">
        <v>528</v>
      </c>
      <c r="BT77" s="84"/>
      <c r="BU77" s="84"/>
      <c r="BV77" s="84"/>
      <c r="BX77" s="85" t="s">
        <v>529</v>
      </c>
      <c r="BY77" s="86"/>
      <c r="BZ77" s="86"/>
      <c r="CA77" s="87"/>
      <c r="CC77" s="84" t="s">
        <v>530</v>
      </c>
      <c r="CD77" s="84"/>
      <c r="CE77" s="84"/>
      <c r="CF77" s="84"/>
      <c r="CH77" s="84" t="s">
        <v>531</v>
      </c>
      <c r="CI77" s="84"/>
      <c r="CJ77" s="84"/>
      <c r="CK77" s="84"/>
      <c r="CM77" s="85" t="s">
        <v>532</v>
      </c>
      <c r="CN77" s="86"/>
      <c r="CO77" s="86"/>
      <c r="CP77" s="87"/>
      <c r="CR77" s="84" t="s">
        <v>533</v>
      </c>
      <c r="CS77" s="84"/>
      <c r="CT77" s="84"/>
      <c r="CU77" s="84"/>
      <c r="CW77" s="84" t="s">
        <v>534</v>
      </c>
      <c r="CX77" s="84"/>
      <c r="CY77" s="84"/>
      <c r="CZ77" s="84"/>
      <c r="DB77" s="84" t="s">
        <v>535</v>
      </c>
      <c r="DC77" s="84"/>
      <c r="DD77" s="84"/>
      <c r="DE77" s="84"/>
      <c r="DG77" s="84" t="s">
        <v>536</v>
      </c>
      <c r="DH77" s="84"/>
      <c r="DI77" s="84"/>
      <c r="DJ77" s="84"/>
      <c r="DL77" s="84" t="s">
        <v>537</v>
      </c>
      <c r="DM77" s="84"/>
      <c r="DN77" s="84"/>
      <c r="DO77" s="84"/>
      <c r="DQ77" s="84" t="s">
        <v>538</v>
      </c>
      <c r="DR77" s="84"/>
      <c r="DS77" s="84"/>
      <c r="DT77" s="84"/>
      <c r="DV77" s="84" t="s">
        <v>539</v>
      </c>
      <c r="DW77" s="84"/>
      <c r="DX77" s="84"/>
      <c r="DY77" s="84"/>
      <c r="EA77" s="84" t="s">
        <v>540</v>
      </c>
      <c r="EB77" s="84"/>
      <c r="EC77" s="84"/>
      <c r="ED77" s="84"/>
    </row>
    <row r="78" spans="1:134">
      <c r="K78" s="67"/>
      <c r="N78" s="66"/>
      <c r="AE78" s="67"/>
      <c r="AH78" s="66"/>
      <c r="AJ78" s="67"/>
      <c r="AM78" s="66"/>
      <c r="BX78" s="67"/>
      <c r="CA78" s="66"/>
      <c r="CM78" s="67"/>
      <c r="CP78" s="66"/>
    </row>
    <row r="79" spans="1:134" ht="15.75" customHeight="1">
      <c r="A79" s="45" t="s">
        <v>326</v>
      </c>
      <c r="B79" s="45" t="s">
        <v>297</v>
      </c>
      <c r="F79" s="45" t="s">
        <v>326</v>
      </c>
      <c r="G79" s="45" t="s">
        <v>297</v>
      </c>
      <c r="K79" s="65" t="s">
        <v>326</v>
      </c>
      <c r="L79" s="45" t="s">
        <v>297</v>
      </c>
      <c r="N79" s="66"/>
      <c r="P79" s="45" t="s">
        <v>326</v>
      </c>
      <c r="Q79" s="45" t="s">
        <v>297</v>
      </c>
      <c r="U79" s="45" t="s">
        <v>326</v>
      </c>
      <c r="V79" s="45" t="s">
        <v>297</v>
      </c>
      <c r="Z79" s="45" t="s">
        <v>326</v>
      </c>
      <c r="AA79" s="45" t="s">
        <v>297</v>
      </c>
      <c r="AE79" s="65" t="s">
        <v>326</v>
      </c>
      <c r="AF79" s="45" t="s">
        <v>297</v>
      </c>
      <c r="AH79" s="66"/>
      <c r="AJ79" s="65" t="s">
        <v>326</v>
      </c>
      <c r="AK79" s="45" t="s">
        <v>297</v>
      </c>
      <c r="AM79" s="66"/>
      <c r="AO79" s="45" t="s">
        <v>326</v>
      </c>
      <c r="AP79" s="45" t="s">
        <v>297</v>
      </c>
      <c r="AT79" s="45" t="s">
        <v>326</v>
      </c>
      <c r="AU79" s="45" t="s">
        <v>297</v>
      </c>
      <c r="AY79" s="45" t="s">
        <v>326</v>
      </c>
      <c r="AZ79" s="45" t="s">
        <v>297</v>
      </c>
      <c r="BD79" s="45" t="s">
        <v>326</v>
      </c>
      <c r="BE79" s="45" t="s">
        <v>297</v>
      </c>
      <c r="BI79" s="45" t="s">
        <v>326</v>
      </c>
      <c r="BJ79" s="45" t="s">
        <v>297</v>
      </c>
      <c r="BN79" s="45" t="s">
        <v>326</v>
      </c>
      <c r="BO79" s="45" t="s">
        <v>297</v>
      </c>
      <c r="BS79" s="45" t="s">
        <v>326</v>
      </c>
      <c r="BT79" s="45" t="s">
        <v>297</v>
      </c>
      <c r="BX79" s="65" t="s">
        <v>326</v>
      </c>
      <c r="BY79" s="45" t="s">
        <v>297</v>
      </c>
      <c r="CA79" s="66"/>
      <c r="CC79" s="45" t="s">
        <v>326</v>
      </c>
      <c r="CD79" s="45" t="s">
        <v>297</v>
      </c>
      <c r="CH79" s="45" t="s">
        <v>326</v>
      </c>
      <c r="CI79" s="45" t="s">
        <v>297</v>
      </c>
      <c r="CM79" s="65" t="s">
        <v>326</v>
      </c>
      <c r="CN79" s="45" t="s">
        <v>297</v>
      </c>
      <c r="CP79" s="66"/>
      <c r="CR79" s="45" t="s">
        <v>326</v>
      </c>
      <c r="CS79" s="45" t="s">
        <v>297</v>
      </c>
      <c r="CW79" s="45" t="s">
        <v>326</v>
      </c>
      <c r="CX79" s="45" t="s">
        <v>297</v>
      </c>
      <c r="DB79" s="45" t="s">
        <v>326</v>
      </c>
      <c r="DC79" s="45" t="s">
        <v>297</v>
      </c>
      <c r="DG79" s="45" t="s">
        <v>326</v>
      </c>
      <c r="DH79" s="45" t="s">
        <v>297</v>
      </c>
      <c r="DL79" s="45" t="s">
        <v>326</v>
      </c>
      <c r="DM79" s="45" t="s">
        <v>297</v>
      </c>
      <c r="DQ79" s="45" t="s">
        <v>326</v>
      </c>
      <c r="DR79" s="45" t="s">
        <v>297</v>
      </c>
      <c r="DV79" s="45" t="s">
        <v>326</v>
      </c>
      <c r="DW79" s="45" t="s">
        <v>297</v>
      </c>
      <c r="EA79" s="45" t="s">
        <v>326</v>
      </c>
      <c r="EB79" s="45" t="s">
        <v>297</v>
      </c>
    </row>
    <row r="80" spans="1:134" ht="18" customHeight="1">
      <c r="A80" s="45" t="s">
        <v>7</v>
      </c>
      <c r="B80">
        <v>0</v>
      </c>
      <c r="C80">
        <v>1</v>
      </c>
      <c r="D80" t="s">
        <v>329</v>
      </c>
      <c r="F80" s="45" t="s">
        <v>20</v>
      </c>
      <c r="G80">
        <v>0</v>
      </c>
      <c r="H80">
        <v>1</v>
      </c>
      <c r="I80" t="s">
        <v>329</v>
      </c>
      <c r="K80" s="65" t="s">
        <v>33</v>
      </c>
      <c r="L80">
        <v>0</v>
      </c>
      <c r="M80">
        <v>1</v>
      </c>
      <c r="N80" s="66" t="s">
        <v>329</v>
      </c>
      <c r="P80" s="45" t="s">
        <v>34</v>
      </c>
      <c r="Q80">
        <v>0</v>
      </c>
      <c r="R80">
        <v>1</v>
      </c>
      <c r="S80" t="s">
        <v>329</v>
      </c>
      <c r="U80" s="45" t="s">
        <v>295</v>
      </c>
      <c r="V80">
        <v>0</v>
      </c>
      <c r="W80">
        <v>1</v>
      </c>
      <c r="X80" t="s">
        <v>329</v>
      </c>
      <c r="Z80" s="45" t="s">
        <v>296</v>
      </c>
      <c r="AA80">
        <v>0</v>
      </c>
      <c r="AB80">
        <v>1</v>
      </c>
      <c r="AC80" t="s">
        <v>329</v>
      </c>
      <c r="AE80" s="65" t="s">
        <v>31</v>
      </c>
      <c r="AF80">
        <v>0</v>
      </c>
      <c r="AG80">
        <v>1</v>
      </c>
      <c r="AH80" s="66" t="s">
        <v>329</v>
      </c>
      <c r="AJ80" s="65" t="s">
        <v>16</v>
      </c>
      <c r="AK80">
        <v>0</v>
      </c>
      <c r="AL80">
        <v>1</v>
      </c>
      <c r="AM80" s="66" t="s">
        <v>329</v>
      </c>
      <c r="AO80" s="45" t="s">
        <v>44</v>
      </c>
      <c r="AP80">
        <v>0</v>
      </c>
      <c r="AQ80">
        <v>1</v>
      </c>
      <c r="AR80" t="s">
        <v>329</v>
      </c>
      <c r="AT80" s="45" t="s">
        <v>32</v>
      </c>
      <c r="AU80">
        <v>0</v>
      </c>
      <c r="AV80">
        <v>1</v>
      </c>
      <c r="AW80" t="s">
        <v>329</v>
      </c>
      <c r="AY80" s="45" t="s">
        <v>286</v>
      </c>
      <c r="AZ80">
        <v>0</v>
      </c>
      <c r="BA80">
        <v>1</v>
      </c>
      <c r="BB80" t="s">
        <v>329</v>
      </c>
      <c r="BD80" s="45" t="s">
        <v>35</v>
      </c>
      <c r="BE80">
        <v>0</v>
      </c>
      <c r="BF80">
        <v>1</v>
      </c>
      <c r="BG80" t="s">
        <v>329</v>
      </c>
      <c r="BI80" s="45" t="s">
        <v>39</v>
      </c>
      <c r="BJ80">
        <v>0</v>
      </c>
      <c r="BK80">
        <v>1</v>
      </c>
      <c r="BL80" t="s">
        <v>329</v>
      </c>
      <c r="BN80" s="45" t="s">
        <v>280</v>
      </c>
      <c r="BO80">
        <v>0</v>
      </c>
      <c r="BP80">
        <v>1</v>
      </c>
      <c r="BQ80" t="s">
        <v>329</v>
      </c>
      <c r="BS80" s="45" t="s">
        <v>281</v>
      </c>
      <c r="BT80">
        <v>0</v>
      </c>
      <c r="BU80">
        <v>1</v>
      </c>
      <c r="BV80" t="s">
        <v>329</v>
      </c>
      <c r="BX80" s="65" t="s">
        <v>276</v>
      </c>
      <c r="BY80">
        <v>0</v>
      </c>
      <c r="BZ80">
        <v>1</v>
      </c>
      <c r="CA80" s="66" t="s">
        <v>329</v>
      </c>
      <c r="CC80" s="45" t="s">
        <v>277</v>
      </c>
      <c r="CD80">
        <v>0</v>
      </c>
      <c r="CE80">
        <v>1</v>
      </c>
      <c r="CF80" t="s">
        <v>329</v>
      </c>
      <c r="CH80" s="45" t="s">
        <v>278</v>
      </c>
      <c r="CI80">
        <v>0</v>
      </c>
      <c r="CJ80">
        <v>1</v>
      </c>
      <c r="CK80" t="s">
        <v>329</v>
      </c>
      <c r="CM80" s="65" t="s">
        <v>279</v>
      </c>
      <c r="CN80">
        <v>0</v>
      </c>
      <c r="CO80">
        <v>1</v>
      </c>
      <c r="CP80" s="66" t="s">
        <v>329</v>
      </c>
      <c r="CR80" s="45" t="s">
        <v>5</v>
      </c>
      <c r="CS80">
        <v>0</v>
      </c>
      <c r="CT80">
        <v>1</v>
      </c>
      <c r="CU80" t="s">
        <v>329</v>
      </c>
      <c r="CW80" s="45" t="s">
        <v>6</v>
      </c>
      <c r="CX80">
        <v>0</v>
      </c>
      <c r="CY80">
        <v>1</v>
      </c>
      <c r="CZ80" t="s">
        <v>329</v>
      </c>
      <c r="DB80" s="45" t="s">
        <v>9</v>
      </c>
      <c r="DC80">
        <v>0</v>
      </c>
      <c r="DD80">
        <v>1</v>
      </c>
      <c r="DE80" t="s">
        <v>329</v>
      </c>
      <c r="DG80" s="45" t="s">
        <v>10</v>
      </c>
      <c r="DH80">
        <v>0</v>
      </c>
      <c r="DI80">
        <v>1</v>
      </c>
      <c r="DJ80" t="s">
        <v>329</v>
      </c>
      <c r="DL80" s="45" t="s">
        <v>8</v>
      </c>
      <c r="DM80">
        <v>0</v>
      </c>
      <c r="DN80">
        <v>1</v>
      </c>
      <c r="DO80" t="s">
        <v>329</v>
      </c>
      <c r="DQ80" s="45" t="s">
        <v>11</v>
      </c>
      <c r="DR80">
        <v>0</v>
      </c>
      <c r="DS80">
        <v>1</v>
      </c>
      <c r="DT80" t="s">
        <v>329</v>
      </c>
      <c r="DV80" s="45" t="s">
        <v>13</v>
      </c>
      <c r="DW80">
        <v>0</v>
      </c>
      <c r="DX80">
        <v>1</v>
      </c>
      <c r="DY80" t="s">
        <v>329</v>
      </c>
      <c r="EA80" s="45" t="s">
        <v>12</v>
      </c>
      <c r="EB80">
        <v>0</v>
      </c>
      <c r="EC80">
        <v>1</v>
      </c>
      <c r="ED80" t="s">
        <v>329</v>
      </c>
    </row>
    <row r="81" spans="1:134">
      <c r="A81">
        <v>0</v>
      </c>
      <c r="B81">
        <v>51</v>
      </c>
      <c r="C81">
        <v>16</v>
      </c>
      <c r="D81">
        <v>67</v>
      </c>
      <c r="F81">
        <v>0</v>
      </c>
      <c r="G81">
        <v>60</v>
      </c>
      <c r="H81">
        <v>19</v>
      </c>
      <c r="I81">
        <v>79</v>
      </c>
      <c r="K81" s="67">
        <v>0</v>
      </c>
      <c r="L81">
        <v>4</v>
      </c>
      <c r="M81">
        <v>11</v>
      </c>
      <c r="N81" s="66">
        <v>15</v>
      </c>
      <c r="P81">
        <v>0</v>
      </c>
      <c r="Q81">
        <v>8</v>
      </c>
      <c r="R81">
        <v>10</v>
      </c>
      <c r="S81">
        <v>18</v>
      </c>
      <c r="U81">
        <v>0</v>
      </c>
      <c r="V81">
        <v>69</v>
      </c>
      <c r="W81">
        <v>50</v>
      </c>
      <c r="X81">
        <v>119</v>
      </c>
      <c r="Z81">
        <v>0</v>
      </c>
      <c r="AA81">
        <v>11</v>
      </c>
      <c r="AB81">
        <v>18</v>
      </c>
      <c r="AC81">
        <v>29</v>
      </c>
      <c r="AE81" s="67">
        <v>0</v>
      </c>
      <c r="AF81">
        <v>67</v>
      </c>
      <c r="AG81">
        <v>12</v>
      </c>
      <c r="AH81" s="66">
        <v>79</v>
      </c>
      <c r="AJ81" s="67">
        <v>0</v>
      </c>
      <c r="AK81">
        <v>70</v>
      </c>
      <c r="AL81">
        <v>16</v>
      </c>
      <c r="AM81" s="66">
        <v>86</v>
      </c>
      <c r="AO81">
        <v>0</v>
      </c>
      <c r="AP81">
        <v>66</v>
      </c>
      <c r="AQ81">
        <v>43</v>
      </c>
      <c r="AR81">
        <v>109</v>
      </c>
      <c r="AT81">
        <v>0</v>
      </c>
      <c r="AU81">
        <v>55</v>
      </c>
      <c r="AV81">
        <v>6</v>
      </c>
      <c r="AW81">
        <v>61</v>
      </c>
      <c r="AY81">
        <v>0</v>
      </c>
      <c r="AZ81">
        <v>71</v>
      </c>
      <c r="BA81">
        <v>42</v>
      </c>
      <c r="BB81">
        <v>113</v>
      </c>
      <c r="BD81">
        <v>0</v>
      </c>
      <c r="BE81">
        <v>33</v>
      </c>
      <c r="BF81">
        <v>2</v>
      </c>
      <c r="BG81">
        <v>35</v>
      </c>
      <c r="BI81">
        <v>0</v>
      </c>
      <c r="BJ81">
        <v>74</v>
      </c>
      <c r="BK81">
        <v>39</v>
      </c>
      <c r="BL81">
        <v>113</v>
      </c>
      <c r="BN81">
        <v>0</v>
      </c>
      <c r="BO81">
        <v>59</v>
      </c>
      <c r="BP81">
        <v>17</v>
      </c>
      <c r="BQ81">
        <v>76</v>
      </c>
      <c r="BS81">
        <v>0</v>
      </c>
      <c r="BT81">
        <v>71</v>
      </c>
      <c r="BU81">
        <v>48</v>
      </c>
      <c r="BV81">
        <v>119</v>
      </c>
      <c r="BX81" s="67">
        <v>0</v>
      </c>
      <c r="BY81">
        <v>73</v>
      </c>
      <c r="BZ81">
        <v>23</v>
      </c>
      <c r="CA81" s="66">
        <v>96</v>
      </c>
      <c r="CC81">
        <v>0</v>
      </c>
      <c r="CD81">
        <v>69</v>
      </c>
      <c r="CE81">
        <v>48</v>
      </c>
      <c r="CF81">
        <v>117</v>
      </c>
      <c r="CH81">
        <v>0</v>
      </c>
      <c r="CI81">
        <v>73</v>
      </c>
      <c r="CJ81">
        <v>49</v>
      </c>
      <c r="CK81">
        <v>122</v>
      </c>
      <c r="CM81" s="67">
        <v>0</v>
      </c>
      <c r="CN81">
        <v>10</v>
      </c>
      <c r="CO81">
        <v>57</v>
      </c>
      <c r="CP81" s="66">
        <v>67</v>
      </c>
      <c r="CR81">
        <v>1</v>
      </c>
      <c r="CS81">
        <v>39</v>
      </c>
      <c r="CT81">
        <v>29</v>
      </c>
      <c r="CU81">
        <v>68</v>
      </c>
      <c r="CW81">
        <v>2</v>
      </c>
      <c r="CX81">
        <v>53</v>
      </c>
      <c r="CY81">
        <v>44</v>
      </c>
      <c r="CZ81">
        <v>97</v>
      </c>
      <c r="DB81">
        <v>0</v>
      </c>
      <c r="DC81">
        <v>73</v>
      </c>
      <c r="DD81">
        <v>56</v>
      </c>
      <c r="DE81">
        <v>129</v>
      </c>
      <c r="DG81">
        <v>0</v>
      </c>
      <c r="DH81">
        <v>73</v>
      </c>
      <c r="DI81">
        <v>50</v>
      </c>
      <c r="DJ81">
        <v>123</v>
      </c>
      <c r="DL81">
        <v>0</v>
      </c>
      <c r="DM81">
        <v>75</v>
      </c>
      <c r="DN81">
        <v>54</v>
      </c>
      <c r="DO81">
        <v>129</v>
      </c>
      <c r="DQ81">
        <v>0</v>
      </c>
      <c r="DR81">
        <v>65</v>
      </c>
      <c r="DS81">
        <v>47</v>
      </c>
      <c r="DT81">
        <v>112</v>
      </c>
      <c r="DV81">
        <v>0</v>
      </c>
      <c r="DW81">
        <v>52</v>
      </c>
      <c r="DX81">
        <v>28</v>
      </c>
      <c r="DY81">
        <v>80</v>
      </c>
      <c r="EA81">
        <v>0</v>
      </c>
      <c r="EB81">
        <v>75</v>
      </c>
      <c r="EC81">
        <v>57</v>
      </c>
      <c r="ED81">
        <v>132</v>
      </c>
    </row>
    <row r="82" spans="1:134">
      <c r="A82">
        <v>1</v>
      </c>
      <c r="B82">
        <v>24</v>
      </c>
      <c r="C82">
        <v>43</v>
      </c>
      <c r="D82">
        <v>67</v>
      </c>
      <c r="F82">
        <v>1</v>
      </c>
      <c r="G82">
        <v>15</v>
      </c>
      <c r="H82">
        <v>40</v>
      </c>
      <c r="I82">
        <v>55</v>
      </c>
      <c r="K82" s="67">
        <v>1</v>
      </c>
      <c r="L82">
        <v>71</v>
      </c>
      <c r="M82">
        <v>48</v>
      </c>
      <c r="N82" s="66">
        <v>119</v>
      </c>
      <c r="P82">
        <v>1</v>
      </c>
      <c r="Q82">
        <v>67</v>
      </c>
      <c r="R82">
        <v>49</v>
      </c>
      <c r="S82">
        <v>116</v>
      </c>
      <c r="U82">
        <v>1</v>
      </c>
      <c r="V82">
        <v>6</v>
      </c>
      <c r="W82">
        <v>9</v>
      </c>
      <c r="X82">
        <v>15</v>
      </c>
      <c r="Z82">
        <v>1</v>
      </c>
      <c r="AA82">
        <v>64</v>
      </c>
      <c r="AB82">
        <v>41</v>
      </c>
      <c r="AC82">
        <v>105</v>
      </c>
      <c r="AE82" s="67">
        <v>1</v>
      </c>
      <c r="AF82">
        <v>8</v>
      </c>
      <c r="AG82">
        <v>47</v>
      </c>
      <c r="AH82" s="66">
        <v>55</v>
      </c>
      <c r="AJ82" s="67">
        <v>1</v>
      </c>
      <c r="AK82">
        <v>5</v>
      </c>
      <c r="AL82">
        <v>43</v>
      </c>
      <c r="AM82" s="66">
        <v>48</v>
      </c>
      <c r="AO82">
        <v>1</v>
      </c>
      <c r="AP82">
        <v>9</v>
      </c>
      <c r="AQ82">
        <v>16</v>
      </c>
      <c r="AR82">
        <v>25</v>
      </c>
      <c r="AT82">
        <v>1</v>
      </c>
      <c r="AU82">
        <v>20</v>
      </c>
      <c r="AV82">
        <v>53</v>
      </c>
      <c r="AW82">
        <v>73</v>
      </c>
      <c r="AY82">
        <v>1</v>
      </c>
      <c r="AZ82">
        <v>4</v>
      </c>
      <c r="BA82">
        <v>17</v>
      </c>
      <c r="BB82">
        <v>21</v>
      </c>
      <c r="BD82">
        <v>1</v>
      </c>
      <c r="BE82">
        <v>42</v>
      </c>
      <c r="BF82">
        <v>57</v>
      </c>
      <c r="BG82">
        <v>99</v>
      </c>
      <c r="BI82">
        <v>1</v>
      </c>
      <c r="BJ82">
        <v>1</v>
      </c>
      <c r="BK82">
        <v>20</v>
      </c>
      <c r="BL82">
        <v>21</v>
      </c>
      <c r="BN82">
        <v>1</v>
      </c>
      <c r="BO82">
        <v>16</v>
      </c>
      <c r="BP82">
        <v>42</v>
      </c>
      <c r="BQ82">
        <v>58</v>
      </c>
      <c r="BS82">
        <v>1</v>
      </c>
      <c r="BT82">
        <v>4</v>
      </c>
      <c r="BU82">
        <v>11</v>
      </c>
      <c r="BV82">
        <v>15</v>
      </c>
      <c r="BX82" s="67">
        <v>1</v>
      </c>
      <c r="BY82">
        <v>2</v>
      </c>
      <c r="BZ82">
        <v>36</v>
      </c>
      <c r="CA82" s="66">
        <v>38</v>
      </c>
      <c r="CC82">
        <v>1</v>
      </c>
      <c r="CD82">
        <v>6</v>
      </c>
      <c r="CE82">
        <v>11</v>
      </c>
      <c r="CF82">
        <v>17</v>
      </c>
      <c r="CH82">
        <v>1</v>
      </c>
      <c r="CI82">
        <v>2</v>
      </c>
      <c r="CJ82">
        <v>10</v>
      </c>
      <c r="CK82">
        <v>12</v>
      </c>
      <c r="CM82" s="67">
        <v>1</v>
      </c>
      <c r="CN82">
        <v>65</v>
      </c>
      <c r="CO82">
        <v>2</v>
      </c>
      <c r="CP82" s="66">
        <v>67</v>
      </c>
      <c r="CR82">
        <v>2</v>
      </c>
      <c r="CS82">
        <v>36</v>
      </c>
      <c r="CT82">
        <v>30</v>
      </c>
      <c r="CU82">
        <v>66</v>
      </c>
      <c r="CW82">
        <v>3</v>
      </c>
      <c r="CX82">
        <v>18</v>
      </c>
      <c r="CY82">
        <v>10</v>
      </c>
      <c r="CZ82">
        <v>28</v>
      </c>
      <c r="DB82">
        <v>1</v>
      </c>
      <c r="DC82">
        <v>2</v>
      </c>
      <c r="DD82">
        <v>3</v>
      </c>
      <c r="DE82">
        <v>5</v>
      </c>
      <c r="DG82">
        <v>1</v>
      </c>
      <c r="DH82">
        <v>2</v>
      </c>
      <c r="DI82">
        <v>9</v>
      </c>
      <c r="DJ82">
        <v>11</v>
      </c>
      <c r="DL82">
        <v>1</v>
      </c>
      <c r="DN82">
        <v>5</v>
      </c>
      <c r="DO82">
        <v>5</v>
      </c>
      <c r="DQ82">
        <v>1</v>
      </c>
      <c r="DR82">
        <v>10</v>
      </c>
      <c r="DS82">
        <v>12</v>
      </c>
      <c r="DT82">
        <v>22</v>
      </c>
      <c r="DV82">
        <v>1</v>
      </c>
      <c r="DW82">
        <v>23</v>
      </c>
      <c r="DX82">
        <v>31</v>
      </c>
      <c r="DY82">
        <v>54</v>
      </c>
      <c r="EA82">
        <v>1</v>
      </c>
      <c r="EC82">
        <v>2</v>
      </c>
      <c r="ED82">
        <v>2</v>
      </c>
    </row>
    <row r="83" spans="1:134" ht="17.25" customHeight="1">
      <c r="A83" t="s">
        <v>329</v>
      </c>
      <c r="B83">
        <v>75</v>
      </c>
      <c r="C83">
        <v>59</v>
      </c>
      <c r="D83">
        <v>134</v>
      </c>
      <c r="F83" t="s">
        <v>329</v>
      </c>
      <c r="G83">
        <v>75</v>
      </c>
      <c r="H83">
        <v>59</v>
      </c>
      <c r="I83">
        <v>134</v>
      </c>
      <c r="K83" s="67" t="s">
        <v>329</v>
      </c>
      <c r="L83">
        <v>75</v>
      </c>
      <c r="M83">
        <v>59</v>
      </c>
      <c r="N83" s="66">
        <v>134</v>
      </c>
      <c r="P83" t="s">
        <v>329</v>
      </c>
      <c r="Q83">
        <v>75</v>
      </c>
      <c r="R83">
        <v>59</v>
      </c>
      <c r="S83">
        <v>134</v>
      </c>
      <c r="U83" t="s">
        <v>329</v>
      </c>
      <c r="V83">
        <v>75</v>
      </c>
      <c r="W83">
        <v>59</v>
      </c>
      <c r="X83">
        <v>134</v>
      </c>
      <c r="Z83" t="s">
        <v>329</v>
      </c>
      <c r="AA83">
        <v>75</v>
      </c>
      <c r="AB83">
        <v>59</v>
      </c>
      <c r="AC83">
        <v>134</v>
      </c>
      <c r="AE83" s="67" t="s">
        <v>329</v>
      </c>
      <c r="AF83">
        <v>75</v>
      </c>
      <c r="AG83">
        <v>59</v>
      </c>
      <c r="AH83" s="66">
        <v>134</v>
      </c>
      <c r="AJ83" s="67" t="s">
        <v>329</v>
      </c>
      <c r="AK83">
        <v>75</v>
      </c>
      <c r="AL83">
        <v>59</v>
      </c>
      <c r="AM83" s="66">
        <v>134</v>
      </c>
      <c r="AO83" t="s">
        <v>329</v>
      </c>
      <c r="AP83">
        <v>75</v>
      </c>
      <c r="AQ83">
        <v>59</v>
      </c>
      <c r="AR83">
        <v>134</v>
      </c>
      <c r="AT83" t="s">
        <v>329</v>
      </c>
      <c r="AU83">
        <v>75</v>
      </c>
      <c r="AV83">
        <v>59</v>
      </c>
      <c r="AW83">
        <v>134</v>
      </c>
      <c r="AY83" t="s">
        <v>329</v>
      </c>
      <c r="AZ83">
        <v>75</v>
      </c>
      <c r="BA83">
        <v>59</v>
      </c>
      <c r="BB83">
        <v>134</v>
      </c>
      <c r="BD83" t="s">
        <v>329</v>
      </c>
      <c r="BE83">
        <v>75</v>
      </c>
      <c r="BF83">
        <v>59</v>
      </c>
      <c r="BG83">
        <v>134</v>
      </c>
      <c r="BI83" t="s">
        <v>329</v>
      </c>
      <c r="BJ83">
        <v>75</v>
      </c>
      <c r="BK83">
        <v>59</v>
      </c>
      <c r="BL83">
        <v>134</v>
      </c>
      <c r="BN83" t="s">
        <v>329</v>
      </c>
      <c r="BO83">
        <v>75</v>
      </c>
      <c r="BP83">
        <v>59</v>
      </c>
      <c r="BQ83">
        <v>134</v>
      </c>
      <c r="BS83" t="s">
        <v>329</v>
      </c>
      <c r="BT83">
        <v>75</v>
      </c>
      <c r="BU83">
        <v>59</v>
      </c>
      <c r="BV83">
        <v>134</v>
      </c>
      <c r="BX83" s="67" t="s">
        <v>329</v>
      </c>
      <c r="BY83">
        <v>75</v>
      </c>
      <c r="BZ83">
        <v>59</v>
      </c>
      <c r="CA83" s="66">
        <v>134</v>
      </c>
      <c r="CC83" t="s">
        <v>329</v>
      </c>
      <c r="CD83">
        <v>75</v>
      </c>
      <c r="CE83">
        <v>59</v>
      </c>
      <c r="CF83">
        <v>134</v>
      </c>
      <c r="CH83" t="s">
        <v>329</v>
      </c>
      <c r="CI83">
        <v>75</v>
      </c>
      <c r="CJ83">
        <v>59</v>
      </c>
      <c r="CK83">
        <v>134</v>
      </c>
      <c r="CM83" s="67" t="s">
        <v>329</v>
      </c>
      <c r="CN83">
        <v>75</v>
      </c>
      <c r="CO83">
        <v>59</v>
      </c>
      <c r="CP83" s="66">
        <v>134</v>
      </c>
      <c r="CR83" t="s">
        <v>329</v>
      </c>
      <c r="CS83">
        <v>75</v>
      </c>
      <c r="CT83">
        <v>59</v>
      </c>
      <c r="CU83">
        <v>134</v>
      </c>
      <c r="CW83">
        <v>4</v>
      </c>
      <c r="CX83">
        <v>1</v>
      </c>
      <c r="CY83">
        <v>2</v>
      </c>
      <c r="CZ83">
        <v>3</v>
      </c>
      <c r="DB83" t="s">
        <v>329</v>
      </c>
      <c r="DC83">
        <v>75</v>
      </c>
      <c r="DD83">
        <v>59</v>
      </c>
      <c r="DE83">
        <v>134</v>
      </c>
      <c r="DG83" t="s">
        <v>329</v>
      </c>
      <c r="DH83">
        <v>75</v>
      </c>
      <c r="DI83">
        <v>59</v>
      </c>
      <c r="DJ83">
        <v>134</v>
      </c>
      <c r="DL83" t="s">
        <v>329</v>
      </c>
      <c r="DM83">
        <v>75</v>
      </c>
      <c r="DN83">
        <v>59</v>
      </c>
      <c r="DO83">
        <v>134</v>
      </c>
      <c r="DQ83" t="s">
        <v>329</v>
      </c>
      <c r="DR83">
        <v>75</v>
      </c>
      <c r="DS83">
        <v>59</v>
      </c>
      <c r="DT83">
        <v>134</v>
      </c>
      <c r="DV83" t="s">
        <v>329</v>
      </c>
      <c r="DW83">
        <v>75</v>
      </c>
      <c r="DX83">
        <v>59</v>
      </c>
      <c r="DY83">
        <v>134</v>
      </c>
      <c r="EA83" t="s">
        <v>329</v>
      </c>
      <c r="EB83">
        <v>75</v>
      </c>
      <c r="EC83">
        <v>59</v>
      </c>
      <c r="ED83">
        <v>134</v>
      </c>
    </row>
    <row r="84" spans="1:134">
      <c r="K84" s="67"/>
      <c r="N84" s="66"/>
      <c r="AE84" s="67"/>
      <c r="AH84" s="66"/>
      <c r="AJ84" s="67"/>
      <c r="AM84" s="66"/>
      <c r="BX84" s="67"/>
      <c r="CA84" s="66"/>
      <c r="CM84" s="67"/>
      <c r="CP84" s="66"/>
      <c r="CW84">
        <v>5</v>
      </c>
      <c r="CX84">
        <v>3</v>
      </c>
      <c r="CY84">
        <v>3</v>
      </c>
      <c r="CZ84">
        <v>6</v>
      </c>
    </row>
    <row r="85" spans="1:134">
      <c r="K85" s="67"/>
      <c r="N85" s="66"/>
      <c r="AE85" s="67"/>
      <c r="AH85" s="66"/>
      <c r="AJ85" s="67"/>
      <c r="AM85" s="66"/>
      <c r="BX85" s="67"/>
      <c r="CA85" s="66"/>
      <c r="CM85" s="67"/>
      <c r="CP85" s="66"/>
      <c r="CW85" t="s">
        <v>329</v>
      </c>
      <c r="CX85">
        <v>75</v>
      </c>
      <c r="CY85">
        <v>59</v>
      </c>
      <c r="CZ85">
        <v>134</v>
      </c>
    </row>
    <row r="86" spans="1:134">
      <c r="A86" s="46"/>
      <c r="B86" s="46">
        <v>0</v>
      </c>
      <c r="C86" s="46">
        <v>1</v>
      </c>
      <c r="F86" s="46"/>
      <c r="G86" s="46">
        <v>0</v>
      </c>
      <c r="H86" s="46">
        <v>1</v>
      </c>
      <c r="K86" s="68"/>
      <c r="L86" s="46">
        <v>0</v>
      </c>
      <c r="M86" s="46">
        <v>1</v>
      </c>
      <c r="N86" s="66"/>
      <c r="P86" s="46"/>
      <c r="Q86" s="46">
        <v>0</v>
      </c>
      <c r="R86" s="46">
        <v>1</v>
      </c>
      <c r="U86" s="46"/>
      <c r="V86" s="46">
        <v>0</v>
      </c>
      <c r="W86" s="46">
        <v>1</v>
      </c>
      <c r="Z86" s="46"/>
      <c r="AA86" s="46">
        <v>0</v>
      </c>
      <c r="AB86" s="46">
        <v>1</v>
      </c>
      <c r="AE86" s="68"/>
      <c r="AF86" s="46">
        <v>0</v>
      </c>
      <c r="AG86" s="46">
        <v>1</v>
      </c>
      <c r="AH86" s="66"/>
      <c r="AJ86" s="68"/>
      <c r="AK86" s="46">
        <v>0</v>
      </c>
      <c r="AL86" s="46">
        <v>1</v>
      </c>
      <c r="AM86" s="66"/>
      <c r="AO86" s="46"/>
      <c r="AP86" s="46">
        <v>0</v>
      </c>
      <c r="AQ86" s="46">
        <v>1</v>
      </c>
      <c r="AT86" s="46"/>
      <c r="AU86" s="46">
        <v>0</v>
      </c>
      <c r="AV86" s="46">
        <v>1</v>
      </c>
      <c r="AY86" s="46"/>
      <c r="AZ86" s="46">
        <v>0</v>
      </c>
      <c r="BA86" s="46">
        <v>1</v>
      </c>
      <c r="BD86" s="46"/>
      <c r="BE86" s="46">
        <v>0</v>
      </c>
      <c r="BF86" s="46">
        <v>1</v>
      </c>
      <c r="BI86" s="46"/>
      <c r="BJ86" s="46">
        <v>0</v>
      </c>
      <c r="BK86" s="46">
        <v>1</v>
      </c>
      <c r="BN86" s="46"/>
      <c r="BO86" s="46">
        <v>0</v>
      </c>
      <c r="BP86" s="46">
        <v>1</v>
      </c>
      <c r="BS86" s="46"/>
      <c r="BT86" s="46">
        <v>0</v>
      </c>
      <c r="BU86" s="46">
        <v>1</v>
      </c>
      <c r="BX86" s="68"/>
      <c r="BY86" s="46">
        <v>0</v>
      </c>
      <c r="BZ86" s="46">
        <v>1</v>
      </c>
      <c r="CA86" s="66"/>
      <c r="CC86" s="46"/>
      <c r="CD86" s="46">
        <v>0</v>
      </c>
      <c r="CE86" s="46">
        <v>1</v>
      </c>
      <c r="CH86" s="46"/>
      <c r="CI86" s="46">
        <v>0</v>
      </c>
      <c r="CJ86" s="46">
        <v>1</v>
      </c>
      <c r="CM86" s="68"/>
      <c r="CN86" s="46">
        <v>0</v>
      </c>
      <c r="CO86" s="46">
        <v>1</v>
      </c>
      <c r="CP86" s="66"/>
      <c r="CR86" s="46"/>
      <c r="CS86" s="46">
        <v>0</v>
      </c>
      <c r="CT86" s="46">
        <v>1</v>
      </c>
      <c r="DB86" s="46"/>
      <c r="DC86" s="46">
        <v>0</v>
      </c>
      <c r="DD86" s="46">
        <v>1</v>
      </c>
      <c r="DG86" s="46"/>
      <c r="DH86" s="46">
        <v>0</v>
      </c>
      <c r="DI86" s="46">
        <v>1</v>
      </c>
      <c r="DL86" s="46"/>
      <c r="DM86" s="46">
        <v>0</v>
      </c>
      <c r="DN86" s="46">
        <v>1</v>
      </c>
      <c r="DQ86" s="46"/>
      <c r="DR86" s="46">
        <v>0</v>
      </c>
      <c r="DS86" s="46">
        <v>1</v>
      </c>
      <c r="DV86" s="46"/>
      <c r="DW86" s="46">
        <v>0</v>
      </c>
      <c r="DX86" s="46">
        <v>1</v>
      </c>
      <c r="EA86" s="46"/>
      <c r="EB86" s="46">
        <v>0</v>
      </c>
      <c r="EC86" s="46">
        <v>1</v>
      </c>
    </row>
    <row r="87" spans="1:134">
      <c r="A87">
        <v>0</v>
      </c>
      <c r="B87">
        <f>(B83*D81)/D83</f>
        <v>37.5</v>
      </c>
      <c r="C87">
        <f>(D81*C83)/D83</f>
        <v>29.5</v>
      </c>
      <c r="F87">
        <v>0</v>
      </c>
      <c r="G87">
        <f>(G83*I81)/I83</f>
        <v>44.21641791044776</v>
      </c>
      <c r="H87">
        <f>(I81*H83)/I83</f>
        <v>34.78358208955224</v>
      </c>
      <c r="K87" s="67">
        <v>0</v>
      </c>
      <c r="L87">
        <f>(L83*N81)/N83</f>
        <v>8.3955223880597014</v>
      </c>
      <c r="M87">
        <f>(N81*M83)/N83</f>
        <v>6.6044776119402986</v>
      </c>
      <c r="N87" s="66"/>
      <c r="P87">
        <v>0</v>
      </c>
      <c r="Q87">
        <f>(Q83*S81)/S83</f>
        <v>10.074626865671641</v>
      </c>
      <c r="R87">
        <f>(S81*R83)/S83</f>
        <v>7.9253731343283578</v>
      </c>
      <c r="U87">
        <v>0</v>
      </c>
      <c r="V87">
        <f>(V83*X81)/X83</f>
        <v>66.604477611940297</v>
      </c>
      <c r="W87">
        <f>(X81*W83)/X83</f>
        <v>52.395522388059703</v>
      </c>
      <c r="Z87">
        <v>0</v>
      </c>
      <c r="AA87">
        <f>(AA83*AC81)/AC83</f>
        <v>16.231343283582088</v>
      </c>
      <c r="AB87">
        <f>(AC81*AB83)/AC83</f>
        <v>12.76865671641791</v>
      </c>
      <c r="AE87" s="67">
        <v>0</v>
      </c>
      <c r="AF87">
        <f>(AF83*AH81)/AH83</f>
        <v>44.21641791044776</v>
      </c>
      <c r="AG87">
        <f>(AH81*AG83)/AH83</f>
        <v>34.78358208955224</v>
      </c>
      <c r="AH87" s="66"/>
      <c r="AJ87" s="67">
        <v>0</v>
      </c>
      <c r="AK87">
        <f>(AK83*AM81)/AM83</f>
        <v>48.134328358208954</v>
      </c>
      <c r="AL87">
        <f>(AM81*AL83)/AM83</f>
        <v>37.865671641791046</v>
      </c>
      <c r="AM87" s="66"/>
      <c r="AO87">
        <v>0</v>
      </c>
      <c r="AP87">
        <f>(AP83*AR81)/AR83</f>
        <v>61.007462686567166</v>
      </c>
      <c r="AQ87">
        <f>(AR81*AQ83)/AR83</f>
        <v>47.992537313432834</v>
      </c>
      <c r="AT87">
        <v>0</v>
      </c>
      <c r="AU87">
        <f>(AU83*AW81)/AW83</f>
        <v>34.14179104477612</v>
      </c>
      <c r="AV87">
        <f>(AW81*AV83)/AW83</f>
        <v>26.85820895522388</v>
      </c>
      <c r="AY87">
        <v>0</v>
      </c>
      <c r="AZ87">
        <f>(AZ83*BB81)/BB83</f>
        <v>63.246268656716417</v>
      </c>
      <c r="BA87">
        <f>(BB81*BA83)/BB83</f>
        <v>49.753731343283583</v>
      </c>
      <c r="BD87">
        <v>0</v>
      </c>
      <c r="BE87">
        <f>(BE83*BG81)/BG83</f>
        <v>19.589552238805972</v>
      </c>
      <c r="BF87">
        <f>(BG81*BF83)/BG83</f>
        <v>15.41044776119403</v>
      </c>
      <c r="BI87">
        <v>0</v>
      </c>
      <c r="BJ87">
        <f>(BJ83*BL81)/BL83</f>
        <v>63.246268656716417</v>
      </c>
      <c r="BK87">
        <f>(BL81*BK83)/BL83</f>
        <v>49.753731343283583</v>
      </c>
      <c r="BN87">
        <v>0</v>
      </c>
      <c r="BO87">
        <f>(BO83*BQ81)/BQ83</f>
        <v>42.537313432835823</v>
      </c>
      <c r="BP87">
        <f>(BQ81*BP83)/BQ83</f>
        <v>33.462686567164177</v>
      </c>
      <c r="BS87">
        <v>0</v>
      </c>
      <c r="BT87">
        <f>(BT83*BV81)/BV83</f>
        <v>66.604477611940297</v>
      </c>
      <c r="BU87">
        <f>(BV81*BU83)/BV83</f>
        <v>52.395522388059703</v>
      </c>
      <c r="BX87" s="67">
        <v>0</v>
      </c>
      <c r="BY87">
        <f>(BY83*CA81)/CA83</f>
        <v>53.731343283582092</v>
      </c>
      <c r="BZ87">
        <f>(CA81*BZ83)/CA83</f>
        <v>42.268656716417908</v>
      </c>
      <c r="CA87" s="66"/>
      <c r="CC87">
        <v>0</v>
      </c>
      <c r="CD87">
        <f>(CD83*CF81)/CF83</f>
        <v>65.485074626865668</v>
      </c>
      <c r="CE87">
        <f>(CF81*CE83)/CF83</f>
        <v>51.514925373134325</v>
      </c>
      <c r="CH87">
        <v>0</v>
      </c>
      <c r="CI87">
        <f>(CI83*CK81)/CK83</f>
        <v>68.28358208955224</v>
      </c>
      <c r="CJ87">
        <f>(CK81*CJ83)/CK83</f>
        <v>53.71641791044776</v>
      </c>
      <c r="CM87" s="67">
        <v>0</v>
      </c>
      <c r="CN87">
        <f>(CN83*CP81)/CP83</f>
        <v>37.5</v>
      </c>
      <c r="CO87">
        <f>(CP81*CO83)/CP83</f>
        <v>29.5</v>
      </c>
      <c r="CP87" s="66"/>
      <c r="CR87">
        <v>1</v>
      </c>
      <c r="CS87">
        <f>(CS83*CU81)/CU83</f>
        <v>38.059701492537314</v>
      </c>
      <c r="CT87">
        <f>(CU81*CT83)/CU83</f>
        <v>29.940298507462686</v>
      </c>
      <c r="DB87">
        <v>0</v>
      </c>
      <c r="DC87">
        <f>(DC83*DE81)/DE83</f>
        <v>72.201492537313428</v>
      </c>
      <c r="DD87">
        <f>(DE81*DD83)/DE83</f>
        <v>56.798507462686565</v>
      </c>
      <c r="DG87">
        <v>0</v>
      </c>
      <c r="DH87">
        <f>(DH83*DJ81)/DJ83</f>
        <v>68.843283582089555</v>
      </c>
      <c r="DI87">
        <f>(DJ81*DI83)/DJ83</f>
        <v>54.156716417910445</v>
      </c>
      <c r="DL87">
        <v>0</v>
      </c>
      <c r="DM87">
        <f>(DM83*DO81)/DO83</f>
        <v>72.201492537313428</v>
      </c>
      <c r="DN87">
        <f>(DO81*DN83)/DO83</f>
        <v>56.798507462686565</v>
      </c>
      <c r="DQ87">
        <v>0</v>
      </c>
      <c r="DR87">
        <f>(DR83*DT81)/DT83</f>
        <v>62.686567164179102</v>
      </c>
      <c r="DS87">
        <f>(DT81*DS83)/DT83</f>
        <v>49.313432835820898</v>
      </c>
      <c r="DV87">
        <v>0</v>
      </c>
      <c r="DW87">
        <f>(DW83*DY81)/DY83</f>
        <v>44.776119402985074</v>
      </c>
      <c r="DX87">
        <f>(DY81*DX83)/DY83</f>
        <v>35.223880597014926</v>
      </c>
      <c r="EA87">
        <v>0</v>
      </c>
      <c r="EB87">
        <f>(EB83*ED81)/ED83</f>
        <v>73.880597014925371</v>
      </c>
      <c r="EC87">
        <f>(ED81*EC83)/ED83</f>
        <v>58.119402985074629</v>
      </c>
    </row>
    <row r="88" spans="1:134">
      <c r="A88">
        <v>1</v>
      </c>
      <c r="B88">
        <f>(B83*D82)/D83</f>
        <v>37.5</v>
      </c>
      <c r="C88">
        <f>(C83*D82)/D83</f>
        <v>29.5</v>
      </c>
      <c r="F88">
        <v>1</v>
      </c>
      <c r="G88">
        <f>(G83*I82)/I83</f>
        <v>30.78358208955224</v>
      </c>
      <c r="H88">
        <f>(H83*I82)/I83</f>
        <v>24.21641791044776</v>
      </c>
      <c r="K88" s="67">
        <v>1</v>
      </c>
      <c r="L88">
        <f>(L83*N82)/N83</f>
        <v>66.604477611940297</v>
      </c>
      <c r="M88">
        <f>(M83*N82)/N83</f>
        <v>52.395522388059703</v>
      </c>
      <c r="N88" s="66"/>
      <c r="P88">
        <v>1</v>
      </c>
      <c r="Q88">
        <f>(Q83*S82)/S83</f>
        <v>64.925373134328353</v>
      </c>
      <c r="R88">
        <f>(R83*S82)/S83</f>
        <v>51.07462686567164</v>
      </c>
      <c r="U88">
        <v>1</v>
      </c>
      <c r="V88">
        <f>(V83*X82)/X83</f>
        <v>8.3955223880597014</v>
      </c>
      <c r="W88">
        <f>(W83*X82)/X83</f>
        <v>6.6044776119402986</v>
      </c>
      <c r="Z88">
        <v>1</v>
      </c>
      <c r="AA88">
        <f>(AA83*AC82)/AC83</f>
        <v>58.768656716417908</v>
      </c>
      <c r="AB88">
        <f>(AB83*AC82)/AC83</f>
        <v>46.231343283582092</v>
      </c>
      <c r="AE88" s="67">
        <v>1</v>
      </c>
      <c r="AF88">
        <f>(AF83*AH82)/AH83</f>
        <v>30.78358208955224</v>
      </c>
      <c r="AG88">
        <f>(AG83*AH82)/AH83</f>
        <v>24.21641791044776</v>
      </c>
      <c r="AH88" s="66"/>
      <c r="AJ88" s="67">
        <v>1</v>
      </c>
      <c r="AK88">
        <f>(AK83*AM82)/AM83</f>
        <v>26.865671641791046</v>
      </c>
      <c r="AL88">
        <f>(AL83*AM82)/AM83</f>
        <v>21.134328358208954</v>
      </c>
      <c r="AM88" s="66"/>
      <c r="AO88">
        <v>1</v>
      </c>
      <c r="AP88">
        <f>(AP83*AR82)/AR83</f>
        <v>13.992537313432836</v>
      </c>
      <c r="AQ88">
        <f>(AQ83*AR82)/AR83</f>
        <v>11.007462686567164</v>
      </c>
      <c r="AT88">
        <v>1</v>
      </c>
      <c r="AU88">
        <f>(AU83*AW82)/AW83</f>
        <v>40.85820895522388</v>
      </c>
      <c r="AV88">
        <f>(AV83*AW82)/AW83</f>
        <v>32.14179104477612</v>
      </c>
      <c r="AY88">
        <v>1</v>
      </c>
      <c r="AZ88">
        <f>(AZ83*BB82)/BB83</f>
        <v>11.753731343283581</v>
      </c>
      <c r="BA88">
        <f>(BA83*BB82)/BB83</f>
        <v>9.2462686567164187</v>
      </c>
      <c r="BD88">
        <v>1</v>
      </c>
      <c r="BE88">
        <f>(BE83*BG82)/BG83</f>
        <v>55.410447761194028</v>
      </c>
      <c r="BF88">
        <f>(BF83*BG82)/BG83</f>
        <v>43.589552238805972</v>
      </c>
      <c r="BI88">
        <v>1</v>
      </c>
      <c r="BJ88">
        <f>(BJ83*BL82)/BL83</f>
        <v>11.753731343283581</v>
      </c>
      <c r="BK88">
        <f>(BK83*BL82)/BL83</f>
        <v>9.2462686567164187</v>
      </c>
      <c r="BN88">
        <v>1</v>
      </c>
      <c r="BO88">
        <f>(BO83*BQ82)/BQ83</f>
        <v>32.462686567164177</v>
      </c>
      <c r="BP88">
        <f>(BP83*BQ82)/BQ83</f>
        <v>25.53731343283582</v>
      </c>
      <c r="BS88">
        <v>1</v>
      </c>
      <c r="BT88">
        <f>(BT83*BV82)/BV83</f>
        <v>8.3955223880597014</v>
      </c>
      <c r="BU88">
        <f>(BU83*BV82)/BV83</f>
        <v>6.6044776119402986</v>
      </c>
      <c r="BX88" s="67">
        <v>1</v>
      </c>
      <c r="BY88">
        <f>(BY83*CA82)/CA83</f>
        <v>21.268656716417912</v>
      </c>
      <c r="BZ88">
        <f>(BZ83*CA82)/CA83</f>
        <v>16.731343283582088</v>
      </c>
      <c r="CA88" s="66"/>
      <c r="CC88">
        <v>1</v>
      </c>
      <c r="CD88">
        <f>(CD83*CF82)/CF83</f>
        <v>9.5149253731343286</v>
      </c>
      <c r="CE88">
        <f>(CE83*CF82)/CF83</f>
        <v>7.4850746268656714</v>
      </c>
      <c r="CH88">
        <v>1</v>
      </c>
      <c r="CI88">
        <f>(CI83*CK82)/CK83</f>
        <v>6.7164179104477615</v>
      </c>
      <c r="CJ88">
        <f>(CJ83*CK82)/CK83</f>
        <v>5.2835820895522385</v>
      </c>
      <c r="CM88" s="67">
        <v>1</v>
      </c>
      <c r="CN88">
        <f>(CN83*CP82)/CP83</f>
        <v>37.5</v>
      </c>
      <c r="CO88">
        <f>(CO83*CP82)/CP83</f>
        <v>29.5</v>
      </c>
      <c r="CP88" s="66"/>
      <c r="CR88">
        <v>2</v>
      </c>
      <c r="CS88">
        <f>(CS83*CU82)/CU83</f>
        <v>36.940298507462686</v>
      </c>
      <c r="CT88">
        <f>(CT83*CU82)/CU83</f>
        <v>29.059701492537314</v>
      </c>
      <c r="CW88" s="46"/>
      <c r="CX88" s="46">
        <v>0</v>
      </c>
      <c r="CY88" s="46">
        <v>1</v>
      </c>
      <c r="DB88">
        <v>1</v>
      </c>
      <c r="DC88">
        <f>(DC83*DE82)/DE83</f>
        <v>2.7985074626865671</v>
      </c>
      <c r="DD88">
        <f>(DD83*DE82)/DE83</f>
        <v>2.2014925373134329</v>
      </c>
      <c r="DG88">
        <v>1</v>
      </c>
      <c r="DH88">
        <f>(DH83*DJ82)/DJ83</f>
        <v>6.1567164179104479</v>
      </c>
      <c r="DI88">
        <f>(DI83*DJ82)/DJ83</f>
        <v>4.8432835820895521</v>
      </c>
      <c r="DL88">
        <v>1</v>
      </c>
      <c r="DM88">
        <f>(DM83*DO82)/DO83</f>
        <v>2.7985074626865671</v>
      </c>
      <c r="DN88">
        <f>(DN83*DO82)/DO83</f>
        <v>2.2014925373134329</v>
      </c>
      <c r="DQ88">
        <v>1</v>
      </c>
      <c r="DR88">
        <f>(DR83*DT82)/DT83</f>
        <v>12.313432835820896</v>
      </c>
      <c r="DS88">
        <f>(DS83*DT82)/DT83</f>
        <v>9.6865671641791042</v>
      </c>
      <c r="DV88">
        <v>1</v>
      </c>
      <c r="DW88">
        <f>(DW83*DY82)/DY83</f>
        <v>30.223880597014926</v>
      </c>
      <c r="DX88">
        <f>(DX83*DY82)/DY83</f>
        <v>23.776119402985074</v>
      </c>
      <c r="EA88">
        <v>1</v>
      </c>
      <c r="EB88">
        <f>(EB83*ED82)/ED83</f>
        <v>1.1194029850746268</v>
      </c>
      <c r="EC88">
        <f>(EC83*ED82)/ED83</f>
        <v>0.88059701492537312</v>
      </c>
    </row>
    <row r="89" spans="1:134">
      <c r="K89" s="67"/>
      <c r="N89" s="66"/>
      <c r="AE89" s="67"/>
      <c r="AH89" s="66"/>
      <c r="AJ89" s="67"/>
      <c r="AM89" s="66"/>
      <c r="BX89" s="67"/>
      <c r="CA89" s="66"/>
      <c r="CM89" s="67"/>
      <c r="CP89" s="66"/>
      <c r="CW89">
        <v>2</v>
      </c>
      <c r="CX89">
        <f>(CX85*CZ81)/CZ85</f>
        <v>54.291044776119406</v>
      </c>
      <c r="CY89">
        <f>(CZ81*CY85)/CZ85</f>
        <v>42.708955223880594</v>
      </c>
    </row>
    <row r="90" spans="1:134">
      <c r="A90" s="47">
        <f>_xlfn.CHISQ.TEST(B81:C82,B87:C88)</f>
        <v>2.6207510004635732E-6</v>
      </c>
      <c r="F90" s="47">
        <f>_xlfn.CHISQ.TEST(G81:H82,G87:H88)</f>
        <v>2.3564345995045532E-8</v>
      </c>
      <c r="K90" s="77">
        <f>_xlfn.CHISQ.TEST(L81:M82,L87:M88)</f>
        <v>1.5266000124553366E-2</v>
      </c>
      <c r="N90" s="66">
        <f>SQRT(K91/(134*(2-1)))</f>
        <v>0.2095750348485359</v>
      </c>
      <c r="P90">
        <f>_xlfn.CHISQ.TEST(Q81:R82,Q87:R88)</f>
        <v>0.28973376550581154</v>
      </c>
      <c r="U90">
        <f>_xlfn.CHISQ.TEST(V81:W82,V87:W88)</f>
        <v>0.18611723945398417</v>
      </c>
      <c r="Z90" s="47">
        <f>_xlfn.CHISQ.TEST(AA81:AB82,AA87:AB88)</f>
        <v>2.7060033166872648E-2</v>
      </c>
      <c r="AE90" s="77">
        <f>_xlfn.CHISQ.TEST(AF81:AG82,AF87:AG88)</f>
        <v>7.6379818889015518E-16</v>
      </c>
      <c r="AH90" s="66">
        <f>SQRT(AE91/(134*(2-1)))</f>
        <v>0.69626614128453934</v>
      </c>
      <c r="AJ90" s="77">
        <f>_xlfn.CHISQ.TEST(AK81:AL82,AK87:AL88)</f>
        <v>2.0905586564210635E-15</v>
      </c>
      <c r="AM90" s="66">
        <f>SQRT(AJ91/(134*(2-1)))</f>
        <v>0.68555316237325992</v>
      </c>
      <c r="AO90" s="47">
        <f>_xlfn.CHISQ.TEST(AP81:AQ82,AP87:AQ88)</f>
        <v>2.5735935295423881E-2</v>
      </c>
      <c r="AT90" s="47">
        <f>_xlfn.CHISQ.TEST(AU81:AV82,AU87:AV88)</f>
        <v>3.1291518414049807E-13</v>
      </c>
      <c r="AY90" s="47">
        <f>_xlfn.CHISQ.TEST(AZ81:BA82,AZ87:BA88)</f>
        <v>2.0594441037783553E-4</v>
      </c>
      <c r="BD90" s="47">
        <f>_xlfn.CHISQ.TEST(BE81:BF82,BE87:BF88)</f>
        <v>1.0818025665389037E-7</v>
      </c>
      <c r="BI90" s="47">
        <f>_xlfn.CHISQ.TEST(BJ81:BK82,BJ87:BK88)</f>
        <v>2.637390248942722E-7</v>
      </c>
      <c r="BN90" s="9">
        <f>_xlfn.CHISQ.TEST(BO81:BP82,BO87:BP88)</f>
        <v>7.3803746199497369E-9</v>
      </c>
      <c r="BS90" s="9">
        <f>_xlfn.CHISQ.TEST(BT81:BU82,BT87:BU88)</f>
        <v>1.5266000124553382E-2</v>
      </c>
      <c r="BX90" s="77">
        <f>_xlfn.CHISQ.TEST(BY81:BZ82,BY87:BZ88)</f>
        <v>1.0131853567046596E-13</v>
      </c>
      <c r="CA90" s="66">
        <f>SQRT(BX91/(134*(2-1)))</f>
        <v>0.64264655766378587</v>
      </c>
      <c r="CC90">
        <f>_xlfn.CHISQ.TEST(CD81:CE82,CD87:CE88)</f>
        <v>6.6091239120684556E-2</v>
      </c>
      <c r="CH90" s="47">
        <f>_xlfn.CHISQ.TEST(CI81:CJ82,CI87:CJ88)</f>
        <v>4.0483752981186156E-3</v>
      </c>
      <c r="CM90" s="77">
        <f>_xlfn.CHISQ.TEST(CN81:CO82,CN87:CO88)</f>
        <v>1.0585096572233488E-21</v>
      </c>
      <c r="CP90" s="66"/>
      <c r="CR90">
        <f>_xlfn.CHISQ.TEST(CS81:CT82,CS87:CT88)</f>
        <v>0.74344448204287772</v>
      </c>
      <c r="CW90">
        <v>3</v>
      </c>
      <c r="CX90">
        <f>(CX85*CZ82)/CZ85</f>
        <v>15.671641791044776</v>
      </c>
      <c r="CY90">
        <f>(CY85*CZ82)/CZ85</f>
        <v>12.328358208955224</v>
      </c>
      <c r="DB90">
        <f>_xlfn.CHISQ.TEST(DC81:DD82,DC87:DD88)</f>
        <v>0.46345990210849891</v>
      </c>
      <c r="DG90" s="47">
        <f>_xlfn.CHISQ.TEST(DH81:DI82,DH87:DI88)</f>
        <v>8.4105044650933762E-3</v>
      </c>
      <c r="DL90">
        <f>_xlfn.CHISQ.TEST(DM81:DN82,DM87:DN88)</f>
        <v>5.1137055906690293E-2</v>
      </c>
      <c r="DQ90">
        <f>_xlfn.CHISQ.TEST(DR81:DS82,DR87:DS88)</f>
        <v>0.27713906379406728</v>
      </c>
      <c r="DV90" s="47">
        <f>_xlfn.CHISQ.TEST(DW81:DX82,DW87:DX88)</f>
        <v>1.0380620269859113E-2</v>
      </c>
      <c r="EA90">
        <f>_xlfn.CHISQ.TEST(EB81:EC82,EB87:EC88)</f>
        <v>0.22669308407173652</v>
      </c>
    </row>
    <row r="91" spans="1:134">
      <c r="A91">
        <f>(((B81-B87)^2)/B87) + (((B82-B88)^2)/B88) + (((C81-C87)^2)/C87) + (((C82-C88)^2)/C88)</f>
        <v>22.075932203389833</v>
      </c>
      <c r="F91">
        <f>(((G81-G87)^2)/G87) + (((G82-G88)^2)/G88) + (((H81-H87)^2)/H87) + (((H82-H88)^2)/H88)</f>
        <v>31.176150260381121</v>
      </c>
      <c r="K91" s="67">
        <f>(((L81-L87)^2)/L87) + (((L82-L88)^2)/L88) + (((M81-M87)^2)/M87) + (((M82-M88)^2)/M88)</f>
        <v>5.8855071610565144</v>
      </c>
      <c r="N91" s="66"/>
      <c r="Z91">
        <f>(((AA81-AA87)^2)/AA87) + (((AA82-AA88)^2)/AA88) + (((AB81-AB87)^2)/AB87) + (((AB82-AB88)^2)/AB88)</f>
        <v>4.886976631135604</v>
      </c>
      <c r="AE91" s="67">
        <f>(((AF81-AF87)^2)/AF87) + (((AF82-AF88)^2)/AF88) + (((AG81-AG87)^2)/AG87) + (((AG82-AG88)^2)/AG88)</f>
        <v>64.961396292901128</v>
      </c>
      <c r="AH91" s="66"/>
      <c r="AJ91" s="67">
        <f>(((AK81-AK87)^2)/AK87) + (((AK82-AK88)^2)/AK88) + (((AL81-AL87)^2)/AL87) + (((AL82-AL88)^2)/AL88)</f>
        <v>62.977740550956959</v>
      </c>
      <c r="AM91" s="66"/>
      <c r="AO91">
        <f>(((AP81-AP87)^2)/AP87) + (((AP82-AP88)^2)/AP88) + (((AQ81-AQ87)^2)/AQ87) + (((AQ82-AQ88)^2)/AQ88)</f>
        <v>4.9736732700979625</v>
      </c>
      <c r="AT91">
        <f>(((AU81-AU87)^2)/AU87) + (((AU82-AU88)^2)/AU88) + (((AV81-AV87)^2)/AV87) + (((AV82-AV88)^2)/AV88)</f>
        <v>53.125429311287633</v>
      </c>
      <c r="AY91">
        <f>(((AZ81-AZ87)^2)/AZ87) + (((AZ82-AZ88)^2)/AZ88) + (((BA81-BA87)^2)/BA87) + (((BA82-BA88)^2)/BA88)</f>
        <v>13.776055387706803</v>
      </c>
      <c r="BD91">
        <f>(((BE81-BE87)^2)/BE87) + (((BE82-BE88)^2)/BE88) + (((BF81-BF87)^2)/BF87) + (((BF82-BF88)^2)/BF88)</f>
        <v>28.221782375816268</v>
      </c>
      <c r="BI91">
        <f>(((BJ81-BJ87)^2)/BJ87) + (((BJ82-BJ88)^2)/BJ88) + (((BK81-BK87)^2)/BK87) + (((BK82-BK88)^2)/BK88)</f>
        <v>26.498527835512981</v>
      </c>
      <c r="BX91" s="67">
        <f>(((BY81-BY87)^2)/BY87) + (((BY82-BY88)^2)/BY88) + (((BZ81-BZ87)^2)/BZ87) + (((BZ82-BZ88)^2)/BZ88)</f>
        <v>55.341276142333236</v>
      </c>
      <c r="CA91" s="66"/>
      <c r="CM91" s="67">
        <f>(((CN81-CN87)^2)/CN87) + (((CN82-CN88)^2)/CN88) + (((CO81-CO87)^2)/CO87) + (((CO82-CO88)^2)/CO88)</f>
        <v>91.604519774011294</v>
      </c>
      <c r="CP91" s="66"/>
      <c r="CW91">
        <v>4</v>
      </c>
      <c r="CX91">
        <f>(CX85*CZ83)/CZ85</f>
        <v>1.6791044776119404</v>
      </c>
      <c r="CY91">
        <f>(CY85*CZ83)/CZ85</f>
        <v>1.3208955223880596</v>
      </c>
    </row>
    <row r="92" spans="1:134">
      <c r="A92">
        <v>1</v>
      </c>
      <c r="F92">
        <v>1</v>
      </c>
      <c r="K92" s="67">
        <v>1</v>
      </c>
      <c r="N92" s="66"/>
      <c r="Z92">
        <v>1</v>
      </c>
      <c r="AE92" s="67">
        <v>1</v>
      </c>
      <c r="AH92" s="66"/>
      <c r="AJ92" s="67">
        <v>1</v>
      </c>
      <c r="AM92" s="66"/>
      <c r="AO92">
        <v>1</v>
      </c>
      <c r="AT92">
        <v>1</v>
      </c>
      <c r="AY92">
        <v>1</v>
      </c>
      <c r="BD92">
        <v>1</v>
      </c>
      <c r="BI92">
        <v>1</v>
      </c>
      <c r="BX92" s="67">
        <v>1</v>
      </c>
      <c r="CA92" s="66"/>
      <c r="CM92" s="67">
        <v>1</v>
      </c>
      <c r="CP92" s="66"/>
      <c r="CW92">
        <v>5</v>
      </c>
      <c r="CX92">
        <f t="shared" ref="CX92" si="4">(CX85*CZ84)/CZ85</f>
        <v>3.3582089552238807</v>
      </c>
      <c r="CY92">
        <f t="shared" ref="CY92" si="5">(CY85*CZ84)/CZ85</f>
        <v>2.6417910447761193</v>
      </c>
    </row>
    <row r="93" spans="1:134">
      <c r="B93" t="s">
        <v>309</v>
      </c>
      <c r="C93" t="s">
        <v>310</v>
      </c>
      <c r="G93" t="s">
        <v>309</v>
      </c>
      <c r="H93" t="s">
        <v>310</v>
      </c>
      <c r="K93" s="67"/>
      <c r="L93" t="s">
        <v>309</v>
      </c>
      <c r="M93" t="s">
        <v>310</v>
      </c>
      <c r="N93" s="66"/>
      <c r="AA93" t="s">
        <v>309</v>
      </c>
      <c r="AB93" t="s">
        <v>310</v>
      </c>
      <c r="AE93" s="67"/>
      <c r="AF93" t="s">
        <v>309</v>
      </c>
      <c r="AG93" t="s">
        <v>310</v>
      </c>
      <c r="AH93" s="66"/>
      <c r="AJ93" s="67"/>
      <c r="AK93" t="s">
        <v>309</v>
      </c>
      <c r="AL93" t="s">
        <v>310</v>
      </c>
      <c r="AM93" s="66"/>
      <c r="AP93" t="s">
        <v>309</v>
      </c>
      <c r="AQ93" t="s">
        <v>310</v>
      </c>
      <c r="AU93" t="s">
        <v>309</v>
      </c>
      <c r="AV93" t="s">
        <v>310</v>
      </c>
      <c r="AZ93" t="s">
        <v>309</v>
      </c>
      <c r="BA93" t="s">
        <v>310</v>
      </c>
      <c r="BE93" t="s">
        <v>309</v>
      </c>
      <c r="BF93" t="s">
        <v>310</v>
      </c>
      <c r="BJ93" t="s">
        <v>309</v>
      </c>
      <c r="BK93" t="s">
        <v>310</v>
      </c>
      <c r="BO93" t="s">
        <v>309</v>
      </c>
      <c r="BP93" t="s">
        <v>310</v>
      </c>
      <c r="BT93" t="s">
        <v>309</v>
      </c>
      <c r="BU93" t="s">
        <v>310</v>
      </c>
      <c r="BX93" s="67"/>
      <c r="BY93" t="s">
        <v>309</v>
      </c>
      <c r="BZ93" t="s">
        <v>310</v>
      </c>
      <c r="CA93" s="66"/>
      <c r="CI93" t="s">
        <v>309</v>
      </c>
      <c r="CJ93" t="s">
        <v>310</v>
      </c>
      <c r="CM93" s="67"/>
      <c r="CN93" t="s">
        <v>309</v>
      </c>
      <c r="CO93" t="s">
        <v>310</v>
      </c>
      <c r="CP93" s="66"/>
      <c r="DH93" t="s">
        <v>309</v>
      </c>
      <c r="DI93" t="s">
        <v>310</v>
      </c>
      <c r="DW93" t="s">
        <v>309</v>
      </c>
      <c r="DX93" t="s">
        <v>310</v>
      </c>
    </row>
    <row r="94" spans="1:134">
      <c r="A94" s="50" t="s">
        <v>541</v>
      </c>
      <c r="B94">
        <f>B87</f>
        <v>37.5</v>
      </c>
      <c r="C94">
        <f>B81</f>
        <v>51</v>
      </c>
      <c r="F94" s="50" t="s">
        <v>542</v>
      </c>
      <c r="G94">
        <f>G87</f>
        <v>44.21641791044776</v>
      </c>
      <c r="H94">
        <f>G81</f>
        <v>60</v>
      </c>
      <c r="K94" s="78" t="s">
        <v>543</v>
      </c>
      <c r="L94">
        <f>L87</f>
        <v>8.3955223880597014</v>
      </c>
      <c r="M94">
        <f>L81</f>
        <v>4</v>
      </c>
      <c r="N94" s="66"/>
      <c r="Z94" s="50" t="s">
        <v>544</v>
      </c>
      <c r="AA94">
        <f>AA87</f>
        <v>16.231343283582088</v>
      </c>
      <c r="AB94">
        <f>AA81</f>
        <v>11</v>
      </c>
      <c r="AE94" s="78" t="s">
        <v>545</v>
      </c>
      <c r="AF94">
        <f>AF87</f>
        <v>44.21641791044776</v>
      </c>
      <c r="AG94">
        <f>AF81</f>
        <v>67</v>
      </c>
      <c r="AH94" s="66"/>
      <c r="AJ94" s="78" t="s">
        <v>546</v>
      </c>
      <c r="AK94">
        <f>AK87</f>
        <v>48.134328358208954</v>
      </c>
      <c r="AL94">
        <f>AK81</f>
        <v>70</v>
      </c>
      <c r="AM94" s="66"/>
      <c r="AO94" s="50" t="s">
        <v>547</v>
      </c>
      <c r="AP94">
        <f>AP87</f>
        <v>61.007462686567166</v>
      </c>
      <c r="AQ94">
        <f>AP81</f>
        <v>66</v>
      </c>
      <c r="AT94" s="50" t="s">
        <v>548</v>
      </c>
      <c r="AU94">
        <f>AU87</f>
        <v>34.14179104477612</v>
      </c>
      <c r="AV94">
        <f>AU81</f>
        <v>55</v>
      </c>
      <c r="AY94" s="50" t="s">
        <v>549</v>
      </c>
      <c r="AZ94">
        <f>AZ87</f>
        <v>63.246268656716417</v>
      </c>
      <c r="BA94">
        <f>AZ81</f>
        <v>71</v>
      </c>
      <c r="BD94" s="50" t="s">
        <v>550</v>
      </c>
      <c r="BE94">
        <f>BE87</f>
        <v>19.589552238805972</v>
      </c>
      <c r="BF94">
        <f>BE81</f>
        <v>33</v>
      </c>
      <c r="BI94" s="50" t="s">
        <v>551</v>
      </c>
      <c r="BJ94">
        <f>BJ87</f>
        <v>63.246268656716417</v>
      </c>
      <c r="BK94">
        <f>BJ81</f>
        <v>74</v>
      </c>
      <c r="BN94" s="50" t="s">
        <v>552</v>
      </c>
      <c r="BO94">
        <f>BO87</f>
        <v>42.537313432835823</v>
      </c>
      <c r="BP94">
        <f>BO81</f>
        <v>59</v>
      </c>
      <c r="BS94" s="50" t="s">
        <v>553</v>
      </c>
      <c r="BT94">
        <f>BT87</f>
        <v>66.604477611940297</v>
      </c>
      <c r="BU94">
        <f>BT81</f>
        <v>71</v>
      </c>
      <c r="BX94" s="78" t="s">
        <v>554</v>
      </c>
      <c r="BY94">
        <f>BY87</f>
        <v>53.731343283582092</v>
      </c>
      <c r="BZ94">
        <f>BY81</f>
        <v>73</v>
      </c>
      <c r="CA94" s="66"/>
      <c r="CH94" s="50" t="s">
        <v>555</v>
      </c>
      <c r="CI94">
        <f>CI87</f>
        <v>68.28358208955224</v>
      </c>
      <c r="CJ94">
        <f>CI81</f>
        <v>73</v>
      </c>
      <c r="CM94" s="78" t="s">
        <v>556</v>
      </c>
      <c r="CN94">
        <f>CN87</f>
        <v>37.5</v>
      </c>
      <c r="CO94">
        <f>CN81</f>
        <v>10</v>
      </c>
      <c r="CP94" s="66"/>
      <c r="CW94">
        <f>_xlfn.CHISQ.TEST(CX81:CY84,CX89:CY92)</f>
        <v>0.66712851989840805</v>
      </c>
      <c r="DG94" s="50" t="s">
        <v>557</v>
      </c>
      <c r="DH94">
        <f>DH87</f>
        <v>68.843283582089555</v>
      </c>
      <c r="DI94">
        <f>DH81</f>
        <v>73</v>
      </c>
      <c r="DV94" s="50" t="s">
        <v>558</v>
      </c>
      <c r="DW94">
        <f>DW87</f>
        <v>44.776119402985074</v>
      </c>
      <c r="DX94">
        <f>DW81</f>
        <v>52</v>
      </c>
    </row>
    <row r="95" spans="1:134">
      <c r="A95" s="50" t="s">
        <v>559</v>
      </c>
      <c r="B95">
        <f>C87</f>
        <v>29.5</v>
      </c>
      <c r="C95">
        <f>C81</f>
        <v>16</v>
      </c>
      <c r="F95" s="50" t="s">
        <v>560</v>
      </c>
      <c r="G95">
        <f>H87</f>
        <v>34.78358208955224</v>
      </c>
      <c r="H95">
        <f>H81</f>
        <v>19</v>
      </c>
      <c r="K95" s="78" t="s">
        <v>561</v>
      </c>
      <c r="L95">
        <f>M87</f>
        <v>6.6044776119402986</v>
      </c>
      <c r="M95">
        <f>M81</f>
        <v>11</v>
      </c>
      <c r="N95" s="66"/>
      <c r="Z95" s="50" t="s">
        <v>562</v>
      </c>
      <c r="AA95">
        <f>AB87</f>
        <v>12.76865671641791</v>
      </c>
      <c r="AB95">
        <f>AB81</f>
        <v>18</v>
      </c>
      <c r="AE95" s="78" t="s">
        <v>563</v>
      </c>
      <c r="AF95">
        <f>AG87</f>
        <v>34.78358208955224</v>
      </c>
      <c r="AG95">
        <f>AG81</f>
        <v>12</v>
      </c>
      <c r="AH95" s="66"/>
      <c r="AJ95" s="78" t="s">
        <v>564</v>
      </c>
      <c r="AK95">
        <f>AL87</f>
        <v>37.865671641791046</v>
      </c>
      <c r="AL95">
        <f>AL81</f>
        <v>16</v>
      </c>
      <c r="AM95" s="66"/>
      <c r="AO95" s="50" t="s">
        <v>565</v>
      </c>
      <c r="AP95">
        <f>AQ87</f>
        <v>47.992537313432834</v>
      </c>
      <c r="AQ95">
        <f>AQ81</f>
        <v>43</v>
      </c>
      <c r="AT95" s="50" t="s">
        <v>566</v>
      </c>
      <c r="AU95">
        <f>AV87</f>
        <v>26.85820895522388</v>
      </c>
      <c r="AV95">
        <f>AV81</f>
        <v>6</v>
      </c>
      <c r="AY95" s="50" t="s">
        <v>567</v>
      </c>
      <c r="AZ95">
        <f>BA87</f>
        <v>49.753731343283583</v>
      </c>
      <c r="BA95">
        <f>BA81</f>
        <v>42</v>
      </c>
      <c r="BD95" s="50" t="s">
        <v>568</v>
      </c>
      <c r="BE95">
        <f>BF87</f>
        <v>15.41044776119403</v>
      </c>
      <c r="BF95">
        <f>BF81</f>
        <v>2</v>
      </c>
      <c r="BI95" s="50" t="s">
        <v>569</v>
      </c>
      <c r="BJ95">
        <f>BK87</f>
        <v>49.753731343283583</v>
      </c>
      <c r="BK95">
        <f>BK81</f>
        <v>39</v>
      </c>
      <c r="BN95" s="50" t="s">
        <v>570</v>
      </c>
      <c r="BO95">
        <f>BP87</f>
        <v>33.462686567164177</v>
      </c>
      <c r="BP95">
        <f>BP81</f>
        <v>17</v>
      </c>
      <c r="BS95" s="50" t="s">
        <v>571</v>
      </c>
      <c r="BT95">
        <f>BU87</f>
        <v>52.395522388059703</v>
      </c>
      <c r="BU95">
        <f>BU81</f>
        <v>48</v>
      </c>
      <c r="BX95" s="78" t="s">
        <v>572</v>
      </c>
      <c r="BY95">
        <f>BZ87</f>
        <v>42.268656716417908</v>
      </c>
      <c r="BZ95">
        <f>BZ81</f>
        <v>23</v>
      </c>
      <c r="CA95" s="66"/>
      <c r="CH95" s="50" t="s">
        <v>573</v>
      </c>
      <c r="CI95">
        <f>CJ87</f>
        <v>53.71641791044776</v>
      </c>
      <c r="CJ95">
        <f>CJ81</f>
        <v>49</v>
      </c>
      <c r="CM95" s="78" t="s">
        <v>574</v>
      </c>
      <c r="CN95">
        <f>CO87</f>
        <v>29.5</v>
      </c>
      <c r="CO95">
        <f>CO81</f>
        <v>57</v>
      </c>
      <c r="CP95" s="66"/>
      <c r="DG95" s="50" t="s">
        <v>575</v>
      </c>
      <c r="DH95">
        <f>DI87</f>
        <v>54.156716417910445</v>
      </c>
      <c r="DI95">
        <f>DI81</f>
        <v>50</v>
      </c>
      <c r="DV95" s="50" t="s">
        <v>576</v>
      </c>
      <c r="DW95">
        <f>DX87</f>
        <v>35.223880597014926</v>
      </c>
      <c r="DX95">
        <f>DX81</f>
        <v>28</v>
      </c>
    </row>
    <row r="96" spans="1:134">
      <c r="A96" s="50" t="s">
        <v>577</v>
      </c>
      <c r="B96">
        <f>B88</f>
        <v>37.5</v>
      </c>
      <c r="C96">
        <f>B82</f>
        <v>24</v>
      </c>
      <c r="F96" s="50" t="s">
        <v>578</v>
      </c>
      <c r="G96">
        <f>G88</f>
        <v>30.78358208955224</v>
      </c>
      <c r="H96">
        <f>G82</f>
        <v>15</v>
      </c>
      <c r="K96" s="78" t="s">
        <v>579</v>
      </c>
      <c r="L96">
        <f>L88</f>
        <v>66.604477611940297</v>
      </c>
      <c r="M96">
        <f>L82</f>
        <v>71</v>
      </c>
      <c r="N96" s="66"/>
      <c r="Z96" s="50" t="s">
        <v>580</v>
      </c>
      <c r="AA96">
        <f>AA88</f>
        <v>58.768656716417908</v>
      </c>
      <c r="AB96">
        <f>AA82</f>
        <v>64</v>
      </c>
      <c r="AE96" s="78" t="s">
        <v>581</v>
      </c>
      <c r="AF96">
        <f>AF88</f>
        <v>30.78358208955224</v>
      </c>
      <c r="AG96">
        <f>AF82</f>
        <v>8</v>
      </c>
      <c r="AH96" s="66"/>
      <c r="AJ96" s="78" t="s">
        <v>582</v>
      </c>
      <c r="AK96">
        <f>AK88</f>
        <v>26.865671641791046</v>
      </c>
      <c r="AL96">
        <f>AK82</f>
        <v>5</v>
      </c>
      <c r="AM96" s="66"/>
      <c r="AO96" s="50" t="s">
        <v>583</v>
      </c>
      <c r="AP96">
        <f>AP88</f>
        <v>13.992537313432836</v>
      </c>
      <c r="AQ96">
        <f>AP82</f>
        <v>9</v>
      </c>
      <c r="AT96" s="50" t="s">
        <v>584</v>
      </c>
      <c r="AU96">
        <f>AU88</f>
        <v>40.85820895522388</v>
      </c>
      <c r="AV96">
        <f>AU82</f>
        <v>20</v>
      </c>
      <c r="AY96" s="50" t="s">
        <v>585</v>
      </c>
      <c r="AZ96">
        <f>AZ88</f>
        <v>11.753731343283581</v>
      </c>
      <c r="BA96">
        <f>AZ82</f>
        <v>4</v>
      </c>
      <c r="BD96" s="50" t="s">
        <v>586</v>
      </c>
      <c r="BE96">
        <f>BE88</f>
        <v>55.410447761194028</v>
      </c>
      <c r="BF96">
        <f>BE82</f>
        <v>42</v>
      </c>
      <c r="BI96" s="50" t="s">
        <v>587</v>
      </c>
      <c r="BJ96">
        <f>BJ88</f>
        <v>11.753731343283581</v>
      </c>
      <c r="BK96">
        <f>BJ82</f>
        <v>1</v>
      </c>
      <c r="BN96" s="50" t="s">
        <v>588</v>
      </c>
      <c r="BO96">
        <f>BO88</f>
        <v>32.462686567164177</v>
      </c>
      <c r="BP96">
        <f>BO82</f>
        <v>16</v>
      </c>
      <c r="BS96" s="50" t="s">
        <v>589</v>
      </c>
      <c r="BT96">
        <f>BT88</f>
        <v>8.3955223880597014</v>
      </c>
      <c r="BU96">
        <f>BT82</f>
        <v>4</v>
      </c>
      <c r="BX96" s="78" t="s">
        <v>590</v>
      </c>
      <c r="BY96">
        <f>BY88</f>
        <v>21.268656716417912</v>
      </c>
      <c r="BZ96">
        <f>BY82</f>
        <v>2</v>
      </c>
      <c r="CA96" s="66"/>
      <c r="CH96" s="50" t="s">
        <v>591</v>
      </c>
      <c r="CI96">
        <f>CI88</f>
        <v>6.7164179104477615</v>
      </c>
      <c r="CJ96">
        <f>CI82</f>
        <v>2</v>
      </c>
      <c r="CM96" s="78" t="s">
        <v>592</v>
      </c>
      <c r="CN96">
        <f>CN88</f>
        <v>37.5</v>
      </c>
      <c r="CO96">
        <f>CN82</f>
        <v>65</v>
      </c>
      <c r="CP96" s="66"/>
      <c r="DG96" s="50" t="s">
        <v>593</v>
      </c>
      <c r="DH96">
        <f>DH88</f>
        <v>6.1567164179104479</v>
      </c>
      <c r="DI96">
        <f>DH82</f>
        <v>2</v>
      </c>
      <c r="DV96" s="50" t="s">
        <v>594</v>
      </c>
      <c r="DW96">
        <f>DW88</f>
        <v>30.223880597014926</v>
      </c>
      <c r="DX96">
        <f>DW82</f>
        <v>23</v>
      </c>
    </row>
    <row r="97" spans="1:128">
      <c r="A97" s="50" t="s">
        <v>595</v>
      </c>
      <c r="B97">
        <f>C88</f>
        <v>29.5</v>
      </c>
      <c r="C97">
        <f>C82</f>
        <v>43</v>
      </c>
      <c r="F97" s="50" t="s">
        <v>596</v>
      </c>
      <c r="G97">
        <f>H88</f>
        <v>24.21641791044776</v>
      </c>
      <c r="H97">
        <f>H82</f>
        <v>40</v>
      </c>
      <c r="K97" s="79" t="s">
        <v>597</v>
      </c>
      <c r="L97" s="70">
        <f>M88</f>
        <v>52.395522388059703</v>
      </c>
      <c r="M97" s="70">
        <f>M82</f>
        <v>48</v>
      </c>
      <c r="N97" s="71"/>
      <c r="Z97" s="50" t="s">
        <v>598</v>
      </c>
      <c r="AA97">
        <f>AB88</f>
        <v>46.231343283582092</v>
      </c>
      <c r="AB97">
        <f>AB82</f>
        <v>41</v>
      </c>
      <c r="AE97" s="79" t="s">
        <v>599</v>
      </c>
      <c r="AF97" s="70">
        <f>AG88</f>
        <v>24.21641791044776</v>
      </c>
      <c r="AG97" s="70">
        <f>AG82</f>
        <v>47</v>
      </c>
      <c r="AH97" s="71"/>
      <c r="AJ97" s="79" t="s">
        <v>600</v>
      </c>
      <c r="AK97" s="70">
        <f>AL88</f>
        <v>21.134328358208954</v>
      </c>
      <c r="AL97" s="70">
        <f>AL82</f>
        <v>43</v>
      </c>
      <c r="AM97" s="71"/>
      <c r="AO97" s="50" t="s">
        <v>601</v>
      </c>
      <c r="AP97">
        <f>AQ88</f>
        <v>11.007462686567164</v>
      </c>
      <c r="AQ97">
        <f>AQ82</f>
        <v>16</v>
      </c>
      <c r="AT97" s="50" t="s">
        <v>602</v>
      </c>
      <c r="AU97">
        <f>AV88</f>
        <v>32.14179104477612</v>
      </c>
      <c r="AV97">
        <f>AV82</f>
        <v>53</v>
      </c>
      <c r="AY97" s="50" t="s">
        <v>603</v>
      </c>
      <c r="AZ97">
        <f>BA88</f>
        <v>9.2462686567164187</v>
      </c>
      <c r="BA97">
        <f>BA82</f>
        <v>17</v>
      </c>
      <c r="BD97" s="50" t="s">
        <v>604</v>
      </c>
      <c r="BE97">
        <f>BF88</f>
        <v>43.589552238805972</v>
      </c>
      <c r="BF97">
        <f>BF82</f>
        <v>57</v>
      </c>
      <c r="BI97" s="50" t="s">
        <v>605</v>
      </c>
      <c r="BJ97">
        <f>BK88</f>
        <v>9.2462686567164187</v>
      </c>
      <c r="BK97">
        <f>BK82</f>
        <v>20</v>
      </c>
      <c r="BN97" s="50" t="s">
        <v>606</v>
      </c>
      <c r="BO97">
        <f>BP88</f>
        <v>25.53731343283582</v>
      </c>
      <c r="BP97">
        <f>BP82</f>
        <v>42</v>
      </c>
      <c r="BS97" s="50" t="s">
        <v>607</v>
      </c>
      <c r="BT97">
        <f>BU88</f>
        <v>6.6044776119402986</v>
      </c>
      <c r="BU97">
        <f>BU82</f>
        <v>11</v>
      </c>
      <c r="BX97" s="79" t="s">
        <v>608</v>
      </c>
      <c r="BY97" s="70">
        <f>BZ88</f>
        <v>16.731343283582088</v>
      </c>
      <c r="BZ97" s="70">
        <f>BZ82</f>
        <v>36</v>
      </c>
      <c r="CA97" s="71"/>
      <c r="CH97" s="50" t="s">
        <v>609</v>
      </c>
      <c r="CI97">
        <f>CJ88</f>
        <v>5.2835820895522385</v>
      </c>
      <c r="CJ97">
        <f>CJ82</f>
        <v>10</v>
      </c>
      <c r="CM97" s="79" t="s">
        <v>610</v>
      </c>
      <c r="CN97" s="70">
        <f>CO88</f>
        <v>29.5</v>
      </c>
      <c r="CO97" s="70">
        <f>CO82</f>
        <v>2</v>
      </c>
      <c r="CP97" s="71"/>
      <c r="DG97" s="50" t="s">
        <v>611</v>
      </c>
      <c r="DH97">
        <f>DI88</f>
        <v>4.8432835820895521</v>
      </c>
      <c r="DI97">
        <f>DI82</f>
        <v>9</v>
      </c>
      <c r="DV97" s="50" t="s">
        <v>612</v>
      </c>
      <c r="DW97">
        <f>DX88</f>
        <v>23.776119402985074</v>
      </c>
      <c r="DX97">
        <f>DX82</f>
        <v>31</v>
      </c>
    </row>
    <row r="115" spans="1:82" ht="48" customHeight="1">
      <c r="A115" s="84" t="s">
        <v>613</v>
      </c>
      <c r="B115" s="84"/>
      <c r="C115" s="84"/>
      <c r="D115" s="84"/>
      <c r="E115" s="84"/>
      <c r="G115" s="84" t="s">
        <v>614</v>
      </c>
      <c r="H115" s="84"/>
      <c r="I115" s="84"/>
      <c r="J115" s="84"/>
      <c r="K115" s="84"/>
      <c r="N115" s="84" t="s">
        <v>615</v>
      </c>
      <c r="O115" s="84"/>
      <c r="P115" s="84"/>
      <c r="Q115" s="84"/>
      <c r="S115" s="84" t="s">
        <v>616</v>
      </c>
      <c r="T115" s="84"/>
      <c r="U115" s="84"/>
      <c r="V115" s="84"/>
      <c r="X115" s="84" t="s">
        <v>617</v>
      </c>
      <c r="Y115" s="84"/>
      <c r="Z115" s="84"/>
      <c r="AA115" s="84"/>
      <c r="AC115" s="84" t="s">
        <v>618</v>
      </c>
      <c r="AD115" s="84"/>
      <c r="AE115" s="84"/>
      <c r="AF115" s="84"/>
      <c r="AH115" s="84" t="s">
        <v>619</v>
      </c>
      <c r="AI115" s="84"/>
      <c r="AJ115" s="84"/>
      <c r="AK115" s="84"/>
      <c r="AM115" s="84" t="s">
        <v>620</v>
      </c>
      <c r="AN115" s="84"/>
      <c r="AO115" s="84"/>
      <c r="AP115" s="84"/>
      <c r="AR115" s="84" t="s">
        <v>621</v>
      </c>
      <c r="AS115" s="84"/>
      <c r="AT115" s="84"/>
      <c r="AU115" s="84"/>
      <c r="AW115" s="84" t="s">
        <v>622</v>
      </c>
      <c r="AX115" s="84"/>
      <c r="AY115" s="84"/>
      <c r="AZ115" s="84"/>
      <c r="BB115" s="84" t="s">
        <v>623</v>
      </c>
      <c r="BC115" s="84"/>
      <c r="BD115" s="84"/>
      <c r="BE115" s="84"/>
      <c r="BG115" s="84" t="s">
        <v>624</v>
      </c>
      <c r="BH115" s="84"/>
      <c r="BI115" s="84"/>
      <c r="BJ115" s="84"/>
      <c r="BL115" s="84" t="s">
        <v>625</v>
      </c>
      <c r="BM115" s="84"/>
      <c r="BN115" s="84"/>
      <c r="BO115" s="84"/>
      <c r="BQ115" s="84" t="s">
        <v>626</v>
      </c>
      <c r="BR115" s="84"/>
      <c r="BS115" s="84"/>
      <c r="BT115" s="84"/>
      <c r="BV115" s="84" t="s">
        <v>627</v>
      </c>
      <c r="BW115" s="84"/>
      <c r="BX115" s="84"/>
      <c r="BY115" s="84"/>
      <c r="CA115" s="84" t="s">
        <v>628</v>
      </c>
      <c r="CB115" s="84"/>
      <c r="CC115" s="84"/>
      <c r="CD115" s="84"/>
    </row>
    <row r="117" spans="1:82">
      <c r="A117" s="45" t="s">
        <v>629</v>
      </c>
      <c r="B117" s="45" t="s">
        <v>37</v>
      </c>
      <c r="G117" s="45" t="s">
        <v>630</v>
      </c>
      <c r="H117" s="45" t="s">
        <v>38</v>
      </c>
      <c r="N117" s="45" t="s">
        <v>326</v>
      </c>
      <c r="O117" s="45" t="s">
        <v>32</v>
      </c>
      <c r="S117" s="45" t="s">
        <v>326</v>
      </c>
      <c r="T117" s="45" t="s">
        <v>32</v>
      </c>
      <c r="X117" s="45" t="s">
        <v>326</v>
      </c>
      <c r="Y117" s="45" t="s">
        <v>32</v>
      </c>
      <c r="AC117" s="45" t="s">
        <v>326</v>
      </c>
      <c r="AD117" s="45" t="s">
        <v>32</v>
      </c>
      <c r="AH117" s="45" t="s">
        <v>326</v>
      </c>
      <c r="AI117" s="45" t="s">
        <v>33</v>
      </c>
      <c r="AM117" s="45" t="s">
        <v>326</v>
      </c>
      <c r="AN117" s="45" t="s">
        <v>33</v>
      </c>
      <c r="AR117" s="45" t="s">
        <v>326</v>
      </c>
      <c r="AS117" s="45" t="s">
        <v>33</v>
      </c>
      <c r="AW117" s="45" t="s">
        <v>326</v>
      </c>
      <c r="AX117" s="45" t="s">
        <v>33</v>
      </c>
      <c r="BB117" s="45" t="s">
        <v>326</v>
      </c>
      <c r="BC117" s="45" t="s">
        <v>35</v>
      </c>
      <c r="BG117" s="45" t="s">
        <v>326</v>
      </c>
      <c r="BH117" s="45" t="s">
        <v>35</v>
      </c>
      <c r="BL117" s="45" t="s">
        <v>326</v>
      </c>
      <c r="BM117" s="45" t="s">
        <v>35</v>
      </c>
      <c r="BQ117" s="45" t="s">
        <v>326</v>
      </c>
      <c r="BR117" s="45" t="s">
        <v>35</v>
      </c>
      <c r="BV117" s="45" t="s">
        <v>326</v>
      </c>
      <c r="BW117" s="45" t="s">
        <v>35</v>
      </c>
      <c r="CA117" s="45" t="s">
        <v>326</v>
      </c>
      <c r="CB117" s="45" t="s">
        <v>35</v>
      </c>
    </row>
    <row r="118" spans="1:82">
      <c r="A118" s="45" t="s">
        <v>39</v>
      </c>
      <c r="B118">
        <v>0</v>
      </c>
      <c r="C118">
        <v>1</v>
      </c>
      <c r="D118" t="s">
        <v>631</v>
      </c>
      <c r="E118" t="s">
        <v>329</v>
      </c>
      <c r="G118" s="45" t="s">
        <v>39</v>
      </c>
      <c r="H118">
        <v>0</v>
      </c>
      <c r="I118">
        <v>1</v>
      </c>
      <c r="J118" t="s">
        <v>631</v>
      </c>
      <c r="K118" t="s">
        <v>329</v>
      </c>
      <c r="N118" s="45" t="s">
        <v>276</v>
      </c>
      <c r="O118">
        <v>0</v>
      </c>
      <c r="P118">
        <v>1</v>
      </c>
      <c r="Q118" t="s">
        <v>329</v>
      </c>
      <c r="S118" s="45" t="s">
        <v>277</v>
      </c>
      <c r="T118">
        <v>0</v>
      </c>
      <c r="U118">
        <v>1</v>
      </c>
      <c r="V118" t="s">
        <v>329</v>
      </c>
      <c r="X118" s="45" t="s">
        <v>278</v>
      </c>
      <c r="Y118">
        <v>0</v>
      </c>
      <c r="Z118">
        <v>1</v>
      </c>
      <c r="AA118" t="s">
        <v>329</v>
      </c>
      <c r="AC118" s="45" t="s">
        <v>279</v>
      </c>
      <c r="AD118">
        <v>0</v>
      </c>
      <c r="AE118">
        <v>1</v>
      </c>
      <c r="AF118" t="s">
        <v>329</v>
      </c>
      <c r="AH118" s="45" t="s">
        <v>276</v>
      </c>
      <c r="AI118">
        <v>0</v>
      </c>
      <c r="AJ118">
        <v>1</v>
      </c>
      <c r="AK118" t="s">
        <v>329</v>
      </c>
      <c r="AM118" s="45" t="s">
        <v>277</v>
      </c>
      <c r="AN118">
        <v>0</v>
      </c>
      <c r="AO118">
        <v>1</v>
      </c>
      <c r="AP118" t="s">
        <v>329</v>
      </c>
      <c r="AR118" s="45" t="s">
        <v>278</v>
      </c>
      <c r="AS118">
        <v>0</v>
      </c>
      <c r="AT118">
        <v>1</v>
      </c>
      <c r="AU118" t="s">
        <v>329</v>
      </c>
      <c r="AW118" s="45" t="s">
        <v>279</v>
      </c>
      <c r="AX118">
        <v>0</v>
      </c>
      <c r="AY118">
        <v>1</v>
      </c>
      <c r="AZ118" t="s">
        <v>329</v>
      </c>
      <c r="BB118" s="45" t="s">
        <v>276</v>
      </c>
      <c r="BC118">
        <v>0</v>
      </c>
      <c r="BD118">
        <v>1</v>
      </c>
      <c r="BE118" t="s">
        <v>329</v>
      </c>
      <c r="BG118" s="45" t="s">
        <v>277</v>
      </c>
      <c r="BH118">
        <v>0</v>
      </c>
      <c r="BI118">
        <v>1</v>
      </c>
      <c r="BJ118" t="s">
        <v>329</v>
      </c>
      <c r="BL118" s="45" t="s">
        <v>278</v>
      </c>
      <c r="BM118">
        <v>0</v>
      </c>
      <c r="BN118">
        <v>1</v>
      </c>
      <c r="BO118" t="s">
        <v>329</v>
      </c>
      <c r="BQ118" s="45" t="s">
        <v>279</v>
      </c>
      <c r="BR118">
        <v>0</v>
      </c>
      <c r="BS118">
        <v>1</v>
      </c>
      <c r="BT118" t="s">
        <v>329</v>
      </c>
      <c r="BV118" s="45" t="s">
        <v>5</v>
      </c>
      <c r="BW118">
        <v>0</v>
      </c>
      <c r="BX118">
        <v>1</v>
      </c>
      <c r="BY118" t="s">
        <v>329</v>
      </c>
      <c r="CA118" s="45" t="s">
        <v>6</v>
      </c>
      <c r="CB118">
        <v>0</v>
      </c>
      <c r="CC118">
        <v>1</v>
      </c>
      <c r="CD118" t="s">
        <v>329</v>
      </c>
    </row>
    <row r="119" spans="1:82">
      <c r="A119">
        <v>0</v>
      </c>
      <c r="B119">
        <v>72</v>
      </c>
      <c r="C119">
        <v>7</v>
      </c>
      <c r="E119">
        <v>79</v>
      </c>
      <c r="G119">
        <v>0</v>
      </c>
      <c r="H119">
        <v>53</v>
      </c>
      <c r="I119">
        <v>26</v>
      </c>
      <c r="K119">
        <v>79</v>
      </c>
      <c r="N119">
        <v>0</v>
      </c>
      <c r="O119">
        <v>54</v>
      </c>
      <c r="P119">
        <v>42</v>
      </c>
      <c r="Q119">
        <v>96</v>
      </c>
      <c r="S119">
        <v>0</v>
      </c>
      <c r="T119">
        <v>55</v>
      </c>
      <c r="U119">
        <v>62</v>
      </c>
      <c r="V119">
        <v>117</v>
      </c>
      <c r="X119">
        <v>0</v>
      </c>
      <c r="Y119">
        <v>58</v>
      </c>
      <c r="Z119">
        <v>64</v>
      </c>
      <c r="AA119">
        <v>122</v>
      </c>
      <c r="AC119">
        <v>0</v>
      </c>
      <c r="AD119">
        <v>16</v>
      </c>
      <c r="AE119">
        <v>51</v>
      </c>
      <c r="AF119">
        <v>67</v>
      </c>
      <c r="AH119">
        <v>0</v>
      </c>
      <c r="AI119">
        <v>8</v>
      </c>
      <c r="AJ119">
        <v>88</v>
      </c>
      <c r="AK119">
        <v>96</v>
      </c>
      <c r="AM119">
        <v>0</v>
      </c>
      <c r="AN119">
        <v>12</v>
      </c>
      <c r="AO119">
        <v>105</v>
      </c>
      <c r="AP119">
        <v>117</v>
      </c>
      <c r="AR119">
        <v>0</v>
      </c>
      <c r="AS119">
        <v>14</v>
      </c>
      <c r="AT119">
        <v>108</v>
      </c>
      <c r="AU119">
        <v>122</v>
      </c>
      <c r="AW119">
        <v>0</v>
      </c>
      <c r="AX119">
        <v>11</v>
      </c>
      <c r="AY119">
        <v>56</v>
      </c>
      <c r="AZ119">
        <v>67</v>
      </c>
      <c r="BB119">
        <v>0</v>
      </c>
      <c r="BC119">
        <v>35</v>
      </c>
      <c r="BD119">
        <v>61</v>
      </c>
      <c r="BE119">
        <v>96</v>
      </c>
      <c r="BG119">
        <v>0</v>
      </c>
      <c r="BH119">
        <v>32</v>
      </c>
      <c r="BI119">
        <v>85</v>
      </c>
      <c r="BJ119">
        <v>117</v>
      </c>
      <c r="BL119">
        <v>0</v>
      </c>
      <c r="BM119">
        <v>35</v>
      </c>
      <c r="BN119">
        <v>87</v>
      </c>
      <c r="BO119">
        <v>122</v>
      </c>
      <c r="BQ119">
        <v>0</v>
      </c>
      <c r="BR119">
        <v>3</v>
      </c>
      <c r="BS119">
        <v>64</v>
      </c>
      <c r="BT119">
        <v>67</v>
      </c>
      <c r="BV119">
        <v>1</v>
      </c>
      <c r="BW119">
        <v>17</v>
      </c>
      <c r="BX119">
        <v>51</v>
      </c>
      <c r="BY119">
        <v>68</v>
      </c>
      <c r="CA119">
        <v>2</v>
      </c>
      <c r="CB119">
        <v>25</v>
      </c>
      <c r="CC119">
        <v>72</v>
      </c>
      <c r="CD119">
        <v>97</v>
      </c>
    </row>
    <row r="120" spans="1:82">
      <c r="A120">
        <v>1</v>
      </c>
      <c r="B120">
        <v>19</v>
      </c>
      <c r="C120">
        <v>1</v>
      </c>
      <c r="E120">
        <v>20</v>
      </c>
      <c r="G120">
        <v>1</v>
      </c>
      <c r="H120">
        <v>16</v>
      </c>
      <c r="I120">
        <v>4</v>
      </c>
      <c r="K120">
        <v>20</v>
      </c>
      <c r="N120">
        <v>1</v>
      </c>
      <c r="O120">
        <v>7</v>
      </c>
      <c r="P120">
        <v>31</v>
      </c>
      <c r="Q120">
        <v>38</v>
      </c>
      <c r="S120">
        <v>1</v>
      </c>
      <c r="T120">
        <v>6</v>
      </c>
      <c r="U120">
        <v>11</v>
      </c>
      <c r="V120">
        <v>17</v>
      </c>
      <c r="X120">
        <v>1</v>
      </c>
      <c r="Y120">
        <v>3</v>
      </c>
      <c r="Z120">
        <v>9</v>
      </c>
      <c r="AA120">
        <v>12</v>
      </c>
      <c r="AC120">
        <v>1</v>
      </c>
      <c r="AD120">
        <v>45</v>
      </c>
      <c r="AE120">
        <v>22</v>
      </c>
      <c r="AF120">
        <v>67</v>
      </c>
      <c r="AH120">
        <v>1</v>
      </c>
      <c r="AI120">
        <v>7</v>
      </c>
      <c r="AJ120">
        <v>31</v>
      </c>
      <c r="AK120">
        <v>38</v>
      </c>
      <c r="AM120">
        <v>1</v>
      </c>
      <c r="AN120">
        <v>3</v>
      </c>
      <c r="AO120">
        <v>14</v>
      </c>
      <c r="AP120">
        <v>17</v>
      </c>
      <c r="AR120">
        <v>1</v>
      </c>
      <c r="AS120">
        <v>1</v>
      </c>
      <c r="AT120">
        <v>11</v>
      </c>
      <c r="AU120">
        <v>12</v>
      </c>
      <c r="AW120">
        <v>1</v>
      </c>
      <c r="AX120">
        <v>4</v>
      </c>
      <c r="AY120">
        <v>63</v>
      </c>
      <c r="AZ120">
        <v>67</v>
      </c>
      <c r="BB120">
        <v>1</v>
      </c>
      <c r="BD120">
        <v>38</v>
      </c>
      <c r="BE120">
        <v>38</v>
      </c>
      <c r="BG120">
        <v>1</v>
      </c>
      <c r="BH120">
        <v>3</v>
      </c>
      <c r="BI120">
        <v>14</v>
      </c>
      <c r="BJ120">
        <v>17</v>
      </c>
      <c r="BL120">
        <v>1</v>
      </c>
      <c r="BN120">
        <v>12</v>
      </c>
      <c r="BO120">
        <v>12</v>
      </c>
      <c r="BQ120">
        <v>1</v>
      </c>
      <c r="BR120">
        <v>32</v>
      </c>
      <c r="BS120">
        <v>35</v>
      </c>
      <c r="BT120">
        <v>67</v>
      </c>
      <c r="BV120">
        <v>2</v>
      </c>
      <c r="BW120">
        <v>18</v>
      </c>
      <c r="BX120">
        <v>48</v>
      </c>
      <c r="BY120">
        <v>66</v>
      </c>
      <c r="CA120">
        <v>3</v>
      </c>
      <c r="CB120">
        <v>8</v>
      </c>
      <c r="CC120">
        <v>20</v>
      </c>
      <c r="CD120">
        <v>28</v>
      </c>
    </row>
    <row r="121" spans="1:82">
      <c r="A121" t="s">
        <v>329</v>
      </c>
      <c r="B121">
        <v>91</v>
      </c>
      <c r="C121">
        <v>8</v>
      </c>
      <c r="E121">
        <v>99</v>
      </c>
      <c r="G121" t="s">
        <v>329</v>
      </c>
      <c r="H121">
        <v>69</v>
      </c>
      <c r="I121">
        <v>30</v>
      </c>
      <c r="K121">
        <v>99</v>
      </c>
      <c r="N121" t="s">
        <v>329</v>
      </c>
      <c r="O121">
        <v>61</v>
      </c>
      <c r="P121">
        <v>73</v>
      </c>
      <c r="Q121">
        <v>134</v>
      </c>
      <c r="S121" t="s">
        <v>329</v>
      </c>
      <c r="T121">
        <v>61</v>
      </c>
      <c r="U121">
        <v>73</v>
      </c>
      <c r="V121">
        <v>134</v>
      </c>
      <c r="X121" t="s">
        <v>329</v>
      </c>
      <c r="Y121">
        <v>61</v>
      </c>
      <c r="Z121">
        <v>73</v>
      </c>
      <c r="AA121">
        <v>134</v>
      </c>
      <c r="AC121" t="s">
        <v>329</v>
      </c>
      <c r="AD121">
        <v>61</v>
      </c>
      <c r="AE121">
        <v>73</v>
      </c>
      <c r="AF121">
        <v>134</v>
      </c>
      <c r="AH121" t="s">
        <v>329</v>
      </c>
      <c r="AI121">
        <v>15</v>
      </c>
      <c r="AJ121">
        <v>119</v>
      </c>
      <c r="AK121">
        <v>134</v>
      </c>
      <c r="AM121" t="s">
        <v>329</v>
      </c>
      <c r="AN121">
        <v>15</v>
      </c>
      <c r="AO121">
        <v>119</v>
      </c>
      <c r="AP121">
        <v>134</v>
      </c>
      <c r="AR121" t="s">
        <v>329</v>
      </c>
      <c r="AS121">
        <v>15</v>
      </c>
      <c r="AT121">
        <v>119</v>
      </c>
      <c r="AU121">
        <v>134</v>
      </c>
      <c r="AW121" t="s">
        <v>329</v>
      </c>
      <c r="AX121">
        <v>15</v>
      </c>
      <c r="AY121">
        <v>119</v>
      </c>
      <c r="AZ121">
        <v>134</v>
      </c>
      <c r="BB121" t="s">
        <v>329</v>
      </c>
      <c r="BC121">
        <v>35</v>
      </c>
      <c r="BD121">
        <v>99</v>
      </c>
      <c r="BE121">
        <v>134</v>
      </c>
      <c r="BG121" t="s">
        <v>329</v>
      </c>
      <c r="BH121">
        <v>35</v>
      </c>
      <c r="BI121">
        <v>99</v>
      </c>
      <c r="BJ121">
        <v>134</v>
      </c>
      <c r="BL121" t="s">
        <v>329</v>
      </c>
      <c r="BM121">
        <v>35</v>
      </c>
      <c r="BN121">
        <v>99</v>
      </c>
      <c r="BO121">
        <v>134</v>
      </c>
      <c r="BQ121" t="s">
        <v>329</v>
      </c>
      <c r="BR121">
        <v>35</v>
      </c>
      <c r="BS121">
        <v>99</v>
      </c>
      <c r="BT121">
        <v>134</v>
      </c>
      <c r="BV121" t="s">
        <v>329</v>
      </c>
      <c r="BW121">
        <v>35</v>
      </c>
      <c r="BX121">
        <v>99</v>
      </c>
      <c r="BY121">
        <v>134</v>
      </c>
      <c r="CA121">
        <v>4</v>
      </c>
      <c r="CC121">
        <v>3</v>
      </c>
      <c r="CD121">
        <v>3</v>
      </c>
    </row>
    <row r="122" spans="1:82">
      <c r="CA122">
        <v>5</v>
      </c>
      <c r="CB122">
        <v>2</v>
      </c>
      <c r="CC122">
        <v>4</v>
      </c>
      <c r="CD122">
        <v>6</v>
      </c>
    </row>
    <row r="123" spans="1:82">
      <c r="CA123" t="s">
        <v>329</v>
      </c>
      <c r="CB123">
        <v>35</v>
      </c>
      <c r="CC123">
        <v>99</v>
      </c>
      <c r="CD123">
        <v>134</v>
      </c>
    </row>
    <row r="124" spans="1:82">
      <c r="A124" s="46"/>
      <c r="B124" s="46">
        <v>0</v>
      </c>
      <c r="C124" s="46">
        <v>1</v>
      </c>
      <c r="G124" s="46"/>
      <c r="H124" s="46">
        <v>0</v>
      </c>
      <c r="I124" s="46">
        <v>1</v>
      </c>
      <c r="N124" s="46"/>
      <c r="O124" s="46">
        <v>0</v>
      </c>
      <c r="P124" s="46">
        <v>1</v>
      </c>
      <c r="S124" s="46"/>
      <c r="T124" s="46">
        <v>0</v>
      </c>
      <c r="U124" s="46">
        <v>1</v>
      </c>
      <c r="X124" s="46"/>
      <c r="Y124" s="46">
        <v>0</v>
      </c>
      <c r="Z124" s="46">
        <v>1</v>
      </c>
      <c r="AC124" s="46"/>
      <c r="AD124" s="46">
        <v>0</v>
      </c>
      <c r="AE124" s="46">
        <v>1</v>
      </c>
      <c r="AH124" s="46"/>
      <c r="AI124" s="46">
        <v>0</v>
      </c>
      <c r="AJ124" s="46">
        <v>1</v>
      </c>
      <c r="AM124" s="46"/>
      <c r="AN124" s="46">
        <v>0</v>
      </c>
      <c r="AO124" s="46">
        <v>1</v>
      </c>
      <c r="AR124" s="46"/>
      <c r="AS124" s="46">
        <v>0</v>
      </c>
      <c r="AT124" s="46">
        <v>1</v>
      </c>
      <c r="AW124" s="46"/>
      <c r="AX124" s="46">
        <v>0</v>
      </c>
      <c r="AY124" s="46">
        <v>1</v>
      </c>
      <c r="BB124" s="46"/>
      <c r="BC124" s="46">
        <v>0</v>
      </c>
      <c r="BD124" s="46">
        <v>1</v>
      </c>
      <c r="BG124" s="46"/>
      <c r="BH124" s="46">
        <v>0</v>
      </c>
      <c r="BI124" s="46">
        <v>1</v>
      </c>
      <c r="BL124" s="46"/>
      <c r="BM124" s="46">
        <v>0</v>
      </c>
      <c r="BN124" s="46">
        <v>1</v>
      </c>
      <c r="BQ124" s="46"/>
      <c r="BR124" s="46">
        <v>0</v>
      </c>
      <c r="BS124" s="46">
        <v>1</v>
      </c>
      <c r="BV124" s="46"/>
      <c r="BW124" s="46">
        <v>0</v>
      </c>
      <c r="BX124" s="46">
        <v>1</v>
      </c>
    </row>
    <row r="125" spans="1:82">
      <c r="A125">
        <v>0</v>
      </c>
      <c r="B125">
        <f>(B121*E119)/E121</f>
        <v>72.616161616161619</v>
      </c>
      <c r="C125">
        <f>(E119*C121)/E121</f>
        <v>6.3838383838383841</v>
      </c>
      <c r="G125">
        <v>0</v>
      </c>
      <c r="H125">
        <f>(H121*K119)/K121</f>
        <v>55.060606060606062</v>
      </c>
      <c r="I125">
        <f>(K119*I121)/K121</f>
        <v>23.939393939393938</v>
      </c>
      <c r="N125">
        <v>0</v>
      </c>
      <c r="O125">
        <f>(O121*Q119)/Q121</f>
        <v>43.701492537313435</v>
      </c>
      <c r="P125">
        <f>(Q119*P121)/Q121</f>
        <v>52.298507462686565</v>
      </c>
      <c r="S125">
        <v>0</v>
      </c>
      <c r="T125">
        <f>(T121*V119)/V121</f>
        <v>53.261194029850749</v>
      </c>
      <c r="U125">
        <f>(V119*U121)/V121</f>
        <v>63.738805970149251</v>
      </c>
      <c r="X125">
        <v>0</v>
      </c>
      <c r="Y125">
        <f>(Y121*AA119)/AA121</f>
        <v>55.537313432835823</v>
      </c>
      <c r="Z125">
        <f>(AA119*Z121)/AA121</f>
        <v>66.462686567164184</v>
      </c>
      <c r="AC125">
        <v>0</v>
      </c>
      <c r="AD125">
        <f>(AD121*AF119)/AF121</f>
        <v>30.5</v>
      </c>
      <c r="AE125">
        <f>(AF119*AE121)/AF121</f>
        <v>36.5</v>
      </c>
      <c r="AH125">
        <v>0</v>
      </c>
      <c r="AI125">
        <f>(AI121*AK119)/AK121</f>
        <v>10.746268656716419</v>
      </c>
      <c r="AJ125">
        <f>(AK119*AJ121)/AK121</f>
        <v>85.253731343283576</v>
      </c>
      <c r="AM125">
        <v>0</v>
      </c>
      <c r="AN125">
        <f>(AN121*AP119)/AP121</f>
        <v>13.097014925373134</v>
      </c>
      <c r="AO125">
        <f>(AP119*AO121)/AP121</f>
        <v>103.90298507462687</v>
      </c>
      <c r="AR125">
        <v>0</v>
      </c>
      <c r="AS125">
        <f>(AS121*AU119)/AU121</f>
        <v>13.656716417910447</v>
      </c>
      <c r="AT125">
        <f>(AU119*AT121)/AU121</f>
        <v>108.34328358208955</v>
      </c>
      <c r="AW125">
        <v>0</v>
      </c>
      <c r="AX125">
        <f>(AX121*AZ119)/AZ121</f>
        <v>7.5</v>
      </c>
      <c r="AY125">
        <f>(AZ119*AY121)/AZ121</f>
        <v>59.5</v>
      </c>
      <c r="BB125">
        <v>0</v>
      </c>
      <c r="BC125">
        <f>(BC121*BE119)/BE121</f>
        <v>25.074626865671643</v>
      </c>
      <c r="BD125">
        <f>(BE119*BD121)/BE121</f>
        <v>70.925373134328353</v>
      </c>
      <c r="BG125">
        <v>0</v>
      </c>
      <c r="BH125">
        <f>(BH121*BJ119)/BJ121</f>
        <v>30.559701492537314</v>
      </c>
      <c r="BI125">
        <f>(BJ119*BI121)/BJ121</f>
        <v>86.440298507462686</v>
      </c>
      <c r="BL125">
        <v>0</v>
      </c>
      <c r="BM125">
        <f>(BM121*BO119)/BO121</f>
        <v>31.865671641791046</v>
      </c>
      <c r="BN125">
        <f>(BO119*BN121)/BO121</f>
        <v>90.134328358208961</v>
      </c>
      <c r="BQ125">
        <v>0</v>
      </c>
      <c r="BR125">
        <f>(BR121*BT119)/BT121</f>
        <v>17.5</v>
      </c>
      <c r="BS125">
        <f>(BT119*BS121)/BT121</f>
        <v>49.5</v>
      </c>
      <c r="BV125">
        <v>1</v>
      </c>
      <c r="BW125">
        <f>(BW121*BY119)/BY121</f>
        <v>17.761194029850746</v>
      </c>
      <c r="BX125">
        <f>(BY119*BX121)/BY121</f>
        <v>50.238805970149251</v>
      </c>
    </row>
    <row r="126" spans="1:82">
      <c r="A126">
        <v>1</v>
      </c>
      <c r="B126">
        <f>(B121*E120)/E121</f>
        <v>18.383838383838384</v>
      </c>
      <c r="C126">
        <f>(C121*E120)/E121</f>
        <v>1.6161616161616161</v>
      </c>
      <c r="G126">
        <v>1</v>
      </c>
      <c r="H126">
        <f>(H121*K120)/K121</f>
        <v>13.939393939393939</v>
      </c>
      <c r="I126">
        <f>(I121*K120)/K121</f>
        <v>6.0606060606060606</v>
      </c>
      <c r="N126">
        <v>1</v>
      </c>
      <c r="O126">
        <f>(O121*Q120)/Q121</f>
        <v>17.298507462686569</v>
      </c>
      <c r="P126">
        <f>(P121*Q120)/Q121</f>
        <v>20.701492537313431</v>
      </c>
      <c r="S126">
        <v>1</v>
      </c>
      <c r="T126">
        <f>(T121*V120)/V121</f>
        <v>7.7388059701492535</v>
      </c>
      <c r="U126">
        <f>(U121*V120)/V121</f>
        <v>9.2611940298507456</v>
      </c>
      <c r="X126">
        <v>1</v>
      </c>
      <c r="Y126">
        <f>(Y121*AA120)/AA121</f>
        <v>5.4626865671641793</v>
      </c>
      <c r="Z126">
        <f>(Z121*AA120)/AA121</f>
        <v>6.5373134328358207</v>
      </c>
      <c r="AC126">
        <v>1</v>
      </c>
      <c r="AD126">
        <f>(AD121*AF120)/AF121</f>
        <v>30.5</v>
      </c>
      <c r="AE126">
        <f>(AE121*AF120)/AF121</f>
        <v>36.5</v>
      </c>
      <c r="AH126">
        <v>1</v>
      </c>
      <c r="AI126">
        <f>(AI121*AK120)/AK121</f>
        <v>4.2537313432835822</v>
      </c>
      <c r="AJ126">
        <f>(AJ121*AK120)/AK121</f>
        <v>33.746268656716417</v>
      </c>
      <c r="AM126">
        <v>1</v>
      </c>
      <c r="AN126">
        <f>(AN121*AP120)/AP121</f>
        <v>1.9029850746268657</v>
      </c>
      <c r="AO126">
        <f>(AO121*AP120)/AP121</f>
        <v>15.097014925373134</v>
      </c>
      <c r="AR126">
        <v>1</v>
      </c>
      <c r="AS126">
        <f>(AS121*AU120)/AU121</f>
        <v>1.3432835820895523</v>
      </c>
      <c r="AT126">
        <f>(AT121*AU120)/AU121</f>
        <v>10.656716417910447</v>
      </c>
      <c r="AW126">
        <v>1</v>
      </c>
      <c r="AX126">
        <f>(AX121*AZ120)/AZ121</f>
        <v>7.5</v>
      </c>
      <c r="AY126">
        <f>(AY121*AZ120)/AZ121</f>
        <v>59.5</v>
      </c>
      <c r="BB126">
        <v>1</v>
      </c>
      <c r="BC126">
        <f>(BC121*BE120)/BE121</f>
        <v>9.9253731343283587</v>
      </c>
      <c r="BD126">
        <f>(BD121*BE120)/BE121</f>
        <v>28.074626865671643</v>
      </c>
      <c r="BG126">
        <v>1</v>
      </c>
      <c r="BH126">
        <f>(BH121*BJ120)/BJ121</f>
        <v>4.4402985074626864</v>
      </c>
      <c r="BI126">
        <f>(BI121*BJ120)/BJ121</f>
        <v>12.559701492537313</v>
      </c>
      <c r="BL126">
        <v>1</v>
      </c>
      <c r="BM126">
        <f>(BM121*BO120)/BO121</f>
        <v>3.1343283582089554</v>
      </c>
      <c r="BN126">
        <f>(BN121*BO120)/BO121</f>
        <v>8.8656716417910442</v>
      </c>
      <c r="BQ126">
        <v>1</v>
      </c>
      <c r="BR126">
        <f>(BR121*BT120)/BT121</f>
        <v>17.5</v>
      </c>
      <c r="BS126">
        <f>(BS121*BT120)/BT121</f>
        <v>49.5</v>
      </c>
      <c r="BV126">
        <v>2</v>
      </c>
      <c r="BW126">
        <f>(BW121*BY120)/BY121</f>
        <v>17.238805970149254</v>
      </c>
      <c r="BX126">
        <f>(BX121*BY120)/BY121</f>
        <v>48.761194029850749</v>
      </c>
      <c r="CA126" s="46"/>
      <c r="CB126" s="46">
        <v>0</v>
      </c>
      <c r="CC126" s="46">
        <v>1</v>
      </c>
    </row>
    <row r="127" spans="1:82">
      <c r="CA127">
        <v>2</v>
      </c>
      <c r="CB127">
        <f>(CB123*CD119)/CD123</f>
        <v>25.335820895522389</v>
      </c>
      <c r="CC127">
        <f>(CD119*CC123)/CD123</f>
        <v>71.664179104477611</v>
      </c>
    </row>
    <row r="128" spans="1:82">
      <c r="A128">
        <f>_xlfn.CHISQ.TEST(B119:C120,B125:C126)</f>
        <v>0.57144979795918882</v>
      </c>
      <c r="G128">
        <f>_xlfn.CHISQ.TEST(H119:I120,H125:I126)</f>
        <v>0.26170735269387324</v>
      </c>
      <c r="N128" s="47">
        <f>_xlfn.CHISQ.TEST(O119:P120,O125:P126)</f>
        <v>7.3862082111091884E-5</v>
      </c>
      <c r="S128">
        <f>_xlfn.CHISQ.TEST(T119:U120,T125:U126)</f>
        <v>0.36478525575733944</v>
      </c>
      <c r="X128">
        <f>_xlfn.CHISQ.TEST(Y119:Z120,Y125:Z126)</f>
        <v>0.13461967223313678</v>
      </c>
      <c r="AC128" s="47">
        <f>_xlfn.CHISQ.TEST(AD119:AE120,AD125:AE126)</f>
        <v>4.888213583502593E-7</v>
      </c>
      <c r="AH128">
        <f>_xlfn.CHISQ.TEST(AI119:AJ120,AI125:AJ126)</f>
        <v>9.504324681741326E-2</v>
      </c>
      <c r="AM128">
        <f>_xlfn.CHISQ.TEST(AN119:AO120,AN125:AO126)</f>
        <v>0.36647570440168359</v>
      </c>
      <c r="AR128">
        <f>_xlfn.CHISQ.TEST(AS119:AT120,AS125:AT126)</f>
        <v>0.7418550946269058</v>
      </c>
      <c r="AW128">
        <f>_xlfn.CHISQ.TEST(AX119:AY120,AX125:AY126)</f>
        <v>5.5120684838431508E-2</v>
      </c>
      <c r="BB128" s="47">
        <f>_xlfn.CHISQ.TEST(BC119:BD120,BC125:BD126)</f>
        <v>2.9684963452941498E-3</v>
      </c>
      <c r="BG128">
        <f>_xlfn.CHISQ.TEST(BH119:BI120,BH125:BI126)</f>
        <v>0.39475723008127261</v>
      </c>
      <c r="BL128">
        <f>_xlfn.CHISQ.TEST(BM119:BN120,BM125:BN126)</f>
        <v>0.21680662132367681</v>
      </c>
      <c r="BQ128" s="47">
        <f>_xlfn.CHISQ.TEST(BR119:BS120,BR125:BS126)</f>
        <v>1.1775866720493353E-8</v>
      </c>
      <c r="BV128">
        <f>_xlfn.CHISQ.TEST(BW119:BX120,BW125:BX126)</f>
        <v>0.76462290638977248</v>
      </c>
      <c r="CA128">
        <v>3</v>
      </c>
      <c r="CB128">
        <f>(CB123*CD120)/CD123</f>
        <v>7.3134328358208958</v>
      </c>
      <c r="CC128">
        <f>(CC123*CD120)/CD123</f>
        <v>20.686567164179106</v>
      </c>
    </row>
    <row r="129" spans="14:81">
      <c r="CA129">
        <v>4</v>
      </c>
      <c r="CB129">
        <f>(CB123*CD121)/CD123</f>
        <v>0.78358208955223885</v>
      </c>
      <c r="CC129">
        <f>(CC123*CD121)/CD123</f>
        <v>2.216417910447761</v>
      </c>
    </row>
    <row r="130" spans="14:81">
      <c r="CA130">
        <v>5</v>
      </c>
      <c r="CB130">
        <f t="shared" ref="CB130" si="6">(CB123*CD122)/CD123</f>
        <v>1.5671641791044777</v>
      </c>
      <c r="CC130">
        <f t="shared" ref="CC130" si="7">(CC123*CD122)/CD123</f>
        <v>4.4328358208955221</v>
      </c>
    </row>
    <row r="131" spans="14:81">
      <c r="O131" t="s">
        <v>309</v>
      </c>
      <c r="P131" t="s">
        <v>310</v>
      </c>
      <c r="AD131" t="s">
        <v>309</v>
      </c>
      <c r="AE131" t="s">
        <v>310</v>
      </c>
      <c r="BC131" t="s">
        <v>309</v>
      </c>
      <c r="BD131" t="s">
        <v>310</v>
      </c>
      <c r="BR131" t="s">
        <v>309</v>
      </c>
      <c r="BS131" t="s">
        <v>310</v>
      </c>
    </row>
    <row r="132" spans="14:81">
      <c r="N132" s="50" t="s">
        <v>632</v>
      </c>
      <c r="O132">
        <f>O125</f>
        <v>43.701492537313435</v>
      </c>
      <c r="P132">
        <f>O119</f>
        <v>54</v>
      </c>
      <c r="AC132" s="50" t="s">
        <v>633</v>
      </c>
      <c r="AD132">
        <f>AD125</f>
        <v>30.5</v>
      </c>
      <c r="AE132">
        <f>AD119</f>
        <v>16</v>
      </c>
      <c r="BB132" s="50" t="s">
        <v>634</v>
      </c>
      <c r="BC132">
        <f>BC125</f>
        <v>25.074626865671643</v>
      </c>
      <c r="BD132">
        <f>BC119</f>
        <v>35</v>
      </c>
      <c r="BQ132" s="50" t="s">
        <v>635</v>
      </c>
      <c r="BR132">
        <f>BR125</f>
        <v>17.5</v>
      </c>
      <c r="BS132">
        <f>BR119</f>
        <v>3</v>
      </c>
      <c r="CA132">
        <f>_xlfn.CHISQ.TEST(CB119:CC122,CB127:CC130)</f>
        <v>0.91178528723771979</v>
      </c>
    </row>
    <row r="133" spans="14:81">
      <c r="N133" s="50" t="s">
        <v>636</v>
      </c>
      <c r="O133">
        <f>P125</f>
        <v>52.298507462686565</v>
      </c>
      <c r="P133">
        <f>P119</f>
        <v>42</v>
      </c>
      <c r="AC133" s="50" t="s">
        <v>637</v>
      </c>
      <c r="AD133">
        <f>AE125</f>
        <v>36.5</v>
      </c>
      <c r="AE133">
        <f>AE119</f>
        <v>51</v>
      </c>
      <c r="BB133" s="50" t="s">
        <v>638</v>
      </c>
      <c r="BC133">
        <f>BD125</f>
        <v>70.925373134328353</v>
      </c>
      <c r="BD133">
        <f>BD119</f>
        <v>61</v>
      </c>
      <c r="BQ133" s="50" t="s">
        <v>639</v>
      </c>
      <c r="BR133">
        <f>BS125</f>
        <v>49.5</v>
      </c>
      <c r="BS133">
        <f>BS119</f>
        <v>64</v>
      </c>
    </row>
    <row r="134" spans="14:81">
      <c r="N134" s="50" t="s">
        <v>640</v>
      </c>
      <c r="O134">
        <f>O126</f>
        <v>17.298507462686569</v>
      </c>
      <c r="P134">
        <f>O120</f>
        <v>7</v>
      </c>
      <c r="AC134" s="50" t="s">
        <v>641</v>
      </c>
      <c r="AD134">
        <f>AD126</f>
        <v>30.5</v>
      </c>
      <c r="AE134">
        <f>AD120</f>
        <v>45</v>
      </c>
      <c r="BB134" s="50" t="s">
        <v>642</v>
      </c>
      <c r="BC134">
        <f>BC126</f>
        <v>9.9253731343283587</v>
      </c>
      <c r="BD134">
        <f>BC120</f>
        <v>0</v>
      </c>
      <c r="BQ134" s="50" t="s">
        <v>643</v>
      </c>
      <c r="BR134">
        <f>BR126</f>
        <v>17.5</v>
      </c>
      <c r="BS134">
        <f>BR120</f>
        <v>32</v>
      </c>
    </row>
    <row r="135" spans="14:81">
      <c r="N135" s="50" t="s">
        <v>644</v>
      </c>
      <c r="O135">
        <f>P126</f>
        <v>20.701492537313431</v>
      </c>
      <c r="P135">
        <f>P120</f>
        <v>31</v>
      </c>
      <c r="AC135" s="50" t="s">
        <v>645</v>
      </c>
      <c r="AD135">
        <f>AE126</f>
        <v>36.5</v>
      </c>
      <c r="AE135">
        <f>AE120</f>
        <v>22</v>
      </c>
      <c r="BB135" s="50" t="s">
        <v>646</v>
      </c>
      <c r="BC135">
        <f>BD126</f>
        <v>28.074626865671643</v>
      </c>
      <c r="BD135">
        <f>BD120</f>
        <v>38</v>
      </c>
      <c r="BQ135" s="50" t="s">
        <v>647</v>
      </c>
      <c r="BR135">
        <f>BS126</f>
        <v>49.5</v>
      </c>
      <c r="BS135">
        <f>BS120</f>
        <v>35</v>
      </c>
    </row>
  </sheetData>
  <mergeCells count="98">
    <mergeCell ref="EF1:EI1"/>
    <mergeCell ref="DV1:DY1"/>
    <mergeCell ref="EA1:ED1"/>
    <mergeCell ref="DV39:DY39"/>
    <mergeCell ref="EA39:ED39"/>
    <mergeCell ref="DV77:DY77"/>
    <mergeCell ref="EA77:ED77"/>
    <mergeCell ref="DB77:DE77"/>
    <mergeCell ref="DG77:DJ77"/>
    <mergeCell ref="DL77:DO77"/>
    <mergeCell ref="DQ77:DT77"/>
    <mergeCell ref="DB1:DE1"/>
    <mergeCell ref="DG1:DJ1"/>
    <mergeCell ref="DL1:DO1"/>
    <mergeCell ref="DQ1:DT1"/>
    <mergeCell ref="DB39:DE39"/>
    <mergeCell ref="DG39:DJ39"/>
    <mergeCell ref="DL39:DO39"/>
    <mergeCell ref="DQ39:DT39"/>
    <mergeCell ref="BV115:BY115"/>
    <mergeCell ref="CA115:CD115"/>
    <mergeCell ref="BN1:BQ1"/>
    <mergeCell ref="BS1:BV1"/>
    <mergeCell ref="BN39:BQ39"/>
    <mergeCell ref="BS39:BV39"/>
    <mergeCell ref="BN77:BQ77"/>
    <mergeCell ref="BS77:BV77"/>
    <mergeCell ref="BX1:CA1"/>
    <mergeCell ref="CC1:CF1"/>
    <mergeCell ref="BX77:CA77"/>
    <mergeCell ref="CC77:CF77"/>
    <mergeCell ref="A115:E115"/>
    <mergeCell ref="G115:K115"/>
    <mergeCell ref="A77:D77"/>
    <mergeCell ref="F77:I77"/>
    <mergeCell ref="K77:N77"/>
    <mergeCell ref="U77:X77"/>
    <mergeCell ref="AY1:BB1"/>
    <mergeCell ref="BD1:BG1"/>
    <mergeCell ref="BI1:BL1"/>
    <mergeCell ref="Z39:AC39"/>
    <mergeCell ref="AE39:AH39"/>
    <mergeCell ref="AJ39:AM39"/>
    <mergeCell ref="AO39:AR39"/>
    <mergeCell ref="AT39:AW39"/>
    <mergeCell ref="AY39:BB39"/>
    <mergeCell ref="AT1:AW1"/>
    <mergeCell ref="AE1:AH1"/>
    <mergeCell ref="AJ1:AM1"/>
    <mergeCell ref="AO1:AR1"/>
    <mergeCell ref="Z1:AC1"/>
    <mergeCell ref="BD39:BG39"/>
    <mergeCell ref="A39:D39"/>
    <mergeCell ref="F39:I39"/>
    <mergeCell ref="K39:N39"/>
    <mergeCell ref="P39:S39"/>
    <mergeCell ref="U39:X39"/>
    <mergeCell ref="A1:D1"/>
    <mergeCell ref="F1:I1"/>
    <mergeCell ref="K1:N1"/>
    <mergeCell ref="P1:S1"/>
    <mergeCell ref="U1:X1"/>
    <mergeCell ref="BI39:BL39"/>
    <mergeCell ref="BD77:BG77"/>
    <mergeCell ref="BI77:BL77"/>
    <mergeCell ref="Z77:AC77"/>
    <mergeCell ref="AE77:AH77"/>
    <mergeCell ref="AJ77:AM77"/>
    <mergeCell ref="AO77:AR77"/>
    <mergeCell ref="AT77:AW77"/>
    <mergeCell ref="CH1:CK1"/>
    <mergeCell ref="CM1:CP1"/>
    <mergeCell ref="BX39:CA39"/>
    <mergeCell ref="CC39:CF39"/>
    <mergeCell ref="CH39:CK39"/>
    <mergeCell ref="CM39:CP39"/>
    <mergeCell ref="CH77:CK77"/>
    <mergeCell ref="CM77:CP77"/>
    <mergeCell ref="N115:Q115"/>
    <mergeCell ref="S115:V115"/>
    <mergeCell ref="X115:AA115"/>
    <mergeCell ref="AC115:AF115"/>
    <mergeCell ref="AH115:AK115"/>
    <mergeCell ref="AM115:AP115"/>
    <mergeCell ref="AR115:AU115"/>
    <mergeCell ref="AW115:AZ115"/>
    <mergeCell ref="BB115:BE115"/>
    <mergeCell ref="BG115:BJ115"/>
    <mergeCell ref="BL115:BO115"/>
    <mergeCell ref="BQ115:BT115"/>
    <mergeCell ref="AY77:BB77"/>
    <mergeCell ref="P77:S77"/>
    <mergeCell ref="CR1:CU1"/>
    <mergeCell ref="CR39:CU39"/>
    <mergeCell ref="CR77:CU77"/>
    <mergeCell ref="CW1:CZ1"/>
    <mergeCell ref="CW39:CZ39"/>
    <mergeCell ref="CW77:CZ77"/>
  </mergeCells>
  <pageMargins left="0.7" right="0.7" top="0.75" bottom="0.75" header="0.3" footer="0.3"/>
  <drawing r:id="rId9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0AE41-DA92-463A-8083-DF941CEA721D}">
  <dimension ref="A1:AU175"/>
  <sheetViews>
    <sheetView workbookViewId="0">
      <pane xSplit="2" ySplit="1" topLeftCell="C144" activePane="bottomRight" state="frozen"/>
      <selection pane="bottomRight" activeCell="B1" sqref="B1:B149"/>
      <selection pane="bottomLeft"/>
      <selection pane="topRight"/>
    </sheetView>
  </sheetViews>
  <sheetFormatPr defaultRowHeight="15"/>
  <cols>
    <col min="1" max="1" width="7.42578125" style="2" customWidth="1"/>
    <col min="2" max="2" width="14.42578125" style="2" customWidth="1"/>
    <col min="3" max="3" width="12.140625" style="2" customWidth="1"/>
    <col min="4" max="4" width="12.5703125" style="2" customWidth="1"/>
    <col min="5" max="8" width="9.140625" style="2"/>
    <col min="9" max="12" width="13.140625" style="2" customWidth="1"/>
    <col min="13" max="15" width="15.140625" style="2" customWidth="1"/>
    <col min="16" max="16" width="19.5703125" style="2" customWidth="1"/>
    <col min="17" max="17" width="40.42578125" style="2" customWidth="1"/>
    <col min="18" max="18" width="11.42578125" style="2" customWidth="1"/>
    <col min="19" max="19" width="12.140625" style="2" customWidth="1"/>
    <col min="20" max="22" width="12.42578125" style="2" customWidth="1"/>
    <col min="23" max="32" width="17.42578125" style="2" customWidth="1"/>
    <col min="33" max="33" width="12.7109375" style="2" customWidth="1"/>
    <col min="34" max="34" width="14.42578125" style="2" customWidth="1"/>
    <col min="35" max="35" width="12.7109375" style="2" customWidth="1"/>
    <col min="36" max="36" width="18.7109375" style="2" customWidth="1"/>
    <col min="37" max="37" width="17" style="2" customWidth="1"/>
    <col min="38" max="39" width="12.140625" style="2" customWidth="1"/>
    <col min="40" max="40" width="13.28515625" style="2" customWidth="1"/>
    <col min="41" max="41" width="17.28515625" style="2" customWidth="1"/>
    <col min="42" max="42" width="9.140625" style="2"/>
    <col min="43" max="43" width="11.28515625" style="2" customWidth="1"/>
    <col min="44" max="44" width="13.85546875" style="2" customWidth="1"/>
    <col min="45" max="45" width="16.42578125" style="2" customWidth="1"/>
    <col min="46" max="46" width="15.5703125" style="2" customWidth="1"/>
    <col min="47" max="47" width="13" style="2" customWidth="1"/>
    <col min="48" max="48" width="67.7109375" style="2" customWidth="1"/>
    <col min="49" max="16384" width="9.140625" style="2"/>
  </cols>
  <sheetData>
    <row r="1" spans="1:47" s="1" customFormat="1" ht="63.75" customHeight="1">
      <c r="A1" s="1" t="s">
        <v>0</v>
      </c>
      <c r="B1" s="3" t="s">
        <v>1</v>
      </c>
      <c r="C1" s="3" t="s">
        <v>2</v>
      </c>
      <c r="D1" s="3" t="s">
        <v>3</v>
      </c>
      <c r="E1" s="3" t="s">
        <v>4</v>
      </c>
      <c r="F1" s="3" t="s">
        <v>5</v>
      </c>
      <c r="G1" s="3" t="s">
        <v>6</v>
      </c>
      <c r="H1" s="1" t="s">
        <v>7</v>
      </c>
      <c r="I1" s="1" t="s">
        <v>8</v>
      </c>
      <c r="J1" s="1" t="s">
        <v>9</v>
      </c>
      <c r="K1" s="1" t="s">
        <v>10</v>
      </c>
      <c r="L1" s="1" t="s">
        <v>11</v>
      </c>
      <c r="M1" s="1" t="s">
        <v>12</v>
      </c>
      <c r="N1" s="1" t="s">
        <v>13</v>
      </c>
      <c r="O1" s="1" t="s">
        <v>14</v>
      </c>
      <c r="P1" s="4" t="s">
        <v>15</v>
      </c>
      <c r="Q1" s="1" t="s">
        <v>16</v>
      </c>
      <c r="R1" s="1" t="s">
        <v>17</v>
      </c>
      <c r="S1" s="1" t="s">
        <v>18</v>
      </c>
      <c r="T1" s="1" t="s">
        <v>19</v>
      </c>
      <c r="U1" s="1" t="s">
        <v>244</v>
      </c>
      <c r="V1" s="1" t="s">
        <v>20</v>
      </c>
      <c r="W1" s="1" t="s">
        <v>21</v>
      </c>
      <c r="X1" s="1" t="s">
        <v>22</v>
      </c>
      <c r="Y1" s="1" t="s">
        <v>23</v>
      </c>
      <c r="Z1" s="1" t="s">
        <v>24</v>
      </c>
      <c r="AA1" s="1" t="s">
        <v>25</v>
      </c>
      <c r="AB1" s="1" t="s">
        <v>26</v>
      </c>
      <c r="AC1" s="1" t="s">
        <v>27</v>
      </c>
      <c r="AD1" s="1" t="s">
        <v>28</v>
      </c>
      <c r="AE1" s="4" t="s">
        <v>29</v>
      </c>
      <c r="AF1" s="1" t="s">
        <v>30</v>
      </c>
      <c r="AG1" s="1" t="s">
        <v>31</v>
      </c>
      <c r="AH1" s="1" t="s">
        <v>32</v>
      </c>
      <c r="AI1" s="1" t="s">
        <v>33</v>
      </c>
      <c r="AJ1" s="1" t="s">
        <v>34</v>
      </c>
      <c r="AK1" s="4" t="s">
        <v>35</v>
      </c>
      <c r="AL1" s="4" t="s">
        <v>36</v>
      </c>
      <c r="AM1" s="1" t="s">
        <v>37</v>
      </c>
      <c r="AN1" s="1" t="s">
        <v>38</v>
      </c>
      <c r="AO1" s="3" t="s">
        <v>39</v>
      </c>
      <c r="AP1" s="3" t="s">
        <v>40</v>
      </c>
      <c r="AQ1" s="1" t="s">
        <v>41</v>
      </c>
      <c r="AR1" s="1" t="s">
        <v>42</v>
      </c>
      <c r="AS1" s="1" t="s">
        <v>43</v>
      </c>
      <c r="AT1" s="1" t="s">
        <v>44</v>
      </c>
      <c r="AU1" s="1" t="s">
        <v>45</v>
      </c>
    </row>
    <row r="2" spans="1:47">
      <c r="A2" s="2">
        <v>1</v>
      </c>
      <c r="B2" s="5">
        <v>45442</v>
      </c>
      <c r="C2" s="5">
        <v>45462</v>
      </c>
      <c r="D2" s="2">
        <f>C2-B2</f>
        <v>20</v>
      </c>
      <c r="E2" s="2">
        <v>85</v>
      </c>
      <c r="F2" s="2">
        <v>1</v>
      </c>
      <c r="G2" s="2">
        <v>2</v>
      </c>
      <c r="H2" s="2">
        <v>1</v>
      </c>
      <c r="I2" s="2">
        <v>0</v>
      </c>
      <c r="J2" s="2">
        <v>1</v>
      </c>
      <c r="K2" s="2">
        <v>1</v>
      </c>
      <c r="L2" s="2">
        <v>0</v>
      </c>
      <c r="M2" s="2">
        <v>0</v>
      </c>
      <c r="N2" s="2">
        <v>1</v>
      </c>
      <c r="O2" s="2" t="s">
        <v>46</v>
      </c>
      <c r="P2" t="s">
        <v>47</v>
      </c>
      <c r="Q2" s="2">
        <v>1</v>
      </c>
      <c r="R2" s="2">
        <v>11</v>
      </c>
      <c r="S2" s="5">
        <v>45442</v>
      </c>
      <c r="T2" s="5">
        <v>45455</v>
      </c>
      <c r="U2" s="28">
        <f>T2-S2</f>
        <v>13</v>
      </c>
      <c r="V2" s="2">
        <v>0</v>
      </c>
      <c r="W2" s="2">
        <v>0</v>
      </c>
      <c r="X2" s="2">
        <v>0</v>
      </c>
      <c r="Y2" s="2">
        <v>0</v>
      </c>
      <c r="Z2" s="2">
        <v>0</v>
      </c>
      <c r="AA2" s="2">
        <v>0</v>
      </c>
      <c r="AB2" s="2">
        <v>0</v>
      </c>
      <c r="AC2" s="2">
        <v>0</v>
      </c>
      <c r="AD2" s="2">
        <v>0</v>
      </c>
      <c r="AE2" s="2">
        <v>1</v>
      </c>
      <c r="AF2" s="2" t="s">
        <v>48</v>
      </c>
      <c r="AG2" s="2">
        <v>1</v>
      </c>
      <c r="AH2" s="2">
        <v>0</v>
      </c>
      <c r="AI2" s="2">
        <v>1</v>
      </c>
      <c r="AJ2" s="2">
        <v>1</v>
      </c>
      <c r="AK2" s="2">
        <v>1</v>
      </c>
      <c r="AL2" s="5">
        <v>45443</v>
      </c>
      <c r="AM2" s="2">
        <v>0</v>
      </c>
      <c r="AN2" s="11">
        <v>0</v>
      </c>
      <c r="AO2" s="2">
        <v>1</v>
      </c>
      <c r="AP2" s="5">
        <v>45446</v>
      </c>
      <c r="AQ2" s="2">
        <v>0</v>
      </c>
      <c r="AR2" s="2">
        <v>0</v>
      </c>
      <c r="AS2" s="2">
        <v>0</v>
      </c>
      <c r="AT2" s="2">
        <v>0</v>
      </c>
      <c r="AU2" s="2" t="s">
        <v>49</v>
      </c>
    </row>
    <row r="3" spans="1:47">
      <c r="A3" s="2">
        <v>2</v>
      </c>
      <c r="B3" s="5">
        <v>45446</v>
      </c>
      <c r="E3" s="2">
        <v>78</v>
      </c>
      <c r="F3" s="2">
        <v>1</v>
      </c>
      <c r="G3" s="2">
        <v>3</v>
      </c>
      <c r="H3" s="2">
        <v>0</v>
      </c>
      <c r="I3" s="2">
        <v>0</v>
      </c>
      <c r="J3" s="2">
        <v>0</v>
      </c>
      <c r="K3" s="2">
        <v>0</v>
      </c>
      <c r="L3" s="2">
        <v>0</v>
      </c>
      <c r="M3" s="2">
        <v>0</v>
      </c>
      <c r="N3" s="2">
        <v>0</v>
      </c>
      <c r="P3" t="s">
        <v>47</v>
      </c>
      <c r="Q3" s="2">
        <v>1</v>
      </c>
      <c r="R3" s="2">
        <v>6</v>
      </c>
      <c r="S3" s="5">
        <v>45446</v>
      </c>
      <c r="T3" s="5">
        <v>45450</v>
      </c>
      <c r="U3" s="28">
        <f t="shared" ref="U3:U66" si="0">T3-S3</f>
        <v>4</v>
      </c>
      <c r="V3" s="2">
        <v>1</v>
      </c>
      <c r="W3" s="2">
        <v>1</v>
      </c>
      <c r="X3" s="2">
        <v>0</v>
      </c>
      <c r="Y3" s="2">
        <v>0</v>
      </c>
      <c r="Z3" s="2">
        <v>0</v>
      </c>
      <c r="AA3" s="2">
        <v>0</v>
      </c>
      <c r="AB3" s="2">
        <v>0</v>
      </c>
      <c r="AC3" s="2">
        <v>0</v>
      </c>
      <c r="AD3" s="2">
        <v>0</v>
      </c>
      <c r="AE3" s="2">
        <v>1</v>
      </c>
      <c r="AF3" s="2" t="s">
        <v>48</v>
      </c>
      <c r="AG3" s="2">
        <v>1</v>
      </c>
      <c r="AH3" s="2">
        <v>1</v>
      </c>
      <c r="AI3" s="2">
        <v>1</v>
      </c>
      <c r="AJ3" s="2">
        <v>1</v>
      </c>
      <c r="AK3" s="2">
        <v>1</v>
      </c>
      <c r="AL3" s="5">
        <v>45448</v>
      </c>
      <c r="AM3" s="2">
        <v>0</v>
      </c>
      <c r="AN3" s="2">
        <v>0</v>
      </c>
      <c r="AO3" s="2">
        <v>0</v>
      </c>
      <c r="AT3" s="2">
        <v>1</v>
      </c>
      <c r="AU3" s="2" t="s">
        <v>50</v>
      </c>
    </row>
    <row r="4" spans="1:47">
      <c r="A4" s="8">
        <v>3</v>
      </c>
      <c r="B4" s="5">
        <v>45448</v>
      </c>
      <c r="C4" s="6">
        <v>45465</v>
      </c>
      <c r="D4" s="2">
        <f t="shared" ref="D4:D63" si="1">C4-B4</f>
        <v>17</v>
      </c>
      <c r="E4" s="2">
        <v>62</v>
      </c>
      <c r="F4" s="2">
        <v>1</v>
      </c>
      <c r="G4" s="2">
        <v>2</v>
      </c>
      <c r="H4" s="2">
        <v>1</v>
      </c>
      <c r="I4" s="2">
        <v>0</v>
      </c>
      <c r="J4" s="2">
        <v>0</v>
      </c>
      <c r="K4" s="2">
        <v>0</v>
      </c>
      <c r="L4" s="2">
        <v>0</v>
      </c>
      <c r="M4" s="2">
        <v>0</v>
      </c>
      <c r="N4" s="2">
        <v>1</v>
      </c>
      <c r="O4" s="2" t="s">
        <v>51</v>
      </c>
      <c r="P4" t="s">
        <v>52</v>
      </c>
      <c r="Q4" s="2">
        <v>1</v>
      </c>
      <c r="R4" s="2">
        <v>5</v>
      </c>
      <c r="S4" s="5">
        <v>45448</v>
      </c>
      <c r="T4" s="5">
        <v>45454</v>
      </c>
      <c r="U4" s="28">
        <f t="shared" si="0"/>
        <v>6</v>
      </c>
      <c r="V4" s="2">
        <v>0</v>
      </c>
      <c r="W4" s="2">
        <v>0</v>
      </c>
      <c r="X4" s="2">
        <v>0</v>
      </c>
      <c r="Y4" s="2">
        <v>0</v>
      </c>
      <c r="Z4" s="2">
        <v>0</v>
      </c>
      <c r="AA4" s="2">
        <v>0</v>
      </c>
      <c r="AB4" s="2">
        <v>0</v>
      </c>
      <c r="AC4" s="2">
        <v>0</v>
      </c>
      <c r="AD4" s="2">
        <v>1</v>
      </c>
      <c r="AE4" s="2">
        <v>1</v>
      </c>
      <c r="AF4" s="2" t="s">
        <v>53</v>
      </c>
      <c r="AG4" s="2">
        <v>0</v>
      </c>
      <c r="AH4" s="2">
        <v>1</v>
      </c>
      <c r="AI4" s="2">
        <v>0</v>
      </c>
      <c r="AJ4" s="2">
        <v>1</v>
      </c>
      <c r="AK4" s="2">
        <v>1</v>
      </c>
      <c r="AL4" s="5">
        <v>45448</v>
      </c>
      <c r="AM4" s="2">
        <v>0</v>
      </c>
      <c r="AN4" s="2">
        <v>0</v>
      </c>
      <c r="AO4" s="2">
        <v>1</v>
      </c>
      <c r="AP4" s="5">
        <v>45455</v>
      </c>
      <c r="AQ4" s="2">
        <v>0</v>
      </c>
      <c r="AR4" s="2">
        <v>1</v>
      </c>
      <c r="AS4" s="2">
        <v>0</v>
      </c>
      <c r="AT4" s="2">
        <v>1</v>
      </c>
      <c r="AU4" s="2" t="s">
        <v>54</v>
      </c>
    </row>
    <row r="5" spans="1:47">
      <c r="A5" s="2">
        <v>4</v>
      </c>
      <c r="B5" s="5">
        <v>45449</v>
      </c>
      <c r="C5" s="5">
        <v>45455</v>
      </c>
      <c r="D5" s="2">
        <f t="shared" si="1"/>
        <v>6</v>
      </c>
      <c r="E5" s="2">
        <v>77</v>
      </c>
      <c r="F5" s="2">
        <v>1</v>
      </c>
      <c r="G5" s="2">
        <v>2</v>
      </c>
      <c r="H5" s="2">
        <v>0</v>
      </c>
      <c r="I5" s="2">
        <v>0</v>
      </c>
      <c r="J5" s="2">
        <v>0</v>
      </c>
      <c r="K5" s="2">
        <v>0</v>
      </c>
      <c r="L5" s="2">
        <v>0</v>
      </c>
      <c r="M5" s="2">
        <v>0</v>
      </c>
      <c r="N5" s="2">
        <v>0</v>
      </c>
      <c r="P5" t="s">
        <v>52</v>
      </c>
      <c r="Q5" s="2">
        <v>1</v>
      </c>
      <c r="R5" s="2">
        <v>2</v>
      </c>
      <c r="S5" s="5">
        <v>45449</v>
      </c>
      <c r="T5" s="5">
        <v>45450</v>
      </c>
      <c r="U5" s="28">
        <f t="shared" si="0"/>
        <v>1</v>
      </c>
      <c r="V5" s="2">
        <v>1</v>
      </c>
      <c r="W5" s="2">
        <v>0</v>
      </c>
      <c r="X5" s="2">
        <v>0</v>
      </c>
      <c r="Y5" s="2">
        <v>0</v>
      </c>
      <c r="Z5" s="2">
        <v>0</v>
      </c>
      <c r="AA5" s="2">
        <v>0</v>
      </c>
      <c r="AB5" s="2">
        <v>0</v>
      </c>
      <c r="AC5" s="2">
        <v>1</v>
      </c>
      <c r="AD5" s="2">
        <v>1</v>
      </c>
      <c r="AE5" s="2">
        <v>1</v>
      </c>
      <c r="AF5" s="2" t="s">
        <v>55</v>
      </c>
      <c r="AG5" s="2">
        <v>0</v>
      </c>
      <c r="AH5" s="2">
        <v>1</v>
      </c>
      <c r="AI5" s="2">
        <v>1</v>
      </c>
      <c r="AJ5" s="2">
        <v>1</v>
      </c>
      <c r="AK5" s="2">
        <v>1</v>
      </c>
      <c r="AL5" s="5">
        <v>45450</v>
      </c>
      <c r="AM5" s="2">
        <v>0</v>
      </c>
      <c r="AN5" s="2">
        <v>0</v>
      </c>
      <c r="AO5" s="2">
        <v>1</v>
      </c>
      <c r="AP5" s="5">
        <v>45453</v>
      </c>
      <c r="AQ5" s="2">
        <v>0</v>
      </c>
      <c r="AR5" s="2">
        <v>0</v>
      </c>
      <c r="AS5" s="2">
        <v>0</v>
      </c>
      <c r="AT5" s="2">
        <v>0</v>
      </c>
      <c r="AU5" s="2" t="s">
        <v>56</v>
      </c>
    </row>
    <row r="6" spans="1:47">
      <c r="A6" s="8">
        <v>5</v>
      </c>
      <c r="B6" s="5">
        <v>45453</v>
      </c>
      <c r="C6" s="6">
        <v>45456</v>
      </c>
      <c r="D6" s="2">
        <f t="shared" si="1"/>
        <v>3</v>
      </c>
      <c r="E6" s="2">
        <v>71</v>
      </c>
      <c r="F6" s="2">
        <v>1</v>
      </c>
      <c r="G6" s="2">
        <v>2</v>
      </c>
      <c r="H6" s="2">
        <v>1</v>
      </c>
      <c r="I6" s="2">
        <v>0</v>
      </c>
      <c r="J6" s="2">
        <v>0</v>
      </c>
      <c r="K6" s="2">
        <v>0</v>
      </c>
      <c r="L6" s="2">
        <v>1</v>
      </c>
      <c r="M6" s="2">
        <v>1</v>
      </c>
      <c r="N6" s="2">
        <v>1</v>
      </c>
      <c r="O6" s="2" t="s">
        <v>57</v>
      </c>
      <c r="P6" t="s">
        <v>52</v>
      </c>
      <c r="Q6" s="2">
        <v>1</v>
      </c>
      <c r="R6" s="2">
        <v>2</v>
      </c>
      <c r="S6" s="5">
        <v>45453</v>
      </c>
      <c r="T6" s="5">
        <v>45454</v>
      </c>
      <c r="U6" s="28">
        <f t="shared" si="0"/>
        <v>1</v>
      </c>
      <c r="V6" s="2">
        <v>1</v>
      </c>
      <c r="W6" s="2">
        <v>0</v>
      </c>
      <c r="X6" s="2">
        <v>0</v>
      </c>
      <c r="Y6" s="2">
        <v>0</v>
      </c>
      <c r="Z6" s="2">
        <v>1</v>
      </c>
      <c r="AA6" s="2">
        <v>0</v>
      </c>
      <c r="AB6" s="2">
        <v>0</v>
      </c>
      <c r="AC6" s="2">
        <v>0</v>
      </c>
      <c r="AD6" s="2">
        <v>0</v>
      </c>
      <c r="AE6" s="2">
        <v>1</v>
      </c>
      <c r="AF6" s="2" t="s">
        <v>58</v>
      </c>
      <c r="AG6" s="2">
        <v>1</v>
      </c>
      <c r="AH6" s="2">
        <v>1</v>
      </c>
      <c r="AI6" s="2">
        <v>1</v>
      </c>
      <c r="AJ6" s="2">
        <v>0</v>
      </c>
      <c r="AK6" s="2">
        <v>1</v>
      </c>
      <c r="AL6" s="5">
        <v>45454</v>
      </c>
      <c r="AM6" s="2">
        <v>1</v>
      </c>
      <c r="AN6" s="2">
        <v>1</v>
      </c>
      <c r="AO6" s="2">
        <v>0</v>
      </c>
      <c r="AT6" s="2">
        <v>1</v>
      </c>
      <c r="AU6" s="2" t="s">
        <v>59</v>
      </c>
    </row>
    <row r="7" spans="1:47">
      <c r="A7" s="8">
        <v>6</v>
      </c>
      <c r="B7" s="5">
        <v>45454</v>
      </c>
      <c r="C7" s="6">
        <v>45465</v>
      </c>
      <c r="D7" s="2">
        <f t="shared" si="1"/>
        <v>11</v>
      </c>
      <c r="E7" s="2">
        <v>81</v>
      </c>
      <c r="F7" s="2">
        <v>1</v>
      </c>
      <c r="G7" s="2">
        <v>2</v>
      </c>
      <c r="H7" s="2">
        <v>1</v>
      </c>
      <c r="I7" s="2">
        <v>0</v>
      </c>
      <c r="J7" s="2">
        <v>0</v>
      </c>
      <c r="K7" s="2">
        <v>0</v>
      </c>
      <c r="L7" s="2">
        <v>0</v>
      </c>
      <c r="M7" s="2">
        <v>0</v>
      </c>
      <c r="N7" s="2">
        <v>1</v>
      </c>
      <c r="O7" s="2" t="s">
        <v>60</v>
      </c>
      <c r="P7" t="s">
        <v>52</v>
      </c>
      <c r="Q7" s="2">
        <v>1</v>
      </c>
      <c r="R7" s="2">
        <v>4</v>
      </c>
      <c r="S7" s="5">
        <v>45454</v>
      </c>
      <c r="T7" s="5">
        <v>45458</v>
      </c>
      <c r="U7" s="28">
        <f t="shared" si="0"/>
        <v>4</v>
      </c>
      <c r="V7" s="2">
        <v>1</v>
      </c>
      <c r="W7" s="2">
        <v>0</v>
      </c>
      <c r="X7" s="2">
        <v>1</v>
      </c>
      <c r="Y7" s="2">
        <v>0</v>
      </c>
      <c r="Z7" s="2">
        <v>0</v>
      </c>
      <c r="AA7" s="2">
        <v>1</v>
      </c>
      <c r="AB7" s="2">
        <v>0</v>
      </c>
      <c r="AC7" s="2">
        <v>0</v>
      </c>
      <c r="AD7" s="2">
        <v>0</v>
      </c>
      <c r="AE7" s="2">
        <v>1</v>
      </c>
      <c r="AF7" s="2" t="s">
        <v>61</v>
      </c>
      <c r="AG7" s="2">
        <v>0</v>
      </c>
      <c r="AH7" s="2">
        <v>1</v>
      </c>
      <c r="AI7" s="2">
        <v>1</v>
      </c>
      <c r="AJ7" s="2">
        <v>0</v>
      </c>
      <c r="AK7" s="2">
        <v>1</v>
      </c>
      <c r="AL7" s="5">
        <v>45455</v>
      </c>
      <c r="AM7" s="2">
        <v>0</v>
      </c>
      <c r="AN7" s="2">
        <v>0</v>
      </c>
      <c r="AO7" s="2">
        <v>0</v>
      </c>
      <c r="AT7" s="2">
        <v>1</v>
      </c>
      <c r="AU7" s="2" t="s">
        <v>62</v>
      </c>
    </row>
    <row r="8" spans="1:47">
      <c r="A8" s="8">
        <v>7</v>
      </c>
      <c r="B8" s="5">
        <v>45453</v>
      </c>
      <c r="C8" s="6">
        <v>45485</v>
      </c>
      <c r="D8" s="2">
        <f t="shared" si="1"/>
        <v>32</v>
      </c>
      <c r="E8" s="2">
        <v>45</v>
      </c>
      <c r="F8" s="2">
        <v>2</v>
      </c>
      <c r="G8" s="2">
        <v>2</v>
      </c>
      <c r="H8" s="2">
        <v>0</v>
      </c>
      <c r="I8" s="2">
        <v>0</v>
      </c>
      <c r="J8" s="2">
        <v>0</v>
      </c>
      <c r="K8" s="2">
        <v>0</v>
      </c>
      <c r="L8" s="2">
        <v>0</v>
      </c>
      <c r="M8" s="2">
        <v>0</v>
      </c>
      <c r="N8" s="2">
        <v>0</v>
      </c>
      <c r="P8" t="s">
        <v>52</v>
      </c>
      <c r="Q8" s="2">
        <v>0</v>
      </c>
      <c r="R8" s="2">
        <v>1</v>
      </c>
      <c r="S8" s="5">
        <v>45455</v>
      </c>
      <c r="T8" s="5">
        <v>45455</v>
      </c>
      <c r="U8" s="28">
        <f t="shared" si="0"/>
        <v>0</v>
      </c>
      <c r="V8" s="2">
        <v>0</v>
      </c>
      <c r="W8" s="2">
        <v>0</v>
      </c>
      <c r="X8" s="2">
        <v>0</v>
      </c>
      <c r="Y8" s="2">
        <v>0</v>
      </c>
      <c r="Z8" s="2">
        <v>0</v>
      </c>
      <c r="AA8" s="2">
        <v>0</v>
      </c>
      <c r="AB8" s="2">
        <v>0</v>
      </c>
      <c r="AC8" s="2">
        <v>0</v>
      </c>
      <c r="AD8" s="2">
        <v>0</v>
      </c>
      <c r="AE8" s="2">
        <v>1</v>
      </c>
      <c r="AF8" s="2" t="s">
        <v>55</v>
      </c>
      <c r="AG8" s="2">
        <v>1</v>
      </c>
      <c r="AH8" s="2">
        <v>0</v>
      </c>
      <c r="AI8" s="2">
        <v>1</v>
      </c>
      <c r="AJ8" s="2">
        <v>1</v>
      </c>
      <c r="AK8" s="2">
        <v>1</v>
      </c>
      <c r="AL8" s="5">
        <v>45457</v>
      </c>
      <c r="AM8" s="2">
        <v>0</v>
      </c>
      <c r="AN8" s="2">
        <v>0</v>
      </c>
      <c r="AO8" s="2">
        <v>0</v>
      </c>
      <c r="AT8" s="2">
        <v>1</v>
      </c>
      <c r="AU8" s="2" t="s">
        <v>62</v>
      </c>
    </row>
    <row r="9" spans="1:47">
      <c r="A9" s="2">
        <v>8</v>
      </c>
      <c r="B9" s="5">
        <v>45456</v>
      </c>
      <c r="C9" s="5">
        <v>45466</v>
      </c>
      <c r="D9" s="2">
        <f t="shared" si="1"/>
        <v>10</v>
      </c>
      <c r="E9" s="2">
        <v>60</v>
      </c>
      <c r="F9" s="2">
        <v>1</v>
      </c>
      <c r="G9" s="2">
        <v>3</v>
      </c>
      <c r="H9" s="2">
        <v>1</v>
      </c>
      <c r="I9" s="2">
        <v>0</v>
      </c>
      <c r="J9" s="2">
        <v>0</v>
      </c>
      <c r="K9" s="2">
        <v>0</v>
      </c>
      <c r="L9" s="2">
        <v>0</v>
      </c>
      <c r="M9" s="2">
        <v>0</v>
      </c>
      <c r="N9" s="2">
        <v>1</v>
      </c>
      <c r="O9" s="2" t="s">
        <v>63</v>
      </c>
      <c r="P9" t="s">
        <v>52</v>
      </c>
      <c r="Q9" s="2">
        <v>1</v>
      </c>
      <c r="R9" s="2">
        <v>2</v>
      </c>
      <c r="S9" s="5">
        <v>45456</v>
      </c>
      <c r="T9" s="5">
        <v>45457</v>
      </c>
      <c r="U9" s="28">
        <f t="shared" si="0"/>
        <v>1</v>
      </c>
      <c r="V9" s="2">
        <v>1</v>
      </c>
      <c r="W9" s="2">
        <v>0</v>
      </c>
      <c r="X9" s="2">
        <v>0</v>
      </c>
      <c r="Y9" s="2">
        <v>0</v>
      </c>
      <c r="Z9" s="2">
        <v>1</v>
      </c>
      <c r="AA9" s="2">
        <v>0</v>
      </c>
      <c r="AB9" s="2">
        <v>0</v>
      </c>
      <c r="AC9" s="2">
        <v>0</v>
      </c>
      <c r="AD9" s="2">
        <v>0</v>
      </c>
      <c r="AE9" s="2">
        <v>1</v>
      </c>
      <c r="AF9" s="2" t="s">
        <v>55</v>
      </c>
      <c r="AG9" s="2">
        <v>1</v>
      </c>
      <c r="AH9" s="2">
        <v>1</v>
      </c>
      <c r="AI9" s="2">
        <v>1</v>
      </c>
      <c r="AJ9" s="2">
        <v>1</v>
      </c>
      <c r="AK9" s="2">
        <v>1</v>
      </c>
      <c r="AL9" s="5">
        <v>45457</v>
      </c>
      <c r="AM9" s="2">
        <v>0</v>
      </c>
      <c r="AN9" s="2">
        <v>0</v>
      </c>
      <c r="AO9" s="2">
        <v>0</v>
      </c>
      <c r="AT9" s="2">
        <v>0</v>
      </c>
    </row>
    <row r="10" spans="1:47">
      <c r="A10" s="2">
        <v>9</v>
      </c>
      <c r="B10" s="5">
        <v>45458</v>
      </c>
      <c r="C10" s="5">
        <v>45470</v>
      </c>
      <c r="D10" s="2">
        <f t="shared" si="1"/>
        <v>12</v>
      </c>
      <c r="E10" s="2">
        <v>64</v>
      </c>
      <c r="F10" s="2">
        <v>2</v>
      </c>
      <c r="G10" s="2">
        <v>2</v>
      </c>
      <c r="H10" s="2">
        <v>1</v>
      </c>
      <c r="I10" s="2">
        <v>0</v>
      </c>
      <c r="J10" s="2">
        <v>0</v>
      </c>
      <c r="K10" s="2">
        <v>0</v>
      </c>
      <c r="L10" s="2">
        <v>1</v>
      </c>
      <c r="M10" s="2">
        <v>0</v>
      </c>
      <c r="N10" s="2">
        <v>0</v>
      </c>
      <c r="P10" t="s">
        <v>52</v>
      </c>
      <c r="Q10" s="2">
        <v>1</v>
      </c>
      <c r="R10" s="2">
        <v>2</v>
      </c>
      <c r="S10" s="5">
        <v>45463</v>
      </c>
      <c r="T10" s="5">
        <v>45464</v>
      </c>
      <c r="U10" s="28">
        <f t="shared" si="0"/>
        <v>1</v>
      </c>
      <c r="V10" s="2">
        <v>1</v>
      </c>
      <c r="W10" s="2">
        <v>0</v>
      </c>
      <c r="X10" s="2">
        <v>1</v>
      </c>
      <c r="Y10" s="2">
        <v>0</v>
      </c>
      <c r="Z10" s="2">
        <v>0</v>
      </c>
      <c r="AA10" s="2">
        <v>0</v>
      </c>
      <c r="AB10" s="2">
        <v>0</v>
      </c>
      <c r="AC10" s="2">
        <v>0</v>
      </c>
      <c r="AD10" s="2">
        <v>0</v>
      </c>
      <c r="AE10" s="2">
        <v>1</v>
      </c>
      <c r="AF10" s="2" t="s">
        <v>55</v>
      </c>
      <c r="AG10" s="2">
        <v>1</v>
      </c>
      <c r="AH10" s="2">
        <v>1</v>
      </c>
      <c r="AI10" s="2">
        <v>1</v>
      </c>
      <c r="AJ10" s="2">
        <v>1</v>
      </c>
      <c r="AK10" s="2">
        <v>1</v>
      </c>
      <c r="AL10" s="5">
        <v>45467</v>
      </c>
      <c r="AM10" s="2">
        <v>0</v>
      </c>
      <c r="AN10" s="2">
        <v>0</v>
      </c>
      <c r="AO10" s="2">
        <v>0</v>
      </c>
      <c r="AT10" s="2">
        <v>0</v>
      </c>
      <c r="AU10" s="2" t="s">
        <v>64</v>
      </c>
    </row>
    <row r="11" spans="1:47">
      <c r="A11" s="7">
        <v>10</v>
      </c>
      <c r="B11" s="5">
        <v>45468</v>
      </c>
      <c r="C11" s="5">
        <v>45475</v>
      </c>
      <c r="D11" s="2">
        <f t="shared" si="1"/>
        <v>7</v>
      </c>
      <c r="E11" s="2">
        <v>46</v>
      </c>
      <c r="F11" s="2">
        <v>1</v>
      </c>
      <c r="G11" s="2">
        <v>2</v>
      </c>
      <c r="H11" s="2">
        <v>1</v>
      </c>
      <c r="I11" s="2">
        <v>1</v>
      </c>
      <c r="J11" s="2">
        <v>0</v>
      </c>
      <c r="K11" s="2">
        <v>0</v>
      </c>
      <c r="L11" s="2">
        <v>1</v>
      </c>
      <c r="M11" s="2">
        <v>1</v>
      </c>
      <c r="N11" s="2">
        <v>1</v>
      </c>
      <c r="O11" s="2" t="s">
        <v>65</v>
      </c>
      <c r="P11" t="s">
        <v>47</v>
      </c>
      <c r="Q11" s="2">
        <v>1</v>
      </c>
      <c r="R11" s="2">
        <v>5</v>
      </c>
      <c r="S11" s="5">
        <v>45468</v>
      </c>
      <c r="T11" s="5">
        <v>45473</v>
      </c>
      <c r="U11" s="28">
        <f t="shared" si="0"/>
        <v>5</v>
      </c>
      <c r="V11" s="2">
        <v>1</v>
      </c>
      <c r="W11" s="2">
        <v>1</v>
      </c>
      <c r="X11" s="2">
        <v>1</v>
      </c>
      <c r="Y11" s="2">
        <v>0</v>
      </c>
      <c r="Z11" s="2">
        <v>1</v>
      </c>
      <c r="AA11" s="2">
        <v>0</v>
      </c>
      <c r="AB11" s="2">
        <v>0</v>
      </c>
      <c r="AC11" s="2">
        <v>0</v>
      </c>
      <c r="AD11" s="2">
        <v>0</v>
      </c>
      <c r="AE11" s="2">
        <v>1</v>
      </c>
      <c r="AF11" s="2" t="s">
        <v>48</v>
      </c>
      <c r="AG11" s="2">
        <v>1</v>
      </c>
      <c r="AH11" s="2">
        <v>1</v>
      </c>
      <c r="AI11" s="2">
        <v>1</v>
      </c>
      <c r="AJ11" s="2">
        <v>1</v>
      </c>
      <c r="AK11" s="2">
        <v>1</v>
      </c>
      <c r="AL11" s="5">
        <v>45468</v>
      </c>
      <c r="AM11" s="2">
        <v>1</v>
      </c>
      <c r="AN11" s="2">
        <v>1</v>
      </c>
      <c r="AO11" s="2">
        <v>0</v>
      </c>
      <c r="AT11" s="2">
        <v>0</v>
      </c>
      <c r="AU11" s="2" t="s">
        <v>66</v>
      </c>
    </row>
    <row r="12" spans="1:47">
      <c r="A12" s="2">
        <v>11</v>
      </c>
      <c r="B12" s="5">
        <v>45470</v>
      </c>
      <c r="C12" s="5">
        <v>45501</v>
      </c>
      <c r="D12" s="2">
        <f t="shared" si="1"/>
        <v>31</v>
      </c>
      <c r="E12" s="2">
        <v>74</v>
      </c>
      <c r="F12" s="2">
        <v>1</v>
      </c>
      <c r="G12" s="2">
        <v>2</v>
      </c>
      <c r="H12" s="2">
        <v>1</v>
      </c>
      <c r="I12" s="2">
        <v>0</v>
      </c>
      <c r="J12" s="2">
        <v>0</v>
      </c>
      <c r="K12" s="2">
        <v>0</v>
      </c>
      <c r="L12" s="2">
        <v>0</v>
      </c>
      <c r="M12" s="2">
        <v>0</v>
      </c>
      <c r="N12" s="2">
        <v>1</v>
      </c>
      <c r="O12" s="2" t="s">
        <v>67</v>
      </c>
      <c r="P12" t="s">
        <v>52</v>
      </c>
      <c r="Q12" s="2">
        <v>0</v>
      </c>
      <c r="R12" s="2">
        <v>1</v>
      </c>
      <c r="S12" s="5">
        <v>45470</v>
      </c>
      <c r="T12" s="5">
        <v>45470</v>
      </c>
      <c r="U12" s="28">
        <f t="shared" si="0"/>
        <v>0</v>
      </c>
      <c r="V12" s="2">
        <v>1</v>
      </c>
      <c r="W12" s="2">
        <v>0</v>
      </c>
      <c r="X12" s="2">
        <v>1</v>
      </c>
      <c r="Y12" s="2">
        <v>0</v>
      </c>
      <c r="Z12" s="2">
        <v>0</v>
      </c>
      <c r="AA12" s="2">
        <v>0</v>
      </c>
      <c r="AB12" s="2">
        <v>1</v>
      </c>
      <c r="AC12" s="2">
        <v>0</v>
      </c>
      <c r="AD12" s="2">
        <v>0</v>
      </c>
      <c r="AE12" s="2">
        <v>1</v>
      </c>
      <c r="AF12" s="2" t="s">
        <v>68</v>
      </c>
      <c r="AG12" s="2">
        <v>0</v>
      </c>
      <c r="AH12" s="2">
        <v>1</v>
      </c>
      <c r="AI12" s="2">
        <v>1</v>
      </c>
      <c r="AJ12" s="2">
        <v>0</v>
      </c>
      <c r="AK12" s="2">
        <v>1</v>
      </c>
      <c r="AL12" s="5">
        <v>45471</v>
      </c>
      <c r="AM12" s="2">
        <v>0</v>
      </c>
      <c r="AN12" s="2">
        <v>1</v>
      </c>
      <c r="AO12" s="2">
        <v>0</v>
      </c>
      <c r="AT12" s="2">
        <v>1</v>
      </c>
      <c r="AU12" s="2" t="s">
        <v>69</v>
      </c>
    </row>
    <row r="13" spans="1:47">
      <c r="A13" s="2">
        <v>12</v>
      </c>
      <c r="B13" s="5">
        <v>45413</v>
      </c>
      <c r="C13" s="5">
        <v>45423</v>
      </c>
      <c r="D13" s="2">
        <f t="shared" si="1"/>
        <v>10</v>
      </c>
      <c r="E13" s="2">
        <v>70</v>
      </c>
      <c r="F13" s="2">
        <v>1</v>
      </c>
      <c r="G13" s="2">
        <v>5</v>
      </c>
      <c r="H13" s="2">
        <v>1</v>
      </c>
      <c r="I13" s="2">
        <v>0</v>
      </c>
      <c r="J13" s="2">
        <v>0</v>
      </c>
      <c r="K13" s="2">
        <v>0</v>
      </c>
      <c r="L13" s="2">
        <v>1</v>
      </c>
      <c r="M13" s="2">
        <v>0</v>
      </c>
      <c r="N13" s="2">
        <v>1</v>
      </c>
      <c r="O13" s="2" t="s">
        <v>70</v>
      </c>
      <c r="P13" t="s">
        <v>52</v>
      </c>
      <c r="Q13" s="2">
        <v>1</v>
      </c>
      <c r="R13" s="2">
        <v>2</v>
      </c>
      <c r="S13" s="5">
        <v>45413</v>
      </c>
      <c r="T13" s="5">
        <v>45415</v>
      </c>
      <c r="U13" s="28">
        <f t="shared" si="0"/>
        <v>2</v>
      </c>
      <c r="V13" s="2">
        <v>1</v>
      </c>
      <c r="W13" s="2">
        <v>0</v>
      </c>
      <c r="X13" s="2">
        <v>0</v>
      </c>
      <c r="Y13" s="2">
        <v>1</v>
      </c>
      <c r="Z13" s="2">
        <v>0</v>
      </c>
      <c r="AA13" s="2">
        <v>0</v>
      </c>
      <c r="AB13" s="2">
        <v>0</v>
      </c>
      <c r="AC13" s="2">
        <v>0</v>
      </c>
      <c r="AD13" s="2">
        <v>0</v>
      </c>
      <c r="AE13" s="2">
        <v>1</v>
      </c>
      <c r="AF13" s="2" t="s">
        <v>55</v>
      </c>
      <c r="AG13" s="2">
        <v>1</v>
      </c>
      <c r="AH13" s="2">
        <v>1</v>
      </c>
      <c r="AI13" s="2">
        <v>1</v>
      </c>
      <c r="AJ13" s="2">
        <v>1</v>
      </c>
      <c r="AK13" s="2">
        <v>1</v>
      </c>
      <c r="AL13" s="5">
        <v>45419</v>
      </c>
      <c r="AM13" s="2">
        <v>0</v>
      </c>
      <c r="AN13" s="2">
        <v>1</v>
      </c>
      <c r="AO13" s="2">
        <v>0</v>
      </c>
      <c r="AT13" s="2">
        <v>0</v>
      </c>
      <c r="AU13" s="2" t="s">
        <v>71</v>
      </c>
    </row>
    <row r="14" spans="1:47">
      <c r="A14" s="2">
        <v>13</v>
      </c>
      <c r="B14" s="5">
        <v>45414</v>
      </c>
      <c r="C14" s="5">
        <v>45436</v>
      </c>
      <c r="D14" s="2">
        <f t="shared" si="1"/>
        <v>22</v>
      </c>
      <c r="E14" s="2">
        <v>91</v>
      </c>
      <c r="F14" s="2">
        <v>2</v>
      </c>
      <c r="G14" s="2">
        <v>2</v>
      </c>
      <c r="H14" s="2">
        <v>1</v>
      </c>
      <c r="I14" s="2">
        <v>0</v>
      </c>
      <c r="J14" s="2">
        <v>0</v>
      </c>
      <c r="K14" s="2">
        <v>0</v>
      </c>
      <c r="L14" s="2">
        <v>0</v>
      </c>
      <c r="M14" s="2">
        <v>0</v>
      </c>
      <c r="N14" s="2">
        <v>1</v>
      </c>
      <c r="O14" s="2" t="s">
        <v>72</v>
      </c>
      <c r="P14" t="s">
        <v>52</v>
      </c>
      <c r="Q14" s="2">
        <v>1</v>
      </c>
      <c r="R14" s="2">
        <v>2</v>
      </c>
      <c r="S14" s="5">
        <v>45414</v>
      </c>
      <c r="T14" s="5">
        <v>45415</v>
      </c>
      <c r="U14" s="28">
        <f t="shared" si="0"/>
        <v>1</v>
      </c>
      <c r="V14" s="2">
        <v>1</v>
      </c>
      <c r="W14" s="2">
        <v>0</v>
      </c>
      <c r="X14" s="2">
        <v>0</v>
      </c>
      <c r="Y14" s="2">
        <v>0</v>
      </c>
      <c r="Z14" s="2">
        <v>1</v>
      </c>
      <c r="AA14" s="2">
        <v>0</v>
      </c>
      <c r="AB14" s="2">
        <v>0</v>
      </c>
      <c r="AC14" s="2">
        <v>0</v>
      </c>
      <c r="AD14" s="2">
        <v>0</v>
      </c>
      <c r="AE14" s="2">
        <v>1</v>
      </c>
      <c r="AF14" s="2" t="s">
        <v>55</v>
      </c>
      <c r="AG14" s="11">
        <v>1</v>
      </c>
      <c r="AH14" s="2">
        <v>1</v>
      </c>
      <c r="AI14" s="2">
        <v>1</v>
      </c>
      <c r="AJ14" s="2">
        <v>1</v>
      </c>
      <c r="AK14" s="2">
        <v>1</v>
      </c>
      <c r="AL14" s="5">
        <v>45418</v>
      </c>
      <c r="AM14" s="2">
        <v>0</v>
      </c>
      <c r="AN14" s="2">
        <v>0</v>
      </c>
      <c r="AO14" s="2">
        <v>0</v>
      </c>
      <c r="AT14" s="2">
        <v>0</v>
      </c>
      <c r="AU14" s="2" t="s">
        <v>73</v>
      </c>
    </row>
    <row r="15" spans="1:47" s="8" customFormat="1">
      <c r="A15" s="8">
        <v>14</v>
      </c>
      <c r="B15" s="6">
        <v>45419</v>
      </c>
      <c r="C15" s="6">
        <v>45420</v>
      </c>
      <c r="D15" s="8">
        <f t="shared" si="1"/>
        <v>1</v>
      </c>
      <c r="E15" s="8">
        <v>79</v>
      </c>
      <c r="F15" s="8">
        <v>2</v>
      </c>
      <c r="G15" s="8">
        <v>2</v>
      </c>
      <c r="H15" s="8">
        <v>0</v>
      </c>
      <c r="I15" s="8">
        <v>0</v>
      </c>
      <c r="J15" s="8">
        <v>0</v>
      </c>
      <c r="K15" s="8">
        <v>0</v>
      </c>
      <c r="L15" s="8">
        <v>0</v>
      </c>
      <c r="M15" s="8">
        <v>0</v>
      </c>
      <c r="N15" s="8">
        <v>0</v>
      </c>
      <c r="P15" s="9" t="s">
        <v>52</v>
      </c>
      <c r="Q15" s="8">
        <v>0</v>
      </c>
      <c r="R15" s="8">
        <v>1</v>
      </c>
      <c r="S15" s="6">
        <v>45419</v>
      </c>
      <c r="T15" s="6">
        <v>45419</v>
      </c>
      <c r="U15" s="29">
        <f t="shared" si="0"/>
        <v>0</v>
      </c>
      <c r="V15" s="8">
        <v>1</v>
      </c>
      <c r="W15" s="8">
        <v>0</v>
      </c>
      <c r="X15" s="8">
        <v>0</v>
      </c>
      <c r="Y15" s="8">
        <v>0</v>
      </c>
      <c r="Z15" s="8">
        <v>0</v>
      </c>
      <c r="AA15" s="8">
        <v>1</v>
      </c>
      <c r="AB15" s="8">
        <v>0</v>
      </c>
      <c r="AC15" s="8">
        <v>0</v>
      </c>
      <c r="AD15" s="8">
        <v>0</v>
      </c>
      <c r="AE15" s="8">
        <v>0</v>
      </c>
      <c r="AK15" s="8">
        <v>0</v>
      </c>
      <c r="AT15" s="8">
        <v>0</v>
      </c>
      <c r="AU15" s="8" t="s">
        <v>74</v>
      </c>
    </row>
    <row r="16" spans="1:47">
      <c r="A16" s="2">
        <v>15</v>
      </c>
      <c r="B16" s="5">
        <v>45419</v>
      </c>
      <c r="C16" s="5">
        <v>45433</v>
      </c>
      <c r="D16" s="2">
        <f t="shared" si="1"/>
        <v>14</v>
      </c>
      <c r="E16" s="2">
        <v>71</v>
      </c>
      <c r="F16" s="2">
        <v>2</v>
      </c>
      <c r="G16" s="2">
        <v>2</v>
      </c>
      <c r="H16" s="2">
        <v>1</v>
      </c>
      <c r="I16" s="2">
        <v>0</v>
      </c>
      <c r="J16" s="2">
        <v>0</v>
      </c>
      <c r="K16" s="2">
        <v>0</v>
      </c>
      <c r="L16" s="2">
        <v>1</v>
      </c>
      <c r="M16" s="2">
        <v>0</v>
      </c>
      <c r="N16" s="2">
        <v>0</v>
      </c>
      <c r="P16" t="s">
        <v>52</v>
      </c>
      <c r="Q16" s="2">
        <v>1</v>
      </c>
      <c r="R16" s="2">
        <v>3</v>
      </c>
      <c r="S16" s="5">
        <v>45419</v>
      </c>
      <c r="T16" s="5">
        <v>45422</v>
      </c>
      <c r="U16" s="28">
        <f t="shared" si="0"/>
        <v>3</v>
      </c>
      <c r="V16" s="2">
        <v>1</v>
      </c>
      <c r="W16" s="2">
        <v>0</v>
      </c>
      <c r="X16" s="2">
        <v>1</v>
      </c>
      <c r="Y16" s="2">
        <v>1</v>
      </c>
      <c r="Z16" s="2">
        <v>0</v>
      </c>
      <c r="AA16" s="2">
        <v>0</v>
      </c>
      <c r="AB16" s="2">
        <v>0</v>
      </c>
      <c r="AC16" s="2">
        <v>0</v>
      </c>
      <c r="AD16" s="2">
        <v>0</v>
      </c>
      <c r="AE16" s="2">
        <v>1</v>
      </c>
      <c r="AF16" s="2" t="s">
        <v>55</v>
      </c>
      <c r="AG16" s="2">
        <v>1</v>
      </c>
      <c r="AH16" s="2">
        <v>1</v>
      </c>
      <c r="AI16" s="2">
        <v>0</v>
      </c>
      <c r="AJ16" s="2">
        <v>1</v>
      </c>
      <c r="AK16" s="2">
        <v>1</v>
      </c>
      <c r="AL16" s="5">
        <v>45420</v>
      </c>
      <c r="AM16" s="2">
        <v>0</v>
      </c>
      <c r="AN16" s="2">
        <v>0</v>
      </c>
      <c r="AO16" s="2">
        <v>0</v>
      </c>
      <c r="AT16" s="2">
        <v>0</v>
      </c>
      <c r="AU16" s="2" t="s">
        <v>75</v>
      </c>
    </row>
    <row r="17" spans="1:47">
      <c r="A17" s="2">
        <v>16</v>
      </c>
      <c r="B17" s="5">
        <v>45420</v>
      </c>
      <c r="C17" s="5">
        <v>45432</v>
      </c>
      <c r="D17" s="2">
        <f t="shared" si="1"/>
        <v>12</v>
      </c>
      <c r="E17" s="2">
        <v>77</v>
      </c>
      <c r="F17" s="2">
        <v>1</v>
      </c>
      <c r="G17" s="2">
        <v>2</v>
      </c>
      <c r="H17" s="2">
        <v>1</v>
      </c>
      <c r="I17" s="2">
        <v>0</v>
      </c>
      <c r="J17" s="2">
        <v>0</v>
      </c>
      <c r="K17" s="2">
        <v>0</v>
      </c>
      <c r="L17" s="2">
        <v>0</v>
      </c>
      <c r="M17" s="2">
        <v>0</v>
      </c>
      <c r="N17" s="2">
        <v>1</v>
      </c>
      <c r="O17" s="10" t="s">
        <v>76</v>
      </c>
      <c r="P17" t="s">
        <v>52</v>
      </c>
      <c r="Q17" s="2">
        <v>0</v>
      </c>
      <c r="R17" s="2">
        <v>1</v>
      </c>
      <c r="S17" s="5">
        <v>45420</v>
      </c>
      <c r="T17" s="5">
        <v>45420</v>
      </c>
      <c r="U17" s="28">
        <f t="shared" si="0"/>
        <v>0</v>
      </c>
      <c r="V17" s="2">
        <v>1</v>
      </c>
      <c r="W17" s="2">
        <v>0</v>
      </c>
      <c r="X17" s="2">
        <v>0</v>
      </c>
      <c r="Y17" s="2">
        <v>0</v>
      </c>
      <c r="Z17" s="2">
        <v>1</v>
      </c>
      <c r="AA17" s="2">
        <v>0</v>
      </c>
      <c r="AB17" s="2">
        <v>0</v>
      </c>
      <c r="AC17" s="2">
        <v>1</v>
      </c>
      <c r="AD17" s="2">
        <v>0</v>
      </c>
      <c r="AE17" s="2">
        <v>1</v>
      </c>
      <c r="AF17" s="2" t="s">
        <v>55</v>
      </c>
      <c r="AG17" s="2">
        <v>1</v>
      </c>
      <c r="AH17" s="2">
        <v>1</v>
      </c>
      <c r="AI17" s="2">
        <v>1</v>
      </c>
      <c r="AJ17" s="2">
        <v>1</v>
      </c>
      <c r="AK17" s="2">
        <v>1</v>
      </c>
      <c r="AL17" s="5">
        <v>45421</v>
      </c>
      <c r="AM17" s="2">
        <v>0</v>
      </c>
      <c r="AN17" s="2">
        <v>0</v>
      </c>
      <c r="AO17" s="2">
        <v>1</v>
      </c>
      <c r="AP17" s="5">
        <v>45425</v>
      </c>
      <c r="AQ17" s="2">
        <v>0</v>
      </c>
      <c r="AR17" s="2">
        <v>0</v>
      </c>
      <c r="AS17" s="2">
        <v>0</v>
      </c>
      <c r="AT17" s="2">
        <v>0</v>
      </c>
      <c r="AU17" s="2" t="s">
        <v>77</v>
      </c>
    </row>
    <row r="18" spans="1:47">
      <c r="A18" s="8">
        <v>17</v>
      </c>
      <c r="B18" s="5">
        <v>45420</v>
      </c>
      <c r="C18" s="6">
        <v>45435</v>
      </c>
      <c r="D18" s="2">
        <f t="shared" si="1"/>
        <v>15</v>
      </c>
      <c r="E18" s="2">
        <v>83</v>
      </c>
      <c r="F18" s="2">
        <v>2</v>
      </c>
      <c r="G18" s="2">
        <v>2</v>
      </c>
      <c r="H18" s="2">
        <v>1</v>
      </c>
      <c r="I18" s="2">
        <v>0</v>
      </c>
      <c r="J18" s="2">
        <v>0</v>
      </c>
      <c r="K18" s="2">
        <v>0</v>
      </c>
      <c r="L18" s="2">
        <v>0</v>
      </c>
      <c r="M18" s="2">
        <v>0</v>
      </c>
      <c r="N18" s="2">
        <v>1</v>
      </c>
      <c r="O18" s="2" t="s">
        <v>78</v>
      </c>
      <c r="P18" t="s">
        <v>52</v>
      </c>
      <c r="Q18" s="2">
        <v>1</v>
      </c>
      <c r="R18" s="2">
        <v>3</v>
      </c>
      <c r="S18" s="5">
        <v>45429</v>
      </c>
      <c r="T18" s="5">
        <v>45431</v>
      </c>
      <c r="U18" s="28">
        <f t="shared" si="0"/>
        <v>2</v>
      </c>
      <c r="V18" s="2">
        <v>0</v>
      </c>
      <c r="W18" s="2">
        <v>0</v>
      </c>
      <c r="X18" s="2">
        <v>0</v>
      </c>
      <c r="Y18" s="2">
        <v>0</v>
      </c>
      <c r="Z18" s="2">
        <v>0</v>
      </c>
      <c r="AA18" s="2">
        <v>0</v>
      </c>
      <c r="AB18" s="2">
        <v>0</v>
      </c>
      <c r="AC18" s="2">
        <v>0</v>
      </c>
      <c r="AD18" s="2">
        <v>0</v>
      </c>
      <c r="AE18" s="2">
        <v>1</v>
      </c>
      <c r="AF18" s="2" t="s">
        <v>79</v>
      </c>
      <c r="AG18" s="2">
        <v>1</v>
      </c>
      <c r="AH18" s="2">
        <v>1</v>
      </c>
      <c r="AI18" s="2">
        <v>1</v>
      </c>
      <c r="AJ18" s="2">
        <v>1</v>
      </c>
      <c r="AK18" s="2">
        <v>1</v>
      </c>
      <c r="AL18" s="5">
        <v>45432</v>
      </c>
      <c r="AM18" s="2">
        <v>0</v>
      </c>
      <c r="AN18" s="2">
        <v>0</v>
      </c>
      <c r="AO18" s="2">
        <v>0</v>
      </c>
      <c r="AT18" s="2">
        <v>1</v>
      </c>
      <c r="AU18" s="2" t="s">
        <v>80</v>
      </c>
    </row>
    <row r="19" spans="1:47">
      <c r="A19" s="2">
        <v>18</v>
      </c>
      <c r="B19" s="5">
        <v>45438</v>
      </c>
      <c r="C19" s="5">
        <v>45458</v>
      </c>
      <c r="D19" s="2">
        <f t="shared" si="1"/>
        <v>20</v>
      </c>
      <c r="E19" s="2">
        <v>59</v>
      </c>
      <c r="F19" s="2">
        <v>1</v>
      </c>
      <c r="G19" s="2">
        <v>3</v>
      </c>
      <c r="H19" s="2">
        <v>1</v>
      </c>
      <c r="I19" s="2">
        <v>0</v>
      </c>
      <c r="J19" s="2">
        <v>0</v>
      </c>
      <c r="K19" s="2">
        <v>0</v>
      </c>
      <c r="L19" s="2">
        <v>0</v>
      </c>
      <c r="M19" s="2">
        <v>0</v>
      </c>
      <c r="N19" s="2">
        <v>1</v>
      </c>
      <c r="O19" s="2" t="s">
        <v>81</v>
      </c>
      <c r="P19" t="s">
        <v>52</v>
      </c>
      <c r="Q19" s="2">
        <v>1</v>
      </c>
      <c r="R19" s="2">
        <v>2</v>
      </c>
      <c r="S19" s="5">
        <v>45440</v>
      </c>
      <c r="T19" s="5">
        <v>45441</v>
      </c>
      <c r="U19" s="28">
        <f t="shared" si="0"/>
        <v>1</v>
      </c>
      <c r="V19" s="2">
        <v>1</v>
      </c>
      <c r="W19" s="2">
        <v>0</v>
      </c>
      <c r="X19" s="2">
        <v>1</v>
      </c>
      <c r="Y19" s="2">
        <v>0</v>
      </c>
      <c r="Z19" s="2">
        <v>0</v>
      </c>
      <c r="AA19" s="2">
        <v>0</v>
      </c>
      <c r="AB19" s="2">
        <v>0</v>
      </c>
      <c r="AC19" s="2">
        <v>0</v>
      </c>
      <c r="AD19" s="2">
        <v>0</v>
      </c>
      <c r="AE19" s="2">
        <v>1</v>
      </c>
      <c r="AF19" s="2" t="s">
        <v>55</v>
      </c>
      <c r="AG19" s="2">
        <v>1</v>
      </c>
      <c r="AH19" s="2">
        <v>1</v>
      </c>
      <c r="AI19" s="2">
        <v>1</v>
      </c>
      <c r="AJ19" s="2">
        <v>1</v>
      </c>
      <c r="AK19" s="2">
        <v>1</v>
      </c>
      <c r="AL19" s="5">
        <v>45442</v>
      </c>
      <c r="AM19" s="2">
        <v>1</v>
      </c>
      <c r="AN19" s="2">
        <v>0</v>
      </c>
      <c r="AO19" s="11">
        <v>0</v>
      </c>
      <c r="AT19" s="2">
        <v>0</v>
      </c>
      <c r="AU19" s="2" t="s">
        <v>82</v>
      </c>
    </row>
    <row r="20" spans="1:47">
      <c r="A20" s="2">
        <v>19</v>
      </c>
      <c r="B20" s="5">
        <v>45385</v>
      </c>
      <c r="C20" s="5">
        <v>45395</v>
      </c>
      <c r="D20" s="2">
        <f t="shared" si="1"/>
        <v>10</v>
      </c>
      <c r="E20" s="2">
        <v>51</v>
      </c>
      <c r="F20" s="2">
        <v>1</v>
      </c>
      <c r="G20" s="2">
        <v>3</v>
      </c>
      <c r="H20" s="2">
        <v>0</v>
      </c>
      <c r="I20" s="2">
        <v>0</v>
      </c>
      <c r="J20" s="2">
        <v>0</v>
      </c>
      <c r="K20" s="2">
        <v>0</v>
      </c>
      <c r="L20" s="2">
        <v>0</v>
      </c>
      <c r="M20" s="2">
        <v>0</v>
      </c>
      <c r="N20" s="2">
        <v>0</v>
      </c>
      <c r="P20" t="s">
        <v>52</v>
      </c>
      <c r="Q20" s="2">
        <v>1</v>
      </c>
      <c r="R20" s="2">
        <v>3</v>
      </c>
      <c r="S20" s="5">
        <v>45385</v>
      </c>
      <c r="T20" s="5">
        <v>45388</v>
      </c>
      <c r="U20" s="28">
        <f t="shared" si="0"/>
        <v>3</v>
      </c>
      <c r="V20" s="2">
        <v>1</v>
      </c>
      <c r="W20" s="2">
        <v>1</v>
      </c>
      <c r="X20" s="2">
        <v>0</v>
      </c>
      <c r="Y20" s="2">
        <v>0</v>
      </c>
      <c r="Z20" s="2">
        <v>0</v>
      </c>
      <c r="AA20" s="2">
        <v>0</v>
      </c>
      <c r="AB20" s="2">
        <v>0</v>
      </c>
      <c r="AC20" s="2">
        <v>0</v>
      </c>
      <c r="AD20" s="2">
        <v>0</v>
      </c>
      <c r="AE20" s="2">
        <v>1</v>
      </c>
      <c r="AF20" s="2" t="s">
        <v>55</v>
      </c>
      <c r="AG20" s="2">
        <v>1</v>
      </c>
      <c r="AH20" s="2">
        <v>1</v>
      </c>
      <c r="AI20" s="2">
        <v>1</v>
      </c>
      <c r="AJ20" s="2">
        <v>1</v>
      </c>
      <c r="AK20" s="2">
        <v>1</v>
      </c>
      <c r="AL20" s="5">
        <v>45387</v>
      </c>
      <c r="AM20" s="2">
        <v>0</v>
      </c>
      <c r="AN20" s="2">
        <v>0</v>
      </c>
      <c r="AO20" s="2">
        <v>1</v>
      </c>
      <c r="AP20" s="5">
        <v>45391</v>
      </c>
      <c r="AQ20" s="2">
        <v>0</v>
      </c>
      <c r="AR20" s="2">
        <v>0</v>
      </c>
      <c r="AS20" s="2">
        <v>0</v>
      </c>
      <c r="AT20" s="2">
        <v>0</v>
      </c>
      <c r="AU20" s="2" t="s">
        <v>83</v>
      </c>
    </row>
    <row r="21" spans="1:47" s="8" customFormat="1">
      <c r="A21" s="8">
        <v>20</v>
      </c>
      <c r="B21" s="6">
        <v>45392</v>
      </c>
      <c r="C21" s="6">
        <v>45393</v>
      </c>
      <c r="D21" s="8">
        <f t="shared" si="1"/>
        <v>1</v>
      </c>
      <c r="E21" s="8">
        <v>71</v>
      </c>
      <c r="F21" s="8">
        <v>1</v>
      </c>
      <c r="G21" s="8">
        <v>2</v>
      </c>
      <c r="H21" s="8">
        <v>1</v>
      </c>
      <c r="I21" s="8">
        <v>0</v>
      </c>
      <c r="J21" s="8">
        <v>0</v>
      </c>
      <c r="K21" s="8">
        <v>0</v>
      </c>
      <c r="L21" s="8">
        <v>1</v>
      </c>
      <c r="M21" s="8">
        <v>0</v>
      </c>
      <c r="N21" s="8">
        <v>1</v>
      </c>
      <c r="O21" s="8" t="s">
        <v>84</v>
      </c>
      <c r="P21" s="9" t="s">
        <v>47</v>
      </c>
      <c r="Q21" s="8">
        <v>0</v>
      </c>
      <c r="R21" s="8">
        <v>1</v>
      </c>
      <c r="S21" s="6">
        <v>45393</v>
      </c>
      <c r="T21" s="6">
        <v>45393</v>
      </c>
      <c r="U21" s="29">
        <f t="shared" si="0"/>
        <v>0</v>
      </c>
      <c r="V21" s="8">
        <v>1</v>
      </c>
      <c r="W21" s="8">
        <v>0</v>
      </c>
      <c r="X21" s="8">
        <v>1</v>
      </c>
      <c r="Y21" s="8">
        <v>1</v>
      </c>
      <c r="Z21" s="8">
        <v>0</v>
      </c>
      <c r="AA21" s="8">
        <v>0</v>
      </c>
      <c r="AB21" s="8">
        <v>0</v>
      </c>
      <c r="AC21" s="8">
        <v>0</v>
      </c>
      <c r="AD21" s="8">
        <v>0</v>
      </c>
      <c r="AE21" s="8">
        <v>1</v>
      </c>
      <c r="AF21" s="8" t="s">
        <v>68</v>
      </c>
      <c r="AG21" s="8">
        <v>0</v>
      </c>
      <c r="AH21" s="8">
        <v>0</v>
      </c>
      <c r="AI21" s="8">
        <v>1</v>
      </c>
      <c r="AK21" s="8">
        <v>0</v>
      </c>
      <c r="AT21" s="8">
        <v>1</v>
      </c>
      <c r="AU21" s="8" t="s">
        <v>85</v>
      </c>
    </row>
    <row r="22" spans="1:47">
      <c r="A22" s="8">
        <v>21</v>
      </c>
      <c r="B22" s="5">
        <v>45393</v>
      </c>
      <c r="C22" s="6">
        <v>45398</v>
      </c>
      <c r="D22" s="2">
        <f t="shared" si="1"/>
        <v>5</v>
      </c>
      <c r="E22" s="2">
        <v>65</v>
      </c>
      <c r="F22" s="2">
        <v>2</v>
      </c>
      <c r="G22" s="2">
        <v>2</v>
      </c>
      <c r="H22" s="2">
        <v>1</v>
      </c>
      <c r="I22" s="2">
        <v>0</v>
      </c>
      <c r="J22" s="2">
        <v>0</v>
      </c>
      <c r="K22" s="2">
        <v>0</v>
      </c>
      <c r="L22" s="2">
        <v>0</v>
      </c>
      <c r="M22" s="2">
        <v>0</v>
      </c>
      <c r="N22" s="2">
        <v>1</v>
      </c>
      <c r="O22" s="2" t="s">
        <v>51</v>
      </c>
      <c r="P22" t="s">
        <v>47</v>
      </c>
      <c r="Q22" s="2">
        <v>1</v>
      </c>
      <c r="R22" s="2">
        <v>3</v>
      </c>
      <c r="S22" s="5">
        <v>45393</v>
      </c>
      <c r="T22" s="5">
        <v>45394</v>
      </c>
      <c r="U22" s="28">
        <f t="shared" si="0"/>
        <v>1</v>
      </c>
      <c r="V22" s="2">
        <v>0</v>
      </c>
      <c r="W22" s="2">
        <v>0</v>
      </c>
      <c r="X22" s="2">
        <v>0</v>
      </c>
      <c r="Y22" s="2">
        <v>0</v>
      </c>
      <c r="Z22" s="2">
        <v>0</v>
      </c>
      <c r="AA22" s="2">
        <v>0</v>
      </c>
      <c r="AB22" s="2">
        <v>0</v>
      </c>
      <c r="AC22" s="2">
        <v>0</v>
      </c>
      <c r="AD22" s="2">
        <v>1</v>
      </c>
      <c r="AE22" s="2">
        <v>1</v>
      </c>
      <c r="AF22" s="2" t="s">
        <v>48</v>
      </c>
      <c r="AG22" s="2">
        <v>1</v>
      </c>
      <c r="AH22" s="2">
        <v>0</v>
      </c>
      <c r="AI22" s="2">
        <v>1</v>
      </c>
      <c r="AJ22" s="2">
        <v>1</v>
      </c>
      <c r="AK22" s="2">
        <v>1</v>
      </c>
      <c r="AL22" s="5">
        <v>45394</v>
      </c>
      <c r="AM22" s="2">
        <v>0</v>
      </c>
      <c r="AN22" s="2">
        <v>1</v>
      </c>
      <c r="AO22" s="2">
        <v>0</v>
      </c>
      <c r="AT22" s="2">
        <v>0</v>
      </c>
      <c r="AU22" s="2" t="s">
        <v>86</v>
      </c>
    </row>
    <row r="23" spans="1:47" s="8" customFormat="1">
      <c r="A23" s="8">
        <v>22</v>
      </c>
      <c r="B23" s="6">
        <v>45395</v>
      </c>
      <c r="C23" s="6">
        <v>45396</v>
      </c>
      <c r="D23" s="8">
        <f t="shared" si="1"/>
        <v>1</v>
      </c>
      <c r="E23" s="8">
        <v>88</v>
      </c>
      <c r="F23" s="8">
        <v>2</v>
      </c>
      <c r="G23" s="8">
        <v>2</v>
      </c>
      <c r="H23" s="8">
        <v>0</v>
      </c>
      <c r="I23" s="8">
        <v>0</v>
      </c>
      <c r="J23" s="8">
        <v>0</v>
      </c>
      <c r="K23" s="8">
        <v>0</v>
      </c>
      <c r="L23" s="8">
        <v>0</v>
      </c>
      <c r="M23" s="8">
        <v>0</v>
      </c>
      <c r="N23" s="8">
        <v>0</v>
      </c>
      <c r="P23" s="9" t="s">
        <v>52</v>
      </c>
      <c r="Q23" s="8">
        <v>0</v>
      </c>
      <c r="R23" s="8">
        <v>1</v>
      </c>
      <c r="S23" s="6">
        <v>45395</v>
      </c>
      <c r="T23" s="6">
        <v>45395</v>
      </c>
      <c r="U23" s="29">
        <f t="shared" si="0"/>
        <v>0</v>
      </c>
      <c r="V23" s="8">
        <v>1</v>
      </c>
      <c r="W23" s="8">
        <v>0</v>
      </c>
      <c r="X23" s="8">
        <v>0</v>
      </c>
      <c r="Y23" s="8">
        <v>0</v>
      </c>
      <c r="Z23" s="8">
        <v>0</v>
      </c>
      <c r="AA23" s="8">
        <v>0</v>
      </c>
      <c r="AB23" s="8">
        <v>1</v>
      </c>
      <c r="AC23" s="8">
        <v>0</v>
      </c>
      <c r="AD23" s="8">
        <v>0</v>
      </c>
      <c r="AE23" s="8">
        <v>1</v>
      </c>
      <c r="AF23" s="8" t="s">
        <v>68</v>
      </c>
      <c r="AG23" s="8">
        <v>0</v>
      </c>
      <c r="AH23" s="8">
        <v>0</v>
      </c>
      <c r="AI23" s="8">
        <v>0</v>
      </c>
      <c r="AK23" s="8">
        <v>0</v>
      </c>
      <c r="AU23" s="8" t="s">
        <v>87</v>
      </c>
    </row>
    <row r="24" spans="1:47">
      <c r="A24" s="2">
        <v>23</v>
      </c>
      <c r="B24" s="5">
        <v>45392</v>
      </c>
      <c r="C24" s="5">
        <v>45401</v>
      </c>
      <c r="D24" s="2">
        <f t="shared" si="1"/>
        <v>9</v>
      </c>
      <c r="E24" s="2">
        <v>85</v>
      </c>
      <c r="F24" s="2">
        <v>1</v>
      </c>
      <c r="G24" s="2">
        <v>2</v>
      </c>
      <c r="H24" s="2">
        <v>0</v>
      </c>
      <c r="I24" s="2">
        <v>0</v>
      </c>
      <c r="J24" s="2">
        <v>0</v>
      </c>
      <c r="K24" s="2">
        <v>0</v>
      </c>
      <c r="L24" s="2">
        <v>0</v>
      </c>
      <c r="M24" s="2">
        <v>0</v>
      </c>
      <c r="N24" s="2">
        <v>0</v>
      </c>
      <c r="P24" t="s">
        <v>52</v>
      </c>
      <c r="Q24" s="2">
        <v>1</v>
      </c>
      <c r="R24" s="2">
        <v>2</v>
      </c>
      <c r="S24" s="5">
        <v>45396</v>
      </c>
      <c r="T24" s="5">
        <v>45396</v>
      </c>
      <c r="U24" s="28">
        <f t="shared" si="0"/>
        <v>0</v>
      </c>
      <c r="V24" s="2">
        <v>0</v>
      </c>
      <c r="W24" s="2">
        <v>0</v>
      </c>
      <c r="X24" s="2">
        <v>0</v>
      </c>
      <c r="Y24" s="2">
        <v>0</v>
      </c>
      <c r="Z24" s="2">
        <v>0</v>
      </c>
      <c r="AA24" s="2">
        <v>0</v>
      </c>
      <c r="AB24" s="2">
        <v>0</v>
      </c>
      <c r="AC24" s="2">
        <v>0</v>
      </c>
      <c r="AD24" s="2">
        <v>0</v>
      </c>
      <c r="AE24" s="2">
        <v>1</v>
      </c>
      <c r="AF24" s="2" t="s">
        <v>55</v>
      </c>
      <c r="AG24" s="11">
        <v>1</v>
      </c>
      <c r="AH24" s="2">
        <v>1</v>
      </c>
      <c r="AI24" s="2">
        <v>1</v>
      </c>
      <c r="AJ24" s="2">
        <v>1</v>
      </c>
      <c r="AK24" s="2">
        <v>1</v>
      </c>
      <c r="AL24" s="5">
        <v>45400</v>
      </c>
      <c r="AM24" s="2">
        <v>0</v>
      </c>
      <c r="AN24" s="2">
        <v>0</v>
      </c>
      <c r="AO24" s="2">
        <v>0</v>
      </c>
      <c r="AT24" s="2">
        <v>0</v>
      </c>
      <c r="AU24" s="2" t="s">
        <v>88</v>
      </c>
    </row>
    <row r="25" spans="1:47">
      <c r="A25" s="2">
        <v>24</v>
      </c>
      <c r="B25" s="5">
        <v>45400</v>
      </c>
      <c r="C25" s="5">
        <v>45408</v>
      </c>
      <c r="D25" s="2">
        <f t="shared" si="1"/>
        <v>8</v>
      </c>
      <c r="E25" s="2">
        <v>85</v>
      </c>
      <c r="F25" s="2">
        <v>2</v>
      </c>
      <c r="G25" s="2">
        <v>2</v>
      </c>
      <c r="H25" s="2">
        <v>1</v>
      </c>
      <c r="I25" s="2">
        <v>0</v>
      </c>
      <c r="J25" s="2">
        <v>0</v>
      </c>
      <c r="K25" s="2">
        <v>0</v>
      </c>
      <c r="L25" s="2">
        <v>0</v>
      </c>
      <c r="M25" s="2">
        <v>0</v>
      </c>
      <c r="N25" s="2">
        <v>1</v>
      </c>
      <c r="O25" s="2" t="s">
        <v>70</v>
      </c>
      <c r="P25" t="s">
        <v>52</v>
      </c>
      <c r="Q25" s="2">
        <v>1</v>
      </c>
      <c r="R25" s="2">
        <v>3</v>
      </c>
      <c r="S25" s="5">
        <v>45400</v>
      </c>
      <c r="T25" s="5">
        <v>45402</v>
      </c>
      <c r="U25" s="28">
        <f t="shared" si="0"/>
        <v>2</v>
      </c>
      <c r="V25" s="2">
        <v>1</v>
      </c>
      <c r="W25" s="2">
        <v>0</v>
      </c>
      <c r="X25" s="2">
        <v>0</v>
      </c>
      <c r="Y25" s="2">
        <v>0</v>
      </c>
      <c r="Z25" s="2">
        <v>1</v>
      </c>
      <c r="AA25" s="2">
        <v>0</v>
      </c>
      <c r="AB25" s="2">
        <v>0</v>
      </c>
      <c r="AC25" s="2">
        <v>0</v>
      </c>
      <c r="AD25" s="2">
        <v>0</v>
      </c>
      <c r="AE25" s="2">
        <v>1</v>
      </c>
      <c r="AF25" s="2" t="s">
        <v>55</v>
      </c>
      <c r="AG25" s="2">
        <v>1</v>
      </c>
      <c r="AH25" s="2">
        <v>1</v>
      </c>
      <c r="AI25" s="11">
        <v>0</v>
      </c>
      <c r="AJ25" s="2">
        <v>1</v>
      </c>
      <c r="AK25" s="2">
        <v>1</v>
      </c>
      <c r="AL25" s="5">
        <v>45404</v>
      </c>
      <c r="AM25" s="2">
        <v>0</v>
      </c>
      <c r="AN25" s="2">
        <v>1</v>
      </c>
      <c r="AO25" s="2">
        <v>0</v>
      </c>
      <c r="AT25" s="2">
        <v>0</v>
      </c>
      <c r="AU25" s="2" t="s">
        <v>89</v>
      </c>
    </row>
    <row r="26" spans="1:47">
      <c r="A26" s="2">
        <v>25</v>
      </c>
      <c r="B26" s="5">
        <v>45401</v>
      </c>
      <c r="C26" s="5">
        <v>45408</v>
      </c>
      <c r="D26" s="2">
        <f t="shared" si="1"/>
        <v>7</v>
      </c>
      <c r="E26" s="2">
        <v>79</v>
      </c>
      <c r="F26" s="2">
        <v>1</v>
      </c>
      <c r="G26" s="2">
        <v>2</v>
      </c>
      <c r="H26" s="2">
        <v>1</v>
      </c>
      <c r="I26" s="2">
        <v>0</v>
      </c>
      <c r="J26" s="2">
        <v>0</v>
      </c>
      <c r="K26" s="2">
        <v>1</v>
      </c>
      <c r="L26" s="2">
        <v>0</v>
      </c>
      <c r="M26" s="2">
        <v>0</v>
      </c>
      <c r="N26" s="2">
        <v>1</v>
      </c>
      <c r="O26" s="2" t="s">
        <v>63</v>
      </c>
      <c r="P26" t="s">
        <v>52</v>
      </c>
      <c r="Q26" s="2">
        <v>1</v>
      </c>
      <c r="R26" s="2">
        <v>1</v>
      </c>
      <c r="S26" s="5">
        <v>45401</v>
      </c>
      <c r="T26" s="5">
        <v>45401</v>
      </c>
      <c r="U26" s="28">
        <f t="shared" si="0"/>
        <v>0</v>
      </c>
      <c r="V26" s="2">
        <v>0</v>
      </c>
      <c r="W26" s="2">
        <v>0</v>
      </c>
      <c r="X26" s="2">
        <v>0</v>
      </c>
      <c r="Y26" s="2">
        <v>0</v>
      </c>
      <c r="Z26" s="2">
        <v>0</v>
      </c>
      <c r="AA26" s="2">
        <v>0</v>
      </c>
      <c r="AB26" s="2">
        <v>0</v>
      </c>
      <c r="AC26" s="2">
        <v>0</v>
      </c>
      <c r="AD26" s="2">
        <v>1</v>
      </c>
      <c r="AE26" s="2">
        <v>1</v>
      </c>
      <c r="AF26" s="2" t="s">
        <v>55</v>
      </c>
      <c r="AG26" s="2">
        <v>1</v>
      </c>
      <c r="AH26" s="2">
        <v>1</v>
      </c>
      <c r="AI26" s="2">
        <v>1</v>
      </c>
      <c r="AJ26" s="2">
        <v>0</v>
      </c>
      <c r="AK26" s="2">
        <v>1</v>
      </c>
      <c r="AL26" s="5">
        <v>45406</v>
      </c>
      <c r="AM26" s="2">
        <v>0</v>
      </c>
      <c r="AN26" s="2">
        <v>0</v>
      </c>
      <c r="AO26" s="2">
        <v>1</v>
      </c>
      <c r="AP26" s="5">
        <v>45408</v>
      </c>
      <c r="AQ26" s="2">
        <v>0</v>
      </c>
      <c r="AR26" s="2">
        <v>0</v>
      </c>
      <c r="AS26" s="2">
        <v>0</v>
      </c>
      <c r="AT26" s="2">
        <v>0</v>
      </c>
      <c r="AU26" s="2" t="s">
        <v>90</v>
      </c>
    </row>
    <row r="27" spans="1:47">
      <c r="A27" s="2">
        <v>26</v>
      </c>
      <c r="B27" s="5">
        <v>45401</v>
      </c>
      <c r="C27" s="5">
        <v>45447</v>
      </c>
      <c r="D27" s="2">
        <f t="shared" si="1"/>
        <v>46</v>
      </c>
      <c r="E27" s="2">
        <v>46</v>
      </c>
      <c r="F27" s="2">
        <v>2</v>
      </c>
      <c r="G27" s="2">
        <v>2</v>
      </c>
      <c r="H27" s="2">
        <v>1</v>
      </c>
      <c r="I27" s="2">
        <v>1</v>
      </c>
      <c r="J27" s="2">
        <v>0</v>
      </c>
      <c r="K27" s="2">
        <v>0</v>
      </c>
      <c r="L27" s="2">
        <v>1</v>
      </c>
      <c r="M27" s="2">
        <v>0</v>
      </c>
      <c r="N27" s="2">
        <v>0</v>
      </c>
      <c r="P27" t="s">
        <v>47</v>
      </c>
      <c r="Q27" s="2">
        <v>1</v>
      </c>
      <c r="R27" s="2">
        <v>3</v>
      </c>
      <c r="S27" s="5">
        <v>45401</v>
      </c>
      <c r="T27" s="5">
        <v>45404</v>
      </c>
      <c r="U27" s="28">
        <f t="shared" si="0"/>
        <v>3</v>
      </c>
      <c r="V27" s="2">
        <v>1</v>
      </c>
      <c r="W27" s="2">
        <v>0</v>
      </c>
      <c r="X27" s="2">
        <v>0</v>
      </c>
      <c r="Y27" s="2">
        <v>1</v>
      </c>
      <c r="Z27" s="2">
        <v>0</v>
      </c>
      <c r="AA27" s="2">
        <v>0</v>
      </c>
      <c r="AB27" s="2">
        <v>0</v>
      </c>
      <c r="AC27" s="2">
        <v>0</v>
      </c>
      <c r="AD27" s="2">
        <v>0</v>
      </c>
      <c r="AE27" s="2">
        <v>1</v>
      </c>
      <c r="AF27" s="2" t="s">
        <v>91</v>
      </c>
      <c r="AG27" s="2">
        <v>1</v>
      </c>
      <c r="AH27" s="2">
        <v>0</v>
      </c>
      <c r="AI27" s="2">
        <v>1</v>
      </c>
      <c r="AJ27" s="2">
        <v>1</v>
      </c>
      <c r="AK27" s="2">
        <v>1</v>
      </c>
      <c r="AL27" s="5">
        <v>45406</v>
      </c>
      <c r="AM27" s="2">
        <v>0</v>
      </c>
      <c r="AN27" s="2">
        <v>0</v>
      </c>
      <c r="AO27" s="2">
        <v>1</v>
      </c>
      <c r="AP27" s="5">
        <v>45408</v>
      </c>
      <c r="AQ27" s="2">
        <v>0</v>
      </c>
      <c r="AR27" s="2">
        <v>0</v>
      </c>
      <c r="AS27" s="2">
        <v>0</v>
      </c>
      <c r="AT27" s="2">
        <v>0</v>
      </c>
      <c r="AU27" s="2" t="s">
        <v>92</v>
      </c>
    </row>
    <row r="28" spans="1:47">
      <c r="A28" s="2">
        <v>27</v>
      </c>
      <c r="B28" s="5">
        <v>45402</v>
      </c>
      <c r="C28" s="5">
        <v>45412</v>
      </c>
      <c r="D28" s="2">
        <f t="shared" si="1"/>
        <v>10</v>
      </c>
      <c r="E28" s="2">
        <v>87</v>
      </c>
      <c r="F28" s="2">
        <v>2</v>
      </c>
      <c r="G28" s="2">
        <v>2</v>
      </c>
      <c r="H28" s="2">
        <v>1</v>
      </c>
      <c r="I28" s="2">
        <v>0</v>
      </c>
      <c r="J28" s="2">
        <v>0</v>
      </c>
      <c r="K28" s="2">
        <v>0</v>
      </c>
      <c r="L28" s="2">
        <v>0</v>
      </c>
      <c r="M28" s="2">
        <v>0</v>
      </c>
      <c r="N28" s="2">
        <v>1</v>
      </c>
      <c r="O28" s="2" t="s">
        <v>93</v>
      </c>
      <c r="P28" t="s">
        <v>52</v>
      </c>
      <c r="Q28" s="2">
        <v>1</v>
      </c>
      <c r="R28" s="2">
        <v>2</v>
      </c>
      <c r="S28" s="5">
        <v>45402</v>
      </c>
      <c r="T28" s="5">
        <v>45403</v>
      </c>
      <c r="U28" s="28">
        <f t="shared" si="0"/>
        <v>1</v>
      </c>
      <c r="V28" s="2">
        <v>0</v>
      </c>
      <c r="W28" s="2">
        <v>0</v>
      </c>
      <c r="X28" s="2">
        <v>0</v>
      </c>
      <c r="Y28" s="2">
        <v>0</v>
      </c>
      <c r="Z28" s="2">
        <v>0</v>
      </c>
      <c r="AA28" s="2">
        <v>0</v>
      </c>
      <c r="AB28" s="2">
        <v>0</v>
      </c>
      <c r="AC28" s="2">
        <v>0</v>
      </c>
      <c r="AD28" s="2">
        <v>0</v>
      </c>
      <c r="AE28" s="2">
        <v>1</v>
      </c>
      <c r="AF28" s="2" t="s">
        <v>55</v>
      </c>
      <c r="AG28" s="11">
        <v>1</v>
      </c>
      <c r="AH28" s="2">
        <v>1</v>
      </c>
      <c r="AI28" s="2">
        <v>1</v>
      </c>
      <c r="AJ28" s="2">
        <v>1</v>
      </c>
      <c r="AK28" s="2">
        <v>1</v>
      </c>
      <c r="AL28" s="5">
        <v>45406</v>
      </c>
      <c r="AM28" s="2">
        <v>0</v>
      </c>
      <c r="AN28" s="2">
        <v>0</v>
      </c>
      <c r="AO28" s="2">
        <v>1</v>
      </c>
      <c r="AP28" s="5">
        <v>45411</v>
      </c>
      <c r="AQ28" s="2">
        <v>0</v>
      </c>
      <c r="AR28" s="2">
        <v>0</v>
      </c>
      <c r="AS28" s="2">
        <v>1</v>
      </c>
      <c r="AT28" s="2">
        <v>0</v>
      </c>
      <c r="AU28" s="2" t="s">
        <v>94</v>
      </c>
    </row>
    <row r="29" spans="1:47">
      <c r="A29" s="2">
        <v>28</v>
      </c>
      <c r="B29" s="5">
        <v>45405</v>
      </c>
      <c r="C29" s="5">
        <v>45423</v>
      </c>
      <c r="D29" s="2">
        <f t="shared" si="1"/>
        <v>18</v>
      </c>
      <c r="E29" s="2">
        <v>66</v>
      </c>
      <c r="F29" s="2">
        <v>1</v>
      </c>
      <c r="G29" s="2">
        <v>2</v>
      </c>
      <c r="H29" s="2">
        <v>1</v>
      </c>
      <c r="I29" s="2">
        <v>0</v>
      </c>
      <c r="J29" s="2">
        <v>0</v>
      </c>
      <c r="K29" s="2">
        <v>0</v>
      </c>
      <c r="L29" s="2">
        <v>0</v>
      </c>
      <c r="M29" s="2">
        <v>0</v>
      </c>
      <c r="N29" s="2">
        <v>1</v>
      </c>
      <c r="O29" s="2" t="s">
        <v>63</v>
      </c>
      <c r="P29" t="s">
        <v>52</v>
      </c>
      <c r="Q29" s="2">
        <v>1</v>
      </c>
      <c r="R29" s="2">
        <v>4</v>
      </c>
      <c r="S29" s="5">
        <v>45405</v>
      </c>
      <c r="T29" s="5">
        <v>45408</v>
      </c>
      <c r="U29" s="28">
        <f t="shared" si="0"/>
        <v>3</v>
      </c>
      <c r="V29" s="2">
        <v>1</v>
      </c>
      <c r="W29" s="2">
        <v>1</v>
      </c>
      <c r="X29" s="2">
        <v>0</v>
      </c>
      <c r="Y29" s="2">
        <v>0</v>
      </c>
      <c r="Z29" s="2">
        <v>1</v>
      </c>
      <c r="AA29" s="2">
        <v>0</v>
      </c>
      <c r="AB29" s="2">
        <v>0</v>
      </c>
      <c r="AC29" s="2">
        <v>0</v>
      </c>
      <c r="AD29" s="2">
        <v>0</v>
      </c>
      <c r="AE29" s="2">
        <v>1</v>
      </c>
      <c r="AF29" s="2" t="s">
        <v>55</v>
      </c>
      <c r="AG29" s="11">
        <v>1</v>
      </c>
      <c r="AH29" s="2">
        <v>0</v>
      </c>
      <c r="AI29" s="2">
        <v>1</v>
      </c>
      <c r="AJ29" s="2">
        <v>0</v>
      </c>
      <c r="AK29" s="2">
        <v>1</v>
      </c>
      <c r="AL29" s="5">
        <v>45411</v>
      </c>
      <c r="AM29" s="2">
        <v>0</v>
      </c>
      <c r="AN29" s="2">
        <v>0</v>
      </c>
      <c r="AO29" s="2">
        <v>0</v>
      </c>
      <c r="AT29" s="2">
        <v>1</v>
      </c>
      <c r="AU29" s="2" t="s">
        <v>95</v>
      </c>
    </row>
    <row r="30" spans="1:47">
      <c r="A30" s="2">
        <v>29</v>
      </c>
      <c r="B30" s="5">
        <v>45406</v>
      </c>
      <c r="C30" s="5">
        <v>45424</v>
      </c>
      <c r="D30" s="2">
        <f t="shared" si="1"/>
        <v>18</v>
      </c>
      <c r="E30" s="2">
        <v>59</v>
      </c>
      <c r="F30" s="2">
        <v>2</v>
      </c>
      <c r="G30" s="2">
        <v>2</v>
      </c>
      <c r="H30" s="2">
        <v>1</v>
      </c>
      <c r="I30" s="2">
        <v>0</v>
      </c>
      <c r="J30" s="2">
        <v>0</v>
      </c>
      <c r="K30" s="2">
        <v>0</v>
      </c>
      <c r="L30" s="2">
        <v>1</v>
      </c>
      <c r="M30" s="2">
        <v>0</v>
      </c>
      <c r="N30" s="2">
        <v>1</v>
      </c>
      <c r="O30" s="2" t="s">
        <v>70</v>
      </c>
      <c r="P30" t="s">
        <v>52</v>
      </c>
      <c r="Q30" s="2">
        <v>1</v>
      </c>
      <c r="R30" s="2">
        <v>3</v>
      </c>
      <c r="S30" s="5">
        <v>45406</v>
      </c>
      <c r="T30" s="5">
        <v>45409</v>
      </c>
      <c r="U30" s="28">
        <f t="shared" si="0"/>
        <v>3</v>
      </c>
      <c r="V30" s="2">
        <v>1</v>
      </c>
      <c r="W30" s="2">
        <v>0</v>
      </c>
      <c r="X30" s="2">
        <v>0</v>
      </c>
      <c r="Y30" s="2">
        <v>1</v>
      </c>
      <c r="Z30" s="2">
        <v>0</v>
      </c>
      <c r="AA30" s="2">
        <v>0</v>
      </c>
      <c r="AB30" s="2">
        <v>0</v>
      </c>
      <c r="AC30" s="2">
        <v>0</v>
      </c>
      <c r="AD30" s="2">
        <v>0</v>
      </c>
      <c r="AE30" s="2">
        <v>1</v>
      </c>
      <c r="AF30" s="2" t="s">
        <v>55</v>
      </c>
      <c r="AG30" s="2">
        <v>1</v>
      </c>
      <c r="AH30" s="2">
        <v>1</v>
      </c>
      <c r="AI30" s="2">
        <v>1</v>
      </c>
      <c r="AJ30" s="2">
        <v>1</v>
      </c>
      <c r="AK30" s="2">
        <v>1</v>
      </c>
      <c r="AL30" s="5">
        <v>45415</v>
      </c>
      <c r="AM30" s="2">
        <v>1</v>
      </c>
      <c r="AN30" s="2">
        <v>0</v>
      </c>
      <c r="AO30" s="2">
        <v>0</v>
      </c>
      <c r="AT30" s="2">
        <v>1</v>
      </c>
      <c r="AU30" s="2" t="s">
        <v>96</v>
      </c>
    </row>
    <row r="31" spans="1:47">
      <c r="A31" s="8">
        <v>30</v>
      </c>
      <c r="B31" s="5">
        <v>45403</v>
      </c>
      <c r="C31" s="6">
        <v>45412</v>
      </c>
      <c r="D31" s="2">
        <f t="shared" si="1"/>
        <v>9</v>
      </c>
      <c r="E31" s="2">
        <v>72</v>
      </c>
      <c r="F31" s="2">
        <v>1</v>
      </c>
      <c r="G31" s="2">
        <v>2</v>
      </c>
      <c r="H31" s="2">
        <v>1</v>
      </c>
      <c r="I31" s="2">
        <v>0</v>
      </c>
      <c r="J31" s="2">
        <v>0</v>
      </c>
      <c r="K31" s="2">
        <v>0</v>
      </c>
      <c r="L31" s="2">
        <v>0</v>
      </c>
      <c r="M31" s="2">
        <v>0</v>
      </c>
      <c r="N31" s="2">
        <v>1</v>
      </c>
      <c r="O31" s="2" t="s">
        <v>97</v>
      </c>
      <c r="P31" t="s">
        <v>52</v>
      </c>
      <c r="Q31" s="2">
        <v>1</v>
      </c>
      <c r="R31" s="2">
        <v>2</v>
      </c>
      <c r="S31" s="5">
        <v>45407</v>
      </c>
      <c r="T31" s="5">
        <v>45409</v>
      </c>
      <c r="U31" s="28">
        <f t="shared" si="0"/>
        <v>2</v>
      </c>
      <c r="V31" s="2">
        <v>1</v>
      </c>
      <c r="W31" s="2">
        <v>1</v>
      </c>
      <c r="X31" s="2">
        <v>0</v>
      </c>
      <c r="Y31" s="2">
        <v>0</v>
      </c>
      <c r="Z31" s="2">
        <v>0</v>
      </c>
      <c r="AA31" s="2">
        <v>0</v>
      </c>
      <c r="AB31" s="2">
        <v>0</v>
      </c>
      <c r="AC31" s="2">
        <v>0</v>
      </c>
      <c r="AD31" s="2">
        <v>1</v>
      </c>
      <c r="AE31" s="2">
        <v>1</v>
      </c>
      <c r="AF31" s="2" t="s">
        <v>55</v>
      </c>
      <c r="AG31" s="2">
        <v>1</v>
      </c>
      <c r="AH31" s="2">
        <v>1</v>
      </c>
      <c r="AI31" s="2">
        <v>1</v>
      </c>
      <c r="AJ31" s="2">
        <v>1</v>
      </c>
      <c r="AK31" s="2">
        <v>1</v>
      </c>
      <c r="AL31" s="5">
        <v>45408</v>
      </c>
      <c r="AM31" s="2">
        <v>0</v>
      </c>
      <c r="AN31" s="2">
        <v>0</v>
      </c>
      <c r="AO31" s="2">
        <v>0</v>
      </c>
      <c r="AT31" s="2">
        <v>0</v>
      </c>
      <c r="AU31" s="2" t="s">
        <v>98</v>
      </c>
    </row>
    <row r="32" spans="1:47">
      <c r="A32" s="2">
        <v>31</v>
      </c>
      <c r="B32" s="5">
        <v>45406</v>
      </c>
      <c r="C32" s="5">
        <v>45422</v>
      </c>
      <c r="D32" s="2">
        <f t="shared" si="1"/>
        <v>16</v>
      </c>
      <c r="E32" s="2">
        <v>71</v>
      </c>
      <c r="F32" s="2">
        <v>2</v>
      </c>
      <c r="G32" s="2">
        <v>2</v>
      </c>
      <c r="H32" s="2">
        <v>1</v>
      </c>
      <c r="I32" s="2">
        <v>0</v>
      </c>
      <c r="J32" s="2">
        <v>0</v>
      </c>
      <c r="K32" s="2">
        <v>0</v>
      </c>
      <c r="L32" s="2">
        <v>0</v>
      </c>
      <c r="M32" s="2">
        <v>0</v>
      </c>
      <c r="N32" s="2">
        <v>1</v>
      </c>
      <c r="O32" s="2" t="s">
        <v>99</v>
      </c>
      <c r="P32" t="s">
        <v>52</v>
      </c>
      <c r="Q32" s="2">
        <v>1</v>
      </c>
      <c r="R32" s="2">
        <v>2</v>
      </c>
      <c r="S32" s="5">
        <v>45409</v>
      </c>
      <c r="T32" s="5">
        <v>45410</v>
      </c>
      <c r="U32" s="28">
        <f t="shared" si="0"/>
        <v>1</v>
      </c>
      <c r="V32" s="2">
        <v>1</v>
      </c>
      <c r="W32" s="2">
        <v>1</v>
      </c>
      <c r="X32" s="2">
        <v>0</v>
      </c>
      <c r="Y32" s="2">
        <v>0</v>
      </c>
      <c r="Z32" s="2">
        <v>1</v>
      </c>
      <c r="AA32" s="2">
        <v>0</v>
      </c>
      <c r="AB32" s="2">
        <v>0</v>
      </c>
      <c r="AC32" s="2">
        <v>0</v>
      </c>
      <c r="AD32" s="2">
        <v>1</v>
      </c>
      <c r="AE32" s="2">
        <v>1</v>
      </c>
      <c r="AF32" s="2" t="s">
        <v>79</v>
      </c>
      <c r="AG32" s="2">
        <v>1</v>
      </c>
      <c r="AH32" s="2">
        <v>1</v>
      </c>
      <c r="AI32" s="2">
        <v>1</v>
      </c>
      <c r="AJ32" s="2">
        <v>1</v>
      </c>
      <c r="AK32" s="2">
        <v>1</v>
      </c>
      <c r="AL32" s="5">
        <v>45414</v>
      </c>
      <c r="AM32" s="2">
        <v>0</v>
      </c>
      <c r="AN32" s="2">
        <v>0</v>
      </c>
      <c r="AO32" s="2">
        <v>0</v>
      </c>
      <c r="AT32" s="2">
        <v>0</v>
      </c>
      <c r="AU32" s="2" t="s">
        <v>100</v>
      </c>
    </row>
    <row r="33" spans="1:47">
      <c r="A33" s="2">
        <v>32</v>
      </c>
      <c r="B33" s="5">
        <v>45347</v>
      </c>
      <c r="C33" s="5">
        <v>45454</v>
      </c>
      <c r="D33" s="2">
        <f t="shared" si="1"/>
        <v>107</v>
      </c>
      <c r="E33" s="2">
        <v>54</v>
      </c>
      <c r="F33" s="2">
        <v>1</v>
      </c>
      <c r="G33" s="2">
        <v>3</v>
      </c>
      <c r="H33" s="2">
        <v>0</v>
      </c>
      <c r="I33" s="2">
        <v>0</v>
      </c>
      <c r="J33" s="2">
        <v>0</v>
      </c>
      <c r="K33" s="2">
        <v>0</v>
      </c>
      <c r="L33" s="2">
        <v>0</v>
      </c>
      <c r="M33" s="2">
        <v>0</v>
      </c>
      <c r="N33" s="2">
        <v>0</v>
      </c>
      <c r="P33" t="s">
        <v>47</v>
      </c>
      <c r="Q33" s="2">
        <v>1</v>
      </c>
      <c r="R33" s="2">
        <v>4</v>
      </c>
      <c r="S33" s="5">
        <v>45407</v>
      </c>
      <c r="T33" s="5">
        <v>45410</v>
      </c>
      <c r="U33" s="28">
        <f t="shared" si="0"/>
        <v>3</v>
      </c>
      <c r="V33" s="2">
        <v>1</v>
      </c>
      <c r="W33" s="2">
        <v>0</v>
      </c>
      <c r="X33" s="2">
        <v>1</v>
      </c>
      <c r="Y33" s="2">
        <v>0</v>
      </c>
      <c r="Z33" s="2">
        <v>0</v>
      </c>
      <c r="AA33" s="2">
        <v>0</v>
      </c>
      <c r="AB33" s="2">
        <v>0</v>
      </c>
      <c r="AC33" s="2">
        <v>0</v>
      </c>
      <c r="AD33" s="2">
        <v>0</v>
      </c>
      <c r="AE33" s="2">
        <v>1</v>
      </c>
      <c r="AF33" s="2" t="s">
        <v>91</v>
      </c>
      <c r="AG33" s="2">
        <v>1</v>
      </c>
      <c r="AH33" s="2">
        <v>1</v>
      </c>
      <c r="AI33" s="2">
        <v>0</v>
      </c>
      <c r="AJ33" s="2">
        <v>1</v>
      </c>
      <c r="AK33" s="2">
        <v>1</v>
      </c>
      <c r="AL33" s="5">
        <v>45411</v>
      </c>
      <c r="AM33" s="2">
        <v>0</v>
      </c>
      <c r="AN33" s="2">
        <v>0</v>
      </c>
      <c r="AO33" s="2">
        <v>0</v>
      </c>
      <c r="AT33" s="2">
        <v>1</v>
      </c>
      <c r="AU33" s="2" t="s">
        <v>101</v>
      </c>
    </row>
    <row r="34" spans="1:47">
      <c r="A34" s="2">
        <v>33</v>
      </c>
      <c r="B34" s="5">
        <v>45351</v>
      </c>
      <c r="C34" s="5">
        <v>45379</v>
      </c>
      <c r="D34" s="2">
        <f t="shared" si="1"/>
        <v>28</v>
      </c>
      <c r="E34" s="2">
        <v>28</v>
      </c>
      <c r="F34" s="2">
        <v>2</v>
      </c>
      <c r="G34" s="2">
        <v>2</v>
      </c>
      <c r="H34" s="2">
        <v>1</v>
      </c>
      <c r="I34" s="2">
        <v>1</v>
      </c>
      <c r="J34" s="2">
        <v>0</v>
      </c>
      <c r="K34" s="2">
        <v>0</v>
      </c>
      <c r="L34" s="2">
        <v>0</v>
      </c>
      <c r="M34" s="2">
        <v>0</v>
      </c>
      <c r="N34" s="2">
        <v>0</v>
      </c>
      <c r="P34" t="s">
        <v>47</v>
      </c>
      <c r="Q34" s="2">
        <v>1</v>
      </c>
      <c r="R34" s="2">
        <v>3</v>
      </c>
      <c r="S34" s="5">
        <v>45351</v>
      </c>
      <c r="T34" s="5">
        <v>45353</v>
      </c>
      <c r="U34" s="28">
        <f t="shared" si="0"/>
        <v>2</v>
      </c>
      <c r="V34" s="2">
        <v>1</v>
      </c>
      <c r="W34" s="2">
        <v>0</v>
      </c>
      <c r="X34" s="2">
        <v>0</v>
      </c>
      <c r="Y34" s="2">
        <v>0</v>
      </c>
      <c r="Z34" s="2">
        <v>0</v>
      </c>
      <c r="AA34" s="2">
        <v>0</v>
      </c>
      <c r="AB34" s="2">
        <v>1</v>
      </c>
      <c r="AC34" s="2">
        <v>0</v>
      </c>
      <c r="AD34" s="2">
        <v>0</v>
      </c>
      <c r="AE34" s="2">
        <v>1</v>
      </c>
      <c r="AF34" s="2" t="s">
        <v>91</v>
      </c>
      <c r="AG34" s="2">
        <v>1</v>
      </c>
      <c r="AH34" s="2">
        <v>1</v>
      </c>
      <c r="AI34" s="2">
        <v>0</v>
      </c>
      <c r="AJ34" s="2">
        <v>1</v>
      </c>
      <c r="AK34" s="2">
        <v>1</v>
      </c>
      <c r="AL34" s="5">
        <v>45352</v>
      </c>
      <c r="AM34" s="2">
        <v>0</v>
      </c>
      <c r="AN34" s="2">
        <v>1</v>
      </c>
      <c r="AO34" s="2">
        <v>1</v>
      </c>
      <c r="AP34" s="5">
        <v>45365</v>
      </c>
      <c r="AQ34" s="2">
        <v>0</v>
      </c>
      <c r="AR34" s="2">
        <v>1</v>
      </c>
      <c r="AS34" s="2">
        <v>0</v>
      </c>
      <c r="AT34" s="2">
        <v>0</v>
      </c>
      <c r="AU34" s="2" t="s">
        <v>102</v>
      </c>
    </row>
    <row r="35" spans="1:47">
      <c r="A35" s="8">
        <v>34</v>
      </c>
      <c r="B35" s="5">
        <v>45343</v>
      </c>
      <c r="C35" s="6">
        <v>45368</v>
      </c>
      <c r="D35" s="2">
        <f t="shared" si="1"/>
        <v>25</v>
      </c>
      <c r="E35" s="2">
        <v>82</v>
      </c>
      <c r="F35" s="2">
        <v>1</v>
      </c>
      <c r="G35" s="2">
        <v>2</v>
      </c>
      <c r="H35" s="2">
        <v>1</v>
      </c>
      <c r="I35" s="2">
        <v>0</v>
      </c>
      <c r="J35" s="2">
        <v>0</v>
      </c>
      <c r="K35" s="2">
        <v>0</v>
      </c>
      <c r="L35" s="2">
        <v>1</v>
      </c>
      <c r="M35" s="2">
        <v>0</v>
      </c>
      <c r="N35" s="2">
        <v>1</v>
      </c>
      <c r="O35" s="2" t="s">
        <v>103</v>
      </c>
      <c r="P35" t="s">
        <v>52</v>
      </c>
      <c r="Q35" s="2">
        <v>1</v>
      </c>
      <c r="R35" s="2">
        <v>2</v>
      </c>
      <c r="S35" s="5">
        <v>45351</v>
      </c>
      <c r="T35" s="5">
        <v>45352</v>
      </c>
      <c r="U35" s="28">
        <f t="shared" si="0"/>
        <v>1</v>
      </c>
      <c r="V35" s="2">
        <v>1</v>
      </c>
      <c r="W35" s="2">
        <v>0</v>
      </c>
      <c r="X35" s="2">
        <v>0</v>
      </c>
      <c r="Y35" s="2">
        <v>1</v>
      </c>
      <c r="Z35" s="2">
        <v>0</v>
      </c>
      <c r="AA35" s="2">
        <v>0</v>
      </c>
      <c r="AB35" s="2">
        <v>0</v>
      </c>
      <c r="AC35" s="2">
        <v>1</v>
      </c>
      <c r="AD35" s="2">
        <v>0</v>
      </c>
      <c r="AE35" s="2">
        <v>1</v>
      </c>
      <c r="AF35" s="2" t="s">
        <v>91</v>
      </c>
      <c r="AG35" s="2">
        <v>1</v>
      </c>
      <c r="AH35" s="2">
        <v>0</v>
      </c>
      <c r="AI35" s="2">
        <v>1</v>
      </c>
      <c r="AJ35" s="2">
        <v>0</v>
      </c>
      <c r="AK35" s="2">
        <v>1</v>
      </c>
      <c r="AL35" s="5">
        <v>45352</v>
      </c>
      <c r="AM35" s="2">
        <v>0</v>
      </c>
      <c r="AN35" s="2">
        <v>1</v>
      </c>
      <c r="AO35" s="2">
        <v>0</v>
      </c>
      <c r="AT35" s="2">
        <v>1</v>
      </c>
      <c r="AU35" s="2" t="s">
        <v>104</v>
      </c>
    </row>
    <row r="36" spans="1:47" s="8" customFormat="1">
      <c r="A36" s="8">
        <v>35</v>
      </c>
      <c r="B36" s="6">
        <v>45342</v>
      </c>
      <c r="C36" s="6">
        <v>45356</v>
      </c>
      <c r="D36" s="8">
        <f t="shared" si="1"/>
        <v>14</v>
      </c>
      <c r="E36" s="8">
        <v>83</v>
      </c>
      <c r="F36" s="8">
        <v>1</v>
      </c>
      <c r="G36" s="8">
        <v>2</v>
      </c>
      <c r="H36" s="8">
        <v>0</v>
      </c>
      <c r="I36" s="8">
        <v>0</v>
      </c>
      <c r="J36" s="8">
        <v>0</v>
      </c>
      <c r="K36" s="8">
        <v>0</v>
      </c>
      <c r="L36" s="8">
        <v>0</v>
      </c>
      <c r="M36" s="8">
        <v>0</v>
      </c>
      <c r="N36" s="8">
        <v>0</v>
      </c>
      <c r="P36" s="9" t="s">
        <v>52</v>
      </c>
      <c r="Q36" s="8">
        <v>1</v>
      </c>
      <c r="R36" s="8">
        <v>2</v>
      </c>
      <c r="S36" s="6">
        <v>45352</v>
      </c>
      <c r="T36" s="6">
        <v>45355</v>
      </c>
      <c r="U36" s="29">
        <f t="shared" si="0"/>
        <v>3</v>
      </c>
      <c r="V36" s="8">
        <v>1</v>
      </c>
      <c r="W36" s="8">
        <v>0</v>
      </c>
      <c r="X36" s="8">
        <v>0</v>
      </c>
      <c r="Y36" s="8">
        <v>0</v>
      </c>
      <c r="Z36" s="8">
        <v>0</v>
      </c>
      <c r="AA36" s="8">
        <v>0</v>
      </c>
      <c r="AB36" s="8">
        <v>1</v>
      </c>
      <c r="AC36" s="8">
        <v>0</v>
      </c>
      <c r="AD36" s="8">
        <v>0</v>
      </c>
      <c r="AE36" s="8">
        <v>1</v>
      </c>
      <c r="AF36" s="8" t="s">
        <v>68</v>
      </c>
      <c r="AG36" s="8">
        <v>0</v>
      </c>
      <c r="AH36" s="8">
        <v>0</v>
      </c>
      <c r="AI36" s="8">
        <v>1</v>
      </c>
      <c r="AJ36" s="8">
        <v>1</v>
      </c>
      <c r="AK36" s="8">
        <v>0</v>
      </c>
      <c r="AT36" s="8">
        <v>0</v>
      </c>
      <c r="AU36" s="8" t="s">
        <v>105</v>
      </c>
    </row>
    <row r="37" spans="1:47">
      <c r="A37" s="2">
        <v>36</v>
      </c>
      <c r="B37" s="5">
        <v>45355</v>
      </c>
      <c r="C37" s="5">
        <v>45378</v>
      </c>
      <c r="D37" s="2">
        <f t="shared" si="1"/>
        <v>23</v>
      </c>
      <c r="E37" s="2">
        <v>79</v>
      </c>
      <c r="F37" s="2">
        <v>2</v>
      </c>
      <c r="G37" s="2">
        <v>2</v>
      </c>
      <c r="H37" s="2">
        <v>1</v>
      </c>
      <c r="I37" s="2">
        <v>0</v>
      </c>
      <c r="J37" s="2">
        <v>0</v>
      </c>
      <c r="K37" s="2">
        <v>0</v>
      </c>
      <c r="L37" s="2">
        <v>0</v>
      </c>
      <c r="M37" s="2">
        <v>0</v>
      </c>
      <c r="N37" s="2">
        <v>1</v>
      </c>
      <c r="O37" s="2" t="s">
        <v>106</v>
      </c>
      <c r="P37" t="s">
        <v>47</v>
      </c>
      <c r="Q37" s="2">
        <v>1</v>
      </c>
      <c r="R37" s="2">
        <v>5</v>
      </c>
      <c r="S37" s="5">
        <v>45355</v>
      </c>
      <c r="T37" s="5">
        <v>45359</v>
      </c>
      <c r="U37" s="28">
        <f t="shared" si="0"/>
        <v>4</v>
      </c>
      <c r="V37" s="2">
        <v>0</v>
      </c>
      <c r="W37" s="2">
        <v>0</v>
      </c>
      <c r="X37" s="2">
        <v>0</v>
      </c>
      <c r="Y37" s="2">
        <v>0</v>
      </c>
      <c r="Z37" s="2">
        <v>0</v>
      </c>
      <c r="AA37" s="2">
        <v>0</v>
      </c>
      <c r="AB37" s="2">
        <v>0</v>
      </c>
      <c r="AC37" s="2">
        <v>0</v>
      </c>
      <c r="AD37" s="2">
        <v>0</v>
      </c>
      <c r="AE37" s="2">
        <v>1</v>
      </c>
      <c r="AF37" s="2" t="s">
        <v>48</v>
      </c>
      <c r="AG37" s="2">
        <v>1</v>
      </c>
      <c r="AH37" s="2">
        <v>1</v>
      </c>
      <c r="AI37" s="2">
        <v>1</v>
      </c>
      <c r="AJ37" s="2">
        <v>1</v>
      </c>
      <c r="AK37" s="2">
        <v>1</v>
      </c>
      <c r="AL37" s="5">
        <v>45357</v>
      </c>
      <c r="AM37" s="2">
        <v>0</v>
      </c>
      <c r="AN37" s="2">
        <v>0</v>
      </c>
      <c r="AO37" s="2">
        <v>1</v>
      </c>
      <c r="AP37" s="5">
        <v>45364</v>
      </c>
      <c r="AQ37" s="2">
        <v>0</v>
      </c>
      <c r="AR37" s="2">
        <v>0</v>
      </c>
      <c r="AS37" s="2">
        <v>0</v>
      </c>
      <c r="AT37" s="2">
        <v>0</v>
      </c>
      <c r="AU37" s="2" t="s">
        <v>107</v>
      </c>
    </row>
    <row r="38" spans="1:47">
      <c r="A38" s="8">
        <v>37</v>
      </c>
      <c r="B38" s="5">
        <v>45356</v>
      </c>
      <c r="C38" s="6">
        <v>45383</v>
      </c>
      <c r="D38" s="2">
        <f t="shared" si="1"/>
        <v>27</v>
      </c>
      <c r="E38" s="2">
        <v>77</v>
      </c>
      <c r="F38" s="2">
        <v>2</v>
      </c>
      <c r="G38" s="2">
        <v>3</v>
      </c>
      <c r="H38" s="2">
        <v>1</v>
      </c>
      <c r="I38" s="2">
        <v>0</v>
      </c>
      <c r="J38" s="2">
        <v>0</v>
      </c>
      <c r="K38" s="2">
        <v>1</v>
      </c>
      <c r="L38" s="2">
        <v>0</v>
      </c>
      <c r="M38" s="2">
        <v>0</v>
      </c>
      <c r="N38" s="2">
        <v>1</v>
      </c>
      <c r="O38" s="2" t="s">
        <v>108</v>
      </c>
      <c r="P38" t="s">
        <v>52</v>
      </c>
      <c r="Q38" s="2">
        <v>1</v>
      </c>
      <c r="R38" s="2">
        <v>3</v>
      </c>
      <c r="S38" s="5">
        <v>45364</v>
      </c>
      <c r="T38" s="5">
        <v>45366</v>
      </c>
      <c r="U38" s="28">
        <f t="shared" si="0"/>
        <v>2</v>
      </c>
      <c r="V38" s="2">
        <v>0</v>
      </c>
      <c r="W38" s="2">
        <v>0</v>
      </c>
      <c r="X38" s="2">
        <v>0</v>
      </c>
      <c r="Y38" s="2">
        <v>0</v>
      </c>
      <c r="Z38" s="2">
        <v>0</v>
      </c>
      <c r="AA38" s="2">
        <v>0</v>
      </c>
      <c r="AB38" s="2">
        <v>0</v>
      </c>
      <c r="AC38" s="2">
        <v>0</v>
      </c>
      <c r="AD38" s="2">
        <v>0</v>
      </c>
      <c r="AE38" s="2">
        <v>1</v>
      </c>
      <c r="AF38" s="2" t="s">
        <v>55</v>
      </c>
      <c r="AG38" s="2">
        <v>1</v>
      </c>
      <c r="AH38" s="2">
        <v>0</v>
      </c>
      <c r="AI38" s="2">
        <v>1</v>
      </c>
      <c r="AJ38" s="2">
        <v>1</v>
      </c>
      <c r="AK38" s="2">
        <v>1</v>
      </c>
      <c r="AL38" s="5">
        <v>45365</v>
      </c>
      <c r="AM38" s="2">
        <v>0</v>
      </c>
      <c r="AN38" s="2">
        <v>0</v>
      </c>
      <c r="AO38" s="2">
        <v>1</v>
      </c>
      <c r="AP38" s="5">
        <v>45366</v>
      </c>
      <c r="AQ38" s="2">
        <v>1</v>
      </c>
      <c r="AR38" s="2">
        <v>0</v>
      </c>
      <c r="AS38" s="2">
        <v>0</v>
      </c>
      <c r="AT38" s="2">
        <v>0</v>
      </c>
      <c r="AU38" s="2" t="s">
        <v>109</v>
      </c>
    </row>
    <row r="39" spans="1:47">
      <c r="A39" s="2">
        <v>38</v>
      </c>
      <c r="B39" s="5">
        <v>45364</v>
      </c>
      <c r="C39" s="5">
        <v>45377</v>
      </c>
      <c r="D39" s="2">
        <f t="shared" si="1"/>
        <v>13</v>
      </c>
      <c r="E39" s="2">
        <v>95</v>
      </c>
      <c r="F39" s="2">
        <v>2</v>
      </c>
      <c r="G39" s="2">
        <v>4</v>
      </c>
      <c r="H39" s="2">
        <v>0</v>
      </c>
      <c r="I39" s="2">
        <v>0</v>
      </c>
      <c r="J39" s="2">
        <v>0</v>
      </c>
      <c r="K39" s="2">
        <v>0</v>
      </c>
      <c r="L39" s="2">
        <v>0</v>
      </c>
      <c r="M39" s="2">
        <v>0</v>
      </c>
      <c r="N39" s="2">
        <v>0</v>
      </c>
      <c r="P39" t="s">
        <v>52</v>
      </c>
      <c r="Q39" s="2">
        <v>1</v>
      </c>
      <c r="R39" s="2">
        <v>5</v>
      </c>
      <c r="S39" s="5">
        <v>45364</v>
      </c>
      <c r="T39" s="5">
        <v>45368</v>
      </c>
      <c r="U39" s="28">
        <f t="shared" si="0"/>
        <v>4</v>
      </c>
      <c r="V39" s="2">
        <v>1</v>
      </c>
      <c r="W39" s="2">
        <v>0</v>
      </c>
      <c r="X39" s="2">
        <v>0</v>
      </c>
      <c r="Y39" s="2">
        <v>0</v>
      </c>
      <c r="Z39" s="2">
        <v>0</v>
      </c>
      <c r="AA39" s="2">
        <v>0</v>
      </c>
      <c r="AB39" s="2">
        <v>0</v>
      </c>
      <c r="AC39" s="2">
        <v>0</v>
      </c>
      <c r="AD39" s="2">
        <v>1</v>
      </c>
      <c r="AE39" s="2">
        <v>1</v>
      </c>
      <c r="AF39" s="2" t="s">
        <v>55</v>
      </c>
      <c r="AG39" s="2">
        <v>1</v>
      </c>
      <c r="AH39" s="2">
        <v>1</v>
      </c>
      <c r="AI39" s="2">
        <v>1</v>
      </c>
      <c r="AJ39" s="2">
        <v>1</v>
      </c>
      <c r="AK39" s="2">
        <v>1</v>
      </c>
      <c r="AL39" s="5">
        <v>45366</v>
      </c>
      <c r="AM39" s="2">
        <v>0</v>
      </c>
      <c r="AN39" s="2">
        <v>0</v>
      </c>
      <c r="AO39" s="2">
        <v>0</v>
      </c>
      <c r="AT39" s="2">
        <v>0</v>
      </c>
      <c r="AU39" s="2" t="s">
        <v>110</v>
      </c>
    </row>
    <row r="40" spans="1:47">
      <c r="A40" s="2">
        <v>39</v>
      </c>
      <c r="B40" s="5">
        <v>45390</v>
      </c>
      <c r="C40" s="5">
        <v>45425</v>
      </c>
      <c r="D40" s="2">
        <f t="shared" si="1"/>
        <v>35</v>
      </c>
      <c r="E40" s="2">
        <v>42</v>
      </c>
      <c r="F40" s="2">
        <v>2</v>
      </c>
      <c r="G40" s="2">
        <v>4</v>
      </c>
      <c r="H40" s="2">
        <v>1</v>
      </c>
      <c r="I40" s="2">
        <v>1</v>
      </c>
      <c r="J40" s="2">
        <v>0</v>
      </c>
      <c r="K40" s="2">
        <v>0</v>
      </c>
      <c r="L40" s="2">
        <v>0</v>
      </c>
      <c r="M40" s="2">
        <v>0</v>
      </c>
      <c r="N40" s="2">
        <v>0</v>
      </c>
      <c r="P40" t="s">
        <v>47</v>
      </c>
      <c r="Q40" s="2">
        <v>1</v>
      </c>
      <c r="R40" s="11">
        <v>5</v>
      </c>
      <c r="S40" s="5">
        <v>45393</v>
      </c>
      <c r="T40" s="5">
        <v>45398</v>
      </c>
      <c r="U40" s="28">
        <f t="shared" si="0"/>
        <v>5</v>
      </c>
      <c r="V40" s="2">
        <v>1</v>
      </c>
      <c r="W40" s="2">
        <v>1</v>
      </c>
      <c r="X40" s="2">
        <v>1</v>
      </c>
      <c r="Y40" s="2">
        <v>0</v>
      </c>
      <c r="Z40" s="2">
        <v>0</v>
      </c>
      <c r="AA40" s="2">
        <v>0</v>
      </c>
      <c r="AB40" s="2">
        <v>0</v>
      </c>
      <c r="AC40" s="2">
        <v>0</v>
      </c>
      <c r="AD40" s="2">
        <v>0</v>
      </c>
      <c r="AE40" s="2">
        <v>1</v>
      </c>
      <c r="AF40" s="2" t="s">
        <v>48</v>
      </c>
      <c r="AG40" s="2">
        <v>1</v>
      </c>
      <c r="AH40" s="2">
        <v>1</v>
      </c>
      <c r="AI40" s="2">
        <v>0</v>
      </c>
      <c r="AJ40" s="2">
        <v>1</v>
      </c>
      <c r="AK40" s="2">
        <v>1</v>
      </c>
      <c r="AL40" s="5">
        <v>45397</v>
      </c>
      <c r="AM40" s="2">
        <v>0</v>
      </c>
      <c r="AN40" s="2">
        <v>0</v>
      </c>
      <c r="AO40" s="2">
        <v>1</v>
      </c>
      <c r="AP40" s="5">
        <v>45397</v>
      </c>
      <c r="AQ40" s="2">
        <v>0</v>
      </c>
      <c r="AR40" s="2">
        <v>0</v>
      </c>
      <c r="AS40" s="2">
        <v>0</v>
      </c>
      <c r="AT40" s="2">
        <v>0</v>
      </c>
      <c r="AU40" s="2" t="s">
        <v>111</v>
      </c>
    </row>
    <row r="41" spans="1:47">
      <c r="A41" s="8">
        <v>40</v>
      </c>
      <c r="B41" s="5">
        <v>45378</v>
      </c>
      <c r="C41" s="6">
        <v>45380</v>
      </c>
      <c r="D41" s="2">
        <f t="shared" si="1"/>
        <v>2</v>
      </c>
      <c r="E41" s="2">
        <v>64</v>
      </c>
      <c r="F41" s="2">
        <v>2</v>
      </c>
      <c r="G41" s="2">
        <v>2</v>
      </c>
      <c r="H41" s="2">
        <v>1</v>
      </c>
      <c r="I41" s="2">
        <v>0</v>
      </c>
      <c r="J41" s="2">
        <v>0</v>
      </c>
      <c r="K41" s="2">
        <v>0</v>
      </c>
      <c r="L41" s="2">
        <v>0</v>
      </c>
      <c r="M41" s="2">
        <v>0</v>
      </c>
      <c r="N41" s="2">
        <v>1</v>
      </c>
      <c r="O41" s="2" t="s">
        <v>63</v>
      </c>
      <c r="P41" t="s">
        <v>52</v>
      </c>
      <c r="Q41" s="2">
        <v>1</v>
      </c>
      <c r="R41" s="2">
        <v>3</v>
      </c>
      <c r="S41" s="5">
        <v>45378</v>
      </c>
      <c r="T41" s="5">
        <v>45379</v>
      </c>
      <c r="U41" s="28">
        <f t="shared" si="0"/>
        <v>1</v>
      </c>
      <c r="V41" s="2">
        <v>0</v>
      </c>
      <c r="W41" s="2">
        <v>0</v>
      </c>
      <c r="X41" s="2">
        <v>0</v>
      </c>
      <c r="Y41" s="2">
        <v>0</v>
      </c>
      <c r="Z41" s="2">
        <v>0</v>
      </c>
      <c r="AA41" s="2">
        <v>0</v>
      </c>
      <c r="AB41" s="2">
        <v>0</v>
      </c>
      <c r="AC41" s="2">
        <v>0</v>
      </c>
      <c r="AD41" s="2">
        <v>0</v>
      </c>
      <c r="AE41" s="2">
        <v>1</v>
      </c>
      <c r="AF41" s="2" t="s">
        <v>55</v>
      </c>
      <c r="AG41" s="2">
        <v>1</v>
      </c>
      <c r="AH41" s="2">
        <v>1</v>
      </c>
      <c r="AI41" s="2">
        <v>1</v>
      </c>
      <c r="AJ41" s="2">
        <v>0</v>
      </c>
      <c r="AK41" s="2">
        <v>1</v>
      </c>
      <c r="AL41" s="5">
        <v>45379</v>
      </c>
      <c r="AM41" s="2">
        <v>1</v>
      </c>
      <c r="AN41" s="2">
        <v>1</v>
      </c>
      <c r="AO41" s="2">
        <v>0</v>
      </c>
      <c r="AT41" s="2">
        <v>1</v>
      </c>
      <c r="AU41" s="2" t="s">
        <v>112</v>
      </c>
    </row>
    <row r="42" spans="1:47">
      <c r="A42" s="2">
        <v>41</v>
      </c>
      <c r="B42" s="5">
        <v>45379</v>
      </c>
      <c r="C42" s="5">
        <v>45390</v>
      </c>
      <c r="D42" s="2">
        <f t="shared" si="1"/>
        <v>11</v>
      </c>
      <c r="E42" s="2">
        <v>87</v>
      </c>
      <c r="F42" s="2">
        <v>2</v>
      </c>
      <c r="G42" s="2">
        <v>2</v>
      </c>
      <c r="H42" s="2">
        <v>1</v>
      </c>
      <c r="I42" s="2">
        <v>0</v>
      </c>
      <c r="J42" s="2">
        <v>0</v>
      </c>
      <c r="K42" s="2">
        <v>1</v>
      </c>
      <c r="L42" s="2">
        <v>0</v>
      </c>
      <c r="M42" s="2">
        <v>0</v>
      </c>
      <c r="N42" s="2">
        <v>0</v>
      </c>
      <c r="O42" s="2" t="s">
        <v>72</v>
      </c>
      <c r="P42" t="s">
        <v>52</v>
      </c>
      <c r="Q42" s="2">
        <v>1</v>
      </c>
      <c r="R42" s="2">
        <v>4</v>
      </c>
      <c r="S42" s="5">
        <v>45379</v>
      </c>
      <c r="T42" s="5">
        <v>45382</v>
      </c>
      <c r="U42" s="28">
        <f t="shared" si="0"/>
        <v>3</v>
      </c>
      <c r="V42" s="2">
        <v>0</v>
      </c>
      <c r="W42" s="2">
        <v>0</v>
      </c>
      <c r="X42" s="2">
        <v>0</v>
      </c>
      <c r="Y42" s="2">
        <v>0</v>
      </c>
      <c r="Z42" s="2">
        <v>0</v>
      </c>
      <c r="AA42" s="2">
        <v>0</v>
      </c>
      <c r="AB42" s="2">
        <v>0</v>
      </c>
      <c r="AC42" s="2">
        <v>0</v>
      </c>
      <c r="AD42" s="2">
        <v>0</v>
      </c>
      <c r="AE42" s="2">
        <v>1</v>
      </c>
      <c r="AF42" s="2" t="s">
        <v>79</v>
      </c>
      <c r="AG42" s="2">
        <v>1</v>
      </c>
      <c r="AH42" s="2">
        <v>1</v>
      </c>
      <c r="AI42" s="2">
        <v>0</v>
      </c>
      <c r="AJ42" s="2">
        <v>0</v>
      </c>
      <c r="AK42" s="2">
        <v>1</v>
      </c>
      <c r="AL42" s="5">
        <v>45383</v>
      </c>
      <c r="AM42" s="2">
        <v>0</v>
      </c>
      <c r="AN42" s="2">
        <v>0</v>
      </c>
      <c r="AO42" s="2">
        <v>0</v>
      </c>
      <c r="AT42" s="2">
        <v>0</v>
      </c>
      <c r="AU42" s="2" t="s">
        <v>113</v>
      </c>
    </row>
    <row r="43" spans="1:47" s="13" customFormat="1">
      <c r="A43" s="13">
        <v>42</v>
      </c>
      <c r="B43" s="18">
        <v>45381</v>
      </c>
      <c r="C43" s="18">
        <v>45412</v>
      </c>
      <c r="D43" s="13">
        <f t="shared" si="1"/>
        <v>31</v>
      </c>
      <c r="E43" s="13">
        <v>69</v>
      </c>
      <c r="F43" s="13">
        <v>2</v>
      </c>
      <c r="G43" s="13">
        <v>3</v>
      </c>
      <c r="H43" s="13">
        <v>0</v>
      </c>
      <c r="I43" s="13">
        <v>0</v>
      </c>
      <c r="J43" s="13">
        <v>0</v>
      </c>
      <c r="K43" s="13">
        <v>0</v>
      </c>
      <c r="L43" s="13">
        <v>0</v>
      </c>
      <c r="M43" s="13">
        <v>0</v>
      </c>
      <c r="N43" s="13">
        <v>0</v>
      </c>
      <c r="P43" s="14" t="s">
        <v>47</v>
      </c>
      <c r="Q43" s="13">
        <v>0</v>
      </c>
      <c r="R43" s="13">
        <v>1</v>
      </c>
      <c r="S43" s="18">
        <v>45381</v>
      </c>
      <c r="T43" s="18">
        <v>45381</v>
      </c>
      <c r="U43" s="31">
        <f t="shared" si="0"/>
        <v>0</v>
      </c>
      <c r="V43" s="13">
        <v>0</v>
      </c>
      <c r="W43" s="13">
        <v>0</v>
      </c>
      <c r="X43" s="13">
        <v>0</v>
      </c>
      <c r="Y43" s="13">
        <v>0</v>
      </c>
      <c r="Z43" s="13">
        <v>0</v>
      </c>
      <c r="AA43" s="13">
        <v>0</v>
      </c>
      <c r="AB43" s="13">
        <v>0</v>
      </c>
      <c r="AC43" s="13">
        <v>0</v>
      </c>
      <c r="AD43" s="13">
        <v>0</v>
      </c>
      <c r="AE43" s="13">
        <v>1</v>
      </c>
      <c r="AF43" s="13" t="s">
        <v>48</v>
      </c>
      <c r="AG43" s="13">
        <v>1</v>
      </c>
      <c r="AH43" s="13">
        <v>1</v>
      </c>
      <c r="AI43" s="13">
        <v>1</v>
      </c>
      <c r="AJ43" s="13">
        <v>1</v>
      </c>
      <c r="AK43" s="13">
        <v>1</v>
      </c>
      <c r="AL43" s="18">
        <v>45383</v>
      </c>
      <c r="AM43" s="13">
        <v>0</v>
      </c>
      <c r="AN43" s="13">
        <v>1</v>
      </c>
      <c r="AO43" s="13">
        <v>1</v>
      </c>
      <c r="AP43" s="18">
        <v>45385</v>
      </c>
      <c r="AQ43" s="13">
        <v>0</v>
      </c>
      <c r="AR43" s="13">
        <v>0</v>
      </c>
      <c r="AS43" s="13">
        <v>1</v>
      </c>
      <c r="AT43" s="13">
        <v>0</v>
      </c>
      <c r="AU43" s="13" t="s">
        <v>115</v>
      </c>
    </row>
    <row r="44" spans="1:47">
      <c r="A44" s="2">
        <v>43</v>
      </c>
      <c r="B44" s="5">
        <v>45443</v>
      </c>
      <c r="C44" s="5">
        <v>45455</v>
      </c>
      <c r="D44" s="2">
        <f t="shared" si="1"/>
        <v>12</v>
      </c>
      <c r="E44" s="2">
        <v>70</v>
      </c>
      <c r="F44" s="2">
        <v>2</v>
      </c>
      <c r="G44" s="2">
        <v>2</v>
      </c>
      <c r="H44" s="2">
        <v>0</v>
      </c>
      <c r="I44" s="2">
        <v>0</v>
      </c>
      <c r="J44" s="2">
        <v>0</v>
      </c>
      <c r="K44" s="2">
        <v>0</v>
      </c>
      <c r="L44" s="2">
        <v>0</v>
      </c>
      <c r="M44" s="2">
        <v>0</v>
      </c>
      <c r="N44" s="2">
        <v>0</v>
      </c>
      <c r="P44" t="s">
        <v>116</v>
      </c>
      <c r="Q44" s="2">
        <v>0</v>
      </c>
      <c r="R44" s="2">
        <v>1</v>
      </c>
      <c r="S44" s="5">
        <v>45444</v>
      </c>
      <c r="T44" s="5">
        <v>45444</v>
      </c>
      <c r="U44" s="28">
        <f t="shared" si="0"/>
        <v>0</v>
      </c>
      <c r="V44" s="2">
        <v>1</v>
      </c>
      <c r="W44" s="2">
        <v>1</v>
      </c>
      <c r="X44" s="2">
        <v>0</v>
      </c>
      <c r="Y44" s="2">
        <v>0</v>
      </c>
      <c r="Z44" s="2">
        <v>0</v>
      </c>
      <c r="AA44" s="2">
        <v>0</v>
      </c>
      <c r="AB44" s="2">
        <v>0</v>
      </c>
      <c r="AC44" s="2">
        <v>0</v>
      </c>
      <c r="AD44" s="2">
        <v>0</v>
      </c>
      <c r="AE44" s="2">
        <v>1</v>
      </c>
      <c r="AF44" s="2" t="s">
        <v>117</v>
      </c>
      <c r="AG44" s="2">
        <v>1</v>
      </c>
      <c r="AH44" s="2">
        <v>1</v>
      </c>
      <c r="AI44" s="2">
        <v>1</v>
      </c>
      <c r="AJ44" s="2">
        <v>1</v>
      </c>
      <c r="AK44" s="2">
        <v>1</v>
      </c>
      <c r="AL44" s="5">
        <v>45448</v>
      </c>
      <c r="AM44" s="2">
        <v>0</v>
      </c>
      <c r="AN44" s="2">
        <v>1</v>
      </c>
      <c r="AO44" s="2">
        <v>0</v>
      </c>
      <c r="AT44" s="2">
        <v>0</v>
      </c>
      <c r="AU44" s="2" t="s">
        <v>118</v>
      </c>
    </row>
    <row r="45" spans="1:47">
      <c r="A45" s="2">
        <v>44</v>
      </c>
      <c r="B45" s="5">
        <v>45449</v>
      </c>
      <c r="C45" s="5">
        <v>45453</v>
      </c>
      <c r="D45" s="2">
        <f t="shared" si="1"/>
        <v>4</v>
      </c>
      <c r="E45" s="2">
        <v>78</v>
      </c>
      <c r="F45" s="2">
        <v>2</v>
      </c>
      <c r="G45" s="2">
        <v>2</v>
      </c>
      <c r="H45" s="2">
        <v>1</v>
      </c>
      <c r="I45" s="2">
        <v>0</v>
      </c>
      <c r="J45" s="2">
        <v>0</v>
      </c>
      <c r="K45" s="2">
        <v>0</v>
      </c>
      <c r="L45" s="2">
        <v>1</v>
      </c>
      <c r="M45" s="2">
        <v>0</v>
      </c>
      <c r="N45" s="2">
        <v>0</v>
      </c>
      <c r="P45" t="s">
        <v>119</v>
      </c>
      <c r="Q45" s="2">
        <v>0</v>
      </c>
      <c r="R45" s="2">
        <v>1</v>
      </c>
      <c r="S45" s="5">
        <v>45449</v>
      </c>
      <c r="T45" s="5">
        <v>45449</v>
      </c>
      <c r="U45" s="28">
        <f t="shared" si="0"/>
        <v>0</v>
      </c>
      <c r="V45" s="2">
        <v>1</v>
      </c>
      <c r="W45" s="2">
        <v>0</v>
      </c>
      <c r="X45" s="2">
        <v>0</v>
      </c>
      <c r="Y45" s="2">
        <v>0</v>
      </c>
      <c r="Z45" s="2">
        <v>0</v>
      </c>
      <c r="AA45" s="2">
        <v>0</v>
      </c>
      <c r="AB45" s="2">
        <v>0</v>
      </c>
      <c r="AC45" s="2">
        <v>0</v>
      </c>
      <c r="AD45" s="2">
        <v>1</v>
      </c>
      <c r="AE45" s="2">
        <v>1</v>
      </c>
      <c r="AF45" s="2" t="s">
        <v>117</v>
      </c>
      <c r="AG45" s="11">
        <v>0</v>
      </c>
      <c r="AH45" s="2">
        <v>1</v>
      </c>
      <c r="AI45" s="2">
        <v>1</v>
      </c>
      <c r="AJ45" s="11">
        <v>1</v>
      </c>
      <c r="AK45" s="2">
        <v>0</v>
      </c>
      <c r="AO45" s="2">
        <v>0</v>
      </c>
      <c r="AT45" s="2">
        <v>0</v>
      </c>
      <c r="AU45" s="2" t="s">
        <v>120</v>
      </c>
    </row>
    <row r="46" spans="1:47">
      <c r="A46" s="2">
        <v>45</v>
      </c>
      <c r="B46" s="5">
        <v>45450</v>
      </c>
      <c r="C46" s="5">
        <v>45456</v>
      </c>
      <c r="D46" s="2">
        <f t="shared" si="1"/>
        <v>6</v>
      </c>
      <c r="E46" s="2">
        <v>71</v>
      </c>
      <c r="F46" s="2">
        <v>1</v>
      </c>
      <c r="G46" s="2">
        <v>2</v>
      </c>
      <c r="H46" s="2">
        <v>1</v>
      </c>
      <c r="I46" s="2">
        <v>0</v>
      </c>
      <c r="J46" s="2">
        <v>1</v>
      </c>
      <c r="K46" s="2">
        <v>0</v>
      </c>
      <c r="L46" s="2">
        <v>0</v>
      </c>
      <c r="M46" s="2">
        <v>0</v>
      </c>
      <c r="N46" s="2">
        <v>0</v>
      </c>
      <c r="P46" t="s">
        <v>121</v>
      </c>
      <c r="Q46" s="2">
        <v>0</v>
      </c>
      <c r="R46" s="2">
        <v>1</v>
      </c>
      <c r="S46" s="5">
        <v>45450</v>
      </c>
      <c r="T46" s="5">
        <v>45450</v>
      </c>
      <c r="U46" s="28">
        <f t="shared" si="0"/>
        <v>0</v>
      </c>
      <c r="V46" s="2">
        <v>0</v>
      </c>
      <c r="W46" s="2">
        <v>0</v>
      </c>
      <c r="X46" s="2">
        <v>0</v>
      </c>
      <c r="Y46" s="2">
        <v>0</v>
      </c>
      <c r="Z46" s="2">
        <v>0</v>
      </c>
      <c r="AA46" s="2">
        <v>0</v>
      </c>
      <c r="AB46" s="2">
        <v>0</v>
      </c>
      <c r="AC46" s="2">
        <v>0</v>
      </c>
      <c r="AD46" s="2">
        <v>0</v>
      </c>
      <c r="AE46" s="2">
        <v>1</v>
      </c>
      <c r="AF46" s="2" t="s">
        <v>117</v>
      </c>
      <c r="AG46" s="2">
        <v>1</v>
      </c>
      <c r="AH46" s="2">
        <v>1</v>
      </c>
      <c r="AI46" s="2">
        <v>1</v>
      </c>
      <c r="AJ46" s="2">
        <v>1</v>
      </c>
      <c r="AK46" s="2">
        <v>1</v>
      </c>
      <c r="AL46" s="5">
        <v>45453</v>
      </c>
      <c r="AM46" s="2">
        <v>0</v>
      </c>
      <c r="AN46" s="2">
        <v>0</v>
      </c>
      <c r="AO46" s="2">
        <v>1</v>
      </c>
      <c r="AP46" s="5">
        <v>45455</v>
      </c>
      <c r="AQ46" s="2">
        <v>0</v>
      </c>
      <c r="AR46" s="2">
        <v>1</v>
      </c>
      <c r="AS46" s="2">
        <v>0</v>
      </c>
      <c r="AT46" s="2">
        <v>0</v>
      </c>
      <c r="AU46" s="2" t="s">
        <v>122</v>
      </c>
    </row>
    <row r="47" spans="1:47">
      <c r="A47" s="2">
        <v>46</v>
      </c>
      <c r="B47" s="5">
        <v>45455</v>
      </c>
      <c r="C47" s="5">
        <v>45462</v>
      </c>
      <c r="D47" s="2">
        <f t="shared" si="1"/>
        <v>7</v>
      </c>
      <c r="E47" s="2">
        <v>83</v>
      </c>
      <c r="F47" s="2">
        <v>1</v>
      </c>
      <c r="G47" s="2">
        <v>5</v>
      </c>
      <c r="H47" s="2">
        <v>0</v>
      </c>
      <c r="I47" s="2">
        <v>0</v>
      </c>
      <c r="J47" s="2">
        <v>0</v>
      </c>
      <c r="K47" s="2">
        <v>0</v>
      </c>
      <c r="L47" s="2">
        <v>0</v>
      </c>
      <c r="M47" s="2">
        <v>0</v>
      </c>
      <c r="N47" s="2">
        <v>0</v>
      </c>
      <c r="P47" t="s">
        <v>119</v>
      </c>
      <c r="Q47" s="2">
        <v>0</v>
      </c>
      <c r="R47" s="2">
        <v>1</v>
      </c>
      <c r="S47" s="5">
        <v>45455</v>
      </c>
      <c r="T47" s="5">
        <v>45455</v>
      </c>
      <c r="U47" s="28">
        <f t="shared" si="0"/>
        <v>0</v>
      </c>
      <c r="V47" s="2">
        <v>1</v>
      </c>
      <c r="W47" s="2">
        <v>0</v>
      </c>
      <c r="X47" s="2">
        <v>0</v>
      </c>
      <c r="Y47" s="2">
        <v>0</v>
      </c>
      <c r="Z47" s="2">
        <v>1</v>
      </c>
      <c r="AA47" s="2">
        <v>0</v>
      </c>
      <c r="AB47" s="2">
        <v>0</v>
      </c>
      <c r="AC47" s="2">
        <v>0</v>
      </c>
      <c r="AD47" s="2">
        <v>0</v>
      </c>
      <c r="AE47" s="2">
        <v>1</v>
      </c>
      <c r="AF47" s="2" t="s">
        <v>117</v>
      </c>
      <c r="AG47" s="2">
        <v>1</v>
      </c>
      <c r="AH47" s="2">
        <v>1</v>
      </c>
      <c r="AI47" s="2">
        <v>1</v>
      </c>
      <c r="AJ47" s="2">
        <v>1</v>
      </c>
      <c r="AK47" s="2">
        <v>1</v>
      </c>
      <c r="AL47" s="5">
        <v>45457</v>
      </c>
      <c r="AM47" s="2">
        <v>1</v>
      </c>
      <c r="AN47" s="2">
        <v>0</v>
      </c>
      <c r="AO47" s="2">
        <v>0</v>
      </c>
      <c r="AP47" s="5"/>
      <c r="AT47" s="2">
        <v>0</v>
      </c>
      <c r="AU47" s="2" t="s">
        <v>123</v>
      </c>
    </row>
    <row r="48" spans="1:47">
      <c r="A48" s="2">
        <v>47</v>
      </c>
      <c r="B48" s="5">
        <v>45460</v>
      </c>
      <c r="C48" s="5">
        <v>45465</v>
      </c>
      <c r="D48" s="2">
        <f t="shared" si="1"/>
        <v>5</v>
      </c>
      <c r="E48" s="2">
        <v>65</v>
      </c>
      <c r="F48" s="2">
        <v>1</v>
      </c>
      <c r="G48" s="2">
        <v>3</v>
      </c>
      <c r="H48" s="2">
        <v>0</v>
      </c>
      <c r="I48" s="2">
        <v>0</v>
      </c>
      <c r="J48" s="2">
        <v>0</v>
      </c>
      <c r="K48" s="2">
        <v>0</v>
      </c>
      <c r="L48" s="2">
        <v>0</v>
      </c>
      <c r="M48" s="2">
        <v>0</v>
      </c>
      <c r="N48" s="2">
        <v>0</v>
      </c>
      <c r="P48" t="s">
        <v>119</v>
      </c>
      <c r="Q48" s="2">
        <v>0</v>
      </c>
      <c r="R48" s="2">
        <v>1</v>
      </c>
      <c r="S48" s="5">
        <v>45460</v>
      </c>
      <c r="T48" s="5">
        <v>45460</v>
      </c>
      <c r="U48" s="28">
        <f t="shared" si="0"/>
        <v>0</v>
      </c>
      <c r="V48" s="2">
        <v>1</v>
      </c>
      <c r="W48" s="2">
        <v>0</v>
      </c>
      <c r="X48" s="2">
        <v>0</v>
      </c>
      <c r="Y48" s="2">
        <v>0</v>
      </c>
      <c r="Z48" s="2">
        <v>0</v>
      </c>
      <c r="AA48" s="2">
        <v>0</v>
      </c>
      <c r="AB48" s="2">
        <v>1</v>
      </c>
      <c r="AC48" s="2">
        <v>0</v>
      </c>
      <c r="AD48" s="2">
        <v>0</v>
      </c>
      <c r="AE48" s="2">
        <v>1</v>
      </c>
      <c r="AF48" s="2" t="s">
        <v>117</v>
      </c>
      <c r="AG48" s="11">
        <v>0</v>
      </c>
      <c r="AH48" s="2">
        <v>0</v>
      </c>
      <c r="AI48" s="2">
        <v>1</v>
      </c>
      <c r="AJ48" s="2">
        <v>1</v>
      </c>
      <c r="AK48" s="2">
        <v>1</v>
      </c>
      <c r="AL48" s="5">
        <v>45463</v>
      </c>
      <c r="AM48" s="2">
        <v>0</v>
      </c>
      <c r="AN48" s="2">
        <v>1</v>
      </c>
      <c r="AO48" s="2">
        <v>0</v>
      </c>
      <c r="AT48" s="2">
        <v>0</v>
      </c>
      <c r="AU48" s="2" t="s">
        <v>124</v>
      </c>
    </row>
    <row r="49" spans="1:47">
      <c r="A49" s="2">
        <v>48</v>
      </c>
      <c r="B49" s="5">
        <v>45473</v>
      </c>
      <c r="C49" s="5">
        <v>45483</v>
      </c>
      <c r="D49" s="2">
        <f t="shared" si="1"/>
        <v>10</v>
      </c>
      <c r="E49" s="2">
        <v>55</v>
      </c>
      <c r="F49" s="2">
        <v>2</v>
      </c>
      <c r="G49" s="2">
        <v>2</v>
      </c>
      <c r="H49" s="2">
        <v>1</v>
      </c>
      <c r="I49" s="2">
        <v>0</v>
      </c>
      <c r="J49" s="2">
        <v>0</v>
      </c>
      <c r="K49" s="2">
        <v>0</v>
      </c>
      <c r="L49" s="2">
        <v>1</v>
      </c>
      <c r="M49" s="2">
        <v>0</v>
      </c>
      <c r="N49" s="2">
        <v>0</v>
      </c>
      <c r="P49" t="s">
        <v>125</v>
      </c>
      <c r="Q49" s="2">
        <v>0</v>
      </c>
      <c r="R49" s="2">
        <v>1</v>
      </c>
      <c r="S49" s="5">
        <v>45473</v>
      </c>
      <c r="T49" s="5">
        <v>45473</v>
      </c>
      <c r="U49" s="28">
        <f t="shared" si="0"/>
        <v>0</v>
      </c>
      <c r="V49" s="2">
        <v>0</v>
      </c>
      <c r="W49" s="2">
        <v>0</v>
      </c>
      <c r="X49" s="2">
        <v>0</v>
      </c>
      <c r="Y49" s="2">
        <v>0</v>
      </c>
      <c r="Z49" s="2">
        <v>0</v>
      </c>
      <c r="AA49" s="2">
        <v>0</v>
      </c>
      <c r="AB49" s="2">
        <v>0</v>
      </c>
      <c r="AC49" s="2">
        <v>0</v>
      </c>
      <c r="AD49" s="2">
        <v>0</v>
      </c>
      <c r="AE49" s="2">
        <v>1</v>
      </c>
      <c r="AF49" s="2" t="s">
        <v>126</v>
      </c>
      <c r="AG49" s="11">
        <v>0</v>
      </c>
      <c r="AH49" s="2">
        <v>1</v>
      </c>
      <c r="AI49" s="2">
        <v>0</v>
      </c>
      <c r="AJ49" s="2">
        <v>1</v>
      </c>
      <c r="AK49" s="2">
        <v>1</v>
      </c>
      <c r="AL49" s="5">
        <v>45475</v>
      </c>
      <c r="AM49" s="2">
        <v>0</v>
      </c>
      <c r="AN49" s="2">
        <v>0</v>
      </c>
      <c r="AO49" s="2">
        <v>0</v>
      </c>
      <c r="AT49" s="2">
        <v>0</v>
      </c>
      <c r="AU49" s="2" t="s">
        <v>127</v>
      </c>
    </row>
    <row r="50" spans="1:47">
      <c r="A50" s="2">
        <v>49</v>
      </c>
      <c r="B50" s="5">
        <v>45421</v>
      </c>
      <c r="C50" s="5">
        <v>45426</v>
      </c>
      <c r="D50" s="2">
        <f t="shared" si="1"/>
        <v>5</v>
      </c>
      <c r="E50" s="2">
        <v>58</v>
      </c>
      <c r="F50" s="2">
        <v>1</v>
      </c>
      <c r="G50" s="2">
        <v>3</v>
      </c>
      <c r="H50" s="2">
        <v>0</v>
      </c>
      <c r="I50" s="2">
        <v>0</v>
      </c>
      <c r="J50" s="2">
        <v>0</v>
      </c>
      <c r="K50" s="2">
        <v>0</v>
      </c>
      <c r="L50" s="2">
        <v>0</v>
      </c>
      <c r="M50" s="2">
        <v>0</v>
      </c>
      <c r="N50" s="2">
        <v>1</v>
      </c>
      <c r="O50" s="2" t="s">
        <v>128</v>
      </c>
      <c r="P50" t="s">
        <v>116</v>
      </c>
      <c r="Q50" s="2">
        <v>0</v>
      </c>
      <c r="R50" s="2">
        <v>1</v>
      </c>
      <c r="S50" s="5">
        <v>45421</v>
      </c>
      <c r="T50" s="5">
        <v>45421</v>
      </c>
      <c r="U50" s="28">
        <f t="shared" si="0"/>
        <v>0</v>
      </c>
      <c r="V50" s="2">
        <v>1</v>
      </c>
      <c r="W50" s="2">
        <v>0</v>
      </c>
      <c r="X50" s="2">
        <v>0</v>
      </c>
      <c r="Y50" s="2">
        <v>0</v>
      </c>
      <c r="Z50" s="2">
        <v>0</v>
      </c>
      <c r="AA50" s="2">
        <v>0</v>
      </c>
      <c r="AB50" s="2">
        <v>0</v>
      </c>
      <c r="AC50" s="2">
        <v>0</v>
      </c>
      <c r="AD50" s="2">
        <v>1</v>
      </c>
      <c r="AE50" s="2">
        <v>1</v>
      </c>
      <c r="AF50" s="2" t="s">
        <v>129</v>
      </c>
      <c r="AG50" s="11">
        <v>0</v>
      </c>
      <c r="AH50" s="2">
        <v>1</v>
      </c>
      <c r="AI50" s="2">
        <v>1</v>
      </c>
      <c r="AJ50" s="2">
        <v>1</v>
      </c>
      <c r="AK50" s="2">
        <v>1</v>
      </c>
      <c r="AL50" s="5">
        <v>45422</v>
      </c>
      <c r="AM50" s="2">
        <v>0</v>
      </c>
      <c r="AN50" s="2">
        <v>0</v>
      </c>
      <c r="AO50" s="2">
        <v>1</v>
      </c>
      <c r="AP50" s="5">
        <v>45425</v>
      </c>
      <c r="AQ50" s="2">
        <v>1</v>
      </c>
      <c r="AR50" s="2">
        <v>0</v>
      </c>
      <c r="AS50" s="2">
        <v>1</v>
      </c>
      <c r="AT50" s="2">
        <v>0</v>
      </c>
      <c r="AU50" s="2" t="s">
        <v>130</v>
      </c>
    </row>
    <row r="51" spans="1:47" s="8" customFormat="1">
      <c r="A51" s="8">
        <v>50</v>
      </c>
      <c r="B51" s="6">
        <v>45411</v>
      </c>
      <c r="C51" s="6">
        <v>45428</v>
      </c>
      <c r="D51" s="8">
        <f t="shared" si="1"/>
        <v>17</v>
      </c>
      <c r="E51" s="8">
        <v>46</v>
      </c>
      <c r="F51" s="8">
        <v>1</v>
      </c>
      <c r="G51" s="8">
        <v>3</v>
      </c>
      <c r="H51" s="8">
        <v>0</v>
      </c>
      <c r="I51" s="8">
        <v>0</v>
      </c>
      <c r="J51" s="8">
        <v>0</v>
      </c>
      <c r="K51" s="8">
        <v>0</v>
      </c>
      <c r="L51" s="8">
        <v>0</v>
      </c>
      <c r="M51" s="8">
        <v>0</v>
      </c>
      <c r="N51" s="8">
        <v>0</v>
      </c>
      <c r="P51" s="9" t="s">
        <v>119</v>
      </c>
      <c r="Q51" s="8">
        <v>0</v>
      </c>
      <c r="R51" s="8">
        <v>1</v>
      </c>
      <c r="S51" s="6">
        <v>45423</v>
      </c>
      <c r="T51" s="6">
        <v>45423</v>
      </c>
      <c r="U51" s="29">
        <f t="shared" si="0"/>
        <v>0</v>
      </c>
      <c r="V51" s="8">
        <v>1</v>
      </c>
      <c r="W51" s="8">
        <v>0</v>
      </c>
      <c r="X51" s="8">
        <v>0</v>
      </c>
      <c r="Y51" s="8">
        <v>1</v>
      </c>
      <c r="Z51" s="8">
        <v>0</v>
      </c>
      <c r="AA51" s="8">
        <v>0</v>
      </c>
      <c r="AB51" s="8">
        <v>1</v>
      </c>
      <c r="AC51" s="8">
        <v>0</v>
      </c>
      <c r="AD51" s="8">
        <v>0</v>
      </c>
      <c r="AE51" s="8">
        <v>1</v>
      </c>
      <c r="AF51" s="8" t="s">
        <v>68</v>
      </c>
      <c r="AG51" s="8">
        <v>0</v>
      </c>
      <c r="AH51" s="8">
        <v>1</v>
      </c>
      <c r="AI51" s="8">
        <v>0</v>
      </c>
      <c r="AJ51" s="8">
        <v>0</v>
      </c>
      <c r="AK51" s="8">
        <v>0</v>
      </c>
      <c r="AP51" s="8">
        <v>0</v>
      </c>
      <c r="AT51" s="8">
        <v>1</v>
      </c>
      <c r="AU51" s="8" t="s">
        <v>131</v>
      </c>
    </row>
    <row r="52" spans="1:47">
      <c r="A52" s="8">
        <v>51</v>
      </c>
      <c r="B52" s="5">
        <v>45428</v>
      </c>
      <c r="C52" s="6">
        <v>45448</v>
      </c>
      <c r="D52" s="2">
        <f t="shared" si="1"/>
        <v>20</v>
      </c>
      <c r="E52" s="2">
        <v>77</v>
      </c>
      <c r="F52" s="2">
        <v>1</v>
      </c>
      <c r="G52" s="2">
        <v>2</v>
      </c>
      <c r="H52" s="2">
        <v>0</v>
      </c>
      <c r="I52" s="2">
        <v>0</v>
      </c>
      <c r="J52" s="2">
        <v>0</v>
      </c>
      <c r="K52" s="2">
        <v>0</v>
      </c>
      <c r="L52" s="2">
        <v>0</v>
      </c>
      <c r="M52" s="2">
        <v>0</v>
      </c>
      <c r="N52" s="2">
        <v>0</v>
      </c>
      <c r="P52" t="s">
        <v>119</v>
      </c>
      <c r="Q52" s="2">
        <v>0</v>
      </c>
      <c r="R52" s="2">
        <v>1</v>
      </c>
      <c r="S52" s="5">
        <v>45429</v>
      </c>
      <c r="T52" s="5">
        <v>45429</v>
      </c>
      <c r="U52" s="28">
        <f t="shared" si="0"/>
        <v>0</v>
      </c>
      <c r="V52" s="2">
        <v>1</v>
      </c>
      <c r="W52" s="2">
        <v>0</v>
      </c>
      <c r="X52" s="2">
        <v>0</v>
      </c>
      <c r="Y52" s="2">
        <v>0</v>
      </c>
      <c r="Z52" s="2">
        <v>0</v>
      </c>
      <c r="AA52" s="2">
        <v>0</v>
      </c>
      <c r="AB52" s="2">
        <v>0</v>
      </c>
      <c r="AC52" s="2">
        <v>0</v>
      </c>
      <c r="AD52" s="2">
        <v>1</v>
      </c>
      <c r="AE52" s="2">
        <v>1</v>
      </c>
      <c r="AF52" s="11" t="s">
        <v>91</v>
      </c>
      <c r="AG52" s="2">
        <v>1</v>
      </c>
      <c r="AH52" s="2">
        <v>1</v>
      </c>
      <c r="AI52" s="2">
        <v>0</v>
      </c>
      <c r="AJ52" s="2">
        <v>0</v>
      </c>
      <c r="AK52" s="2">
        <v>1</v>
      </c>
      <c r="AL52" s="5">
        <v>45433</v>
      </c>
      <c r="AM52" s="2">
        <v>0</v>
      </c>
      <c r="AN52" s="2">
        <v>0</v>
      </c>
      <c r="AO52" s="2">
        <v>1</v>
      </c>
      <c r="AP52" s="5">
        <v>45434</v>
      </c>
      <c r="AQ52" s="2">
        <v>0</v>
      </c>
      <c r="AR52" s="2">
        <v>0</v>
      </c>
      <c r="AS52" s="2">
        <v>0</v>
      </c>
      <c r="AT52" s="2">
        <v>1</v>
      </c>
      <c r="AU52" s="2" t="s">
        <v>132</v>
      </c>
    </row>
    <row r="53" spans="1:47">
      <c r="A53" s="8">
        <v>52</v>
      </c>
      <c r="B53" s="5">
        <v>45433</v>
      </c>
      <c r="C53" s="6">
        <v>45447</v>
      </c>
      <c r="D53" s="2">
        <f t="shared" si="1"/>
        <v>14</v>
      </c>
      <c r="E53" s="2">
        <v>75</v>
      </c>
      <c r="F53" s="2">
        <v>1</v>
      </c>
      <c r="G53" s="2">
        <v>2</v>
      </c>
      <c r="H53" s="2">
        <v>0</v>
      </c>
      <c r="I53" s="2">
        <v>0</v>
      </c>
      <c r="J53" s="2">
        <v>0</v>
      </c>
      <c r="K53" s="2">
        <v>0</v>
      </c>
      <c r="L53" s="2">
        <v>0</v>
      </c>
      <c r="M53" s="2">
        <v>0</v>
      </c>
      <c r="N53" s="2">
        <v>0</v>
      </c>
      <c r="P53" t="s">
        <v>119</v>
      </c>
      <c r="Q53" s="2">
        <v>0</v>
      </c>
      <c r="R53" s="2">
        <v>1</v>
      </c>
      <c r="S53" s="5">
        <v>45433</v>
      </c>
      <c r="T53" s="5">
        <v>45433</v>
      </c>
      <c r="U53" s="28">
        <f t="shared" si="0"/>
        <v>0</v>
      </c>
      <c r="V53" s="2">
        <v>0</v>
      </c>
      <c r="W53" s="2">
        <v>0</v>
      </c>
      <c r="X53" s="2">
        <v>0</v>
      </c>
      <c r="Y53" s="2">
        <v>0</v>
      </c>
      <c r="Z53" s="2">
        <v>0</v>
      </c>
      <c r="AA53" s="2">
        <v>0</v>
      </c>
      <c r="AB53" s="2">
        <v>0</v>
      </c>
      <c r="AC53" s="2">
        <v>0</v>
      </c>
      <c r="AD53" s="2">
        <v>0</v>
      </c>
      <c r="AE53" s="2">
        <v>1</v>
      </c>
      <c r="AF53" s="2" t="s">
        <v>117</v>
      </c>
      <c r="AG53" s="11">
        <v>0</v>
      </c>
      <c r="AH53" s="2">
        <v>0</v>
      </c>
      <c r="AI53" s="2">
        <v>1</v>
      </c>
      <c r="AJ53" s="2">
        <v>1</v>
      </c>
      <c r="AK53" s="2">
        <v>1</v>
      </c>
      <c r="AL53" s="5">
        <v>45436</v>
      </c>
      <c r="AM53" s="2">
        <v>0</v>
      </c>
      <c r="AN53" s="2">
        <v>0</v>
      </c>
      <c r="AO53" s="2">
        <v>0</v>
      </c>
      <c r="AT53" s="2">
        <v>0</v>
      </c>
      <c r="AU53" s="2" t="s">
        <v>133</v>
      </c>
    </row>
    <row r="54" spans="1:47">
      <c r="A54" s="2">
        <v>53</v>
      </c>
      <c r="B54" s="5">
        <v>45441</v>
      </c>
      <c r="C54" s="5">
        <v>45448</v>
      </c>
      <c r="D54" s="2">
        <f t="shared" si="1"/>
        <v>7</v>
      </c>
      <c r="E54" s="2">
        <v>54</v>
      </c>
      <c r="F54" s="2">
        <v>1</v>
      </c>
      <c r="G54" s="2">
        <v>3</v>
      </c>
      <c r="H54" s="2">
        <v>0</v>
      </c>
      <c r="I54" s="2">
        <v>0</v>
      </c>
      <c r="J54" s="2">
        <v>0</v>
      </c>
      <c r="K54" s="2">
        <v>0</v>
      </c>
      <c r="L54" s="2">
        <v>0</v>
      </c>
      <c r="M54" s="2">
        <v>0</v>
      </c>
      <c r="N54" s="2">
        <v>0</v>
      </c>
      <c r="P54" t="s">
        <v>125</v>
      </c>
      <c r="Q54" s="2">
        <v>0</v>
      </c>
      <c r="R54" s="2">
        <v>1</v>
      </c>
      <c r="S54" s="5">
        <v>45441</v>
      </c>
      <c r="T54" s="5">
        <v>45441</v>
      </c>
      <c r="U54" s="28">
        <f t="shared" si="0"/>
        <v>0</v>
      </c>
      <c r="V54" s="2">
        <v>1</v>
      </c>
      <c r="W54" s="2">
        <v>0</v>
      </c>
      <c r="X54" s="2">
        <v>0</v>
      </c>
      <c r="Y54" s="2">
        <v>0</v>
      </c>
      <c r="Z54" s="2">
        <v>0</v>
      </c>
      <c r="AA54" s="2">
        <v>1</v>
      </c>
      <c r="AB54" s="2">
        <v>0</v>
      </c>
      <c r="AC54" s="2">
        <v>0</v>
      </c>
      <c r="AD54" s="2">
        <v>0</v>
      </c>
      <c r="AE54" s="2">
        <v>1</v>
      </c>
      <c r="AF54" s="2" t="s">
        <v>134</v>
      </c>
      <c r="AG54" s="2">
        <v>0</v>
      </c>
      <c r="AH54" s="2">
        <v>0</v>
      </c>
      <c r="AI54" s="2">
        <v>1</v>
      </c>
      <c r="AJ54" s="2">
        <v>1</v>
      </c>
      <c r="AK54" s="2">
        <v>0</v>
      </c>
      <c r="AO54" s="2">
        <v>0</v>
      </c>
      <c r="AT54" s="2">
        <v>0</v>
      </c>
      <c r="AU54" s="2" t="s">
        <v>135</v>
      </c>
    </row>
    <row r="55" spans="1:47">
      <c r="A55" s="8">
        <v>54</v>
      </c>
      <c r="B55" s="5">
        <v>45395</v>
      </c>
      <c r="C55" s="6">
        <v>45420</v>
      </c>
      <c r="D55" s="2">
        <f t="shared" si="1"/>
        <v>25</v>
      </c>
      <c r="E55" s="2">
        <v>78</v>
      </c>
      <c r="F55" s="2">
        <v>2</v>
      </c>
      <c r="G55" s="2">
        <v>2</v>
      </c>
      <c r="H55" s="2">
        <v>0</v>
      </c>
      <c r="I55" s="2">
        <v>0</v>
      </c>
      <c r="J55" s="2">
        <v>0</v>
      </c>
      <c r="K55" s="2">
        <v>0</v>
      </c>
      <c r="L55" s="2">
        <v>0</v>
      </c>
      <c r="M55" s="2">
        <v>0</v>
      </c>
      <c r="N55" s="2">
        <v>0</v>
      </c>
      <c r="P55" t="s">
        <v>136</v>
      </c>
      <c r="Q55" s="2">
        <v>0</v>
      </c>
      <c r="R55" s="2">
        <v>1</v>
      </c>
      <c r="S55" s="5">
        <v>45395</v>
      </c>
      <c r="T55" s="5">
        <v>45395</v>
      </c>
      <c r="U55" s="28">
        <f t="shared" si="0"/>
        <v>0</v>
      </c>
      <c r="V55" s="2">
        <v>1</v>
      </c>
      <c r="W55" s="2">
        <v>0</v>
      </c>
      <c r="X55" s="2">
        <v>0</v>
      </c>
      <c r="Y55" s="2">
        <v>0</v>
      </c>
      <c r="Z55" s="2">
        <v>0</v>
      </c>
      <c r="AA55" s="2">
        <v>0</v>
      </c>
      <c r="AB55" s="2">
        <v>0</v>
      </c>
      <c r="AC55" s="2">
        <v>0</v>
      </c>
      <c r="AD55" s="2">
        <v>1</v>
      </c>
      <c r="AE55" s="2">
        <v>1</v>
      </c>
      <c r="AF55" s="2" t="s">
        <v>137</v>
      </c>
      <c r="AG55" s="2">
        <v>1</v>
      </c>
      <c r="AH55" s="2">
        <v>1</v>
      </c>
      <c r="AI55" s="2">
        <v>0</v>
      </c>
      <c r="AJ55" s="2">
        <v>0</v>
      </c>
      <c r="AK55" s="2">
        <v>1</v>
      </c>
      <c r="AL55" s="5">
        <v>45402</v>
      </c>
      <c r="AM55" s="2">
        <v>0</v>
      </c>
      <c r="AN55" s="2">
        <v>0</v>
      </c>
      <c r="AO55" s="2">
        <v>0</v>
      </c>
      <c r="AT55" s="2">
        <v>1</v>
      </c>
      <c r="AU55" s="2" t="s">
        <v>138</v>
      </c>
    </row>
    <row r="56" spans="1:47">
      <c r="A56" s="2">
        <v>55</v>
      </c>
      <c r="B56" s="5">
        <v>45409</v>
      </c>
      <c r="C56" s="5">
        <v>45435</v>
      </c>
      <c r="D56" s="2">
        <f t="shared" si="1"/>
        <v>26</v>
      </c>
      <c r="E56" s="2">
        <v>36</v>
      </c>
      <c r="F56" s="2">
        <v>1</v>
      </c>
      <c r="G56" s="2">
        <v>3</v>
      </c>
      <c r="H56" s="2">
        <v>0</v>
      </c>
      <c r="I56" s="2">
        <v>0</v>
      </c>
      <c r="J56" s="2">
        <v>0</v>
      </c>
      <c r="K56" s="2">
        <v>0</v>
      </c>
      <c r="L56" s="2">
        <v>0</v>
      </c>
      <c r="M56" s="2">
        <v>0</v>
      </c>
      <c r="N56" s="2">
        <v>0</v>
      </c>
      <c r="P56" t="s">
        <v>125</v>
      </c>
      <c r="Q56" s="2">
        <v>0</v>
      </c>
      <c r="R56" s="2">
        <v>1</v>
      </c>
      <c r="S56" s="5">
        <v>45409</v>
      </c>
      <c r="T56" s="5">
        <v>45409</v>
      </c>
      <c r="U56" s="28">
        <f t="shared" si="0"/>
        <v>0</v>
      </c>
      <c r="V56" s="2">
        <v>1</v>
      </c>
      <c r="W56" s="2">
        <v>0</v>
      </c>
      <c r="X56" s="2">
        <v>0</v>
      </c>
      <c r="Y56" s="2">
        <v>0</v>
      </c>
      <c r="Z56" s="2">
        <v>1</v>
      </c>
      <c r="AA56" s="2">
        <v>1</v>
      </c>
      <c r="AB56" s="2">
        <v>0</v>
      </c>
      <c r="AC56" s="2">
        <v>0</v>
      </c>
      <c r="AD56" s="2">
        <v>0</v>
      </c>
      <c r="AE56" s="2">
        <v>1</v>
      </c>
      <c r="AF56" s="2" t="s">
        <v>117</v>
      </c>
      <c r="AG56" s="2">
        <v>1</v>
      </c>
      <c r="AH56" s="2">
        <v>1</v>
      </c>
      <c r="AI56" s="11">
        <v>1</v>
      </c>
      <c r="AJ56" s="2">
        <v>0</v>
      </c>
      <c r="AK56" s="2">
        <v>1</v>
      </c>
      <c r="AL56" s="5">
        <v>45413</v>
      </c>
      <c r="AM56" s="2">
        <v>0</v>
      </c>
      <c r="AN56" s="2">
        <v>0</v>
      </c>
      <c r="AO56" s="2">
        <v>0</v>
      </c>
      <c r="AT56" s="2">
        <v>1</v>
      </c>
      <c r="AU56" s="2" t="s">
        <v>139</v>
      </c>
    </row>
    <row r="57" spans="1:47">
      <c r="A57" s="2">
        <v>56</v>
      </c>
      <c r="B57" s="5">
        <v>45410</v>
      </c>
      <c r="C57" s="5">
        <v>45415</v>
      </c>
      <c r="D57" s="2">
        <f t="shared" si="1"/>
        <v>5</v>
      </c>
      <c r="E57" s="2">
        <v>95</v>
      </c>
      <c r="F57" s="2">
        <v>2</v>
      </c>
      <c r="G57" s="2">
        <v>2</v>
      </c>
      <c r="H57" s="2">
        <v>0</v>
      </c>
      <c r="I57" s="2">
        <v>0</v>
      </c>
      <c r="J57" s="2">
        <v>0</v>
      </c>
      <c r="K57" s="2">
        <v>0</v>
      </c>
      <c r="L57" s="2">
        <v>0</v>
      </c>
      <c r="M57" s="2">
        <v>0</v>
      </c>
      <c r="N57" s="2">
        <v>0</v>
      </c>
      <c r="P57" t="s">
        <v>119</v>
      </c>
      <c r="Q57" s="2">
        <v>0</v>
      </c>
      <c r="R57" s="2">
        <v>1</v>
      </c>
      <c r="S57" s="5">
        <v>45410</v>
      </c>
      <c r="T57" s="5">
        <v>45410</v>
      </c>
      <c r="U57" s="28">
        <f t="shared" si="0"/>
        <v>0</v>
      </c>
      <c r="V57" s="2">
        <v>0</v>
      </c>
      <c r="W57" s="2">
        <v>0</v>
      </c>
      <c r="X57" s="2">
        <v>0</v>
      </c>
      <c r="Y57" s="2">
        <v>0</v>
      </c>
      <c r="Z57" s="2">
        <v>0</v>
      </c>
      <c r="AA57" s="2">
        <v>0</v>
      </c>
      <c r="AB57" s="2">
        <v>0</v>
      </c>
      <c r="AC57" s="2">
        <v>0</v>
      </c>
      <c r="AD57" s="2">
        <v>0</v>
      </c>
      <c r="AE57" s="2">
        <v>1</v>
      </c>
      <c r="AF57" s="2" t="s">
        <v>117</v>
      </c>
      <c r="AG57" s="2">
        <v>0</v>
      </c>
      <c r="AH57" s="2">
        <v>0</v>
      </c>
      <c r="AI57" s="2">
        <v>1</v>
      </c>
      <c r="AJ57" s="2">
        <v>1</v>
      </c>
      <c r="AK57" s="2">
        <v>1</v>
      </c>
      <c r="AL57" s="5">
        <v>45414</v>
      </c>
      <c r="AM57" s="2">
        <v>0</v>
      </c>
      <c r="AN57" s="2">
        <v>0</v>
      </c>
      <c r="AO57" s="2">
        <v>0</v>
      </c>
      <c r="AT57" s="2">
        <v>0</v>
      </c>
      <c r="AU57" s="2" t="s">
        <v>140</v>
      </c>
    </row>
    <row r="58" spans="1:47">
      <c r="A58" s="2">
        <v>57</v>
      </c>
      <c r="B58" s="5">
        <v>45356</v>
      </c>
      <c r="C58" s="5">
        <v>45366</v>
      </c>
      <c r="D58" s="2">
        <f t="shared" si="1"/>
        <v>10</v>
      </c>
      <c r="E58" s="2">
        <v>42</v>
      </c>
      <c r="F58" s="2">
        <v>1</v>
      </c>
      <c r="G58" s="2">
        <v>2</v>
      </c>
      <c r="H58" s="2">
        <v>1</v>
      </c>
      <c r="I58" s="2">
        <v>0</v>
      </c>
      <c r="J58" s="2">
        <v>0</v>
      </c>
      <c r="K58" s="2">
        <v>0</v>
      </c>
      <c r="L58" s="2">
        <v>0</v>
      </c>
      <c r="M58" s="2">
        <v>0</v>
      </c>
      <c r="N58" s="2">
        <v>1</v>
      </c>
      <c r="O58" s="2" t="s">
        <v>141</v>
      </c>
      <c r="P58" t="s">
        <v>121</v>
      </c>
      <c r="Q58" s="2">
        <v>1</v>
      </c>
      <c r="R58" s="2">
        <v>2</v>
      </c>
      <c r="S58" s="5">
        <v>45356</v>
      </c>
      <c r="T58" s="5">
        <v>45357</v>
      </c>
      <c r="U58" s="28">
        <f t="shared" si="0"/>
        <v>1</v>
      </c>
      <c r="V58" s="2">
        <v>0</v>
      </c>
      <c r="W58" s="2">
        <v>0</v>
      </c>
      <c r="X58" s="2">
        <v>0</v>
      </c>
      <c r="Y58" s="2">
        <v>0</v>
      </c>
      <c r="Z58" s="2">
        <v>0</v>
      </c>
      <c r="AA58" s="2">
        <v>0</v>
      </c>
      <c r="AB58" s="2">
        <v>0</v>
      </c>
      <c r="AC58" s="2">
        <v>0</v>
      </c>
      <c r="AD58" s="2">
        <v>0</v>
      </c>
      <c r="AE58" s="2">
        <v>1</v>
      </c>
      <c r="AF58" s="2" t="s">
        <v>117</v>
      </c>
      <c r="AG58" s="2">
        <v>1</v>
      </c>
      <c r="AH58" s="2">
        <v>1</v>
      </c>
      <c r="AI58" s="2">
        <v>1</v>
      </c>
      <c r="AJ58" s="2">
        <v>1</v>
      </c>
      <c r="AK58" s="2">
        <v>1</v>
      </c>
      <c r="AL58" s="5">
        <v>45357</v>
      </c>
      <c r="AM58" s="2">
        <v>1</v>
      </c>
      <c r="AN58" s="11">
        <v>1</v>
      </c>
      <c r="AO58" s="11">
        <v>1</v>
      </c>
      <c r="AP58" s="5">
        <v>45359</v>
      </c>
      <c r="AQ58" s="2">
        <v>1</v>
      </c>
      <c r="AR58" s="2">
        <v>1</v>
      </c>
      <c r="AS58" s="2">
        <v>0</v>
      </c>
      <c r="AT58" s="2">
        <v>0</v>
      </c>
      <c r="AU58" s="2" t="s">
        <v>142</v>
      </c>
    </row>
    <row r="59" spans="1:47">
      <c r="A59" s="2">
        <v>58</v>
      </c>
      <c r="B59" s="5">
        <v>45357</v>
      </c>
      <c r="C59" s="5">
        <v>45385</v>
      </c>
      <c r="D59" s="2">
        <f t="shared" si="1"/>
        <v>28</v>
      </c>
      <c r="E59" s="2">
        <v>37</v>
      </c>
      <c r="F59" s="2">
        <v>2</v>
      </c>
      <c r="G59" s="2">
        <v>2</v>
      </c>
      <c r="H59" s="2">
        <v>0</v>
      </c>
      <c r="I59" s="2">
        <v>0</v>
      </c>
      <c r="J59" s="2">
        <v>0</v>
      </c>
      <c r="K59" s="2">
        <v>0</v>
      </c>
      <c r="L59" s="2">
        <v>0</v>
      </c>
      <c r="M59" s="2">
        <v>0</v>
      </c>
      <c r="N59" s="2">
        <v>0</v>
      </c>
      <c r="P59" t="s">
        <v>136</v>
      </c>
      <c r="Q59" s="2">
        <v>0</v>
      </c>
      <c r="R59" s="2">
        <v>1</v>
      </c>
      <c r="S59" s="5">
        <v>45357</v>
      </c>
      <c r="T59" s="5">
        <v>45357</v>
      </c>
      <c r="U59" s="28">
        <f t="shared" si="0"/>
        <v>0</v>
      </c>
      <c r="V59" s="2">
        <v>1</v>
      </c>
      <c r="W59" s="2">
        <v>0</v>
      </c>
      <c r="X59" s="2">
        <v>1</v>
      </c>
      <c r="Y59" s="2">
        <v>0</v>
      </c>
      <c r="Z59" s="2">
        <v>1</v>
      </c>
      <c r="AA59" s="2">
        <v>0</v>
      </c>
      <c r="AB59" s="2">
        <v>0</v>
      </c>
      <c r="AC59" s="2">
        <v>0</v>
      </c>
      <c r="AD59" s="2">
        <v>0</v>
      </c>
      <c r="AE59" s="2">
        <v>1</v>
      </c>
      <c r="AF59" s="2" t="s">
        <v>143</v>
      </c>
      <c r="AG59" s="2">
        <v>1</v>
      </c>
      <c r="AH59" s="2">
        <v>1</v>
      </c>
      <c r="AI59" s="2">
        <v>1</v>
      </c>
      <c r="AJ59" s="2">
        <v>1</v>
      </c>
      <c r="AK59" s="2">
        <v>1</v>
      </c>
      <c r="AL59" s="5">
        <v>45359</v>
      </c>
      <c r="AM59" s="2">
        <v>0</v>
      </c>
      <c r="AN59" s="2">
        <v>0</v>
      </c>
      <c r="AO59" s="2">
        <v>0</v>
      </c>
      <c r="AT59" s="2">
        <v>1</v>
      </c>
      <c r="AU59" s="2" t="s">
        <v>144</v>
      </c>
    </row>
    <row r="60" spans="1:47">
      <c r="A60" s="2">
        <v>59</v>
      </c>
      <c r="B60" s="5">
        <v>45359</v>
      </c>
      <c r="C60" s="5">
        <v>45366</v>
      </c>
      <c r="D60" s="2">
        <f t="shared" si="1"/>
        <v>7</v>
      </c>
      <c r="E60" s="2">
        <v>86</v>
      </c>
      <c r="F60" s="2">
        <v>1</v>
      </c>
      <c r="G60" s="2">
        <v>2</v>
      </c>
      <c r="H60" s="2">
        <v>0</v>
      </c>
      <c r="I60" s="2">
        <v>0</v>
      </c>
      <c r="J60" s="2">
        <v>0</v>
      </c>
      <c r="K60" s="2">
        <v>0</v>
      </c>
      <c r="L60" s="2">
        <v>0</v>
      </c>
      <c r="M60" s="2">
        <v>0</v>
      </c>
      <c r="N60" s="2">
        <v>1</v>
      </c>
      <c r="O60" s="2" t="s">
        <v>145</v>
      </c>
      <c r="P60" t="s">
        <v>116</v>
      </c>
      <c r="Q60" s="2">
        <v>0</v>
      </c>
      <c r="R60" s="2">
        <v>1</v>
      </c>
      <c r="S60" s="5">
        <v>45359</v>
      </c>
      <c r="T60" s="5">
        <v>45359</v>
      </c>
      <c r="U60" s="28">
        <f t="shared" si="0"/>
        <v>0</v>
      </c>
      <c r="V60" s="2">
        <v>1</v>
      </c>
      <c r="W60" s="2">
        <v>0</v>
      </c>
      <c r="X60" s="2">
        <v>0</v>
      </c>
      <c r="Y60" s="2">
        <v>0</v>
      </c>
      <c r="Z60" s="2">
        <v>0</v>
      </c>
      <c r="AA60" s="2">
        <v>0</v>
      </c>
      <c r="AB60" s="2">
        <v>0</v>
      </c>
      <c r="AC60" s="2">
        <v>1</v>
      </c>
      <c r="AD60" s="2">
        <v>0</v>
      </c>
      <c r="AE60" s="2">
        <v>1</v>
      </c>
      <c r="AF60" s="2" t="s">
        <v>146</v>
      </c>
      <c r="AG60" s="2">
        <v>0</v>
      </c>
      <c r="AH60" s="2">
        <v>0</v>
      </c>
      <c r="AI60" s="2">
        <v>1</v>
      </c>
      <c r="AJ60" s="2">
        <v>1</v>
      </c>
      <c r="AK60" s="2">
        <v>1</v>
      </c>
      <c r="AL60" s="5">
        <v>45363</v>
      </c>
      <c r="AM60" s="2">
        <v>0</v>
      </c>
      <c r="AN60" s="2">
        <v>1</v>
      </c>
      <c r="AO60" s="2">
        <v>0</v>
      </c>
      <c r="AT60" s="2">
        <v>0</v>
      </c>
      <c r="AU60" s="2" t="s">
        <v>147</v>
      </c>
    </row>
    <row r="61" spans="1:47">
      <c r="A61" s="2">
        <v>60</v>
      </c>
      <c r="B61" s="5">
        <v>45369</v>
      </c>
      <c r="C61" s="12">
        <v>45377</v>
      </c>
      <c r="D61" s="2">
        <f t="shared" si="1"/>
        <v>8</v>
      </c>
      <c r="E61" s="2">
        <v>74</v>
      </c>
      <c r="F61" s="2">
        <v>2</v>
      </c>
      <c r="G61" s="2">
        <v>2</v>
      </c>
      <c r="H61" s="2">
        <v>0</v>
      </c>
      <c r="I61" s="2">
        <v>0</v>
      </c>
      <c r="J61" s="2">
        <v>0</v>
      </c>
      <c r="K61" s="2">
        <v>0</v>
      </c>
      <c r="L61" s="2">
        <v>0</v>
      </c>
      <c r="M61" s="2">
        <v>0</v>
      </c>
      <c r="N61" s="2">
        <v>1</v>
      </c>
      <c r="O61" s="2" t="s">
        <v>70</v>
      </c>
      <c r="P61" t="s">
        <v>119</v>
      </c>
      <c r="Q61" s="2">
        <v>0</v>
      </c>
      <c r="R61" s="2">
        <v>1</v>
      </c>
      <c r="S61" s="5">
        <v>45369</v>
      </c>
      <c r="T61" s="5">
        <v>45369</v>
      </c>
      <c r="U61" s="28">
        <f t="shared" si="0"/>
        <v>0</v>
      </c>
      <c r="V61" s="2">
        <v>1</v>
      </c>
      <c r="W61" s="2">
        <v>0</v>
      </c>
      <c r="X61" s="2">
        <v>0</v>
      </c>
      <c r="Y61" s="2">
        <v>0</v>
      </c>
      <c r="Z61" s="2">
        <v>1</v>
      </c>
      <c r="AA61" s="2">
        <v>0</v>
      </c>
      <c r="AB61" s="2">
        <v>0</v>
      </c>
      <c r="AC61" s="2">
        <v>0</v>
      </c>
      <c r="AD61" s="2">
        <v>1</v>
      </c>
      <c r="AE61" s="2">
        <v>1</v>
      </c>
      <c r="AF61" s="2" t="s">
        <v>117</v>
      </c>
      <c r="AG61" s="2">
        <v>1</v>
      </c>
      <c r="AH61" s="2">
        <v>0</v>
      </c>
      <c r="AI61" s="2">
        <v>1</v>
      </c>
      <c r="AJ61" s="2">
        <v>1</v>
      </c>
      <c r="AK61" s="2">
        <v>0</v>
      </c>
      <c r="AO61" s="2">
        <v>0</v>
      </c>
      <c r="AT61" s="2">
        <v>0</v>
      </c>
      <c r="AU61" s="2" t="s">
        <v>148</v>
      </c>
    </row>
    <row r="62" spans="1:47" s="15" customFormat="1">
      <c r="A62" s="15">
        <v>61</v>
      </c>
      <c r="B62" s="17">
        <v>45380</v>
      </c>
      <c r="C62" s="17">
        <v>45383</v>
      </c>
      <c r="D62" s="15">
        <f t="shared" si="1"/>
        <v>3</v>
      </c>
      <c r="E62" s="15">
        <v>74</v>
      </c>
      <c r="F62" s="15">
        <v>1</v>
      </c>
      <c r="G62" s="15">
        <v>2</v>
      </c>
      <c r="H62" s="15">
        <v>0</v>
      </c>
      <c r="I62" s="15">
        <v>0</v>
      </c>
      <c r="J62" s="15">
        <v>0</v>
      </c>
      <c r="K62" s="15">
        <v>0</v>
      </c>
      <c r="L62" s="15">
        <v>0</v>
      </c>
      <c r="M62" s="15">
        <v>0</v>
      </c>
      <c r="N62" s="15">
        <v>0</v>
      </c>
      <c r="O62" s="15" t="s">
        <v>149</v>
      </c>
      <c r="P62" s="16" t="s">
        <v>150</v>
      </c>
      <c r="Q62" s="15">
        <v>0</v>
      </c>
      <c r="R62" s="15">
        <v>1</v>
      </c>
      <c r="S62" s="17">
        <v>45380</v>
      </c>
      <c r="T62" s="17">
        <v>45380</v>
      </c>
      <c r="U62" s="32">
        <f t="shared" si="0"/>
        <v>0</v>
      </c>
      <c r="V62" s="15">
        <v>0</v>
      </c>
      <c r="W62" s="15">
        <v>0</v>
      </c>
      <c r="X62" s="15">
        <v>0</v>
      </c>
      <c r="Y62" s="15">
        <v>0</v>
      </c>
      <c r="Z62" s="15">
        <v>0</v>
      </c>
      <c r="AA62" s="15">
        <v>0</v>
      </c>
      <c r="AB62" s="15">
        <v>0</v>
      </c>
      <c r="AC62" s="15">
        <v>0</v>
      </c>
      <c r="AD62" s="15">
        <v>0</v>
      </c>
      <c r="AE62" s="15">
        <v>0</v>
      </c>
      <c r="AK62" s="15">
        <v>0</v>
      </c>
      <c r="AO62" s="15">
        <v>0</v>
      </c>
      <c r="AU62" s="15" t="s">
        <v>151</v>
      </c>
    </row>
    <row r="63" spans="1:47" s="15" customFormat="1">
      <c r="A63" s="15">
        <v>62</v>
      </c>
      <c r="B63" s="17">
        <v>45381</v>
      </c>
      <c r="C63" s="17">
        <v>45387</v>
      </c>
      <c r="D63" s="15">
        <f>C63-B63</f>
        <v>6</v>
      </c>
      <c r="E63" s="15">
        <v>73</v>
      </c>
      <c r="F63" s="15">
        <v>2</v>
      </c>
      <c r="G63" s="15">
        <v>2</v>
      </c>
      <c r="H63" s="15">
        <v>1</v>
      </c>
      <c r="I63" s="15">
        <v>0</v>
      </c>
      <c r="J63" s="15">
        <v>1</v>
      </c>
      <c r="K63" s="15">
        <v>0</v>
      </c>
      <c r="L63" s="15">
        <v>0</v>
      </c>
      <c r="M63" s="15">
        <v>0</v>
      </c>
      <c r="N63" s="15">
        <v>1</v>
      </c>
      <c r="O63" s="15" t="s">
        <v>152</v>
      </c>
      <c r="P63" s="16" t="s">
        <v>153</v>
      </c>
      <c r="Q63" s="15">
        <v>0</v>
      </c>
      <c r="R63" s="15">
        <v>1</v>
      </c>
      <c r="S63" s="17">
        <v>45381</v>
      </c>
      <c r="T63" s="17">
        <v>45381</v>
      </c>
      <c r="U63" s="32">
        <f t="shared" si="0"/>
        <v>0</v>
      </c>
      <c r="V63" s="15">
        <v>1</v>
      </c>
      <c r="W63" s="15">
        <v>0</v>
      </c>
      <c r="X63" s="15">
        <v>0</v>
      </c>
      <c r="Y63" s="15">
        <v>0</v>
      </c>
      <c r="Z63" s="15">
        <v>0</v>
      </c>
      <c r="AA63" s="15">
        <v>1</v>
      </c>
      <c r="AB63" s="15">
        <v>0</v>
      </c>
      <c r="AC63" s="15">
        <v>0</v>
      </c>
      <c r="AD63" s="15">
        <v>0</v>
      </c>
      <c r="AE63" s="15">
        <v>1</v>
      </c>
      <c r="AF63" s="15" t="s">
        <v>55</v>
      </c>
      <c r="AG63" s="15">
        <v>0</v>
      </c>
      <c r="AH63" s="15">
        <v>0</v>
      </c>
      <c r="AI63" s="15">
        <v>1</v>
      </c>
      <c r="AJ63" s="15">
        <v>1</v>
      </c>
      <c r="AK63" s="15">
        <v>0</v>
      </c>
      <c r="AL63" s="17"/>
      <c r="AO63" s="15">
        <v>0</v>
      </c>
      <c r="AT63" s="15">
        <v>0</v>
      </c>
      <c r="AU63" s="15" t="s">
        <v>154</v>
      </c>
    </row>
    <row r="64" spans="1:47">
      <c r="A64" s="2">
        <v>63</v>
      </c>
      <c r="B64" s="5">
        <v>45458</v>
      </c>
      <c r="C64" s="5">
        <v>45467</v>
      </c>
      <c r="D64" s="2">
        <f>C64-B64</f>
        <v>9</v>
      </c>
      <c r="E64" s="2">
        <v>87</v>
      </c>
      <c r="F64" s="2">
        <v>2</v>
      </c>
      <c r="G64" s="2">
        <v>5</v>
      </c>
      <c r="H64" s="2">
        <v>0</v>
      </c>
      <c r="I64" s="2">
        <v>0</v>
      </c>
      <c r="J64" s="2">
        <v>0</v>
      </c>
      <c r="K64" s="2">
        <v>0</v>
      </c>
      <c r="L64" s="2">
        <v>0</v>
      </c>
      <c r="M64" s="2">
        <v>0</v>
      </c>
      <c r="N64" s="2">
        <v>0</v>
      </c>
      <c r="O64" s="2" t="s">
        <v>70</v>
      </c>
      <c r="P64" t="s">
        <v>155</v>
      </c>
      <c r="Q64" s="2">
        <v>1</v>
      </c>
      <c r="R64" s="2">
        <v>2</v>
      </c>
      <c r="S64" s="5">
        <v>45457</v>
      </c>
      <c r="T64" s="5">
        <v>45458</v>
      </c>
      <c r="U64" s="28">
        <f t="shared" si="0"/>
        <v>1</v>
      </c>
      <c r="V64" s="2">
        <v>1</v>
      </c>
      <c r="W64" s="2">
        <v>0</v>
      </c>
      <c r="X64" s="2">
        <v>0</v>
      </c>
      <c r="Y64" s="2">
        <v>0</v>
      </c>
      <c r="Z64" s="2">
        <v>0</v>
      </c>
      <c r="AA64" s="2">
        <v>0</v>
      </c>
      <c r="AB64" s="2">
        <v>0</v>
      </c>
      <c r="AC64" s="2">
        <v>1</v>
      </c>
      <c r="AD64" s="2">
        <v>0</v>
      </c>
      <c r="AE64" s="2">
        <v>1</v>
      </c>
      <c r="AF64" s="2" t="s">
        <v>146</v>
      </c>
      <c r="AG64" s="2">
        <v>0</v>
      </c>
      <c r="AH64" s="2">
        <v>1</v>
      </c>
      <c r="AI64" s="2">
        <v>1</v>
      </c>
      <c r="AJ64" s="2">
        <v>1</v>
      </c>
      <c r="AK64" s="2">
        <v>1</v>
      </c>
      <c r="AL64" s="5">
        <v>45462</v>
      </c>
      <c r="AM64" s="2">
        <v>0</v>
      </c>
      <c r="AN64" s="2">
        <v>0</v>
      </c>
      <c r="AO64" s="2">
        <v>0</v>
      </c>
      <c r="AT64" s="2">
        <v>0</v>
      </c>
      <c r="AU64" s="2" t="s">
        <v>156</v>
      </c>
    </row>
    <row r="65" spans="1:47">
      <c r="A65" s="2">
        <v>64</v>
      </c>
      <c r="B65" s="5">
        <v>45459</v>
      </c>
      <c r="E65" s="2">
        <v>55</v>
      </c>
      <c r="F65" s="2">
        <v>2</v>
      </c>
      <c r="G65" s="2">
        <v>2</v>
      </c>
      <c r="H65" s="2">
        <v>1</v>
      </c>
      <c r="I65" s="2">
        <v>0</v>
      </c>
      <c r="J65" s="2">
        <v>0</v>
      </c>
      <c r="K65" s="2">
        <v>1</v>
      </c>
      <c r="L65" s="2">
        <v>0</v>
      </c>
      <c r="M65" s="2">
        <v>0</v>
      </c>
      <c r="N65" s="2">
        <v>1</v>
      </c>
      <c r="O65" s="2" t="s">
        <v>157</v>
      </c>
      <c r="P65" t="s">
        <v>155</v>
      </c>
      <c r="Q65" s="2">
        <v>1</v>
      </c>
      <c r="R65" s="2">
        <v>4</v>
      </c>
      <c r="S65" s="5">
        <v>45469</v>
      </c>
      <c r="T65" s="5">
        <v>45472</v>
      </c>
      <c r="U65" s="28">
        <f t="shared" si="0"/>
        <v>3</v>
      </c>
      <c r="V65" s="2">
        <v>0</v>
      </c>
      <c r="W65" s="2">
        <v>0</v>
      </c>
      <c r="X65" s="2">
        <v>0</v>
      </c>
      <c r="Y65" s="2">
        <v>0</v>
      </c>
      <c r="Z65" s="2">
        <v>0</v>
      </c>
      <c r="AA65" s="2">
        <v>0</v>
      </c>
      <c r="AB65" s="2">
        <v>0</v>
      </c>
      <c r="AC65" s="2">
        <v>0</v>
      </c>
      <c r="AD65" s="2">
        <v>0</v>
      </c>
      <c r="AE65" s="2">
        <v>1</v>
      </c>
      <c r="AF65" s="2" t="s">
        <v>158</v>
      </c>
      <c r="AG65" s="2">
        <v>1</v>
      </c>
      <c r="AH65" s="2">
        <v>1</v>
      </c>
      <c r="AI65" s="2">
        <v>1</v>
      </c>
      <c r="AJ65" s="2">
        <v>1</v>
      </c>
      <c r="AK65" s="2">
        <v>1</v>
      </c>
      <c r="AL65" s="5">
        <v>45485</v>
      </c>
      <c r="AM65" s="2">
        <v>0</v>
      </c>
      <c r="AN65" s="2">
        <v>1</v>
      </c>
      <c r="AO65" s="11"/>
      <c r="AT65" s="2">
        <v>1</v>
      </c>
      <c r="AU65" s="2" t="s">
        <v>159</v>
      </c>
    </row>
    <row r="66" spans="1:47">
      <c r="A66" s="2">
        <v>65</v>
      </c>
      <c r="B66" s="5">
        <v>45469</v>
      </c>
      <c r="C66" s="5">
        <v>45484</v>
      </c>
      <c r="D66" s="2">
        <f>C66-B66</f>
        <v>15</v>
      </c>
      <c r="E66" s="2">
        <v>86</v>
      </c>
      <c r="F66" s="2">
        <v>2</v>
      </c>
      <c r="G66" s="2">
        <v>2</v>
      </c>
      <c r="H66" s="2">
        <v>1</v>
      </c>
      <c r="I66" s="2">
        <v>0</v>
      </c>
      <c r="J66" s="2">
        <v>0</v>
      </c>
      <c r="K66" s="2">
        <v>1</v>
      </c>
      <c r="L66" s="2">
        <v>0</v>
      </c>
      <c r="M66" s="2">
        <v>0</v>
      </c>
      <c r="N66" s="2">
        <v>0</v>
      </c>
      <c r="P66" t="s">
        <v>155</v>
      </c>
      <c r="Q66" s="2">
        <v>0</v>
      </c>
      <c r="R66" s="2">
        <v>1</v>
      </c>
      <c r="S66" s="5">
        <v>45471</v>
      </c>
      <c r="T66" s="5">
        <v>45471</v>
      </c>
      <c r="U66" s="28">
        <f t="shared" si="0"/>
        <v>0</v>
      </c>
      <c r="V66" s="2">
        <v>1</v>
      </c>
      <c r="W66" s="2">
        <v>0</v>
      </c>
      <c r="X66" s="2">
        <v>0</v>
      </c>
      <c r="Y66" s="2">
        <v>0</v>
      </c>
      <c r="Z66" s="2">
        <v>0</v>
      </c>
      <c r="AA66" s="2">
        <v>0</v>
      </c>
      <c r="AB66" s="2">
        <v>0</v>
      </c>
      <c r="AC66" s="2">
        <v>1</v>
      </c>
      <c r="AD66" s="2">
        <v>0</v>
      </c>
      <c r="AE66" s="2">
        <v>1</v>
      </c>
      <c r="AF66" s="2" t="s">
        <v>146</v>
      </c>
      <c r="AG66" s="2">
        <v>0</v>
      </c>
      <c r="AH66" s="2">
        <v>1</v>
      </c>
      <c r="AI66" s="2">
        <v>1</v>
      </c>
      <c r="AJ66" s="2">
        <v>1</v>
      </c>
      <c r="AK66" s="2">
        <v>1</v>
      </c>
      <c r="AL66" s="5">
        <v>45474</v>
      </c>
      <c r="AM66" s="2">
        <v>0</v>
      </c>
      <c r="AN66" s="2">
        <v>1</v>
      </c>
      <c r="AO66" s="2">
        <v>0</v>
      </c>
      <c r="AT66" s="2">
        <v>0</v>
      </c>
      <c r="AU66" s="2" t="s">
        <v>160</v>
      </c>
    </row>
    <row r="67" spans="1:47" s="8" customFormat="1">
      <c r="A67" s="8">
        <v>66</v>
      </c>
      <c r="B67" s="6">
        <v>45422</v>
      </c>
      <c r="C67" s="6">
        <v>45427</v>
      </c>
      <c r="D67" s="8">
        <f>C67-B67</f>
        <v>5</v>
      </c>
      <c r="E67" s="8">
        <v>80</v>
      </c>
      <c r="F67" s="8">
        <v>2</v>
      </c>
      <c r="G67" s="8">
        <v>3</v>
      </c>
      <c r="H67" s="8">
        <v>1</v>
      </c>
      <c r="I67" s="8">
        <v>0</v>
      </c>
      <c r="J67" s="8">
        <v>0</v>
      </c>
      <c r="K67" s="8">
        <v>0</v>
      </c>
      <c r="L67" s="8">
        <v>1</v>
      </c>
      <c r="M67" s="8">
        <v>0</v>
      </c>
      <c r="N67" s="8">
        <v>0</v>
      </c>
      <c r="P67" s="9" t="s">
        <v>155</v>
      </c>
      <c r="Q67" s="8">
        <v>1</v>
      </c>
      <c r="R67" s="8">
        <v>2</v>
      </c>
      <c r="S67" s="6">
        <v>45422</v>
      </c>
      <c r="T67" s="6">
        <v>45423</v>
      </c>
      <c r="U67" s="29">
        <f t="shared" ref="U67:U130" si="2">T67-S67</f>
        <v>1</v>
      </c>
      <c r="V67" s="8">
        <v>1</v>
      </c>
      <c r="W67" s="8">
        <v>0</v>
      </c>
      <c r="X67" s="8">
        <v>0</v>
      </c>
      <c r="Y67" s="8">
        <v>1</v>
      </c>
      <c r="Z67" s="8">
        <v>0</v>
      </c>
      <c r="AA67" s="8">
        <v>0</v>
      </c>
      <c r="AB67" s="8">
        <v>0</v>
      </c>
      <c r="AC67" s="8">
        <v>0</v>
      </c>
      <c r="AD67" s="8">
        <v>0</v>
      </c>
      <c r="AE67" s="8">
        <v>1</v>
      </c>
      <c r="AF67" s="8" t="s">
        <v>161</v>
      </c>
      <c r="AG67" s="8">
        <v>0</v>
      </c>
      <c r="AH67" s="8">
        <v>0</v>
      </c>
      <c r="AI67" s="8">
        <v>1</v>
      </c>
      <c r="AJ67" s="8">
        <v>1</v>
      </c>
      <c r="AK67" s="8">
        <v>0</v>
      </c>
      <c r="AO67" s="8">
        <v>0</v>
      </c>
      <c r="AT67" s="8">
        <v>0</v>
      </c>
      <c r="AU67" s="8" t="s">
        <v>162</v>
      </c>
    </row>
    <row r="68" spans="1:47">
      <c r="A68" s="8">
        <v>67</v>
      </c>
      <c r="B68" s="5">
        <v>45421</v>
      </c>
      <c r="C68" s="6">
        <v>45428</v>
      </c>
      <c r="D68" s="2">
        <f>C68-B68</f>
        <v>7</v>
      </c>
      <c r="E68" s="2">
        <v>77</v>
      </c>
      <c r="F68" s="2">
        <v>2</v>
      </c>
      <c r="G68" s="2">
        <v>5</v>
      </c>
      <c r="H68" s="2">
        <v>0</v>
      </c>
      <c r="I68" s="2">
        <v>0</v>
      </c>
      <c r="J68" s="2">
        <v>0</v>
      </c>
      <c r="K68" s="2">
        <v>0</v>
      </c>
      <c r="L68" s="2">
        <v>1</v>
      </c>
      <c r="M68" s="2">
        <v>0</v>
      </c>
      <c r="N68" s="2">
        <v>1</v>
      </c>
      <c r="O68" s="2" t="s">
        <v>70</v>
      </c>
      <c r="P68" t="s">
        <v>163</v>
      </c>
      <c r="Q68" s="2">
        <v>1</v>
      </c>
      <c r="R68" s="2">
        <v>4</v>
      </c>
      <c r="S68" s="5">
        <v>45421</v>
      </c>
      <c r="T68" s="5">
        <v>45428</v>
      </c>
      <c r="U68" s="28">
        <f t="shared" si="2"/>
        <v>7</v>
      </c>
      <c r="V68" s="2">
        <v>1</v>
      </c>
      <c r="W68" s="2">
        <v>0</v>
      </c>
      <c r="X68" s="2">
        <v>0</v>
      </c>
      <c r="Y68" s="2">
        <v>1</v>
      </c>
      <c r="Z68" s="2">
        <v>0</v>
      </c>
      <c r="AA68" s="2">
        <v>1</v>
      </c>
      <c r="AB68" s="2">
        <v>0</v>
      </c>
      <c r="AC68" s="2">
        <v>0</v>
      </c>
      <c r="AD68" s="2">
        <v>0</v>
      </c>
      <c r="AE68" s="2">
        <v>1</v>
      </c>
      <c r="AF68" s="2" t="s">
        <v>48</v>
      </c>
      <c r="AG68" s="2">
        <v>1</v>
      </c>
      <c r="AH68" s="2">
        <v>0</v>
      </c>
      <c r="AI68" s="2">
        <v>1</v>
      </c>
      <c r="AJ68" s="2">
        <v>0</v>
      </c>
      <c r="AK68" s="2">
        <v>1</v>
      </c>
      <c r="AL68" s="5">
        <v>45425</v>
      </c>
      <c r="AM68" s="2">
        <v>0</v>
      </c>
      <c r="AN68" s="2">
        <v>0</v>
      </c>
      <c r="AO68" s="2">
        <v>0</v>
      </c>
      <c r="AT68" s="2">
        <v>1</v>
      </c>
      <c r="AU68" s="2" t="s">
        <v>164</v>
      </c>
    </row>
    <row r="69" spans="1:47">
      <c r="A69" s="2">
        <v>68</v>
      </c>
      <c r="B69" s="5">
        <v>45425</v>
      </c>
      <c r="C69" s="5">
        <v>45444</v>
      </c>
      <c r="D69" s="2">
        <f>C69-B69</f>
        <v>19</v>
      </c>
      <c r="E69" s="2">
        <v>81</v>
      </c>
      <c r="F69" s="2">
        <v>1</v>
      </c>
      <c r="G69" s="2">
        <v>2</v>
      </c>
      <c r="H69" s="2">
        <v>1</v>
      </c>
      <c r="I69" s="2">
        <v>0</v>
      </c>
      <c r="J69" s="2">
        <v>0</v>
      </c>
      <c r="K69" s="2">
        <v>1</v>
      </c>
      <c r="L69" s="2">
        <v>0</v>
      </c>
      <c r="M69" s="2">
        <v>0</v>
      </c>
      <c r="N69" s="2">
        <v>1</v>
      </c>
      <c r="O69" s="2" t="s">
        <v>72</v>
      </c>
      <c r="P69" t="s">
        <v>155</v>
      </c>
      <c r="Q69" s="2">
        <v>1</v>
      </c>
      <c r="R69" s="2">
        <v>2</v>
      </c>
      <c r="S69" s="5">
        <v>45425</v>
      </c>
      <c r="T69" s="5">
        <v>45426</v>
      </c>
      <c r="U69" s="28">
        <f t="shared" si="2"/>
        <v>1</v>
      </c>
      <c r="V69" s="2">
        <v>1</v>
      </c>
      <c r="W69" s="2">
        <v>0</v>
      </c>
      <c r="X69" s="2">
        <v>0</v>
      </c>
      <c r="Y69" s="2">
        <v>0</v>
      </c>
      <c r="Z69" s="2">
        <v>0</v>
      </c>
      <c r="AA69" s="2">
        <v>1</v>
      </c>
      <c r="AB69" s="2">
        <v>0</v>
      </c>
      <c r="AC69" s="2">
        <v>0</v>
      </c>
      <c r="AD69" s="2">
        <v>0</v>
      </c>
      <c r="AE69" s="2">
        <v>1</v>
      </c>
      <c r="AF69" s="2" t="s">
        <v>158</v>
      </c>
      <c r="AG69" s="2">
        <v>1</v>
      </c>
      <c r="AH69" s="2">
        <v>1</v>
      </c>
      <c r="AI69" s="2">
        <v>1</v>
      </c>
      <c r="AJ69" s="2">
        <v>1</v>
      </c>
      <c r="AK69" s="2">
        <v>1</v>
      </c>
      <c r="AL69" s="5">
        <v>45429</v>
      </c>
      <c r="AM69" s="2">
        <v>0</v>
      </c>
      <c r="AN69" s="2">
        <v>1</v>
      </c>
      <c r="AO69" s="2">
        <v>0</v>
      </c>
      <c r="AT69" s="2">
        <v>0</v>
      </c>
      <c r="AU69" s="2" t="s">
        <v>165</v>
      </c>
    </row>
    <row r="70" spans="1:47">
      <c r="A70" s="2">
        <v>69</v>
      </c>
      <c r="B70" s="5">
        <v>45381</v>
      </c>
      <c r="C70" s="5">
        <v>45387</v>
      </c>
      <c r="D70" s="2">
        <f>C70-B70</f>
        <v>6</v>
      </c>
      <c r="E70" s="2">
        <v>87</v>
      </c>
      <c r="F70" s="2">
        <v>2</v>
      </c>
      <c r="G70" s="2">
        <v>3</v>
      </c>
      <c r="H70" s="2">
        <v>1</v>
      </c>
      <c r="I70" s="2">
        <v>0</v>
      </c>
      <c r="J70" s="2">
        <v>0</v>
      </c>
      <c r="K70" s="2">
        <v>1</v>
      </c>
      <c r="L70" s="2">
        <v>0</v>
      </c>
      <c r="M70" s="2">
        <v>0</v>
      </c>
      <c r="N70" s="2">
        <v>1</v>
      </c>
      <c r="O70" s="2" t="s">
        <v>166</v>
      </c>
      <c r="P70" t="s">
        <v>155</v>
      </c>
      <c r="Q70" s="2">
        <v>1</v>
      </c>
      <c r="R70" s="2">
        <v>3</v>
      </c>
      <c r="S70" s="5">
        <v>45382</v>
      </c>
      <c r="T70" s="5">
        <v>45384</v>
      </c>
      <c r="U70" s="28">
        <f t="shared" si="2"/>
        <v>2</v>
      </c>
      <c r="V70" s="2">
        <v>0</v>
      </c>
      <c r="W70" s="2">
        <v>0</v>
      </c>
      <c r="X70" s="2">
        <v>0</v>
      </c>
      <c r="Y70" s="2">
        <v>0</v>
      </c>
      <c r="Z70" s="2">
        <v>0</v>
      </c>
      <c r="AA70" s="2">
        <v>0</v>
      </c>
      <c r="AB70" s="2">
        <v>0</v>
      </c>
      <c r="AC70" s="2">
        <v>0</v>
      </c>
      <c r="AD70" s="2">
        <v>0</v>
      </c>
      <c r="AE70" s="2">
        <v>1</v>
      </c>
      <c r="AF70" s="2" t="s">
        <v>167</v>
      </c>
      <c r="AG70" s="2">
        <v>1</v>
      </c>
      <c r="AH70" s="2">
        <v>0</v>
      </c>
      <c r="AI70" s="2">
        <v>1</v>
      </c>
      <c r="AJ70" s="2">
        <v>1</v>
      </c>
      <c r="AK70" s="2">
        <v>1</v>
      </c>
      <c r="AL70" s="5">
        <v>45383</v>
      </c>
      <c r="AM70" s="2">
        <v>0</v>
      </c>
      <c r="AN70" s="2">
        <v>1</v>
      </c>
      <c r="AO70" s="2">
        <v>0</v>
      </c>
      <c r="AT70" s="2">
        <v>0</v>
      </c>
      <c r="AU70" s="2" t="s">
        <v>168</v>
      </c>
    </row>
    <row r="71" spans="1:47">
      <c r="A71" s="2">
        <v>70</v>
      </c>
      <c r="B71" s="5">
        <v>45398</v>
      </c>
      <c r="C71" s="5">
        <v>45403</v>
      </c>
      <c r="D71" s="11">
        <f>C71-B71</f>
        <v>5</v>
      </c>
      <c r="E71" s="2">
        <v>47</v>
      </c>
      <c r="F71" s="2">
        <v>1</v>
      </c>
      <c r="G71" s="2">
        <v>2</v>
      </c>
      <c r="H71" s="2">
        <v>1</v>
      </c>
      <c r="I71" s="2">
        <v>1</v>
      </c>
      <c r="J71" s="2">
        <v>0</v>
      </c>
      <c r="K71" s="2">
        <v>0</v>
      </c>
      <c r="L71" s="2">
        <v>0</v>
      </c>
      <c r="M71" s="2">
        <v>0</v>
      </c>
      <c r="N71" s="2">
        <v>1</v>
      </c>
      <c r="O71" s="2" t="s">
        <v>169</v>
      </c>
      <c r="P71" t="s">
        <v>155</v>
      </c>
      <c r="Q71" s="2">
        <v>1</v>
      </c>
      <c r="R71" s="2">
        <v>4</v>
      </c>
      <c r="S71" s="5">
        <v>45398</v>
      </c>
      <c r="T71" s="5">
        <v>45403</v>
      </c>
      <c r="U71" s="28">
        <f t="shared" si="2"/>
        <v>5</v>
      </c>
      <c r="V71" s="2">
        <v>1</v>
      </c>
      <c r="W71" s="2">
        <v>0</v>
      </c>
      <c r="X71" s="2">
        <v>1</v>
      </c>
      <c r="Y71" s="2">
        <v>0</v>
      </c>
      <c r="Z71" s="2">
        <v>0</v>
      </c>
      <c r="AA71" s="2">
        <v>0</v>
      </c>
      <c r="AB71" s="2">
        <v>0</v>
      </c>
      <c r="AC71" s="2">
        <v>0</v>
      </c>
      <c r="AD71" s="2">
        <v>0</v>
      </c>
      <c r="AE71" s="2">
        <v>1</v>
      </c>
      <c r="AF71" s="2" t="s">
        <v>158</v>
      </c>
      <c r="AG71" s="2">
        <v>1</v>
      </c>
      <c r="AH71" s="2">
        <v>1</v>
      </c>
      <c r="AI71" s="2">
        <v>1</v>
      </c>
      <c r="AJ71" s="2">
        <v>1</v>
      </c>
      <c r="AK71" s="2">
        <v>1</v>
      </c>
      <c r="AL71" s="5">
        <v>45400</v>
      </c>
      <c r="AM71" s="2">
        <v>1</v>
      </c>
      <c r="AN71" s="2">
        <v>0</v>
      </c>
      <c r="AO71" s="2">
        <v>0</v>
      </c>
      <c r="AT71" s="2">
        <v>0</v>
      </c>
      <c r="AU71" s="2" t="s">
        <v>170</v>
      </c>
    </row>
    <row r="72" spans="1:47">
      <c r="A72" s="2">
        <v>71</v>
      </c>
      <c r="B72" s="5">
        <v>45398</v>
      </c>
      <c r="C72" s="5">
        <v>45442</v>
      </c>
      <c r="D72" s="2">
        <f>C72-B72</f>
        <v>44</v>
      </c>
      <c r="E72" s="2">
        <v>54</v>
      </c>
      <c r="F72" s="2">
        <v>1</v>
      </c>
      <c r="G72" s="2">
        <v>2</v>
      </c>
      <c r="H72" s="2">
        <v>1</v>
      </c>
      <c r="I72" s="2">
        <v>0</v>
      </c>
      <c r="J72" s="2">
        <v>0</v>
      </c>
      <c r="K72" s="2">
        <v>0</v>
      </c>
      <c r="L72" s="2">
        <v>1</v>
      </c>
      <c r="M72" s="2">
        <v>0</v>
      </c>
      <c r="N72" s="2">
        <v>0</v>
      </c>
      <c r="P72" t="s">
        <v>155</v>
      </c>
      <c r="Q72" s="2">
        <v>1</v>
      </c>
      <c r="R72" s="2">
        <v>5</v>
      </c>
      <c r="S72" s="5">
        <v>45398</v>
      </c>
      <c r="T72" s="5">
        <v>45401</v>
      </c>
      <c r="U72" s="28">
        <f t="shared" si="2"/>
        <v>3</v>
      </c>
      <c r="V72" s="2">
        <v>1</v>
      </c>
      <c r="W72" s="2">
        <v>0</v>
      </c>
      <c r="X72" s="2">
        <v>0</v>
      </c>
      <c r="Y72" s="2">
        <v>1</v>
      </c>
      <c r="Z72" s="2">
        <v>0</v>
      </c>
      <c r="AA72" s="2">
        <v>0</v>
      </c>
      <c r="AB72" s="2">
        <v>0</v>
      </c>
      <c r="AC72" s="2">
        <v>0</v>
      </c>
      <c r="AD72" s="2">
        <v>0</v>
      </c>
      <c r="AE72" s="2">
        <v>1</v>
      </c>
      <c r="AF72" s="2" t="s">
        <v>158</v>
      </c>
      <c r="AG72" s="2">
        <v>1</v>
      </c>
      <c r="AH72" s="2">
        <v>1</v>
      </c>
      <c r="AI72" s="2">
        <v>1</v>
      </c>
      <c r="AJ72" s="2">
        <v>1</v>
      </c>
      <c r="AK72" s="2">
        <v>1</v>
      </c>
      <c r="AL72" s="5">
        <v>45401</v>
      </c>
      <c r="AM72" s="2">
        <v>0</v>
      </c>
      <c r="AN72" s="2">
        <v>0</v>
      </c>
      <c r="AO72" s="2">
        <v>0</v>
      </c>
      <c r="AT72" s="2">
        <v>1</v>
      </c>
      <c r="AU72" s="2" t="s">
        <v>171</v>
      </c>
    </row>
    <row r="73" spans="1:47">
      <c r="A73" s="2">
        <v>72</v>
      </c>
      <c r="B73" s="5">
        <v>45409</v>
      </c>
      <c r="C73" s="5">
        <v>45419</v>
      </c>
      <c r="D73" s="2">
        <f>C73-B73</f>
        <v>10</v>
      </c>
      <c r="E73" s="2">
        <v>82</v>
      </c>
      <c r="F73" s="2">
        <v>1</v>
      </c>
      <c r="G73" s="2">
        <v>2</v>
      </c>
      <c r="H73" s="2">
        <v>1</v>
      </c>
      <c r="I73" s="2">
        <v>0</v>
      </c>
      <c r="J73" s="2">
        <v>0</v>
      </c>
      <c r="K73" s="2">
        <v>0</v>
      </c>
      <c r="L73" s="2">
        <v>0</v>
      </c>
      <c r="M73" s="2">
        <v>0</v>
      </c>
      <c r="N73" s="2">
        <v>1</v>
      </c>
      <c r="O73" s="2" t="s">
        <v>172</v>
      </c>
      <c r="P73" t="s">
        <v>155</v>
      </c>
      <c r="Q73" s="2">
        <v>0</v>
      </c>
      <c r="R73" s="2">
        <v>1</v>
      </c>
      <c r="S73" s="5">
        <v>45411</v>
      </c>
      <c r="T73" s="5">
        <v>45411</v>
      </c>
      <c r="U73" s="28">
        <f t="shared" si="2"/>
        <v>0</v>
      </c>
      <c r="V73" s="2">
        <v>1</v>
      </c>
      <c r="W73" s="2">
        <v>0</v>
      </c>
      <c r="X73" s="2">
        <v>0</v>
      </c>
      <c r="Y73" s="2">
        <v>0</v>
      </c>
      <c r="Z73" s="2">
        <v>0</v>
      </c>
      <c r="AA73" s="2">
        <v>0</v>
      </c>
      <c r="AB73" s="2">
        <v>0</v>
      </c>
      <c r="AC73" s="2">
        <v>1</v>
      </c>
      <c r="AD73" s="2">
        <v>0</v>
      </c>
      <c r="AE73" s="2">
        <v>1</v>
      </c>
      <c r="AF73" s="2" t="s">
        <v>173</v>
      </c>
      <c r="AG73" s="2">
        <v>0</v>
      </c>
      <c r="AH73" s="2">
        <v>1</v>
      </c>
      <c r="AI73" s="2">
        <v>1</v>
      </c>
      <c r="AJ73" s="2">
        <v>1</v>
      </c>
      <c r="AK73" s="2">
        <v>1</v>
      </c>
      <c r="AL73" s="5">
        <v>45411</v>
      </c>
      <c r="AM73" s="2">
        <v>0</v>
      </c>
      <c r="AN73" s="2">
        <v>1</v>
      </c>
      <c r="AO73" s="2">
        <v>0</v>
      </c>
      <c r="AT73" s="2">
        <v>0</v>
      </c>
      <c r="AU73" s="2" t="s">
        <v>174</v>
      </c>
    </row>
    <row r="74" spans="1:47">
      <c r="A74" s="2">
        <v>73</v>
      </c>
      <c r="B74" s="5">
        <v>45375</v>
      </c>
      <c r="C74" s="5">
        <v>45388</v>
      </c>
      <c r="D74" s="2">
        <f>C74-B74</f>
        <v>13</v>
      </c>
      <c r="E74" s="2">
        <v>54</v>
      </c>
      <c r="F74" s="2">
        <v>2</v>
      </c>
      <c r="G74" s="2">
        <v>2</v>
      </c>
      <c r="H74" s="2">
        <v>0</v>
      </c>
      <c r="I74" s="2">
        <v>0</v>
      </c>
      <c r="J74" s="2">
        <v>0</v>
      </c>
      <c r="K74" s="2">
        <v>0</v>
      </c>
      <c r="L74" s="2">
        <v>0</v>
      </c>
      <c r="M74" s="2">
        <v>0</v>
      </c>
      <c r="N74" s="2">
        <v>0</v>
      </c>
      <c r="P74" t="s">
        <v>155</v>
      </c>
      <c r="Q74" s="2">
        <v>1</v>
      </c>
      <c r="R74" s="2">
        <v>6</v>
      </c>
      <c r="S74" s="5">
        <v>45375</v>
      </c>
      <c r="T74" s="5">
        <v>45380</v>
      </c>
      <c r="U74" s="28">
        <f t="shared" si="2"/>
        <v>5</v>
      </c>
      <c r="V74" s="2">
        <v>1</v>
      </c>
      <c r="W74" s="2">
        <v>0</v>
      </c>
      <c r="X74" s="2">
        <v>0</v>
      </c>
      <c r="Y74" s="2">
        <v>0</v>
      </c>
      <c r="Z74" s="2">
        <v>0</v>
      </c>
      <c r="AA74" s="2">
        <v>0</v>
      </c>
      <c r="AB74" s="2">
        <v>0</v>
      </c>
      <c r="AC74" s="2">
        <v>1</v>
      </c>
      <c r="AD74" s="2">
        <v>0</v>
      </c>
      <c r="AE74" s="2">
        <v>1</v>
      </c>
      <c r="AF74" s="2" t="s">
        <v>175</v>
      </c>
      <c r="AG74" s="2">
        <v>0</v>
      </c>
      <c r="AH74" s="2">
        <v>1</v>
      </c>
      <c r="AI74" s="2">
        <v>0</v>
      </c>
      <c r="AJ74" s="2">
        <v>1</v>
      </c>
      <c r="AK74" s="2">
        <v>1</v>
      </c>
      <c r="AL74" s="5">
        <v>45380</v>
      </c>
      <c r="AM74" s="2">
        <v>0</v>
      </c>
      <c r="AN74" s="2">
        <v>0</v>
      </c>
      <c r="AO74" s="2">
        <v>1</v>
      </c>
      <c r="AP74" s="5">
        <v>45383</v>
      </c>
      <c r="AQ74" s="2">
        <v>0</v>
      </c>
      <c r="AR74" s="2">
        <v>0</v>
      </c>
      <c r="AS74" s="2">
        <v>1</v>
      </c>
      <c r="AT74" s="2">
        <v>0</v>
      </c>
      <c r="AU74" s="2" t="s">
        <v>176</v>
      </c>
    </row>
    <row r="75" spans="1:47">
      <c r="A75" s="2">
        <v>74</v>
      </c>
      <c r="B75" s="5">
        <v>45433</v>
      </c>
      <c r="C75" s="5">
        <v>45443</v>
      </c>
      <c r="D75" s="2">
        <f>C75-B75</f>
        <v>10</v>
      </c>
      <c r="E75" s="2">
        <v>71</v>
      </c>
      <c r="F75" s="2">
        <v>2</v>
      </c>
      <c r="G75" s="2">
        <v>2</v>
      </c>
      <c r="H75" s="2">
        <v>1</v>
      </c>
      <c r="I75" s="2">
        <v>0</v>
      </c>
      <c r="J75" s="2">
        <v>0</v>
      </c>
      <c r="K75" s="2">
        <v>0</v>
      </c>
      <c r="L75" s="2">
        <v>1</v>
      </c>
      <c r="M75" s="2">
        <v>0</v>
      </c>
      <c r="N75" s="2">
        <v>1</v>
      </c>
      <c r="O75" s="2" t="s">
        <v>99</v>
      </c>
      <c r="P75" t="s">
        <v>163</v>
      </c>
      <c r="Q75" s="2">
        <v>0</v>
      </c>
      <c r="R75" s="2">
        <v>1</v>
      </c>
      <c r="S75" s="5">
        <v>45433</v>
      </c>
      <c r="T75" s="5">
        <v>45433</v>
      </c>
      <c r="U75" s="28">
        <f t="shared" si="2"/>
        <v>0</v>
      </c>
      <c r="V75" s="2">
        <v>1</v>
      </c>
      <c r="W75" s="2">
        <v>0</v>
      </c>
      <c r="X75" s="2">
        <v>0</v>
      </c>
      <c r="Y75" s="2">
        <v>1</v>
      </c>
      <c r="Z75" s="2">
        <v>0</v>
      </c>
      <c r="AA75" s="2">
        <v>0</v>
      </c>
      <c r="AB75" s="2">
        <v>0</v>
      </c>
      <c r="AC75" s="2">
        <v>0</v>
      </c>
      <c r="AD75" s="2">
        <v>0</v>
      </c>
      <c r="AE75" s="2">
        <v>1</v>
      </c>
      <c r="AF75" s="2" t="s">
        <v>48</v>
      </c>
      <c r="AG75" s="2">
        <v>1</v>
      </c>
      <c r="AH75" s="2">
        <v>0</v>
      </c>
      <c r="AI75" s="2">
        <v>1</v>
      </c>
      <c r="AJ75" s="2">
        <v>1</v>
      </c>
      <c r="AK75" s="2">
        <v>1</v>
      </c>
      <c r="AL75" s="5">
        <v>45436</v>
      </c>
      <c r="AM75" s="2">
        <v>0</v>
      </c>
      <c r="AN75" s="2">
        <v>0</v>
      </c>
      <c r="AO75" s="2">
        <v>0</v>
      </c>
      <c r="AT75" s="2">
        <v>0</v>
      </c>
      <c r="AU75" s="2" t="s">
        <v>177</v>
      </c>
    </row>
    <row r="76" spans="1:47" s="13" customFormat="1">
      <c r="A76" s="2">
        <v>75</v>
      </c>
      <c r="B76" s="18">
        <v>45398</v>
      </c>
      <c r="C76" s="18">
        <v>45442</v>
      </c>
      <c r="D76" s="13">
        <f t="shared" ref="D76" si="3">C76-B76</f>
        <v>44</v>
      </c>
      <c r="E76" s="13">
        <v>54</v>
      </c>
      <c r="F76" s="13">
        <v>1</v>
      </c>
      <c r="G76" s="13">
        <v>2</v>
      </c>
      <c r="H76" s="13">
        <v>1</v>
      </c>
      <c r="I76" s="13">
        <v>0</v>
      </c>
      <c r="J76" s="13">
        <v>0</v>
      </c>
      <c r="K76" s="13">
        <v>0</v>
      </c>
      <c r="L76" s="13">
        <v>1</v>
      </c>
      <c r="M76" s="13">
        <v>0</v>
      </c>
      <c r="N76" s="13">
        <v>0</v>
      </c>
      <c r="P76" s="14" t="s">
        <v>155</v>
      </c>
      <c r="Q76" s="13">
        <v>1</v>
      </c>
      <c r="R76" s="13">
        <v>5</v>
      </c>
      <c r="S76" s="18">
        <v>45398</v>
      </c>
      <c r="T76" s="18">
        <v>45401</v>
      </c>
      <c r="U76" s="31">
        <f t="shared" si="2"/>
        <v>3</v>
      </c>
      <c r="V76" s="13">
        <v>1</v>
      </c>
      <c r="W76" s="13">
        <v>0</v>
      </c>
      <c r="X76" s="13">
        <v>0</v>
      </c>
      <c r="Y76" s="13">
        <v>1</v>
      </c>
      <c r="Z76" s="13">
        <v>0</v>
      </c>
      <c r="AA76" s="13">
        <v>1</v>
      </c>
      <c r="AB76" s="13">
        <v>0</v>
      </c>
      <c r="AC76" s="13">
        <v>0</v>
      </c>
      <c r="AD76" s="13">
        <v>0</v>
      </c>
      <c r="AE76" s="13">
        <v>1</v>
      </c>
      <c r="AF76" s="13" t="s">
        <v>158</v>
      </c>
      <c r="AG76" s="13">
        <v>1</v>
      </c>
      <c r="AH76" s="13">
        <v>1</v>
      </c>
      <c r="AI76" s="13">
        <v>1</v>
      </c>
      <c r="AJ76" s="13">
        <v>1</v>
      </c>
      <c r="AK76" s="13">
        <v>1</v>
      </c>
      <c r="AL76" s="18">
        <v>45401</v>
      </c>
      <c r="AM76" s="13">
        <v>0</v>
      </c>
      <c r="AN76" s="13">
        <v>0</v>
      </c>
      <c r="AO76" s="13">
        <v>0</v>
      </c>
      <c r="AT76" s="13">
        <v>0</v>
      </c>
      <c r="AU76" s="13" t="s">
        <v>178</v>
      </c>
    </row>
    <row r="77" spans="1:47">
      <c r="A77" s="2">
        <v>76</v>
      </c>
      <c r="B77" s="5">
        <v>45444</v>
      </c>
      <c r="C77" s="5">
        <v>45449</v>
      </c>
      <c r="D77" s="2">
        <f>C77-B77</f>
        <v>5</v>
      </c>
      <c r="E77" s="2">
        <v>69</v>
      </c>
      <c r="F77" s="2">
        <v>1</v>
      </c>
      <c r="G77" s="2">
        <v>2</v>
      </c>
      <c r="H77" s="2">
        <v>1</v>
      </c>
      <c r="I77" s="2">
        <v>0</v>
      </c>
      <c r="J77" s="2">
        <v>0</v>
      </c>
      <c r="K77" s="2">
        <v>0</v>
      </c>
      <c r="L77" s="2">
        <v>1</v>
      </c>
      <c r="M77" s="2">
        <v>0</v>
      </c>
      <c r="N77" s="2">
        <v>0</v>
      </c>
      <c r="P77" t="s">
        <v>179</v>
      </c>
      <c r="Q77" s="2">
        <v>0</v>
      </c>
      <c r="R77" s="2">
        <v>1</v>
      </c>
      <c r="S77" s="5">
        <v>45444</v>
      </c>
      <c r="T77" s="5">
        <v>45444</v>
      </c>
      <c r="U77" s="28">
        <f t="shared" si="2"/>
        <v>0</v>
      </c>
      <c r="V77" s="2">
        <v>0</v>
      </c>
      <c r="W77" s="2">
        <v>0</v>
      </c>
      <c r="X77" s="2">
        <v>0</v>
      </c>
      <c r="Y77" s="2">
        <v>0</v>
      </c>
      <c r="Z77" s="2">
        <v>0</v>
      </c>
      <c r="AA77" s="2">
        <v>0</v>
      </c>
      <c r="AB77" s="2">
        <v>0</v>
      </c>
      <c r="AC77" s="2">
        <v>0</v>
      </c>
      <c r="AD77" s="2">
        <v>0</v>
      </c>
      <c r="AE77" s="2">
        <v>1</v>
      </c>
      <c r="AF77" s="2" t="s">
        <v>126</v>
      </c>
      <c r="AG77" s="2">
        <v>0</v>
      </c>
      <c r="AH77" s="2">
        <v>1</v>
      </c>
      <c r="AI77" s="2">
        <v>1</v>
      </c>
      <c r="AJ77" s="2">
        <v>1</v>
      </c>
      <c r="AK77" s="2">
        <v>0</v>
      </c>
      <c r="AO77" s="2">
        <v>0</v>
      </c>
      <c r="AT77" s="2">
        <v>0</v>
      </c>
      <c r="AU77" s="2" t="s">
        <v>180</v>
      </c>
    </row>
    <row r="78" spans="1:47" s="19" customFormat="1">
      <c r="A78" s="19">
        <v>77</v>
      </c>
      <c r="B78" s="21">
        <v>45445</v>
      </c>
      <c r="C78" s="21">
        <v>45446</v>
      </c>
      <c r="D78" s="19">
        <f>C78-B78</f>
        <v>1</v>
      </c>
      <c r="E78" s="19">
        <v>63</v>
      </c>
      <c r="F78" s="19">
        <v>2</v>
      </c>
      <c r="G78" s="19">
        <v>2</v>
      </c>
      <c r="H78" s="19">
        <v>1</v>
      </c>
      <c r="I78" s="19">
        <v>0</v>
      </c>
      <c r="J78" s="19">
        <v>0</v>
      </c>
      <c r="K78" s="19">
        <v>0</v>
      </c>
      <c r="L78" s="19">
        <v>1</v>
      </c>
      <c r="M78" s="19">
        <v>0</v>
      </c>
      <c r="N78" s="19">
        <v>1</v>
      </c>
      <c r="O78" s="19" t="s">
        <v>181</v>
      </c>
      <c r="P78" s="20" t="s">
        <v>179</v>
      </c>
      <c r="Q78" s="19">
        <v>0</v>
      </c>
      <c r="R78" s="19">
        <v>1</v>
      </c>
      <c r="S78" s="21">
        <v>45445</v>
      </c>
      <c r="T78" s="21">
        <v>45445</v>
      </c>
      <c r="U78" s="30">
        <f t="shared" si="2"/>
        <v>0</v>
      </c>
      <c r="V78" s="19">
        <v>1</v>
      </c>
      <c r="W78" s="19">
        <v>0</v>
      </c>
      <c r="X78" s="19">
        <v>1</v>
      </c>
      <c r="Y78" s="19">
        <v>1</v>
      </c>
      <c r="Z78" s="19">
        <v>0</v>
      </c>
      <c r="AA78" s="19">
        <v>0</v>
      </c>
      <c r="AB78" s="19">
        <v>0</v>
      </c>
      <c r="AC78" s="19">
        <v>0</v>
      </c>
      <c r="AD78" s="19">
        <v>0</v>
      </c>
      <c r="AE78" s="19">
        <v>1</v>
      </c>
      <c r="AF78" s="19" t="s">
        <v>68</v>
      </c>
      <c r="AG78" s="19">
        <v>0</v>
      </c>
      <c r="AH78" s="19">
        <v>1</v>
      </c>
      <c r="AI78" s="19">
        <v>1</v>
      </c>
      <c r="AK78" s="19">
        <v>0</v>
      </c>
      <c r="AO78" s="19">
        <v>0</v>
      </c>
      <c r="AT78" s="19">
        <v>0</v>
      </c>
      <c r="AU78" s="19" t="s">
        <v>182</v>
      </c>
    </row>
    <row r="79" spans="1:47">
      <c r="A79" s="2">
        <v>78</v>
      </c>
      <c r="B79" s="5">
        <v>45447</v>
      </c>
      <c r="C79" s="5">
        <v>45457</v>
      </c>
      <c r="D79" s="2">
        <f>C79-B79</f>
        <v>10</v>
      </c>
      <c r="E79" s="2">
        <v>53</v>
      </c>
      <c r="F79" s="2">
        <v>1</v>
      </c>
      <c r="G79" s="2">
        <v>2</v>
      </c>
      <c r="H79" s="2">
        <v>0</v>
      </c>
      <c r="I79" s="2">
        <v>0</v>
      </c>
      <c r="J79" s="2">
        <v>0</v>
      </c>
      <c r="K79" s="2">
        <v>0</v>
      </c>
      <c r="L79" s="2">
        <v>0</v>
      </c>
      <c r="M79" s="2">
        <v>0</v>
      </c>
      <c r="N79" s="2">
        <v>0</v>
      </c>
      <c r="P79" t="s">
        <v>179</v>
      </c>
      <c r="Q79" s="2">
        <v>0</v>
      </c>
      <c r="R79" s="2">
        <v>1</v>
      </c>
      <c r="S79" s="5">
        <v>45447</v>
      </c>
      <c r="T79" s="5">
        <v>45447</v>
      </c>
      <c r="U79" s="28">
        <f t="shared" si="2"/>
        <v>0</v>
      </c>
      <c r="V79" s="2">
        <v>0</v>
      </c>
      <c r="W79" s="2">
        <v>0</v>
      </c>
      <c r="X79" s="2">
        <v>0</v>
      </c>
      <c r="Y79" s="2">
        <v>0</v>
      </c>
      <c r="Z79" s="2">
        <v>0</v>
      </c>
      <c r="AA79" s="2">
        <v>0</v>
      </c>
      <c r="AB79" s="2">
        <v>0</v>
      </c>
      <c r="AC79" s="2">
        <v>0</v>
      </c>
      <c r="AD79" s="2">
        <v>0</v>
      </c>
      <c r="AE79" s="2">
        <v>1</v>
      </c>
      <c r="AF79" s="2" t="s">
        <v>68</v>
      </c>
      <c r="AG79" s="2">
        <v>0</v>
      </c>
      <c r="AH79" s="2">
        <v>0</v>
      </c>
      <c r="AI79" s="2">
        <v>1</v>
      </c>
      <c r="AJ79" s="2">
        <v>1</v>
      </c>
      <c r="AK79" s="2">
        <v>0</v>
      </c>
      <c r="AO79" s="2">
        <v>0</v>
      </c>
      <c r="AT79" s="2">
        <v>0</v>
      </c>
      <c r="AU79" s="2" t="s">
        <v>183</v>
      </c>
    </row>
    <row r="80" spans="1:47">
      <c r="A80" s="2">
        <v>79</v>
      </c>
      <c r="B80" s="5">
        <v>45449</v>
      </c>
      <c r="C80" s="5">
        <v>45477</v>
      </c>
      <c r="D80" s="2">
        <f>C80-B80</f>
        <v>28</v>
      </c>
      <c r="E80" s="2">
        <v>73</v>
      </c>
      <c r="F80" s="2">
        <v>2</v>
      </c>
      <c r="G80" s="2">
        <v>2</v>
      </c>
      <c r="H80" s="2">
        <v>0</v>
      </c>
      <c r="I80" s="2">
        <v>0</v>
      </c>
      <c r="J80" s="2">
        <v>0</v>
      </c>
      <c r="K80" s="2">
        <v>0</v>
      </c>
      <c r="L80" s="2">
        <v>0</v>
      </c>
      <c r="M80" s="2">
        <v>0</v>
      </c>
      <c r="N80" s="2">
        <v>0</v>
      </c>
      <c r="P80" t="s">
        <v>184</v>
      </c>
      <c r="Q80" s="2">
        <v>0</v>
      </c>
      <c r="R80" s="2">
        <v>1</v>
      </c>
      <c r="S80" s="5">
        <v>45449</v>
      </c>
      <c r="T80" s="5">
        <v>45449</v>
      </c>
      <c r="U80" s="28">
        <f t="shared" si="2"/>
        <v>0</v>
      </c>
      <c r="V80" s="2">
        <v>1</v>
      </c>
      <c r="W80" s="2">
        <v>0</v>
      </c>
      <c r="X80" s="2">
        <v>0</v>
      </c>
      <c r="Y80" s="2">
        <v>0</v>
      </c>
      <c r="Z80" s="2">
        <v>0</v>
      </c>
      <c r="AA80" s="2">
        <v>0</v>
      </c>
      <c r="AB80" s="2">
        <v>0</v>
      </c>
      <c r="AC80" s="2">
        <v>0</v>
      </c>
      <c r="AD80" s="2">
        <v>1</v>
      </c>
      <c r="AE80" s="2">
        <v>1</v>
      </c>
      <c r="AF80" s="2" t="s">
        <v>91</v>
      </c>
      <c r="AG80" s="2">
        <v>0</v>
      </c>
      <c r="AH80" s="2">
        <v>0</v>
      </c>
      <c r="AI80" s="2">
        <v>1</v>
      </c>
      <c r="AJ80" s="2">
        <v>0</v>
      </c>
      <c r="AK80" s="2">
        <v>1</v>
      </c>
      <c r="AL80" s="5">
        <v>45453</v>
      </c>
      <c r="AM80" s="2">
        <v>0</v>
      </c>
      <c r="AN80" s="2">
        <v>1</v>
      </c>
      <c r="AO80" s="2">
        <v>0</v>
      </c>
      <c r="AT80" s="2">
        <v>1</v>
      </c>
      <c r="AU80" s="2" t="s">
        <v>185</v>
      </c>
    </row>
    <row r="81" spans="1:47">
      <c r="A81" s="2">
        <v>80</v>
      </c>
      <c r="B81" s="5">
        <v>45449</v>
      </c>
      <c r="C81" s="5">
        <v>45457</v>
      </c>
      <c r="D81" s="2">
        <f>C81-B81</f>
        <v>8</v>
      </c>
      <c r="E81" s="2">
        <v>69</v>
      </c>
      <c r="F81" s="2">
        <v>1</v>
      </c>
      <c r="G81" s="2">
        <v>2</v>
      </c>
      <c r="H81" s="2">
        <v>1</v>
      </c>
      <c r="I81" s="2">
        <v>0</v>
      </c>
      <c r="J81" s="2">
        <v>0</v>
      </c>
      <c r="K81" s="2">
        <v>0</v>
      </c>
      <c r="L81" s="2">
        <v>0</v>
      </c>
      <c r="M81" s="2">
        <v>0</v>
      </c>
      <c r="N81" s="2">
        <v>1</v>
      </c>
      <c r="O81" s="2" t="s">
        <v>70</v>
      </c>
      <c r="P81" t="s">
        <v>186</v>
      </c>
      <c r="Q81" s="2">
        <v>0</v>
      </c>
      <c r="R81" s="2">
        <v>1</v>
      </c>
      <c r="S81" s="5">
        <v>45449</v>
      </c>
      <c r="T81" s="5">
        <v>45449</v>
      </c>
      <c r="U81" s="28">
        <f t="shared" si="2"/>
        <v>0</v>
      </c>
      <c r="V81" s="2">
        <v>0</v>
      </c>
      <c r="W81" s="2">
        <v>0</v>
      </c>
      <c r="X81" s="2">
        <v>0</v>
      </c>
      <c r="Y81" s="2">
        <v>0</v>
      </c>
      <c r="Z81" s="2">
        <v>0</v>
      </c>
      <c r="AA81" s="2">
        <v>0</v>
      </c>
      <c r="AB81" s="2">
        <v>0</v>
      </c>
      <c r="AC81" s="2">
        <v>0</v>
      </c>
      <c r="AD81" s="2">
        <v>0</v>
      </c>
      <c r="AE81" s="2">
        <v>1</v>
      </c>
      <c r="AF81" s="2" t="s">
        <v>187</v>
      </c>
      <c r="AG81" s="2">
        <v>0</v>
      </c>
      <c r="AH81" s="11">
        <v>1</v>
      </c>
      <c r="AI81" s="2">
        <v>0</v>
      </c>
      <c r="AJ81" s="2">
        <v>1</v>
      </c>
      <c r="AK81" s="2">
        <v>0</v>
      </c>
      <c r="AO81" s="2">
        <v>0</v>
      </c>
      <c r="AT81" s="2">
        <v>0</v>
      </c>
      <c r="AU81" s="2" t="s">
        <v>188</v>
      </c>
    </row>
    <row r="82" spans="1:47">
      <c r="A82" s="2">
        <v>81</v>
      </c>
      <c r="B82" s="5">
        <v>45453</v>
      </c>
      <c r="C82" s="5">
        <v>45457</v>
      </c>
      <c r="D82" s="2">
        <f>C82-B82</f>
        <v>4</v>
      </c>
      <c r="E82" s="2">
        <v>63</v>
      </c>
      <c r="F82" s="2">
        <v>2</v>
      </c>
      <c r="G82" s="2">
        <v>2</v>
      </c>
      <c r="H82" s="2">
        <v>0</v>
      </c>
      <c r="I82" s="2">
        <v>0</v>
      </c>
      <c r="J82" s="2">
        <v>0</v>
      </c>
      <c r="K82" s="2">
        <v>0</v>
      </c>
      <c r="L82" s="2">
        <v>0</v>
      </c>
      <c r="M82" s="2">
        <v>0</v>
      </c>
      <c r="N82" s="2">
        <v>0</v>
      </c>
      <c r="P82" t="s">
        <v>179</v>
      </c>
      <c r="Q82" s="2">
        <v>0</v>
      </c>
      <c r="R82" s="2">
        <v>1</v>
      </c>
      <c r="S82" s="5">
        <v>45453</v>
      </c>
      <c r="T82" s="5">
        <v>45453</v>
      </c>
      <c r="U82" s="28">
        <f t="shared" si="2"/>
        <v>0</v>
      </c>
      <c r="V82" s="2">
        <v>0</v>
      </c>
      <c r="W82" s="2">
        <v>0</v>
      </c>
      <c r="X82" s="2">
        <v>0</v>
      </c>
      <c r="Y82" s="2">
        <v>0</v>
      </c>
      <c r="Z82" s="2">
        <v>0</v>
      </c>
      <c r="AA82" s="2">
        <v>0</v>
      </c>
      <c r="AB82" s="2">
        <v>0</v>
      </c>
      <c r="AC82" s="2">
        <v>0</v>
      </c>
      <c r="AD82" s="2">
        <v>0</v>
      </c>
      <c r="AE82" s="2">
        <v>1</v>
      </c>
      <c r="AF82" s="2" t="s">
        <v>68</v>
      </c>
      <c r="AG82" s="2">
        <v>0</v>
      </c>
      <c r="AH82" s="2">
        <v>0</v>
      </c>
      <c r="AI82" s="2">
        <v>1</v>
      </c>
      <c r="AJ82" s="2">
        <v>1</v>
      </c>
      <c r="AK82" s="2">
        <v>0</v>
      </c>
      <c r="AO82" s="2">
        <v>0</v>
      </c>
      <c r="AT82" s="2">
        <v>0</v>
      </c>
      <c r="AU82" s="2" t="s">
        <v>189</v>
      </c>
    </row>
    <row r="83" spans="1:47">
      <c r="A83" s="2">
        <v>82</v>
      </c>
      <c r="B83" s="5">
        <v>45454</v>
      </c>
      <c r="C83" s="5">
        <v>45464</v>
      </c>
      <c r="D83" s="2">
        <f t="shared" ref="D83:D146" si="4">C83-B83</f>
        <v>10</v>
      </c>
      <c r="E83" s="2">
        <v>76</v>
      </c>
      <c r="F83" s="2">
        <v>2</v>
      </c>
      <c r="G83" s="2">
        <v>2</v>
      </c>
      <c r="H83" s="2">
        <v>0</v>
      </c>
      <c r="I83" s="2">
        <v>0</v>
      </c>
      <c r="J83" s="2">
        <v>0</v>
      </c>
      <c r="K83" s="2">
        <v>0</v>
      </c>
      <c r="L83" s="2">
        <v>0</v>
      </c>
      <c r="M83" s="2">
        <v>0</v>
      </c>
      <c r="N83" s="2">
        <v>0</v>
      </c>
      <c r="P83" t="s">
        <v>179</v>
      </c>
      <c r="Q83" s="2">
        <v>0</v>
      </c>
      <c r="R83" s="2">
        <v>1</v>
      </c>
      <c r="S83" s="5">
        <v>45454</v>
      </c>
      <c r="T83" s="5">
        <v>45454</v>
      </c>
      <c r="U83" s="28">
        <f t="shared" si="2"/>
        <v>0</v>
      </c>
      <c r="V83" s="2">
        <v>0</v>
      </c>
      <c r="W83" s="2">
        <v>0</v>
      </c>
      <c r="X83" s="2">
        <v>0</v>
      </c>
      <c r="Y83" s="2">
        <v>0</v>
      </c>
      <c r="Z83" s="2">
        <v>0</v>
      </c>
      <c r="AA83" s="2">
        <v>0</v>
      </c>
      <c r="AB83" s="2">
        <v>0</v>
      </c>
      <c r="AC83" s="2">
        <v>0</v>
      </c>
      <c r="AD83" s="2">
        <v>0</v>
      </c>
      <c r="AE83" s="2">
        <v>1</v>
      </c>
      <c r="AF83" s="2" t="s">
        <v>190</v>
      </c>
      <c r="AG83" s="2">
        <v>0</v>
      </c>
      <c r="AH83" s="2">
        <v>0</v>
      </c>
      <c r="AI83" s="2">
        <v>1</v>
      </c>
      <c r="AJ83" s="2">
        <v>1</v>
      </c>
      <c r="AK83" s="11">
        <v>1</v>
      </c>
      <c r="AL83" s="5">
        <v>45455</v>
      </c>
      <c r="AM83" s="2">
        <v>0</v>
      </c>
      <c r="AN83" s="2">
        <v>0</v>
      </c>
      <c r="AO83" s="2">
        <v>0</v>
      </c>
      <c r="AT83" s="2">
        <v>0</v>
      </c>
      <c r="AU83" s="2" t="s">
        <v>191</v>
      </c>
    </row>
    <row r="84" spans="1:47">
      <c r="A84" s="2">
        <v>83</v>
      </c>
      <c r="B84" s="5">
        <v>45454</v>
      </c>
      <c r="C84" s="5">
        <v>45463</v>
      </c>
      <c r="D84" s="2">
        <f t="shared" si="4"/>
        <v>9</v>
      </c>
      <c r="E84" s="2">
        <v>80</v>
      </c>
      <c r="F84" s="2">
        <v>1</v>
      </c>
      <c r="G84" s="2">
        <v>3</v>
      </c>
      <c r="H84" s="2">
        <v>1</v>
      </c>
      <c r="I84" s="2">
        <v>0</v>
      </c>
      <c r="J84" s="2">
        <v>0</v>
      </c>
      <c r="K84" s="2">
        <v>0</v>
      </c>
      <c r="L84" s="2">
        <v>1</v>
      </c>
      <c r="M84" s="2">
        <v>0</v>
      </c>
      <c r="N84" s="2">
        <v>1</v>
      </c>
      <c r="O84" s="2" t="s">
        <v>192</v>
      </c>
      <c r="P84" t="s">
        <v>186</v>
      </c>
      <c r="Q84" s="2">
        <v>0</v>
      </c>
      <c r="R84" s="2">
        <v>1</v>
      </c>
      <c r="S84" s="5">
        <v>45454</v>
      </c>
      <c r="T84" s="5">
        <v>45454</v>
      </c>
      <c r="U84" s="28">
        <f t="shared" si="2"/>
        <v>0</v>
      </c>
      <c r="V84" s="2">
        <v>1</v>
      </c>
      <c r="W84" s="2">
        <v>0</v>
      </c>
      <c r="X84" s="2">
        <v>0</v>
      </c>
      <c r="Y84" s="2">
        <v>1</v>
      </c>
      <c r="Z84" s="2">
        <v>0</v>
      </c>
      <c r="AA84" s="2">
        <v>0</v>
      </c>
      <c r="AB84" s="2">
        <v>0</v>
      </c>
      <c r="AC84" s="2">
        <v>0</v>
      </c>
      <c r="AD84" s="2">
        <v>0</v>
      </c>
      <c r="AE84" s="2">
        <v>1</v>
      </c>
      <c r="AF84" s="2" t="s">
        <v>91</v>
      </c>
      <c r="AG84" s="2">
        <v>0</v>
      </c>
      <c r="AH84" s="2">
        <v>0</v>
      </c>
      <c r="AI84" s="2">
        <v>1</v>
      </c>
      <c r="AJ84" s="2">
        <v>1</v>
      </c>
      <c r="AK84" s="2">
        <v>1</v>
      </c>
      <c r="AL84" s="5">
        <v>45457</v>
      </c>
      <c r="AM84" s="2">
        <v>0</v>
      </c>
      <c r="AN84" s="2">
        <v>1</v>
      </c>
      <c r="AO84" s="2">
        <v>0</v>
      </c>
      <c r="AT84" s="2">
        <v>0</v>
      </c>
      <c r="AU84" s="2" t="s">
        <v>193</v>
      </c>
    </row>
    <row r="85" spans="1:47">
      <c r="A85" s="2">
        <v>84</v>
      </c>
      <c r="B85" s="5">
        <v>45455</v>
      </c>
      <c r="C85" s="5">
        <v>45463</v>
      </c>
      <c r="D85" s="2">
        <f t="shared" si="4"/>
        <v>8</v>
      </c>
      <c r="E85" s="2">
        <v>81</v>
      </c>
      <c r="F85" s="2">
        <v>1</v>
      </c>
      <c r="G85" s="2">
        <v>3</v>
      </c>
      <c r="H85" s="2">
        <v>0</v>
      </c>
      <c r="I85" s="2">
        <v>0</v>
      </c>
      <c r="J85" s="2">
        <v>0</v>
      </c>
      <c r="K85" s="2">
        <v>0</v>
      </c>
      <c r="L85" s="2">
        <v>0</v>
      </c>
      <c r="M85" s="2">
        <v>0</v>
      </c>
      <c r="N85" s="2">
        <v>0</v>
      </c>
      <c r="P85" t="s">
        <v>179</v>
      </c>
      <c r="Q85" s="2">
        <v>0</v>
      </c>
      <c r="R85" s="2">
        <v>1</v>
      </c>
      <c r="S85" s="5">
        <v>45455</v>
      </c>
      <c r="T85" s="5">
        <v>45455</v>
      </c>
      <c r="U85" s="28">
        <f t="shared" si="2"/>
        <v>0</v>
      </c>
      <c r="V85" s="2">
        <v>0</v>
      </c>
      <c r="W85" s="2">
        <v>0</v>
      </c>
      <c r="X85" s="2">
        <v>0</v>
      </c>
      <c r="Y85" s="2">
        <v>0</v>
      </c>
      <c r="Z85" s="2">
        <v>0</v>
      </c>
      <c r="AA85" s="2">
        <v>0</v>
      </c>
      <c r="AB85" s="2">
        <v>0</v>
      </c>
      <c r="AC85" s="2">
        <v>0</v>
      </c>
      <c r="AD85" s="2">
        <v>0</v>
      </c>
      <c r="AE85" s="2">
        <v>1</v>
      </c>
      <c r="AF85" s="2" t="s">
        <v>68</v>
      </c>
      <c r="AG85" s="2">
        <v>0</v>
      </c>
      <c r="AH85" s="2">
        <v>0</v>
      </c>
      <c r="AI85" s="2">
        <v>1</v>
      </c>
      <c r="AJ85" s="2">
        <v>1</v>
      </c>
      <c r="AK85" s="11">
        <v>1</v>
      </c>
      <c r="AL85" s="5">
        <v>45456</v>
      </c>
      <c r="AM85" s="2">
        <v>0</v>
      </c>
      <c r="AN85" s="2">
        <v>0</v>
      </c>
      <c r="AO85" s="2">
        <v>0</v>
      </c>
      <c r="AT85" s="2">
        <v>1</v>
      </c>
      <c r="AU85" s="2" t="s">
        <v>194</v>
      </c>
    </row>
    <row r="86" spans="1:47">
      <c r="A86" s="2">
        <v>85</v>
      </c>
      <c r="B86" s="5">
        <v>45457</v>
      </c>
      <c r="C86" s="5">
        <v>45468</v>
      </c>
      <c r="D86" s="2">
        <f t="shared" si="4"/>
        <v>11</v>
      </c>
      <c r="E86" s="2">
        <v>59</v>
      </c>
      <c r="F86" s="2">
        <v>1</v>
      </c>
      <c r="G86" s="2">
        <v>3</v>
      </c>
      <c r="H86" s="2">
        <v>0</v>
      </c>
      <c r="I86" s="2">
        <v>0</v>
      </c>
      <c r="J86" s="2">
        <v>0</v>
      </c>
      <c r="K86" s="2">
        <v>0</v>
      </c>
      <c r="L86" s="2">
        <v>0</v>
      </c>
      <c r="M86" s="2">
        <v>0</v>
      </c>
      <c r="N86" s="2">
        <v>0</v>
      </c>
      <c r="P86" t="s">
        <v>179</v>
      </c>
      <c r="Q86" s="2">
        <v>1</v>
      </c>
      <c r="R86" s="2">
        <v>3</v>
      </c>
      <c r="S86" s="5">
        <v>45457</v>
      </c>
      <c r="T86" s="5">
        <v>45460</v>
      </c>
      <c r="U86" s="28">
        <f t="shared" si="2"/>
        <v>3</v>
      </c>
      <c r="V86" s="2">
        <v>1</v>
      </c>
      <c r="W86" s="2">
        <v>1</v>
      </c>
      <c r="X86" s="2">
        <v>1</v>
      </c>
      <c r="Y86" s="2">
        <v>0</v>
      </c>
      <c r="Z86" s="2">
        <v>0</v>
      </c>
      <c r="AA86" s="2">
        <v>0</v>
      </c>
      <c r="AB86" s="2">
        <v>0</v>
      </c>
      <c r="AC86" s="2">
        <v>0</v>
      </c>
      <c r="AD86" s="2">
        <v>0</v>
      </c>
      <c r="AE86" s="2">
        <v>1</v>
      </c>
      <c r="AF86" s="2" t="s">
        <v>55</v>
      </c>
      <c r="AG86" s="2">
        <v>1</v>
      </c>
      <c r="AH86" s="2">
        <v>1</v>
      </c>
      <c r="AI86" s="2">
        <v>1</v>
      </c>
      <c r="AJ86" s="2">
        <v>1</v>
      </c>
      <c r="AK86" s="2">
        <v>1</v>
      </c>
      <c r="AL86" s="5">
        <v>45461</v>
      </c>
      <c r="AM86" s="2">
        <v>0</v>
      </c>
      <c r="AN86" s="2">
        <v>0</v>
      </c>
      <c r="AO86" s="2">
        <v>1</v>
      </c>
      <c r="AP86" s="5">
        <v>45463</v>
      </c>
      <c r="AQ86" s="2">
        <v>0</v>
      </c>
      <c r="AR86" s="2">
        <v>0</v>
      </c>
      <c r="AS86" s="2">
        <v>0</v>
      </c>
      <c r="AT86" s="2">
        <v>0</v>
      </c>
    </row>
    <row r="87" spans="1:47">
      <c r="A87" s="2">
        <v>86</v>
      </c>
      <c r="B87" s="5">
        <v>45460</v>
      </c>
      <c r="C87" s="5">
        <v>45475</v>
      </c>
      <c r="D87" s="2">
        <f t="shared" si="4"/>
        <v>15</v>
      </c>
      <c r="E87" s="2">
        <v>69</v>
      </c>
      <c r="F87" s="2">
        <v>2</v>
      </c>
      <c r="G87" s="2">
        <v>2</v>
      </c>
      <c r="H87" s="2">
        <v>1</v>
      </c>
      <c r="I87" s="2">
        <v>0</v>
      </c>
      <c r="J87" s="2">
        <v>0</v>
      </c>
      <c r="K87" s="2">
        <v>1</v>
      </c>
      <c r="L87" s="2">
        <v>0</v>
      </c>
      <c r="M87" s="2">
        <v>0</v>
      </c>
      <c r="N87" s="2">
        <v>0</v>
      </c>
      <c r="P87" t="s">
        <v>195</v>
      </c>
      <c r="Q87" s="2">
        <v>0</v>
      </c>
      <c r="R87" s="2">
        <v>1</v>
      </c>
      <c r="S87" s="5">
        <v>45460</v>
      </c>
      <c r="T87" s="5">
        <v>45460</v>
      </c>
      <c r="U87" s="28">
        <f t="shared" si="2"/>
        <v>0</v>
      </c>
      <c r="V87" s="2">
        <v>0</v>
      </c>
      <c r="W87" s="2">
        <v>0</v>
      </c>
      <c r="X87" s="2">
        <v>0</v>
      </c>
      <c r="Y87" s="2">
        <v>0</v>
      </c>
      <c r="Z87" s="2">
        <v>0</v>
      </c>
      <c r="AA87" s="2">
        <v>0</v>
      </c>
      <c r="AB87" s="2">
        <v>0</v>
      </c>
      <c r="AC87" s="2">
        <v>0</v>
      </c>
      <c r="AD87" s="2">
        <v>0</v>
      </c>
      <c r="AE87" s="2">
        <v>1</v>
      </c>
      <c r="AF87" s="2" t="s">
        <v>196</v>
      </c>
      <c r="AG87" s="2">
        <v>0</v>
      </c>
      <c r="AH87" s="2">
        <v>1</v>
      </c>
      <c r="AI87" s="2">
        <v>1</v>
      </c>
      <c r="AJ87" s="2">
        <v>1</v>
      </c>
      <c r="AK87" s="2">
        <v>0</v>
      </c>
      <c r="AO87" s="2">
        <v>1</v>
      </c>
      <c r="AP87" s="5">
        <v>45462</v>
      </c>
      <c r="AQ87" s="2">
        <v>0</v>
      </c>
      <c r="AR87" s="2">
        <v>0</v>
      </c>
      <c r="AS87" s="2">
        <v>0</v>
      </c>
      <c r="AT87" s="2">
        <v>0</v>
      </c>
      <c r="AU87" s="2" t="s">
        <v>197</v>
      </c>
    </row>
    <row r="88" spans="1:47" s="19" customFormat="1">
      <c r="A88" s="19">
        <v>87</v>
      </c>
      <c r="B88" s="21">
        <v>45460</v>
      </c>
      <c r="C88" s="21">
        <v>45462</v>
      </c>
      <c r="D88" s="19">
        <f t="shared" si="4"/>
        <v>2</v>
      </c>
      <c r="E88" s="19">
        <v>87</v>
      </c>
      <c r="F88" s="19">
        <v>2</v>
      </c>
      <c r="G88" s="19">
        <v>2</v>
      </c>
      <c r="H88" s="19">
        <v>0</v>
      </c>
      <c r="I88" s="19">
        <v>0</v>
      </c>
      <c r="J88" s="19">
        <v>0</v>
      </c>
      <c r="K88" s="19">
        <v>0</v>
      </c>
      <c r="L88" s="19">
        <v>0</v>
      </c>
      <c r="M88" s="19">
        <v>0</v>
      </c>
      <c r="N88" s="19">
        <v>0</v>
      </c>
      <c r="P88" s="20" t="s">
        <v>179</v>
      </c>
      <c r="Q88" s="19">
        <v>0</v>
      </c>
      <c r="R88" s="19">
        <v>1</v>
      </c>
      <c r="S88" s="21">
        <v>45460</v>
      </c>
      <c r="T88" s="21">
        <v>45460</v>
      </c>
      <c r="U88" s="30">
        <f t="shared" si="2"/>
        <v>0</v>
      </c>
      <c r="V88" s="19">
        <v>0</v>
      </c>
      <c r="W88" s="19">
        <v>0</v>
      </c>
      <c r="X88" s="19">
        <v>0</v>
      </c>
      <c r="Y88" s="19">
        <v>0</v>
      </c>
      <c r="Z88" s="19">
        <v>0</v>
      </c>
      <c r="AA88" s="19">
        <v>0</v>
      </c>
      <c r="AB88" s="19">
        <v>0</v>
      </c>
      <c r="AC88" s="19">
        <v>0</v>
      </c>
      <c r="AD88" s="19">
        <v>0</v>
      </c>
      <c r="AE88" s="19">
        <v>0</v>
      </c>
      <c r="AG88" s="19">
        <v>0</v>
      </c>
      <c r="AH88" s="19">
        <v>0</v>
      </c>
      <c r="AI88" s="19">
        <v>1</v>
      </c>
      <c r="AJ88" s="19">
        <v>0</v>
      </c>
      <c r="AK88" s="19">
        <v>0</v>
      </c>
      <c r="AO88" s="19">
        <v>0</v>
      </c>
      <c r="AT88" s="19">
        <v>0</v>
      </c>
      <c r="AU88" s="19" t="s">
        <v>198</v>
      </c>
    </row>
    <row r="89" spans="1:47" s="19" customFormat="1">
      <c r="A89" s="19">
        <v>88</v>
      </c>
      <c r="B89" s="21">
        <v>45461</v>
      </c>
      <c r="C89" s="21">
        <v>45462</v>
      </c>
      <c r="D89" s="19">
        <f t="shared" si="4"/>
        <v>1</v>
      </c>
      <c r="E89" s="19">
        <v>80</v>
      </c>
      <c r="F89" s="19">
        <v>2</v>
      </c>
      <c r="G89" s="19">
        <v>2</v>
      </c>
      <c r="H89" s="19">
        <v>0</v>
      </c>
      <c r="I89" s="19">
        <v>0</v>
      </c>
      <c r="J89" s="19">
        <v>0</v>
      </c>
      <c r="K89" s="19">
        <v>0</v>
      </c>
      <c r="L89" s="19">
        <v>0</v>
      </c>
      <c r="M89" s="19">
        <v>0</v>
      </c>
      <c r="N89" s="19">
        <v>0</v>
      </c>
      <c r="P89" s="20" t="s">
        <v>179</v>
      </c>
      <c r="Q89" s="19">
        <v>0</v>
      </c>
      <c r="R89" s="19">
        <v>1</v>
      </c>
      <c r="S89" s="21">
        <v>45461</v>
      </c>
      <c r="T89" s="21">
        <v>45461</v>
      </c>
      <c r="U89" s="30">
        <f t="shared" si="2"/>
        <v>0</v>
      </c>
      <c r="V89" s="19">
        <v>0</v>
      </c>
      <c r="W89" s="19">
        <v>0</v>
      </c>
      <c r="X89" s="19">
        <v>0</v>
      </c>
      <c r="Y89" s="19">
        <v>0</v>
      </c>
      <c r="Z89" s="19">
        <v>0</v>
      </c>
      <c r="AA89" s="19">
        <v>0</v>
      </c>
      <c r="AB89" s="19">
        <v>0</v>
      </c>
      <c r="AC89" s="19">
        <v>0</v>
      </c>
      <c r="AD89" s="19">
        <v>0</v>
      </c>
      <c r="AE89" s="19">
        <v>0</v>
      </c>
      <c r="AG89" s="19">
        <v>0</v>
      </c>
      <c r="AH89" s="19">
        <v>0</v>
      </c>
      <c r="AI89" s="19">
        <v>1</v>
      </c>
      <c r="AJ89" s="19">
        <v>1</v>
      </c>
      <c r="AK89" s="19">
        <v>0</v>
      </c>
      <c r="AO89" s="19">
        <v>0</v>
      </c>
      <c r="AT89" s="19">
        <v>0</v>
      </c>
      <c r="AU89" s="19" t="s">
        <v>199</v>
      </c>
    </row>
    <row r="90" spans="1:47">
      <c r="A90" s="2">
        <v>89</v>
      </c>
      <c r="B90" s="5">
        <v>45463</v>
      </c>
      <c r="C90" s="5">
        <v>45466</v>
      </c>
      <c r="D90" s="2">
        <f t="shared" si="4"/>
        <v>3</v>
      </c>
      <c r="E90" s="2">
        <v>77</v>
      </c>
      <c r="F90" s="2">
        <v>2</v>
      </c>
      <c r="G90" s="2">
        <v>3</v>
      </c>
      <c r="H90" s="2">
        <v>0</v>
      </c>
      <c r="I90" s="2">
        <v>0</v>
      </c>
      <c r="J90" s="2">
        <v>0</v>
      </c>
      <c r="K90" s="2">
        <v>0</v>
      </c>
      <c r="L90" s="2">
        <v>0</v>
      </c>
      <c r="M90" s="2">
        <v>0</v>
      </c>
      <c r="N90" s="2">
        <v>0</v>
      </c>
      <c r="P90" t="s">
        <v>179</v>
      </c>
      <c r="Q90" s="2">
        <v>0</v>
      </c>
      <c r="R90" s="2">
        <v>1</v>
      </c>
      <c r="S90" s="5">
        <v>45463</v>
      </c>
      <c r="T90" s="5">
        <v>45463</v>
      </c>
      <c r="U90" s="28">
        <f t="shared" si="2"/>
        <v>0</v>
      </c>
      <c r="V90" s="2">
        <v>0</v>
      </c>
      <c r="W90" s="2">
        <v>0</v>
      </c>
      <c r="X90" s="2">
        <v>0</v>
      </c>
      <c r="Y90" s="2">
        <v>0</v>
      </c>
      <c r="Z90" s="2">
        <v>0</v>
      </c>
      <c r="AA90" s="2">
        <v>0</v>
      </c>
      <c r="AB90" s="2">
        <v>0</v>
      </c>
      <c r="AC90" s="2">
        <v>0</v>
      </c>
      <c r="AD90" s="2">
        <v>0</v>
      </c>
      <c r="AE90" s="2">
        <v>0</v>
      </c>
      <c r="AG90" s="2">
        <v>0</v>
      </c>
      <c r="AH90" s="2">
        <v>1</v>
      </c>
      <c r="AI90" s="2">
        <v>1</v>
      </c>
      <c r="AJ90" s="2">
        <v>1</v>
      </c>
      <c r="AK90" s="2">
        <v>0</v>
      </c>
      <c r="AO90" s="2">
        <v>0</v>
      </c>
      <c r="AT90" s="2">
        <v>0</v>
      </c>
      <c r="AU90" s="2" t="s">
        <v>200</v>
      </c>
    </row>
    <row r="91" spans="1:47">
      <c r="A91" s="2">
        <v>90</v>
      </c>
      <c r="B91" s="5">
        <v>45464</v>
      </c>
      <c r="C91" s="6">
        <v>45470</v>
      </c>
      <c r="D91" s="2">
        <f t="shared" si="4"/>
        <v>6</v>
      </c>
      <c r="E91" s="2">
        <v>58</v>
      </c>
      <c r="F91" s="2">
        <v>2</v>
      </c>
      <c r="G91" s="2">
        <v>2</v>
      </c>
      <c r="H91" s="2">
        <v>0</v>
      </c>
      <c r="I91" s="2">
        <v>0</v>
      </c>
      <c r="J91" s="2">
        <v>0</v>
      </c>
      <c r="K91" s="2">
        <v>0</v>
      </c>
      <c r="L91" s="2">
        <v>0</v>
      </c>
      <c r="M91" s="2">
        <v>0</v>
      </c>
      <c r="N91" s="2">
        <v>1</v>
      </c>
      <c r="O91" s="2" t="s">
        <v>201</v>
      </c>
      <c r="P91" t="s">
        <v>179</v>
      </c>
      <c r="Q91" s="2">
        <v>0</v>
      </c>
      <c r="R91" s="2">
        <v>1</v>
      </c>
      <c r="S91" s="5">
        <v>45464</v>
      </c>
      <c r="T91" s="5">
        <v>45464</v>
      </c>
      <c r="U91" s="28">
        <f t="shared" si="2"/>
        <v>0</v>
      </c>
      <c r="V91" s="2">
        <v>0</v>
      </c>
      <c r="W91" s="2">
        <v>0</v>
      </c>
      <c r="X91" s="2">
        <v>0</v>
      </c>
      <c r="Y91" s="2">
        <v>0</v>
      </c>
      <c r="Z91" s="2">
        <v>0</v>
      </c>
      <c r="AA91" s="2">
        <v>0</v>
      </c>
      <c r="AB91" s="2">
        <v>0</v>
      </c>
      <c r="AC91" s="2">
        <v>0</v>
      </c>
      <c r="AD91" s="2">
        <v>0</v>
      </c>
      <c r="AE91" s="11">
        <v>1</v>
      </c>
      <c r="AF91" s="2" t="s">
        <v>117</v>
      </c>
      <c r="AG91" s="2">
        <v>0</v>
      </c>
      <c r="AH91" s="2">
        <v>0</v>
      </c>
      <c r="AI91" s="2">
        <v>1</v>
      </c>
      <c r="AJ91" s="2">
        <v>0</v>
      </c>
      <c r="AK91" s="2">
        <v>1</v>
      </c>
      <c r="AL91" s="5">
        <v>45467</v>
      </c>
      <c r="AM91" s="2">
        <v>0</v>
      </c>
      <c r="AN91" s="2">
        <v>0</v>
      </c>
      <c r="AO91" s="2">
        <v>0</v>
      </c>
      <c r="AT91" s="2">
        <v>0</v>
      </c>
      <c r="AU91" s="2" t="s">
        <v>202</v>
      </c>
    </row>
    <row r="92" spans="1:47" s="8" customFormat="1">
      <c r="A92" s="8">
        <v>91</v>
      </c>
      <c r="B92" s="6">
        <v>45465</v>
      </c>
      <c r="C92" s="6">
        <v>45466</v>
      </c>
      <c r="D92" s="8">
        <f t="shared" si="4"/>
        <v>1</v>
      </c>
      <c r="E92" s="8">
        <v>86</v>
      </c>
      <c r="F92" s="8">
        <v>2</v>
      </c>
      <c r="G92" s="8">
        <v>2</v>
      </c>
      <c r="H92" s="8">
        <v>0</v>
      </c>
      <c r="I92" s="8">
        <v>0</v>
      </c>
      <c r="J92" s="8">
        <v>0</v>
      </c>
      <c r="K92" s="8">
        <v>0</v>
      </c>
      <c r="L92" s="8">
        <v>0</v>
      </c>
      <c r="M92" s="8">
        <v>0</v>
      </c>
      <c r="N92" s="8">
        <v>0</v>
      </c>
      <c r="P92" s="9" t="s">
        <v>179</v>
      </c>
      <c r="Q92" s="8">
        <v>0</v>
      </c>
      <c r="R92" s="8">
        <v>1</v>
      </c>
      <c r="S92" s="6">
        <v>45465</v>
      </c>
      <c r="T92" s="6">
        <v>45465</v>
      </c>
      <c r="U92" s="29">
        <f t="shared" si="2"/>
        <v>0</v>
      </c>
      <c r="V92" s="8">
        <v>0</v>
      </c>
      <c r="W92" s="8">
        <v>0</v>
      </c>
      <c r="X92" s="8">
        <v>0</v>
      </c>
      <c r="Y92" s="8">
        <v>0</v>
      </c>
      <c r="Z92" s="8">
        <v>0</v>
      </c>
      <c r="AA92" s="8">
        <v>0</v>
      </c>
      <c r="AB92" s="8">
        <v>0</v>
      </c>
      <c r="AC92" s="8">
        <v>0</v>
      </c>
      <c r="AD92" s="8">
        <v>0</v>
      </c>
      <c r="AE92" s="8">
        <v>0</v>
      </c>
      <c r="AG92" s="8">
        <v>0</v>
      </c>
      <c r="AH92" s="8">
        <v>0</v>
      </c>
      <c r="AI92" s="8">
        <v>1</v>
      </c>
      <c r="AJ92" s="8">
        <v>0</v>
      </c>
      <c r="AK92" s="8">
        <v>0</v>
      </c>
      <c r="AO92" s="8">
        <v>0</v>
      </c>
      <c r="AT92" s="8">
        <v>0</v>
      </c>
      <c r="AU92" s="8" t="s">
        <v>203</v>
      </c>
    </row>
    <row r="93" spans="1:47" s="8" customFormat="1">
      <c r="A93" s="8">
        <v>92</v>
      </c>
      <c r="B93" s="6">
        <v>45471</v>
      </c>
      <c r="C93" s="6">
        <v>45471</v>
      </c>
      <c r="D93" s="8">
        <f t="shared" si="4"/>
        <v>0</v>
      </c>
      <c r="E93" s="8">
        <v>89</v>
      </c>
      <c r="F93" s="8">
        <v>1</v>
      </c>
      <c r="G93" s="8">
        <v>3</v>
      </c>
      <c r="H93" s="8">
        <v>1</v>
      </c>
      <c r="I93" s="8">
        <v>0</v>
      </c>
      <c r="J93" s="8">
        <v>0</v>
      </c>
      <c r="K93" s="8">
        <v>0</v>
      </c>
      <c r="L93" s="8">
        <v>0</v>
      </c>
      <c r="M93" s="8">
        <v>0</v>
      </c>
      <c r="N93" s="8">
        <v>1</v>
      </c>
      <c r="O93" s="8" t="s">
        <v>70</v>
      </c>
      <c r="P93" s="9" t="s">
        <v>179</v>
      </c>
      <c r="Q93" s="8">
        <v>0</v>
      </c>
      <c r="R93" s="8">
        <v>1</v>
      </c>
      <c r="S93" s="6">
        <v>45471</v>
      </c>
      <c r="T93" s="6">
        <v>45471</v>
      </c>
      <c r="U93" s="29">
        <f t="shared" si="2"/>
        <v>0</v>
      </c>
      <c r="V93" s="8">
        <v>0</v>
      </c>
      <c r="W93" s="8">
        <v>0</v>
      </c>
      <c r="X93" s="8">
        <v>0</v>
      </c>
      <c r="Y93" s="8">
        <v>0</v>
      </c>
      <c r="Z93" s="8">
        <v>0</v>
      </c>
      <c r="AA93" s="8">
        <v>0</v>
      </c>
      <c r="AB93" s="8">
        <v>0</v>
      </c>
      <c r="AC93" s="8">
        <v>0</v>
      </c>
      <c r="AD93" s="8">
        <v>0</v>
      </c>
      <c r="AE93" s="8">
        <v>0</v>
      </c>
      <c r="AG93" s="8">
        <v>0</v>
      </c>
      <c r="AH93" s="8">
        <v>0</v>
      </c>
      <c r="AI93" s="8">
        <v>0</v>
      </c>
      <c r="AJ93" s="8">
        <v>0</v>
      </c>
      <c r="AK93" s="8">
        <v>0</v>
      </c>
      <c r="AO93" s="8">
        <v>0</v>
      </c>
      <c r="AT93" s="8">
        <v>0</v>
      </c>
      <c r="AU93" s="8" t="s">
        <v>204</v>
      </c>
    </row>
    <row r="94" spans="1:47">
      <c r="A94" s="2">
        <v>93</v>
      </c>
      <c r="B94" s="5">
        <v>45471</v>
      </c>
      <c r="C94" s="5">
        <v>45485</v>
      </c>
      <c r="D94" s="2">
        <f t="shared" si="4"/>
        <v>14</v>
      </c>
      <c r="E94" s="2">
        <v>68</v>
      </c>
      <c r="F94" s="2">
        <v>2</v>
      </c>
      <c r="G94" s="2">
        <v>2</v>
      </c>
      <c r="H94" s="2">
        <v>1</v>
      </c>
      <c r="I94" s="2">
        <v>0</v>
      </c>
      <c r="J94" s="2">
        <v>0</v>
      </c>
      <c r="K94" s="2">
        <v>0</v>
      </c>
      <c r="L94" s="2">
        <v>0</v>
      </c>
      <c r="M94" s="2">
        <v>0</v>
      </c>
      <c r="N94" s="2">
        <v>1</v>
      </c>
      <c r="O94" s="2" t="s">
        <v>70</v>
      </c>
      <c r="P94" t="s">
        <v>179</v>
      </c>
      <c r="Q94" s="2">
        <v>0</v>
      </c>
      <c r="R94" s="2">
        <v>1</v>
      </c>
      <c r="S94" s="5">
        <v>45471</v>
      </c>
      <c r="T94" s="5">
        <v>45471</v>
      </c>
      <c r="U94" s="28">
        <f t="shared" si="2"/>
        <v>0</v>
      </c>
      <c r="V94" s="2">
        <v>0</v>
      </c>
      <c r="W94" s="2">
        <v>0</v>
      </c>
      <c r="X94" s="2">
        <v>0</v>
      </c>
      <c r="Y94" s="2">
        <v>0</v>
      </c>
      <c r="Z94" s="2">
        <v>0</v>
      </c>
      <c r="AA94" s="2">
        <v>0</v>
      </c>
      <c r="AB94" s="2">
        <v>0</v>
      </c>
      <c r="AC94" s="2">
        <v>0</v>
      </c>
      <c r="AD94" s="2">
        <v>0</v>
      </c>
      <c r="AE94" s="2">
        <v>1</v>
      </c>
      <c r="AF94" s="2" t="s">
        <v>55</v>
      </c>
      <c r="AG94" s="2">
        <v>0</v>
      </c>
      <c r="AH94" s="2">
        <v>0</v>
      </c>
      <c r="AI94" s="2">
        <v>1</v>
      </c>
      <c r="AJ94" s="2">
        <v>1</v>
      </c>
      <c r="AK94" s="11">
        <v>1</v>
      </c>
      <c r="AL94" s="5">
        <v>45476</v>
      </c>
      <c r="AM94" s="2">
        <v>0</v>
      </c>
      <c r="AN94" s="2">
        <v>1</v>
      </c>
      <c r="AO94" s="2">
        <v>0</v>
      </c>
      <c r="AT94" s="2">
        <v>0</v>
      </c>
      <c r="AU94" s="2" t="s">
        <v>205</v>
      </c>
    </row>
    <row r="95" spans="1:47">
      <c r="A95" s="2">
        <v>94</v>
      </c>
      <c r="B95" s="5">
        <v>45414</v>
      </c>
      <c r="C95" s="5">
        <v>45421</v>
      </c>
      <c r="D95" s="2">
        <f t="shared" si="4"/>
        <v>7</v>
      </c>
      <c r="E95" s="2">
        <v>84</v>
      </c>
      <c r="F95" s="2">
        <v>1</v>
      </c>
      <c r="G95" s="2">
        <v>3</v>
      </c>
      <c r="H95" s="2">
        <v>0</v>
      </c>
      <c r="I95" s="2">
        <v>0</v>
      </c>
      <c r="J95" s="2">
        <v>0</v>
      </c>
      <c r="K95" s="2">
        <v>0</v>
      </c>
      <c r="L95" s="2">
        <v>0</v>
      </c>
      <c r="M95" s="2">
        <v>0</v>
      </c>
      <c r="N95" s="2">
        <v>0</v>
      </c>
      <c r="P95" t="s">
        <v>179</v>
      </c>
      <c r="Q95" s="2">
        <v>0</v>
      </c>
      <c r="R95" s="2">
        <v>1</v>
      </c>
      <c r="S95" s="5">
        <v>45414</v>
      </c>
      <c r="T95" s="5">
        <v>45414</v>
      </c>
      <c r="U95" s="28">
        <f t="shared" si="2"/>
        <v>0</v>
      </c>
      <c r="V95" s="2">
        <v>0</v>
      </c>
      <c r="W95" s="2">
        <v>0</v>
      </c>
      <c r="X95" s="2">
        <v>0</v>
      </c>
      <c r="Y95" s="2">
        <v>0</v>
      </c>
      <c r="Z95" s="2">
        <v>0</v>
      </c>
      <c r="AA95" s="2">
        <v>0</v>
      </c>
      <c r="AB95" s="2">
        <v>0</v>
      </c>
      <c r="AC95" s="2">
        <v>0</v>
      </c>
      <c r="AD95" s="2">
        <v>0</v>
      </c>
      <c r="AE95" s="2">
        <v>1</v>
      </c>
      <c r="AF95" s="2" t="s">
        <v>68</v>
      </c>
      <c r="AG95" s="2">
        <v>0</v>
      </c>
      <c r="AH95" s="2">
        <v>0</v>
      </c>
      <c r="AI95" s="2">
        <v>1</v>
      </c>
      <c r="AJ95" s="2">
        <v>1</v>
      </c>
      <c r="AK95" s="2">
        <v>0</v>
      </c>
      <c r="AO95" s="2">
        <v>0</v>
      </c>
      <c r="AT95" s="2">
        <v>0</v>
      </c>
      <c r="AU95" s="2" t="s">
        <v>206</v>
      </c>
    </row>
    <row r="96" spans="1:47">
      <c r="A96" s="2">
        <v>95</v>
      </c>
      <c r="B96" s="5">
        <v>45411</v>
      </c>
      <c r="C96" s="5">
        <v>45432</v>
      </c>
      <c r="D96" s="2">
        <f t="shared" si="4"/>
        <v>21</v>
      </c>
      <c r="E96" s="2">
        <v>72</v>
      </c>
      <c r="F96" s="2">
        <v>2</v>
      </c>
      <c r="G96" s="2">
        <v>2</v>
      </c>
      <c r="H96" s="2">
        <v>0</v>
      </c>
      <c r="I96" s="2">
        <v>0</v>
      </c>
      <c r="J96" s="2">
        <v>0</v>
      </c>
      <c r="K96" s="2">
        <v>0</v>
      </c>
      <c r="L96" s="2">
        <v>0</v>
      </c>
      <c r="M96" s="2">
        <v>0</v>
      </c>
      <c r="N96" s="2">
        <v>0</v>
      </c>
      <c r="P96" t="s">
        <v>179</v>
      </c>
      <c r="Q96" s="2">
        <v>0</v>
      </c>
      <c r="R96" s="2">
        <v>1</v>
      </c>
      <c r="S96" s="5">
        <v>45417</v>
      </c>
      <c r="T96" s="5">
        <v>45417</v>
      </c>
      <c r="U96" s="28">
        <f t="shared" si="2"/>
        <v>0</v>
      </c>
      <c r="V96" s="2">
        <v>0</v>
      </c>
      <c r="W96" s="2">
        <v>0</v>
      </c>
      <c r="X96" s="2">
        <v>0</v>
      </c>
      <c r="Y96" s="2">
        <v>0</v>
      </c>
      <c r="Z96" s="2">
        <v>0</v>
      </c>
      <c r="AA96" s="2">
        <v>0</v>
      </c>
      <c r="AB96" s="2">
        <v>0</v>
      </c>
      <c r="AC96" s="2">
        <v>0</v>
      </c>
      <c r="AD96" s="2">
        <v>0</v>
      </c>
      <c r="AE96" s="2">
        <v>1</v>
      </c>
      <c r="AF96" s="2" t="s">
        <v>91</v>
      </c>
      <c r="AG96" s="2">
        <v>0</v>
      </c>
      <c r="AH96" s="2">
        <v>1</v>
      </c>
      <c r="AI96" s="2">
        <v>1</v>
      </c>
      <c r="AJ96" s="2">
        <v>1</v>
      </c>
      <c r="AK96" s="11">
        <v>1</v>
      </c>
      <c r="AL96" s="5">
        <v>45419</v>
      </c>
      <c r="AM96" s="2">
        <v>0</v>
      </c>
      <c r="AN96" s="2">
        <v>1</v>
      </c>
      <c r="AO96" s="2">
        <v>0</v>
      </c>
      <c r="AT96" s="2">
        <v>0</v>
      </c>
      <c r="AU96" s="2" t="s">
        <v>207</v>
      </c>
    </row>
    <row r="97" spans="1:47">
      <c r="A97" s="2">
        <v>96</v>
      </c>
      <c r="B97" s="5">
        <v>45418</v>
      </c>
      <c r="C97" s="5">
        <v>45421</v>
      </c>
      <c r="D97" s="2">
        <f t="shared" si="4"/>
        <v>3</v>
      </c>
      <c r="E97" s="2">
        <v>72</v>
      </c>
      <c r="F97" s="2">
        <v>2</v>
      </c>
      <c r="G97" s="2">
        <v>5</v>
      </c>
      <c r="H97" s="2">
        <v>0</v>
      </c>
      <c r="I97" s="2">
        <v>0</v>
      </c>
      <c r="J97" s="2">
        <v>0</v>
      </c>
      <c r="K97" s="2">
        <v>0</v>
      </c>
      <c r="L97" s="2">
        <v>0</v>
      </c>
      <c r="M97" s="2">
        <v>0</v>
      </c>
      <c r="N97" s="2">
        <v>0</v>
      </c>
      <c r="P97" t="s">
        <v>179</v>
      </c>
      <c r="Q97" s="2">
        <v>0</v>
      </c>
      <c r="R97" s="2">
        <v>1</v>
      </c>
      <c r="S97" s="5">
        <v>45418</v>
      </c>
      <c r="T97" s="5">
        <v>45418</v>
      </c>
      <c r="U97" s="28">
        <f t="shared" si="2"/>
        <v>0</v>
      </c>
      <c r="V97" s="2">
        <v>0</v>
      </c>
      <c r="W97" s="2">
        <v>0</v>
      </c>
      <c r="X97" s="2">
        <v>0</v>
      </c>
      <c r="Y97" s="2">
        <v>0</v>
      </c>
      <c r="Z97" s="2">
        <v>0</v>
      </c>
      <c r="AA97" s="2">
        <v>0</v>
      </c>
      <c r="AB97" s="2">
        <v>0</v>
      </c>
      <c r="AC97" s="2">
        <v>0</v>
      </c>
      <c r="AD97" s="2">
        <v>0</v>
      </c>
      <c r="AE97" s="2">
        <v>1</v>
      </c>
      <c r="AF97" s="2" t="s">
        <v>91</v>
      </c>
      <c r="AG97" s="2">
        <v>0</v>
      </c>
      <c r="AH97" s="2">
        <v>0</v>
      </c>
      <c r="AI97" s="2">
        <v>1</v>
      </c>
      <c r="AJ97" s="2">
        <v>1</v>
      </c>
      <c r="AK97" s="2">
        <v>0</v>
      </c>
      <c r="AO97" s="2">
        <v>0</v>
      </c>
      <c r="AT97" s="2">
        <v>0</v>
      </c>
      <c r="AU97" s="2" t="s">
        <v>206</v>
      </c>
    </row>
    <row r="98" spans="1:47">
      <c r="A98" s="2">
        <v>97</v>
      </c>
      <c r="B98" s="5">
        <v>45418</v>
      </c>
      <c r="C98" s="5">
        <v>45422</v>
      </c>
      <c r="D98" s="2">
        <f t="shared" si="4"/>
        <v>4</v>
      </c>
      <c r="E98" s="2">
        <v>42</v>
      </c>
      <c r="F98" s="2">
        <v>1</v>
      </c>
      <c r="G98" s="2">
        <v>2</v>
      </c>
      <c r="H98" s="2">
        <v>0</v>
      </c>
      <c r="I98" s="2">
        <v>0</v>
      </c>
      <c r="J98" s="2">
        <v>0</v>
      </c>
      <c r="K98" s="2">
        <v>0</v>
      </c>
      <c r="L98" s="2">
        <v>0</v>
      </c>
      <c r="M98" s="2">
        <v>0</v>
      </c>
      <c r="N98" s="2">
        <v>0</v>
      </c>
      <c r="P98" t="s">
        <v>179</v>
      </c>
      <c r="Q98" s="2">
        <v>0</v>
      </c>
      <c r="R98" s="2">
        <v>1</v>
      </c>
      <c r="S98" s="5">
        <v>45418</v>
      </c>
      <c r="T98" s="5">
        <v>45418</v>
      </c>
      <c r="U98" s="28">
        <f t="shared" si="2"/>
        <v>0</v>
      </c>
      <c r="V98" s="2">
        <v>0</v>
      </c>
      <c r="W98" s="2">
        <v>0</v>
      </c>
      <c r="X98" s="2">
        <v>0</v>
      </c>
      <c r="Y98" s="2">
        <v>0</v>
      </c>
      <c r="Z98" s="2">
        <v>0</v>
      </c>
      <c r="AA98" s="2">
        <v>0</v>
      </c>
      <c r="AB98" s="2">
        <v>0</v>
      </c>
      <c r="AC98" s="2">
        <v>0</v>
      </c>
      <c r="AD98" s="2">
        <v>0</v>
      </c>
      <c r="AE98" s="2">
        <v>1</v>
      </c>
      <c r="AF98" s="2" t="s">
        <v>68</v>
      </c>
      <c r="AG98" s="2">
        <v>0</v>
      </c>
      <c r="AH98" s="2">
        <v>0</v>
      </c>
      <c r="AI98" s="2">
        <v>1</v>
      </c>
      <c r="AJ98" s="2">
        <v>1</v>
      </c>
      <c r="AK98" s="2">
        <v>0</v>
      </c>
      <c r="AO98" s="2">
        <v>0</v>
      </c>
      <c r="AT98" s="2">
        <v>0</v>
      </c>
      <c r="AU98" s="2" t="s">
        <v>206</v>
      </c>
    </row>
    <row r="99" spans="1:47">
      <c r="A99" s="2">
        <v>98</v>
      </c>
      <c r="B99" s="5">
        <v>45419</v>
      </c>
      <c r="C99" s="5">
        <v>45436</v>
      </c>
      <c r="D99" s="2">
        <f t="shared" si="4"/>
        <v>17</v>
      </c>
      <c r="E99" s="2">
        <v>57</v>
      </c>
      <c r="F99" s="2">
        <v>1</v>
      </c>
      <c r="G99" s="2">
        <v>2</v>
      </c>
      <c r="H99" s="2">
        <v>0</v>
      </c>
      <c r="I99" s="2">
        <v>0</v>
      </c>
      <c r="J99" s="2">
        <v>0</v>
      </c>
      <c r="K99" s="2">
        <v>0</v>
      </c>
      <c r="L99" s="2">
        <v>0</v>
      </c>
      <c r="M99" s="2">
        <v>0</v>
      </c>
      <c r="N99" s="2">
        <v>0</v>
      </c>
      <c r="P99" t="s">
        <v>208</v>
      </c>
      <c r="Q99" s="2">
        <v>0</v>
      </c>
      <c r="R99" s="2">
        <v>1</v>
      </c>
      <c r="S99" s="5">
        <v>45419</v>
      </c>
      <c r="T99" s="5">
        <v>45419</v>
      </c>
      <c r="U99" s="28">
        <f t="shared" si="2"/>
        <v>0</v>
      </c>
      <c r="V99" s="2">
        <v>0</v>
      </c>
      <c r="W99" s="2">
        <v>0</v>
      </c>
      <c r="X99" s="2">
        <v>0</v>
      </c>
      <c r="Y99" s="2">
        <v>0</v>
      </c>
      <c r="Z99" s="2">
        <v>0</v>
      </c>
      <c r="AA99" s="2">
        <v>0</v>
      </c>
      <c r="AB99" s="2">
        <v>0</v>
      </c>
      <c r="AC99" s="2">
        <v>0</v>
      </c>
      <c r="AD99" s="2">
        <v>0</v>
      </c>
      <c r="AE99" s="2">
        <v>1</v>
      </c>
      <c r="AF99" s="2" t="s">
        <v>209</v>
      </c>
      <c r="AG99" s="11">
        <v>1</v>
      </c>
      <c r="AH99" s="2">
        <v>1</v>
      </c>
      <c r="AI99" s="2">
        <v>0</v>
      </c>
      <c r="AJ99" s="2">
        <v>0</v>
      </c>
      <c r="AK99" s="2">
        <v>1</v>
      </c>
      <c r="AL99" s="5">
        <v>45432</v>
      </c>
      <c r="AM99" s="2">
        <v>0</v>
      </c>
      <c r="AN99" s="2">
        <v>0</v>
      </c>
      <c r="AO99" s="2">
        <v>0</v>
      </c>
      <c r="AT99" s="2">
        <v>0</v>
      </c>
      <c r="AU99" s="2" t="s">
        <v>210</v>
      </c>
    </row>
    <row r="100" spans="1:47">
      <c r="A100" s="2">
        <v>99</v>
      </c>
      <c r="B100" s="5">
        <v>45421</v>
      </c>
      <c r="C100" s="5">
        <v>45443</v>
      </c>
      <c r="D100" s="2">
        <f t="shared" si="4"/>
        <v>22</v>
      </c>
      <c r="E100" s="2">
        <v>57</v>
      </c>
      <c r="F100" s="2">
        <v>2</v>
      </c>
      <c r="G100" s="2">
        <v>2</v>
      </c>
      <c r="H100" s="2">
        <v>0</v>
      </c>
      <c r="I100" s="2">
        <v>0</v>
      </c>
      <c r="J100" s="2">
        <v>0</v>
      </c>
      <c r="K100" s="2">
        <v>0</v>
      </c>
      <c r="L100" s="2">
        <v>0</v>
      </c>
      <c r="M100" s="2">
        <v>0</v>
      </c>
      <c r="N100" s="2">
        <v>0</v>
      </c>
      <c r="P100" t="s">
        <v>179</v>
      </c>
      <c r="Q100" s="2">
        <v>0</v>
      </c>
      <c r="R100" s="2">
        <v>1</v>
      </c>
      <c r="S100" s="5">
        <v>45421</v>
      </c>
      <c r="T100" s="5">
        <v>45421</v>
      </c>
      <c r="U100" s="28">
        <f t="shared" si="2"/>
        <v>0</v>
      </c>
      <c r="V100" s="2">
        <v>0</v>
      </c>
      <c r="W100" s="2">
        <v>0</v>
      </c>
      <c r="X100" s="2">
        <v>0</v>
      </c>
      <c r="Y100" s="2">
        <v>0</v>
      </c>
      <c r="Z100" s="2">
        <v>0</v>
      </c>
      <c r="AA100" s="2">
        <v>0</v>
      </c>
      <c r="AB100" s="2">
        <v>0</v>
      </c>
      <c r="AC100" s="2">
        <v>0</v>
      </c>
      <c r="AD100" s="2">
        <v>0</v>
      </c>
      <c r="AE100" s="2">
        <v>1</v>
      </c>
      <c r="AF100" s="2" t="s">
        <v>91</v>
      </c>
      <c r="AG100" s="2">
        <v>0</v>
      </c>
      <c r="AH100" s="2">
        <v>1</v>
      </c>
      <c r="AI100" s="2">
        <v>0</v>
      </c>
      <c r="AJ100" s="2">
        <v>1</v>
      </c>
      <c r="AK100" s="2">
        <v>1</v>
      </c>
      <c r="AL100" s="5">
        <v>45427</v>
      </c>
      <c r="AM100" s="2">
        <v>0</v>
      </c>
      <c r="AN100" s="2">
        <v>0</v>
      </c>
      <c r="AO100" s="2">
        <v>0</v>
      </c>
      <c r="AT100" s="2">
        <v>1</v>
      </c>
      <c r="AU100" s="2" t="s">
        <v>206</v>
      </c>
    </row>
    <row r="101" spans="1:47">
      <c r="A101" s="2">
        <v>100</v>
      </c>
      <c r="B101" s="5">
        <v>45421</v>
      </c>
      <c r="C101" s="5">
        <v>45425</v>
      </c>
      <c r="D101" s="2">
        <f t="shared" si="4"/>
        <v>4</v>
      </c>
      <c r="E101" s="2">
        <v>74</v>
      </c>
      <c r="F101" s="2">
        <v>1</v>
      </c>
      <c r="G101" s="2">
        <v>2</v>
      </c>
      <c r="H101" s="2">
        <v>0</v>
      </c>
      <c r="I101" s="2">
        <v>0</v>
      </c>
      <c r="J101" s="2">
        <v>0</v>
      </c>
      <c r="K101" s="2">
        <v>0</v>
      </c>
      <c r="L101" s="2">
        <v>0</v>
      </c>
      <c r="M101" s="2">
        <v>0</v>
      </c>
      <c r="N101" s="2">
        <v>0</v>
      </c>
      <c r="P101" t="s">
        <v>179</v>
      </c>
      <c r="Q101" s="2">
        <v>0</v>
      </c>
      <c r="R101" s="2">
        <v>1</v>
      </c>
      <c r="S101" s="5">
        <v>45421</v>
      </c>
      <c r="T101" s="5">
        <v>45421</v>
      </c>
      <c r="U101" s="28">
        <f t="shared" si="2"/>
        <v>0</v>
      </c>
      <c r="V101" s="2">
        <v>0</v>
      </c>
      <c r="W101" s="2">
        <v>0</v>
      </c>
      <c r="X101" s="2">
        <v>0</v>
      </c>
      <c r="Y101" s="2">
        <v>0</v>
      </c>
      <c r="Z101" s="2">
        <v>0</v>
      </c>
      <c r="AA101" s="2">
        <v>0</v>
      </c>
      <c r="AB101" s="2">
        <v>0</v>
      </c>
      <c r="AC101" s="2">
        <v>0</v>
      </c>
      <c r="AD101" s="2">
        <v>0</v>
      </c>
      <c r="AE101" s="2">
        <v>0</v>
      </c>
      <c r="AG101" s="2">
        <v>0</v>
      </c>
      <c r="AH101" s="2">
        <v>0</v>
      </c>
      <c r="AI101" s="2">
        <v>1</v>
      </c>
      <c r="AJ101" s="2">
        <v>1</v>
      </c>
      <c r="AK101" s="2">
        <v>0</v>
      </c>
      <c r="AO101" s="2">
        <v>0</v>
      </c>
      <c r="AT101" s="2">
        <v>0</v>
      </c>
      <c r="AU101" s="2" t="s">
        <v>206</v>
      </c>
    </row>
    <row r="102" spans="1:47">
      <c r="A102" s="2">
        <v>101</v>
      </c>
      <c r="B102" s="5">
        <v>45423</v>
      </c>
      <c r="C102" s="5">
        <v>45427</v>
      </c>
      <c r="D102" s="2">
        <f t="shared" si="4"/>
        <v>4</v>
      </c>
      <c r="E102" s="2">
        <v>90</v>
      </c>
      <c r="F102" s="2">
        <v>2</v>
      </c>
      <c r="G102" s="2">
        <v>2</v>
      </c>
      <c r="H102" s="2">
        <v>1</v>
      </c>
      <c r="I102" s="2">
        <v>0</v>
      </c>
      <c r="J102" s="2">
        <v>1</v>
      </c>
      <c r="K102" s="2">
        <v>0</v>
      </c>
      <c r="L102" s="2">
        <v>0</v>
      </c>
      <c r="M102" s="2">
        <v>0</v>
      </c>
      <c r="N102" s="2">
        <v>1</v>
      </c>
      <c r="O102" s="2" t="s">
        <v>211</v>
      </c>
      <c r="P102" t="s">
        <v>179</v>
      </c>
      <c r="Q102" s="2">
        <v>0</v>
      </c>
      <c r="R102" s="2">
        <v>1</v>
      </c>
      <c r="S102" s="5">
        <v>45423</v>
      </c>
      <c r="T102" s="5">
        <v>45423</v>
      </c>
      <c r="U102" s="28">
        <f t="shared" si="2"/>
        <v>0</v>
      </c>
      <c r="V102" s="2">
        <v>0</v>
      </c>
      <c r="W102" s="2">
        <v>0</v>
      </c>
      <c r="X102" s="2">
        <v>0</v>
      </c>
      <c r="Y102" s="2">
        <v>0</v>
      </c>
      <c r="Z102" s="2">
        <v>0</v>
      </c>
      <c r="AA102" s="2">
        <v>0</v>
      </c>
      <c r="AB102" s="2">
        <v>0</v>
      </c>
      <c r="AC102" s="2">
        <v>0</v>
      </c>
      <c r="AD102" s="2">
        <v>0</v>
      </c>
      <c r="AE102" s="2">
        <v>0</v>
      </c>
      <c r="AG102" s="2">
        <v>0</v>
      </c>
      <c r="AH102" s="2">
        <v>0</v>
      </c>
      <c r="AI102" s="2">
        <v>1</v>
      </c>
      <c r="AJ102" s="2">
        <v>1</v>
      </c>
      <c r="AK102" s="11">
        <v>1</v>
      </c>
      <c r="AL102" s="5">
        <v>45427</v>
      </c>
      <c r="AM102" s="2">
        <v>0</v>
      </c>
      <c r="AN102" s="2">
        <v>1</v>
      </c>
      <c r="AO102" s="2">
        <v>0</v>
      </c>
      <c r="AT102" s="2">
        <v>0</v>
      </c>
      <c r="AU102" s="2" t="s">
        <v>212</v>
      </c>
    </row>
    <row r="103" spans="1:47">
      <c r="A103" s="2">
        <v>102</v>
      </c>
      <c r="B103" s="5">
        <v>45423</v>
      </c>
      <c r="C103" s="5">
        <v>45426</v>
      </c>
      <c r="D103" s="2">
        <f t="shared" si="4"/>
        <v>3</v>
      </c>
      <c r="E103" s="2">
        <v>83</v>
      </c>
      <c r="F103" s="2">
        <v>1</v>
      </c>
      <c r="G103" s="2">
        <v>2</v>
      </c>
      <c r="H103" s="2">
        <v>1</v>
      </c>
      <c r="I103" s="2">
        <v>0</v>
      </c>
      <c r="J103" s="2">
        <v>0</v>
      </c>
      <c r="K103" s="2">
        <v>0</v>
      </c>
      <c r="L103" s="2">
        <v>0</v>
      </c>
      <c r="M103" s="2">
        <v>0</v>
      </c>
      <c r="N103" s="2">
        <v>1</v>
      </c>
      <c r="O103" s="2" t="s">
        <v>192</v>
      </c>
      <c r="P103" t="s">
        <v>179</v>
      </c>
      <c r="Q103" s="2">
        <v>0</v>
      </c>
      <c r="R103" s="2">
        <v>1</v>
      </c>
      <c r="S103" s="5">
        <v>45423</v>
      </c>
      <c r="T103" s="5">
        <v>45423</v>
      </c>
      <c r="U103" s="28">
        <f t="shared" si="2"/>
        <v>0</v>
      </c>
      <c r="V103" s="2">
        <v>0</v>
      </c>
      <c r="W103" s="2">
        <v>0</v>
      </c>
      <c r="X103" s="2">
        <v>0</v>
      </c>
      <c r="Y103" s="2">
        <v>0</v>
      </c>
      <c r="Z103" s="2">
        <v>0</v>
      </c>
      <c r="AA103" s="2">
        <v>0</v>
      </c>
      <c r="AB103" s="2">
        <v>0</v>
      </c>
      <c r="AC103" s="2">
        <v>0</v>
      </c>
      <c r="AD103" s="2">
        <v>0</v>
      </c>
      <c r="AE103" s="2">
        <v>1</v>
      </c>
      <c r="AF103" s="2" t="s">
        <v>91</v>
      </c>
      <c r="AG103" s="2">
        <v>0</v>
      </c>
      <c r="AH103" s="2">
        <v>0</v>
      </c>
      <c r="AI103" s="2">
        <v>1</v>
      </c>
      <c r="AJ103" s="2">
        <v>1</v>
      </c>
      <c r="AK103" s="2">
        <v>1</v>
      </c>
      <c r="AL103" s="5">
        <v>45426</v>
      </c>
      <c r="AM103" s="2">
        <v>0</v>
      </c>
      <c r="AN103" s="2">
        <v>0</v>
      </c>
      <c r="AO103" s="2">
        <v>0</v>
      </c>
      <c r="AT103" s="2">
        <v>0</v>
      </c>
      <c r="AU103" s="2" t="s">
        <v>206</v>
      </c>
    </row>
    <row r="104" spans="1:47">
      <c r="A104" s="2">
        <v>103</v>
      </c>
      <c r="B104" s="5">
        <v>45425</v>
      </c>
      <c r="C104" s="5">
        <v>45436</v>
      </c>
      <c r="D104" s="2">
        <f t="shared" si="4"/>
        <v>11</v>
      </c>
      <c r="E104" s="2">
        <v>62</v>
      </c>
      <c r="F104" s="2">
        <v>2</v>
      </c>
      <c r="G104" s="2">
        <v>2</v>
      </c>
      <c r="H104" s="2">
        <v>0</v>
      </c>
      <c r="I104" s="2">
        <v>0</v>
      </c>
      <c r="J104" s="2">
        <v>0</v>
      </c>
      <c r="K104" s="2">
        <v>0</v>
      </c>
      <c r="L104" s="2">
        <v>0</v>
      </c>
      <c r="M104" s="2">
        <v>0</v>
      </c>
      <c r="N104" s="2">
        <v>0</v>
      </c>
      <c r="P104" t="s">
        <v>179</v>
      </c>
      <c r="Q104" s="2">
        <v>0</v>
      </c>
      <c r="R104" s="2">
        <v>1</v>
      </c>
      <c r="S104" s="5">
        <v>45425</v>
      </c>
      <c r="T104" s="5">
        <v>45425</v>
      </c>
      <c r="U104" s="28">
        <f t="shared" si="2"/>
        <v>0</v>
      </c>
      <c r="V104" s="2">
        <v>0</v>
      </c>
      <c r="W104" s="2">
        <v>0</v>
      </c>
      <c r="X104" s="2">
        <v>0</v>
      </c>
      <c r="Y104" s="2">
        <v>0</v>
      </c>
      <c r="Z104" s="2">
        <v>0</v>
      </c>
      <c r="AA104" s="2">
        <v>0</v>
      </c>
      <c r="AB104" s="2">
        <v>0</v>
      </c>
      <c r="AC104" s="2">
        <v>0</v>
      </c>
      <c r="AD104" s="2">
        <v>0</v>
      </c>
      <c r="AE104" s="2">
        <v>1</v>
      </c>
      <c r="AF104" s="2" t="s">
        <v>91</v>
      </c>
      <c r="AG104" s="2">
        <v>0</v>
      </c>
      <c r="AH104" s="2">
        <v>0</v>
      </c>
      <c r="AI104" s="2">
        <v>1</v>
      </c>
      <c r="AJ104" s="2">
        <v>1</v>
      </c>
      <c r="AK104" s="2">
        <v>0</v>
      </c>
      <c r="AO104" s="2">
        <v>0</v>
      </c>
      <c r="AT104" s="2">
        <v>0</v>
      </c>
      <c r="AU104" s="2" t="s">
        <v>206</v>
      </c>
    </row>
    <row r="105" spans="1:47">
      <c r="A105" s="2">
        <v>104</v>
      </c>
      <c r="B105" s="5">
        <v>45425</v>
      </c>
      <c r="C105" s="5">
        <v>45430</v>
      </c>
      <c r="D105" s="2">
        <f t="shared" si="4"/>
        <v>5</v>
      </c>
      <c r="E105" s="2">
        <v>94</v>
      </c>
      <c r="F105" s="2">
        <v>2</v>
      </c>
      <c r="G105" s="2">
        <v>2</v>
      </c>
      <c r="H105" s="2">
        <v>0</v>
      </c>
      <c r="I105" s="2">
        <v>0</v>
      </c>
      <c r="J105" s="2">
        <v>0</v>
      </c>
      <c r="K105" s="2">
        <v>0</v>
      </c>
      <c r="L105" s="2">
        <v>0</v>
      </c>
      <c r="M105" s="2">
        <v>0</v>
      </c>
      <c r="N105" s="2">
        <v>0</v>
      </c>
      <c r="P105" t="s">
        <v>179</v>
      </c>
      <c r="Q105" s="2">
        <v>0</v>
      </c>
      <c r="R105" s="2">
        <v>1</v>
      </c>
      <c r="S105" s="5">
        <v>45425</v>
      </c>
      <c r="T105" s="5">
        <v>45425</v>
      </c>
      <c r="U105" s="28">
        <f t="shared" si="2"/>
        <v>0</v>
      </c>
      <c r="V105" s="2">
        <v>0</v>
      </c>
      <c r="W105" s="2">
        <v>0</v>
      </c>
      <c r="X105" s="2">
        <v>0</v>
      </c>
      <c r="Y105" s="2">
        <v>0</v>
      </c>
      <c r="Z105" s="2">
        <v>0</v>
      </c>
      <c r="AA105" s="2">
        <v>0</v>
      </c>
      <c r="AB105" s="2">
        <v>0</v>
      </c>
      <c r="AC105" s="2">
        <v>0</v>
      </c>
      <c r="AD105" s="2">
        <v>0</v>
      </c>
      <c r="AE105" s="2">
        <v>1</v>
      </c>
      <c r="AF105" s="2" t="s">
        <v>117</v>
      </c>
      <c r="AG105" s="2">
        <v>0</v>
      </c>
      <c r="AH105" s="2">
        <v>0</v>
      </c>
      <c r="AI105" s="2">
        <v>1</v>
      </c>
      <c r="AJ105" s="2">
        <v>1</v>
      </c>
      <c r="AK105" s="11">
        <v>1</v>
      </c>
      <c r="AL105" s="5">
        <v>45426</v>
      </c>
      <c r="AM105" s="2">
        <v>0</v>
      </c>
      <c r="AN105" s="2">
        <v>0</v>
      </c>
      <c r="AO105" s="2">
        <v>0</v>
      </c>
      <c r="AT105" s="2">
        <v>0</v>
      </c>
      <c r="AU105" s="2" t="s">
        <v>206</v>
      </c>
    </row>
    <row r="106" spans="1:47">
      <c r="A106" s="2">
        <v>105</v>
      </c>
      <c r="B106" s="5">
        <v>45427</v>
      </c>
      <c r="C106" s="5">
        <v>45430</v>
      </c>
      <c r="D106" s="2">
        <f t="shared" si="4"/>
        <v>3</v>
      </c>
      <c r="E106" s="2">
        <v>79</v>
      </c>
      <c r="F106" s="2">
        <v>1</v>
      </c>
      <c r="G106" s="2">
        <v>4</v>
      </c>
      <c r="H106" s="2">
        <v>1</v>
      </c>
      <c r="I106" s="2">
        <v>0</v>
      </c>
      <c r="J106" s="2">
        <v>0</v>
      </c>
      <c r="K106" s="2">
        <v>0</v>
      </c>
      <c r="L106" s="2">
        <v>0</v>
      </c>
      <c r="M106" s="2">
        <v>0</v>
      </c>
      <c r="N106" s="2">
        <v>1</v>
      </c>
      <c r="O106" s="2" t="s">
        <v>213</v>
      </c>
      <c r="P106" t="s">
        <v>195</v>
      </c>
      <c r="Q106" s="2">
        <v>0</v>
      </c>
      <c r="R106" s="2">
        <v>1</v>
      </c>
      <c r="S106" s="5">
        <v>45427</v>
      </c>
      <c r="T106" s="5">
        <v>45427</v>
      </c>
      <c r="U106" s="28">
        <f t="shared" si="2"/>
        <v>0</v>
      </c>
      <c r="V106" s="2">
        <v>0</v>
      </c>
      <c r="W106" s="2">
        <v>0</v>
      </c>
      <c r="X106" s="2">
        <v>0</v>
      </c>
      <c r="Y106" s="2">
        <v>0</v>
      </c>
      <c r="Z106" s="2">
        <v>0</v>
      </c>
      <c r="AA106" s="2">
        <v>0</v>
      </c>
      <c r="AB106" s="2">
        <v>0</v>
      </c>
      <c r="AC106" s="2">
        <v>0</v>
      </c>
      <c r="AD106" s="2">
        <v>0</v>
      </c>
      <c r="AE106" s="2">
        <v>1</v>
      </c>
      <c r="AF106" s="2" t="s">
        <v>214</v>
      </c>
      <c r="AG106" s="2">
        <v>0</v>
      </c>
      <c r="AH106" s="2">
        <v>0</v>
      </c>
      <c r="AI106" s="2">
        <v>1</v>
      </c>
      <c r="AJ106" s="2">
        <v>1</v>
      </c>
      <c r="AK106" s="2">
        <v>1</v>
      </c>
      <c r="AL106" s="5">
        <v>45429</v>
      </c>
      <c r="AM106" s="2">
        <v>0</v>
      </c>
      <c r="AN106" s="2">
        <v>0</v>
      </c>
      <c r="AO106" s="2">
        <v>0</v>
      </c>
      <c r="AT106" s="2">
        <v>0</v>
      </c>
      <c r="AU106" s="2" t="s">
        <v>206</v>
      </c>
    </row>
    <row r="107" spans="1:47">
      <c r="A107" s="2">
        <v>106</v>
      </c>
      <c r="B107" s="5">
        <v>45430</v>
      </c>
      <c r="C107" s="5">
        <v>45439</v>
      </c>
      <c r="D107" s="2">
        <f t="shared" si="4"/>
        <v>9</v>
      </c>
      <c r="E107" s="2">
        <v>45</v>
      </c>
      <c r="F107" s="2">
        <v>2</v>
      </c>
      <c r="G107" s="2">
        <v>2</v>
      </c>
      <c r="H107" s="2">
        <v>0</v>
      </c>
      <c r="I107" s="2">
        <v>0</v>
      </c>
      <c r="J107" s="2">
        <v>0</v>
      </c>
      <c r="K107" s="2">
        <v>0</v>
      </c>
      <c r="L107" s="2">
        <v>0</v>
      </c>
      <c r="M107" s="2">
        <v>0</v>
      </c>
      <c r="N107" s="2">
        <v>0</v>
      </c>
      <c r="P107" t="s">
        <v>215</v>
      </c>
      <c r="Q107" s="2">
        <v>0</v>
      </c>
      <c r="R107" s="2">
        <v>1</v>
      </c>
      <c r="S107" s="5">
        <v>45430</v>
      </c>
      <c r="T107" s="5">
        <v>45430</v>
      </c>
      <c r="U107" s="28">
        <f t="shared" si="2"/>
        <v>0</v>
      </c>
      <c r="V107" s="2">
        <v>0</v>
      </c>
      <c r="W107" s="2">
        <v>0</v>
      </c>
      <c r="X107" s="2">
        <v>0</v>
      </c>
      <c r="Y107" s="2">
        <v>0</v>
      </c>
      <c r="Z107" s="2">
        <v>0</v>
      </c>
      <c r="AA107" s="2">
        <v>0</v>
      </c>
      <c r="AB107" s="2">
        <v>0</v>
      </c>
      <c r="AC107" s="2">
        <v>0</v>
      </c>
      <c r="AD107" s="2">
        <v>0</v>
      </c>
      <c r="AE107" s="2">
        <v>1</v>
      </c>
      <c r="AF107" s="2" t="s">
        <v>91</v>
      </c>
      <c r="AG107" s="2">
        <v>0</v>
      </c>
      <c r="AH107" s="2">
        <v>0</v>
      </c>
      <c r="AI107" s="2">
        <v>1</v>
      </c>
      <c r="AJ107" s="2">
        <v>1</v>
      </c>
      <c r="AK107" s="2">
        <v>0</v>
      </c>
      <c r="AO107" s="2">
        <v>0</v>
      </c>
      <c r="AT107" s="2">
        <v>0</v>
      </c>
      <c r="AU107" s="2" t="s">
        <v>206</v>
      </c>
    </row>
    <row r="108" spans="1:47">
      <c r="A108" s="2">
        <v>107</v>
      </c>
      <c r="B108" s="5">
        <v>45433</v>
      </c>
      <c r="C108" s="5">
        <v>45440</v>
      </c>
      <c r="D108" s="2">
        <f t="shared" si="4"/>
        <v>7</v>
      </c>
      <c r="E108" s="2">
        <v>75</v>
      </c>
      <c r="F108" s="2">
        <v>1</v>
      </c>
      <c r="G108" s="2">
        <v>2</v>
      </c>
      <c r="H108" s="2">
        <v>0</v>
      </c>
      <c r="I108" s="2">
        <v>0</v>
      </c>
      <c r="J108" s="2">
        <v>0</v>
      </c>
      <c r="K108" s="2">
        <v>0</v>
      </c>
      <c r="L108" s="2">
        <v>0</v>
      </c>
      <c r="M108" s="2">
        <v>0</v>
      </c>
      <c r="N108" s="2">
        <v>0</v>
      </c>
      <c r="P108" t="s">
        <v>179</v>
      </c>
      <c r="Q108" s="2">
        <v>0</v>
      </c>
      <c r="R108" s="2">
        <v>1</v>
      </c>
      <c r="S108" s="5">
        <v>45433</v>
      </c>
      <c r="T108" s="5">
        <v>45433</v>
      </c>
      <c r="U108" s="28">
        <f t="shared" si="2"/>
        <v>0</v>
      </c>
      <c r="V108" s="2">
        <v>0</v>
      </c>
      <c r="W108" s="2">
        <v>0</v>
      </c>
      <c r="X108" s="2">
        <v>0</v>
      </c>
      <c r="Y108" s="2">
        <v>0</v>
      </c>
      <c r="Z108" s="2">
        <v>0</v>
      </c>
      <c r="AA108" s="2">
        <v>0</v>
      </c>
      <c r="AB108" s="2">
        <v>0</v>
      </c>
      <c r="AC108" s="2">
        <v>0</v>
      </c>
      <c r="AD108" s="2">
        <v>0</v>
      </c>
      <c r="AE108" s="2">
        <v>1</v>
      </c>
      <c r="AF108" s="2" t="s">
        <v>117</v>
      </c>
      <c r="AG108" s="2">
        <v>0</v>
      </c>
      <c r="AH108" s="2">
        <v>0</v>
      </c>
      <c r="AI108" s="2">
        <v>1</v>
      </c>
      <c r="AJ108" s="2">
        <v>1</v>
      </c>
      <c r="AK108" s="11">
        <v>1</v>
      </c>
      <c r="AL108" s="5">
        <v>45440</v>
      </c>
      <c r="AM108" s="2">
        <v>0</v>
      </c>
      <c r="AN108" s="2">
        <v>0</v>
      </c>
      <c r="AO108" s="2">
        <v>0</v>
      </c>
      <c r="AT108" s="2">
        <v>0</v>
      </c>
      <c r="AU108" s="2" t="s">
        <v>206</v>
      </c>
    </row>
    <row r="109" spans="1:47">
      <c r="A109" s="8">
        <v>108</v>
      </c>
      <c r="B109" s="5">
        <v>45434</v>
      </c>
      <c r="C109" s="6">
        <v>45439</v>
      </c>
      <c r="D109" s="2">
        <f t="shared" si="4"/>
        <v>5</v>
      </c>
      <c r="E109" s="2">
        <v>90</v>
      </c>
      <c r="F109" s="2">
        <v>1</v>
      </c>
      <c r="G109" s="2">
        <v>2</v>
      </c>
      <c r="H109" s="2">
        <v>1</v>
      </c>
      <c r="I109" s="2">
        <v>0</v>
      </c>
      <c r="J109" s="2">
        <v>0</v>
      </c>
      <c r="K109" s="2">
        <v>0</v>
      </c>
      <c r="L109" s="2">
        <v>0</v>
      </c>
      <c r="M109" s="2">
        <v>0</v>
      </c>
      <c r="N109" s="2">
        <v>1</v>
      </c>
      <c r="O109" s="2" t="s">
        <v>216</v>
      </c>
      <c r="P109" t="s">
        <v>179</v>
      </c>
      <c r="Q109" s="2">
        <v>1</v>
      </c>
      <c r="R109" s="2">
        <v>2</v>
      </c>
      <c r="S109" s="5">
        <v>45434</v>
      </c>
      <c r="T109" s="5">
        <v>45434</v>
      </c>
      <c r="U109" s="28">
        <f t="shared" si="2"/>
        <v>0</v>
      </c>
      <c r="V109" s="2">
        <v>0</v>
      </c>
      <c r="W109" s="2">
        <v>0</v>
      </c>
      <c r="X109" s="2">
        <v>0</v>
      </c>
      <c r="Y109" s="2">
        <v>0</v>
      </c>
      <c r="Z109" s="2">
        <v>0</v>
      </c>
      <c r="AA109" s="2">
        <v>0</v>
      </c>
      <c r="AB109" s="2">
        <v>0</v>
      </c>
      <c r="AC109" s="2">
        <v>0</v>
      </c>
      <c r="AD109" s="2">
        <v>0</v>
      </c>
      <c r="AE109" s="2">
        <v>1</v>
      </c>
      <c r="AF109" s="2" t="s">
        <v>217</v>
      </c>
      <c r="AG109" s="2">
        <v>0</v>
      </c>
      <c r="AH109" s="2">
        <v>0</v>
      </c>
      <c r="AI109" s="2">
        <v>1</v>
      </c>
      <c r="AJ109" s="2">
        <v>1</v>
      </c>
      <c r="AK109" s="11">
        <v>1</v>
      </c>
      <c r="AL109" s="5">
        <v>45436</v>
      </c>
      <c r="AM109" s="2">
        <v>0</v>
      </c>
      <c r="AN109" s="2">
        <v>0</v>
      </c>
      <c r="AO109" s="2">
        <v>0</v>
      </c>
      <c r="AT109" s="2">
        <v>0</v>
      </c>
      <c r="AU109" s="2" t="s">
        <v>206</v>
      </c>
    </row>
    <row r="110" spans="1:47">
      <c r="A110" s="8">
        <v>109</v>
      </c>
      <c r="B110" s="5">
        <v>45435</v>
      </c>
      <c r="C110" s="6">
        <v>45444</v>
      </c>
      <c r="D110" s="2">
        <f t="shared" si="4"/>
        <v>9</v>
      </c>
      <c r="E110" s="2">
        <v>88</v>
      </c>
      <c r="F110" s="2">
        <v>1</v>
      </c>
      <c r="G110" s="2">
        <v>3</v>
      </c>
      <c r="H110" s="2">
        <v>0</v>
      </c>
      <c r="I110" s="2">
        <v>0</v>
      </c>
      <c r="J110" s="2">
        <v>0</v>
      </c>
      <c r="K110" s="2">
        <v>0</v>
      </c>
      <c r="L110" s="2">
        <v>0</v>
      </c>
      <c r="M110" s="2">
        <v>0</v>
      </c>
      <c r="N110" s="2">
        <v>0</v>
      </c>
      <c r="P110" t="s">
        <v>186</v>
      </c>
      <c r="Q110" s="2">
        <v>0</v>
      </c>
      <c r="R110" s="2">
        <v>1</v>
      </c>
      <c r="S110" s="5">
        <v>45436</v>
      </c>
      <c r="T110" s="5">
        <v>45436</v>
      </c>
      <c r="U110" s="28">
        <f t="shared" si="2"/>
        <v>0</v>
      </c>
      <c r="V110" s="2">
        <v>0</v>
      </c>
      <c r="W110" s="2">
        <v>0</v>
      </c>
      <c r="X110" s="2">
        <v>0</v>
      </c>
      <c r="Y110" s="2">
        <v>0</v>
      </c>
      <c r="Z110" s="2">
        <v>0</v>
      </c>
      <c r="AA110" s="2">
        <v>0</v>
      </c>
      <c r="AB110" s="2">
        <v>0</v>
      </c>
      <c r="AC110" s="2">
        <v>0</v>
      </c>
      <c r="AD110" s="2">
        <v>0</v>
      </c>
      <c r="AE110" s="2">
        <v>1</v>
      </c>
      <c r="AF110" s="2" t="s">
        <v>68</v>
      </c>
      <c r="AG110" s="2">
        <v>0</v>
      </c>
      <c r="AH110" s="2">
        <v>0</v>
      </c>
      <c r="AI110" s="2">
        <v>1</v>
      </c>
      <c r="AJ110" s="2">
        <v>1</v>
      </c>
      <c r="AK110" s="2">
        <v>0</v>
      </c>
      <c r="AO110" s="2">
        <v>0</v>
      </c>
      <c r="AT110" s="2">
        <v>0</v>
      </c>
      <c r="AU110" s="2" t="s">
        <v>206</v>
      </c>
    </row>
    <row r="111" spans="1:47">
      <c r="A111" s="2">
        <v>110</v>
      </c>
      <c r="B111" s="5">
        <v>45438</v>
      </c>
      <c r="C111" s="5">
        <v>45442</v>
      </c>
      <c r="D111" s="2">
        <f t="shared" si="4"/>
        <v>4</v>
      </c>
      <c r="E111" s="2">
        <v>96</v>
      </c>
      <c r="F111" s="2">
        <v>2</v>
      </c>
      <c r="G111" s="2">
        <v>2</v>
      </c>
      <c r="H111" s="2">
        <v>0</v>
      </c>
      <c r="I111" s="2">
        <v>0</v>
      </c>
      <c r="J111" s="2">
        <v>0</v>
      </c>
      <c r="K111" s="2">
        <v>0</v>
      </c>
      <c r="L111" s="2">
        <v>0</v>
      </c>
      <c r="M111" s="2">
        <v>0</v>
      </c>
      <c r="N111" s="2">
        <v>0</v>
      </c>
      <c r="P111" t="s">
        <v>208</v>
      </c>
      <c r="Q111" s="2">
        <v>0</v>
      </c>
      <c r="R111" s="2">
        <v>1</v>
      </c>
      <c r="S111" s="5">
        <v>45438</v>
      </c>
      <c r="T111" s="5">
        <v>45438</v>
      </c>
      <c r="U111" s="28">
        <f t="shared" si="2"/>
        <v>0</v>
      </c>
      <c r="V111" s="2">
        <v>0</v>
      </c>
      <c r="W111" s="2">
        <v>0</v>
      </c>
      <c r="X111" s="2">
        <v>0</v>
      </c>
      <c r="Y111" s="2">
        <v>0</v>
      </c>
      <c r="Z111" s="2">
        <v>0</v>
      </c>
      <c r="AA111" s="2">
        <v>0</v>
      </c>
      <c r="AB111" s="2">
        <v>0</v>
      </c>
      <c r="AC111" s="2">
        <v>0</v>
      </c>
      <c r="AD111" s="2">
        <v>0</v>
      </c>
      <c r="AE111" s="2">
        <v>1</v>
      </c>
      <c r="AF111" s="2" t="s">
        <v>91</v>
      </c>
      <c r="AG111" s="2">
        <v>0</v>
      </c>
      <c r="AH111" s="2">
        <v>0</v>
      </c>
      <c r="AI111" s="2">
        <v>1</v>
      </c>
      <c r="AJ111" s="2">
        <v>1</v>
      </c>
      <c r="AK111" s="2">
        <v>0</v>
      </c>
      <c r="AO111" s="2">
        <v>0</v>
      </c>
      <c r="AT111" s="2">
        <v>0</v>
      </c>
      <c r="AU111" s="2" t="s">
        <v>206</v>
      </c>
    </row>
    <row r="112" spans="1:47">
      <c r="A112" s="2">
        <v>111</v>
      </c>
      <c r="B112" s="5">
        <v>45439</v>
      </c>
      <c r="C112" s="5">
        <v>45445</v>
      </c>
      <c r="D112" s="2">
        <f t="shared" si="4"/>
        <v>6</v>
      </c>
      <c r="E112" s="2">
        <v>75</v>
      </c>
      <c r="F112" s="2">
        <v>2</v>
      </c>
      <c r="G112" s="2">
        <v>3</v>
      </c>
      <c r="H112" s="2">
        <v>1</v>
      </c>
      <c r="I112" s="2">
        <v>0</v>
      </c>
      <c r="J112" s="2">
        <v>0</v>
      </c>
      <c r="K112" s="2">
        <v>0</v>
      </c>
      <c r="L112" s="2">
        <v>0</v>
      </c>
      <c r="M112" s="2">
        <v>0</v>
      </c>
      <c r="N112" s="2">
        <v>1</v>
      </c>
      <c r="O112" s="2" t="s">
        <v>218</v>
      </c>
      <c r="P112" t="s">
        <v>179</v>
      </c>
      <c r="Q112" s="2">
        <v>0</v>
      </c>
      <c r="R112" s="2">
        <v>1</v>
      </c>
      <c r="S112" s="5">
        <v>45439</v>
      </c>
      <c r="T112" s="5">
        <v>45439</v>
      </c>
      <c r="U112" s="28">
        <f t="shared" si="2"/>
        <v>0</v>
      </c>
      <c r="V112" s="2">
        <v>0</v>
      </c>
      <c r="W112" s="2">
        <v>0</v>
      </c>
      <c r="X112" s="2">
        <v>0</v>
      </c>
      <c r="Y112" s="2">
        <v>0</v>
      </c>
      <c r="Z112" s="2">
        <v>0</v>
      </c>
      <c r="AA112" s="2">
        <v>0</v>
      </c>
      <c r="AB112" s="2">
        <v>0</v>
      </c>
      <c r="AC112" s="2">
        <v>0</v>
      </c>
      <c r="AD112" s="2">
        <v>0</v>
      </c>
      <c r="AE112" s="2">
        <v>1</v>
      </c>
      <c r="AF112" s="2" t="s">
        <v>91</v>
      </c>
      <c r="AG112" s="2">
        <v>0</v>
      </c>
      <c r="AH112" s="2">
        <v>0</v>
      </c>
      <c r="AI112" s="2">
        <v>1</v>
      </c>
      <c r="AJ112" s="2">
        <v>1</v>
      </c>
      <c r="AK112" s="11">
        <v>1</v>
      </c>
      <c r="AL112" s="5">
        <v>45440</v>
      </c>
      <c r="AM112" s="2">
        <v>0</v>
      </c>
      <c r="AN112" s="2">
        <v>1</v>
      </c>
      <c r="AO112" s="2">
        <v>0</v>
      </c>
      <c r="AT112" s="2">
        <v>1</v>
      </c>
      <c r="AU112" s="2" t="s">
        <v>219</v>
      </c>
    </row>
    <row r="113" spans="1:47">
      <c r="A113" s="2">
        <v>112</v>
      </c>
      <c r="B113" s="5">
        <v>45439</v>
      </c>
      <c r="C113" s="5">
        <v>45453</v>
      </c>
      <c r="D113" s="2">
        <f t="shared" si="4"/>
        <v>14</v>
      </c>
      <c r="E113" s="2">
        <v>72</v>
      </c>
      <c r="F113" s="2">
        <v>1</v>
      </c>
      <c r="G113" s="2">
        <v>2</v>
      </c>
      <c r="H113" s="2">
        <v>0</v>
      </c>
      <c r="I113" s="2">
        <v>0</v>
      </c>
      <c r="J113" s="2">
        <v>0</v>
      </c>
      <c r="K113" s="2">
        <v>0</v>
      </c>
      <c r="L113" s="2">
        <v>0</v>
      </c>
      <c r="M113" s="2">
        <v>0</v>
      </c>
      <c r="N113" s="2">
        <v>0</v>
      </c>
      <c r="P113" t="s">
        <v>195</v>
      </c>
      <c r="Q113" s="2">
        <v>0</v>
      </c>
      <c r="R113" s="2">
        <v>1</v>
      </c>
      <c r="S113" s="5">
        <v>45439</v>
      </c>
      <c r="T113" s="5">
        <v>45439</v>
      </c>
      <c r="U113" s="28">
        <f t="shared" si="2"/>
        <v>0</v>
      </c>
      <c r="V113" s="2">
        <v>0</v>
      </c>
      <c r="W113" s="2">
        <v>0</v>
      </c>
      <c r="X113" s="2">
        <v>0</v>
      </c>
      <c r="Y113" s="2">
        <v>0</v>
      </c>
      <c r="Z113" s="2">
        <v>0</v>
      </c>
      <c r="AA113" s="2">
        <v>0</v>
      </c>
      <c r="AB113" s="2">
        <v>0</v>
      </c>
      <c r="AC113" s="2">
        <v>0</v>
      </c>
      <c r="AD113" s="2">
        <v>0</v>
      </c>
      <c r="AE113" s="2">
        <v>1</v>
      </c>
      <c r="AF113" s="2" t="s">
        <v>91</v>
      </c>
      <c r="AG113" s="2">
        <v>0</v>
      </c>
      <c r="AH113" s="2">
        <v>0</v>
      </c>
      <c r="AI113" s="2">
        <v>1</v>
      </c>
      <c r="AJ113" s="2">
        <v>1</v>
      </c>
      <c r="AK113" s="2">
        <v>0</v>
      </c>
      <c r="AO113" s="2">
        <v>0</v>
      </c>
      <c r="AT113" s="2">
        <v>0</v>
      </c>
      <c r="AU113" s="2" t="s">
        <v>206</v>
      </c>
    </row>
    <row r="114" spans="1:47">
      <c r="A114" s="2">
        <v>113</v>
      </c>
      <c r="B114" s="5">
        <v>45442</v>
      </c>
      <c r="C114" s="5">
        <v>45443</v>
      </c>
      <c r="D114" s="2">
        <f t="shared" si="4"/>
        <v>1</v>
      </c>
      <c r="E114" s="2">
        <v>39</v>
      </c>
      <c r="F114" s="2">
        <v>1</v>
      </c>
      <c r="G114" s="2">
        <v>3</v>
      </c>
      <c r="H114" s="2">
        <v>0</v>
      </c>
      <c r="I114" s="2">
        <v>0</v>
      </c>
      <c r="J114" s="2">
        <v>0</v>
      </c>
      <c r="K114" s="2">
        <v>0</v>
      </c>
      <c r="L114" s="2">
        <v>0</v>
      </c>
      <c r="M114" s="2">
        <v>0</v>
      </c>
      <c r="N114" s="2">
        <v>0</v>
      </c>
      <c r="P114" t="s">
        <v>179</v>
      </c>
      <c r="Q114" s="2">
        <v>0</v>
      </c>
      <c r="R114" s="2">
        <v>1</v>
      </c>
      <c r="S114" s="5">
        <v>45442</v>
      </c>
      <c r="T114" s="5">
        <v>45442</v>
      </c>
      <c r="U114" s="28">
        <f t="shared" si="2"/>
        <v>0</v>
      </c>
      <c r="V114" s="2">
        <v>0</v>
      </c>
      <c r="W114" s="2">
        <v>0</v>
      </c>
      <c r="X114" s="2">
        <v>0</v>
      </c>
      <c r="Y114" s="2">
        <v>0</v>
      </c>
      <c r="Z114" s="2">
        <v>0</v>
      </c>
      <c r="AA114" s="2">
        <v>0</v>
      </c>
      <c r="AB114" s="2">
        <v>0</v>
      </c>
      <c r="AC114" s="2">
        <v>0</v>
      </c>
      <c r="AD114" s="2">
        <v>0</v>
      </c>
      <c r="AE114" s="2">
        <v>1</v>
      </c>
      <c r="AF114" s="2" t="s">
        <v>117</v>
      </c>
      <c r="AG114" s="2">
        <v>0</v>
      </c>
      <c r="AH114" s="2">
        <v>0</v>
      </c>
      <c r="AI114" s="2">
        <v>1</v>
      </c>
      <c r="AJ114" s="2">
        <v>1</v>
      </c>
      <c r="AK114" s="2">
        <v>0</v>
      </c>
      <c r="AO114" s="2">
        <v>0</v>
      </c>
      <c r="AT114" s="2">
        <v>0</v>
      </c>
      <c r="AU114" s="2" t="s">
        <v>206</v>
      </c>
    </row>
    <row r="115" spans="1:47">
      <c r="A115" s="2">
        <v>114</v>
      </c>
      <c r="B115" s="5">
        <v>45384</v>
      </c>
      <c r="C115" s="5">
        <v>45392</v>
      </c>
      <c r="D115" s="2">
        <f t="shared" si="4"/>
        <v>8</v>
      </c>
      <c r="E115" s="2">
        <v>90</v>
      </c>
      <c r="F115" s="2">
        <v>2</v>
      </c>
      <c r="G115" s="2">
        <v>2</v>
      </c>
      <c r="H115" s="2">
        <v>1</v>
      </c>
      <c r="I115" s="2">
        <v>0</v>
      </c>
      <c r="J115" s="2">
        <v>0</v>
      </c>
      <c r="K115" s="2">
        <v>1</v>
      </c>
      <c r="L115" s="2">
        <v>0</v>
      </c>
      <c r="M115" s="2">
        <v>0</v>
      </c>
      <c r="N115" s="2">
        <v>1</v>
      </c>
      <c r="O115" s="2" t="s">
        <v>220</v>
      </c>
      <c r="P115" t="s">
        <v>179</v>
      </c>
      <c r="Q115" s="2">
        <v>0</v>
      </c>
      <c r="R115" s="2">
        <v>1</v>
      </c>
      <c r="S115" s="5">
        <v>45384</v>
      </c>
      <c r="T115" s="5">
        <v>45384</v>
      </c>
      <c r="U115" s="28">
        <f t="shared" si="2"/>
        <v>0</v>
      </c>
      <c r="V115" s="2">
        <v>0</v>
      </c>
      <c r="W115" s="2">
        <v>0</v>
      </c>
      <c r="X115" s="2">
        <v>0</v>
      </c>
      <c r="Y115" s="2">
        <v>0</v>
      </c>
      <c r="Z115" s="2">
        <v>0</v>
      </c>
      <c r="AA115" s="2">
        <v>0</v>
      </c>
      <c r="AB115" s="2">
        <v>0</v>
      </c>
      <c r="AC115" s="2">
        <v>0</v>
      </c>
      <c r="AD115" s="2">
        <v>0</v>
      </c>
      <c r="AE115" s="2">
        <v>1</v>
      </c>
      <c r="AF115" s="2" t="s">
        <v>187</v>
      </c>
      <c r="AG115" s="2">
        <v>0</v>
      </c>
      <c r="AH115" s="2">
        <v>0</v>
      </c>
      <c r="AI115" s="2">
        <v>1</v>
      </c>
      <c r="AJ115" s="2">
        <v>1</v>
      </c>
      <c r="AK115" s="2">
        <v>0</v>
      </c>
      <c r="AO115" s="2">
        <v>0</v>
      </c>
      <c r="AT115" s="2">
        <v>0</v>
      </c>
      <c r="AU115" s="2" t="s">
        <v>206</v>
      </c>
    </row>
    <row r="116" spans="1:47">
      <c r="A116" s="2">
        <v>115</v>
      </c>
      <c r="B116" s="5">
        <v>45385</v>
      </c>
      <c r="C116" s="5">
        <v>45389</v>
      </c>
      <c r="D116" s="2">
        <f t="shared" si="4"/>
        <v>4</v>
      </c>
      <c r="E116" s="2">
        <v>92</v>
      </c>
      <c r="F116" s="2">
        <v>2</v>
      </c>
      <c r="G116" s="2">
        <v>2</v>
      </c>
      <c r="H116" s="2">
        <v>0</v>
      </c>
      <c r="I116" s="2">
        <v>0</v>
      </c>
      <c r="J116" s="2">
        <v>0</v>
      </c>
      <c r="K116" s="2">
        <v>0</v>
      </c>
      <c r="L116" s="2">
        <v>0</v>
      </c>
      <c r="M116" s="2">
        <v>0</v>
      </c>
      <c r="N116" s="2">
        <v>0</v>
      </c>
      <c r="P116" t="s">
        <v>179</v>
      </c>
      <c r="Q116" s="2">
        <v>0</v>
      </c>
      <c r="R116" s="2">
        <v>1</v>
      </c>
      <c r="S116" s="5">
        <v>45385</v>
      </c>
      <c r="T116" s="5">
        <v>45385</v>
      </c>
      <c r="U116" s="28">
        <f t="shared" si="2"/>
        <v>0</v>
      </c>
      <c r="V116" s="2">
        <v>0</v>
      </c>
      <c r="W116" s="2">
        <v>0</v>
      </c>
      <c r="X116" s="2">
        <v>0</v>
      </c>
      <c r="Y116" s="2">
        <v>0</v>
      </c>
      <c r="Z116" s="2">
        <v>0</v>
      </c>
      <c r="AA116" s="2">
        <v>0</v>
      </c>
      <c r="AB116" s="2">
        <v>0</v>
      </c>
      <c r="AC116" s="2">
        <v>0</v>
      </c>
      <c r="AD116" s="2">
        <v>0</v>
      </c>
      <c r="AE116" s="2">
        <v>1</v>
      </c>
      <c r="AF116" s="2" t="s">
        <v>68</v>
      </c>
      <c r="AG116" s="2">
        <v>0</v>
      </c>
      <c r="AH116" s="2">
        <v>0</v>
      </c>
      <c r="AI116" s="2">
        <v>1</v>
      </c>
      <c r="AJ116" s="2">
        <v>1</v>
      </c>
      <c r="AK116" s="2">
        <v>0</v>
      </c>
      <c r="AO116" s="2">
        <v>0</v>
      </c>
      <c r="AT116" s="2">
        <v>0</v>
      </c>
      <c r="AU116" s="2" t="s">
        <v>206</v>
      </c>
    </row>
    <row r="117" spans="1:47">
      <c r="A117" s="8">
        <v>116</v>
      </c>
      <c r="B117" s="5">
        <v>45390</v>
      </c>
      <c r="C117" s="6">
        <v>45488</v>
      </c>
      <c r="D117" s="11">
        <f t="shared" si="4"/>
        <v>98</v>
      </c>
      <c r="E117" s="2">
        <v>51</v>
      </c>
      <c r="F117" s="2">
        <v>1</v>
      </c>
      <c r="G117" s="2">
        <v>2</v>
      </c>
      <c r="H117" s="2">
        <v>1</v>
      </c>
      <c r="I117" s="2">
        <v>0</v>
      </c>
      <c r="J117" s="2">
        <v>0</v>
      </c>
      <c r="K117" s="2">
        <v>0</v>
      </c>
      <c r="L117" s="2">
        <v>1</v>
      </c>
      <c r="M117" s="2">
        <v>0</v>
      </c>
      <c r="N117" s="2">
        <v>1</v>
      </c>
      <c r="O117" s="2" t="s">
        <v>72</v>
      </c>
      <c r="P117" t="s">
        <v>179</v>
      </c>
      <c r="Q117" s="2">
        <v>0</v>
      </c>
      <c r="R117" s="2">
        <v>1</v>
      </c>
      <c r="S117" s="5">
        <v>45390</v>
      </c>
      <c r="T117" s="5">
        <v>45390</v>
      </c>
      <c r="U117" s="28">
        <f t="shared" si="2"/>
        <v>0</v>
      </c>
      <c r="V117" s="2">
        <v>1</v>
      </c>
      <c r="W117" s="2">
        <v>0</v>
      </c>
      <c r="X117" s="2">
        <v>0</v>
      </c>
      <c r="Y117" s="2">
        <v>1</v>
      </c>
      <c r="Z117" s="2">
        <v>0</v>
      </c>
      <c r="AA117" s="2">
        <v>0</v>
      </c>
      <c r="AB117" s="2">
        <v>0</v>
      </c>
      <c r="AC117" s="2">
        <v>0</v>
      </c>
      <c r="AD117" s="2">
        <v>0</v>
      </c>
      <c r="AE117" s="2">
        <v>1</v>
      </c>
      <c r="AF117" s="2" t="s">
        <v>55</v>
      </c>
      <c r="AG117" s="2">
        <v>0</v>
      </c>
      <c r="AH117" s="2">
        <v>0</v>
      </c>
      <c r="AI117" s="2">
        <v>1</v>
      </c>
      <c r="AJ117" s="2">
        <v>1</v>
      </c>
      <c r="AK117" s="11">
        <v>1</v>
      </c>
      <c r="AL117" s="5">
        <v>45391</v>
      </c>
      <c r="AM117" s="2">
        <v>0</v>
      </c>
      <c r="AN117" s="2">
        <v>0</v>
      </c>
      <c r="AO117" s="2">
        <v>0</v>
      </c>
      <c r="AT117" s="2">
        <v>1</v>
      </c>
      <c r="AU117" s="2" t="s">
        <v>221</v>
      </c>
    </row>
    <row r="118" spans="1:47">
      <c r="A118" s="2">
        <v>117</v>
      </c>
      <c r="B118" s="5">
        <v>45392</v>
      </c>
      <c r="C118" s="5">
        <v>45394</v>
      </c>
      <c r="D118" s="2">
        <f t="shared" si="4"/>
        <v>2</v>
      </c>
      <c r="E118" s="2">
        <v>32</v>
      </c>
      <c r="F118" s="2">
        <v>1</v>
      </c>
      <c r="G118" s="2">
        <v>2</v>
      </c>
      <c r="H118" s="2">
        <v>0</v>
      </c>
      <c r="I118" s="2">
        <v>0</v>
      </c>
      <c r="J118" s="2">
        <v>0</v>
      </c>
      <c r="K118" s="2">
        <v>0</v>
      </c>
      <c r="L118" s="2">
        <v>0</v>
      </c>
      <c r="M118" s="2">
        <v>0</v>
      </c>
      <c r="N118" s="2">
        <v>0</v>
      </c>
      <c r="P118" t="s">
        <v>179</v>
      </c>
      <c r="Q118" s="2">
        <v>0</v>
      </c>
      <c r="R118" s="2">
        <v>1</v>
      </c>
      <c r="S118" s="5">
        <v>45392</v>
      </c>
      <c r="T118" s="5">
        <v>45392</v>
      </c>
      <c r="U118" s="28">
        <f t="shared" si="2"/>
        <v>0</v>
      </c>
      <c r="V118" s="2">
        <v>0</v>
      </c>
      <c r="W118" s="2">
        <v>0</v>
      </c>
      <c r="X118" s="2">
        <v>0</v>
      </c>
      <c r="Y118" s="2">
        <v>0</v>
      </c>
      <c r="Z118" s="2">
        <v>0</v>
      </c>
      <c r="AA118" s="2">
        <v>0</v>
      </c>
      <c r="AB118" s="2">
        <v>0</v>
      </c>
      <c r="AC118" s="2">
        <v>0</v>
      </c>
      <c r="AD118" s="2">
        <v>0</v>
      </c>
      <c r="AE118" s="2">
        <v>0</v>
      </c>
      <c r="AG118" s="2">
        <v>0</v>
      </c>
      <c r="AH118" s="2">
        <v>0</v>
      </c>
      <c r="AI118" s="2">
        <v>1</v>
      </c>
      <c r="AJ118" s="2">
        <v>1</v>
      </c>
      <c r="AK118" s="2">
        <v>0</v>
      </c>
      <c r="AO118" s="2">
        <v>0</v>
      </c>
      <c r="AT118" s="2">
        <v>0</v>
      </c>
      <c r="AU118" s="2" t="s">
        <v>206</v>
      </c>
    </row>
    <row r="119" spans="1:47" s="8" customFormat="1">
      <c r="A119" s="8">
        <v>118</v>
      </c>
      <c r="B119" s="6">
        <v>45392</v>
      </c>
      <c r="C119" s="6">
        <v>45392</v>
      </c>
      <c r="D119" s="8">
        <f t="shared" si="4"/>
        <v>0</v>
      </c>
      <c r="E119" s="8">
        <v>79</v>
      </c>
      <c r="F119" s="8">
        <v>1</v>
      </c>
      <c r="G119" s="8">
        <v>2</v>
      </c>
      <c r="H119" s="8">
        <v>1</v>
      </c>
      <c r="I119" s="8">
        <v>0</v>
      </c>
      <c r="J119" s="8">
        <v>0</v>
      </c>
      <c r="K119" s="8">
        <v>0</v>
      </c>
      <c r="L119" s="8">
        <v>0</v>
      </c>
      <c r="M119" s="8">
        <v>0</v>
      </c>
      <c r="N119" s="8">
        <v>1</v>
      </c>
      <c r="O119" s="8" t="s">
        <v>72</v>
      </c>
      <c r="P119" s="9" t="s">
        <v>179</v>
      </c>
      <c r="Q119" s="8">
        <v>0</v>
      </c>
      <c r="R119" s="8">
        <v>1</v>
      </c>
      <c r="S119" s="6">
        <v>45392</v>
      </c>
      <c r="T119" s="6">
        <v>45392</v>
      </c>
      <c r="U119" s="29">
        <f t="shared" si="2"/>
        <v>0</v>
      </c>
      <c r="V119" s="8">
        <v>0</v>
      </c>
      <c r="W119" s="8">
        <v>0</v>
      </c>
      <c r="X119" s="8">
        <v>0</v>
      </c>
      <c r="Y119" s="8">
        <v>0</v>
      </c>
      <c r="Z119" s="8">
        <v>0</v>
      </c>
      <c r="AA119" s="8">
        <v>0</v>
      </c>
      <c r="AB119" s="8">
        <v>0</v>
      </c>
      <c r="AC119" s="8">
        <v>0</v>
      </c>
      <c r="AD119" s="8">
        <v>0</v>
      </c>
      <c r="AE119" s="8">
        <v>0</v>
      </c>
      <c r="AG119" s="8">
        <v>0</v>
      </c>
      <c r="AH119" s="8">
        <v>0</v>
      </c>
      <c r="AI119" s="8">
        <v>1</v>
      </c>
      <c r="AJ119" s="8">
        <v>1</v>
      </c>
      <c r="AK119" s="8">
        <v>0</v>
      </c>
      <c r="AO119" s="8">
        <v>0</v>
      </c>
      <c r="AT119" s="8">
        <v>0</v>
      </c>
      <c r="AU119" s="8" t="s">
        <v>222</v>
      </c>
    </row>
    <row r="120" spans="1:47">
      <c r="A120" s="2">
        <v>119</v>
      </c>
      <c r="B120" s="5">
        <v>45395</v>
      </c>
      <c r="C120" s="5">
        <v>45401</v>
      </c>
      <c r="D120" s="2">
        <f t="shared" si="4"/>
        <v>6</v>
      </c>
      <c r="E120" s="2">
        <v>81</v>
      </c>
      <c r="F120" s="2">
        <v>2</v>
      </c>
      <c r="G120" s="2">
        <v>2</v>
      </c>
      <c r="H120" s="2">
        <v>0</v>
      </c>
      <c r="I120" s="2">
        <v>0</v>
      </c>
      <c r="J120" s="2">
        <v>0</v>
      </c>
      <c r="K120" s="2">
        <v>0</v>
      </c>
      <c r="L120" s="2">
        <v>0</v>
      </c>
      <c r="M120" s="2">
        <v>0</v>
      </c>
      <c r="N120" s="2">
        <v>1</v>
      </c>
      <c r="O120" s="2" t="s">
        <v>70</v>
      </c>
      <c r="P120" t="s">
        <v>179</v>
      </c>
      <c r="Q120" s="2">
        <v>0</v>
      </c>
      <c r="R120" s="2">
        <v>1</v>
      </c>
      <c r="S120" s="5">
        <v>45395</v>
      </c>
      <c r="T120" s="5">
        <v>45395</v>
      </c>
      <c r="U120" s="28">
        <f t="shared" si="2"/>
        <v>0</v>
      </c>
      <c r="V120" s="2">
        <v>1</v>
      </c>
      <c r="W120" s="2">
        <v>0</v>
      </c>
      <c r="X120" s="2">
        <v>0</v>
      </c>
      <c r="Y120" s="2">
        <v>0</v>
      </c>
      <c r="Z120" s="2">
        <v>0</v>
      </c>
      <c r="AA120" s="2">
        <v>0</v>
      </c>
      <c r="AB120" s="2">
        <v>0</v>
      </c>
      <c r="AC120" s="2">
        <v>1</v>
      </c>
      <c r="AD120" s="2">
        <v>0</v>
      </c>
      <c r="AE120" s="2">
        <v>1</v>
      </c>
      <c r="AF120" s="2" t="s">
        <v>91</v>
      </c>
      <c r="AG120" s="2">
        <v>0</v>
      </c>
      <c r="AH120" s="2">
        <v>0</v>
      </c>
      <c r="AI120" s="2">
        <v>1</v>
      </c>
      <c r="AJ120" s="2">
        <v>1</v>
      </c>
      <c r="AK120" s="2">
        <v>1</v>
      </c>
      <c r="AL120" s="5">
        <v>45399</v>
      </c>
      <c r="AM120" s="2">
        <v>0</v>
      </c>
      <c r="AN120" s="2">
        <v>0</v>
      </c>
      <c r="AO120" s="2">
        <v>0</v>
      </c>
      <c r="AT120" s="2">
        <v>0</v>
      </c>
      <c r="AU120" s="2" t="s">
        <v>223</v>
      </c>
    </row>
    <row r="121" spans="1:47">
      <c r="A121" s="2">
        <v>120</v>
      </c>
      <c r="B121" s="5">
        <v>45396</v>
      </c>
      <c r="C121" s="5">
        <v>45412</v>
      </c>
      <c r="D121" s="2">
        <f t="shared" si="4"/>
        <v>16</v>
      </c>
      <c r="E121" s="2">
        <v>66</v>
      </c>
      <c r="F121" s="2">
        <v>1</v>
      </c>
      <c r="G121" s="2">
        <v>2</v>
      </c>
      <c r="H121" s="2">
        <v>0</v>
      </c>
      <c r="I121" s="2">
        <v>0</v>
      </c>
      <c r="J121" s="2">
        <v>0</v>
      </c>
      <c r="K121" s="2">
        <v>0</v>
      </c>
      <c r="L121" s="2">
        <v>0</v>
      </c>
      <c r="M121" s="2">
        <v>0</v>
      </c>
      <c r="N121" s="2">
        <v>0</v>
      </c>
      <c r="P121" t="s">
        <v>215</v>
      </c>
      <c r="Q121" s="2">
        <v>1</v>
      </c>
      <c r="R121" s="2">
        <v>2</v>
      </c>
      <c r="S121" s="5">
        <v>45396</v>
      </c>
      <c r="T121" s="5">
        <v>45397</v>
      </c>
      <c r="U121" s="28">
        <f t="shared" si="2"/>
        <v>1</v>
      </c>
      <c r="V121" s="2">
        <v>0</v>
      </c>
      <c r="W121" s="2">
        <v>0</v>
      </c>
      <c r="X121" s="2">
        <v>0</v>
      </c>
      <c r="Y121" s="2">
        <v>0</v>
      </c>
      <c r="Z121" s="2">
        <v>0</v>
      </c>
      <c r="AA121" s="2">
        <v>0</v>
      </c>
      <c r="AB121" s="2">
        <v>0</v>
      </c>
      <c r="AC121" s="2">
        <v>0</v>
      </c>
      <c r="AD121" s="2">
        <v>0</v>
      </c>
      <c r="AE121" s="2">
        <v>1</v>
      </c>
      <c r="AF121" s="2" t="s">
        <v>91</v>
      </c>
      <c r="AG121" s="2">
        <v>0</v>
      </c>
      <c r="AH121" s="2">
        <v>1</v>
      </c>
      <c r="AI121" s="2">
        <v>1</v>
      </c>
      <c r="AJ121" s="2">
        <v>1</v>
      </c>
      <c r="AK121" s="2">
        <v>1</v>
      </c>
      <c r="AL121" s="5">
        <v>45401</v>
      </c>
      <c r="AM121" s="2">
        <v>0</v>
      </c>
      <c r="AN121" s="2">
        <v>0</v>
      </c>
      <c r="AO121" s="2">
        <v>0</v>
      </c>
      <c r="AT121" s="2">
        <v>0</v>
      </c>
      <c r="AU121" s="2" t="s">
        <v>206</v>
      </c>
    </row>
    <row r="122" spans="1:47">
      <c r="A122" s="2">
        <v>121</v>
      </c>
      <c r="B122" s="5">
        <v>45398</v>
      </c>
      <c r="C122" s="5">
        <v>45401</v>
      </c>
      <c r="D122" s="2">
        <f t="shared" si="4"/>
        <v>3</v>
      </c>
      <c r="E122" s="2">
        <v>79</v>
      </c>
      <c r="F122" s="2">
        <v>1</v>
      </c>
      <c r="G122" s="2">
        <v>2</v>
      </c>
      <c r="H122" s="2">
        <v>1</v>
      </c>
      <c r="I122" s="2">
        <v>0</v>
      </c>
      <c r="J122" s="2">
        <v>1</v>
      </c>
      <c r="K122" s="2">
        <v>0</v>
      </c>
      <c r="L122" s="2">
        <v>0</v>
      </c>
      <c r="M122" s="2">
        <v>0</v>
      </c>
      <c r="N122" s="2">
        <v>1</v>
      </c>
      <c r="O122" s="2" t="s">
        <v>224</v>
      </c>
      <c r="P122" t="s">
        <v>179</v>
      </c>
      <c r="Q122" s="2">
        <v>0</v>
      </c>
      <c r="R122" s="2">
        <v>1</v>
      </c>
      <c r="S122" s="5">
        <v>45398</v>
      </c>
      <c r="T122" s="5">
        <v>45398</v>
      </c>
      <c r="U122" s="28">
        <f t="shared" si="2"/>
        <v>0</v>
      </c>
      <c r="V122" s="2">
        <v>0</v>
      </c>
      <c r="W122" s="2">
        <v>0</v>
      </c>
      <c r="X122" s="2">
        <v>0</v>
      </c>
      <c r="Y122" s="2">
        <v>0</v>
      </c>
      <c r="Z122" s="2">
        <v>0</v>
      </c>
      <c r="AA122" s="2">
        <v>0</v>
      </c>
      <c r="AB122" s="2">
        <v>0</v>
      </c>
      <c r="AC122" s="2">
        <v>0</v>
      </c>
      <c r="AD122" s="2">
        <v>0</v>
      </c>
      <c r="AE122" s="2">
        <v>1</v>
      </c>
      <c r="AF122" s="2" t="s">
        <v>117</v>
      </c>
      <c r="AG122" s="2">
        <v>0</v>
      </c>
      <c r="AH122" s="2">
        <v>0</v>
      </c>
      <c r="AI122" s="2">
        <v>1</v>
      </c>
      <c r="AJ122" s="2">
        <v>1</v>
      </c>
      <c r="AK122" s="11">
        <v>1</v>
      </c>
      <c r="AL122" s="5">
        <v>45400</v>
      </c>
      <c r="AM122" s="2">
        <v>0</v>
      </c>
      <c r="AN122" s="2">
        <v>0</v>
      </c>
      <c r="AO122" s="2">
        <v>0</v>
      </c>
      <c r="AT122" s="2">
        <v>0</v>
      </c>
      <c r="AU122" s="2" t="s">
        <v>206</v>
      </c>
    </row>
    <row r="123" spans="1:47">
      <c r="A123" s="2">
        <v>122</v>
      </c>
      <c r="B123" s="5">
        <v>45398</v>
      </c>
      <c r="C123" s="5">
        <v>45412</v>
      </c>
      <c r="D123" s="2">
        <f t="shared" si="4"/>
        <v>14</v>
      </c>
      <c r="E123" s="2">
        <v>78</v>
      </c>
      <c r="F123" s="2">
        <v>2</v>
      </c>
      <c r="G123" s="2">
        <v>2</v>
      </c>
      <c r="H123" s="2">
        <v>1</v>
      </c>
      <c r="I123" s="2">
        <v>0</v>
      </c>
      <c r="J123" s="2">
        <v>1</v>
      </c>
      <c r="K123" s="2">
        <v>0</v>
      </c>
      <c r="L123" s="2">
        <v>0</v>
      </c>
      <c r="M123" s="2">
        <v>0</v>
      </c>
      <c r="N123" s="2">
        <v>1</v>
      </c>
      <c r="O123" s="2" t="s">
        <v>225</v>
      </c>
      <c r="P123" t="s">
        <v>179</v>
      </c>
      <c r="Q123" s="2">
        <v>1</v>
      </c>
      <c r="R123" s="2">
        <v>4</v>
      </c>
      <c r="S123" s="5">
        <v>45398</v>
      </c>
      <c r="T123" s="5">
        <v>45404</v>
      </c>
      <c r="U123" s="28">
        <f t="shared" si="2"/>
        <v>6</v>
      </c>
      <c r="V123" s="2">
        <v>0</v>
      </c>
      <c r="W123" s="2">
        <v>0</v>
      </c>
      <c r="X123" s="2">
        <v>0</v>
      </c>
      <c r="Y123" s="2">
        <v>0</v>
      </c>
      <c r="Z123" s="2">
        <v>0</v>
      </c>
      <c r="AA123" s="2">
        <v>0</v>
      </c>
      <c r="AB123" s="2">
        <v>0</v>
      </c>
      <c r="AC123" s="2">
        <v>0</v>
      </c>
      <c r="AD123" s="2">
        <v>0</v>
      </c>
      <c r="AE123" s="2">
        <v>1</v>
      </c>
      <c r="AF123" s="2" t="s">
        <v>91</v>
      </c>
      <c r="AG123" s="2">
        <v>1</v>
      </c>
      <c r="AH123" s="2">
        <v>1</v>
      </c>
      <c r="AI123" s="2">
        <v>1</v>
      </c>
      <c r="AJ123" s="2">
        <v>1</v>
      </c>
      <c r="AK123" s="2">
        <v>1</v>
      </c>
      <c r="AL123" s="5">
        <v>45399</v>
      </c>
      <c r="AM123" s="2">
        <v>0</v>
      </c>
      <c r="AN123" s="2">
        <v>1</v>
      </c>
      <c r="AO123" s="2">
        <v>1</v>
      </c>
      <c r="AP123" s="5">
        <v>45404</v>
      </c>
      <c r="AQ123" s="2">
        <v>1</v>
      </c>
      <c r="AR123" s="2">
        <v>1</v>
      </c>
      <c r="AS123" s="2">
        <v>0</v>
      </c>
      <c r="AT123" s="2">
        <v>0</v>
      </c>
      <c r="AU123" s="2" t="s">
        <v>226</v>
      </c>
    </row>
    <row r="124" spans="1:47">
      <c r="A124" s="2">
        <v>123</v>
      </c>
      <c r="B124" s="5">
        <v>45365</v>
      </c>
      <c r="C124" s="5">
        <v>45420</v>
      </c>
      <c r="D124" s="2">
        <f t="shared" si="4"/>
        <v>55</v>
      </c>
      <c r="E124" s="2">
        <v>38</v>
      </c>
      <c r="F124" s="2">
        <v>1</v>
      </c>
      <c r="G124" s="2">
        <v>2</v>
      </c>
      <c r="H124" s="2">
        <v>0</v>
      </c>
      <c r="I124" s="2">
        <v>0</v>
      </c>
      <c r="J124" s="2">
        <v>0</v>
      </c>
      <c r="K124" s="2">
        <v>0</v>
      </c>
      <c r="L124" s="2">
        <v>0</v>
      </c>
      <c r="M124" s="2">
        <v>0</v>
      </c>
      <c r="N124" s="2">
        <v>0</v>
      </c>
      <c r="P124" t="s">
        <v>179</v>
      </c>
      <c r="Q124" s="2">
        <v>0</v>
      </c>
      <c r="R124" s="2">
        <v>1</v>
      </c>
      <c r="S124" s="5">
        <v>45400</v>
      </c>
      <c r="T124" s="5">
        <v>45400</v>
      </c>
      <c r="U124" s="28">
        <f t="shared" si="2"/>
        <v>0</v>
      </c>
      <c r="V124" s="2">
        <v>0</v>
      </c>
      <c r="W124" s="2">
        <v>0</v>
      </c>
      <c r="X124" s="2">
        <v>0</v>
      </c>
      <c r="Y124" s="2">
        <v>0</v>
      </c>
      <c r="Z124" s="2">
        <v>0</v>
      </c>
      <c r="AA124" s="2">
        <v>0</v>
      </c>
      <c r="AB124" s="2">
        <v>0</v>
      </c>
      <c r="AC124" s="2">
        <v>0</v>
      </c>
      <c r="AD124" s="2">
        <v>0</v>
      </c>
      <c r="AE124" s="2">
        <v>1</v>
      </c>
      <c r="AF124" s="2" t="s">
        <v>91</v>
      </c>
      <c r="AG124" s="2">
        <v>0</v>
      </c>
      <c r="AH124" s="2">
        <v>1</v>
      </c>
      <c r="AI124" s="2">
        <v>1</v>
      </c>
      <c r="AJ124" s="2">
        <v>1</v>
      </c>
      <c r="AK124" s="2">
        <v>0</v>
      </c>
      <c r="AO124" s="2">
        <v>0</v>
      </c>
      <c r="AT124" s="2">
        <v>1</v>
      </c>
      <c r="AU124" s="2" t="s">
        <v>227</v>
      </c>
    </row>
    <row r="125" spans="1:47">
      <c r="A125" s="8">
        <v>124</v>
      </c>
      <c r="B125" s="5">
        <v>45402</v>
      </c>
      <c r="C125" s="6">
        <v>45408</v>
      </c>
      <c r="D125" s="2">
        <f t="shared" si="4"/>
        <v>6</v>
      </c>
      <c r="E125" s="2">
        <v>86</v>
      </c>
      <c r="F125" s="2">
        <v>2</v>
      </c>
      <c r="G125" s="2">
        <v>2</v>
      </c>
      <c r="H125" s="2">
        <v>0</v>
      </c>
      <c r="I125" s="2">
        <v>0</v>
      </c>
      <c r="J125" s="2">
        <v>0</v>
      </c>
      <c r="K125" s="2">
        <v>0</v>
      </c>
      <c r="L125" s="2">
        <v>0</v>
      </c>
      <c r="M125" s="2">
        <v>0</v>
      </c>
      <c r="N125" s="2">
        <v>0</v>
      </c>
      <c r="P125" t="s">
        <v>195</v>
      </c>
      <c r="Q125" s="2">
        <v>0</v>
      </c>
      <c r="R125" s="2">
        <v>1</v>
      </c>
      <c r="S125" s="5">
        <v>45402</v>
      </c>
      <c r="T125" s="5">
        <v>45402</v>
      </c>
      <c r="U125" s="28">
        <f t="shared" si="2"/>
        <v>0</v>
      </c>
      <c r="V125" s="2">
        <v>0</v>
      </c>
      <c r="W125" s="2">
        <v>0</v>
      </c>
      <c r="X125" s="2">
        <v>0</v>
      </c>
      <c r="Y125" s="2">
        <v>0</v>
      </c>
      <c r="Z125" s="2">
        <v>0</v>
      </c>
      <c r="AA125" s="2">
        <v>0</v>
      </c>
      <c r="AB125" s="2">
        <v>0</v>
      </c>
      <c r="AC125" s="2">
        <v>0</v>
      </c>
      <c r="AD125" s="2">
        <v>0</v>
      </c>
      <c r="AE125" s="2">
        <v>1</v>
      </c>
      <c r="AF125" s="2" t="s">
        <v>91</v>
      </c>
      <c r="AG125" s="2">
        <v>0</v>
      </c>
      <c r="AH125" s="2">
        <v>1</v>
      </c>
      <c r="AI125" s="2">
        <v>1</v>
      </c>
      <c r="AJ125" s="2">
        <v>1</v>
      </c>
      <c r="AK125" s="2">
        <v>0</v>
      </c>
      <c r="AO125" s="2">
        <v>0</v>
      </c>
      <c r="AT125" s="2">
        <v>0</v>
      </c>
      <c r="AU125" s="2" t="s">
        <v>206</v>
      </c>
    </row>
    <row r="126" spans="1:47">
      <c r="A126" s="2">
        <v>125</v>
      </c>
      <c r="B126" s="5">
        <v>45405</v>
      </c>
      <c r="C126" s="5">
        <v>45413</v>
      </c>
      <c r="D126" s="2">
        <f t="shared" si="4"/>
        <v>8</v>
      </c>
      <c r="E126" s="2">
        <v>58</v>
      </c>
      <c r="F126" s="2">
        <v>2</v>
      </c>
      <c r="G126" s="2">
        <v>2</v>
      </c>
      <c r="H126" s="2">
        <v>1</v>
      </c>
      <c r="I126" s="2">
        <v>0</v>
      </c>
      <c r="J126" s="2">
        <v>0</v>
      </c>
      <c r="K126" s="2">
        <v>0</v>
      </c>
      <c r="L126" s="2">
        <v>0</v>
      </c>
      <c r="M126" s="2">
        <v>0</v>
      </c>
      <c r="N126" s="2">
        <v>1</v>
      </c>
      <c r="O126" s="2" t="s">
        <v>166</v>
      </c>
      <c r="P126" t="s">
        <v>215</v>
      </c>
      <c r="Q126" s="2">
        <v>0</v>
      </c>
      <c r="R126" s="2">
        <v>1</v>
      </c>
      <c r="S126" s="5">
        <v>45405</v>
      </c>
      <c r="T126" s="5">
        <v>45405</v>
      </c>
      <c r="U126" s="28">
        <f t="shared" si="2"/>
        <v>0</v>
      </c>
      <c r="V126" s="2">
        <v>0</v>
      </c>
      <c r="W126" s="2">
        <v>0</v>
      </c>
      <c r="X126" s="2">
        <v>0</v>
      </c>
      <c r="Y126" s="2">
        <v>0</v>
      </c>
      <c r="Z126" s="2">
        <v>0</v>
      </c>
      <c r="AA126" s="2">
        <v>0</v>
      </c>
      <c r="AB126" s="2">
        <v>0</v>
      </c>
      <c r="AC126" s="2">
        <v>0</v>
      </c>
      <c r="AD126" s="2">
        <v>0</v>
      </c>
      <c r="AE126" s="2">
        <v>1</v>
      </c>
      <c r="AF126" s="2" t="s">
        <v>91</v>
      </c>
      <c r="AG126" s="2">
        <v>0</v>
      </c>
      <c r="AH126" s="2">
        <v>0</v>
      </c>
      <c r="AI126" s="2">
        <v>1</v>
      </c>
      <c r="AJ126" s="2">
        <v>1</v>
      </c>
      <c r="AK126" s="2">
        <v>0</v>
      </c>
      <c r="AO126" s="2">
        <v>0</v>
      </c>
      <c r="AT126" s="2">
        <v>0</v>
      </c>
      <c r="AU126" s="2" t="s">
        <v>206</v>
      </c>
    </row>
    <row r="127" spans="1:47">
      <c r="A127" s="2">
        <v>126</v>
      </c>
      <c r="B127" s="5">
        <v>45406</v>
      </c>
      <c r="C127" s="5">
        <v>45412</v>
      </c>
      <c r="D127" s="2">
        <f t="shared" si="4"/>
        <v>6</v>
      </c>
      <c r="E127" s="2">
        <v>28</v>
      </c>
      <c r="F127" s="2">
        <v>1</v>
      </c>
      <c r="G127" s="2">
        <v>2</v>
      </c>
      <c r="H127" s="2">
        <v>0</v>
      </c>
      <c r="I127" s="2">
        <v>0</v>
      </c>
      <c r="J127" s="2">
        <v>0</v>
      </c>
      <c r="K127" s="2">
        <v>0</v>
      </c>
      <c r="L127" s="2">
        <v>0</v>
      </c>
      <c r="M127" s="2">
        <v>0</v>
      </c>
      <c r="N127" s="2">
        <v>0</v>
      </c>
      <c r="P127" t="s">
        <v>208</v>
      </c>
      <c r="Q127" s="2">
        <v>0</v>
      </c>
      <c r="R127" s="2">
        <v>1</v>
      </c>
      <c r="S127" s="5">
        <v>45406</v>
      </c>
      <c r="T127" s="5">
        <v>45406</v>
      </c>
      <c r="U127" s="28">
        <f t="shared" si="2"/>
        <v>0</v>
      </c>
      <c r="V127" s="2">
        <v>0</v>
      </c>
      <c r="W127" s="2">
        <v>0</v>
      </c>
      <c r="X127" s="2">
        <v>0</v>
      </c>
      <c r="Y127" s="2">
        <v>0</v>
      </c>
      <c r="Z127" s="2">
        <v>0</v>
      </c>
      <c r="AA127" s="2">
        <v>0</v>
      </c>
      <c r="AB127" s="2">
        <v>0</v>
      </c>
      <c r="AC127" s="2">
        <v>0</v>
      </c>
      <c r="AD127" s="2">
        <v>0</v>
      </c>
      <c r="AE127" s="2">
        <v>1</v>
      </c>
      <c r="AF127" s="2" t="s">
        <v>91</v>
      </c>
      <c r="AG127" s="2">
        <v>0</v>
      </c>
      <c r="AH127" s="2">
        <v>0</v>
      </c>
      <c r="AI127" s="2">
        <v>1</v>
      </c>
      <c r="AJ127" s="2">
        <v>1</v>
      </c>
      <c r="AK127" s="2">
        <v>0</v>
      </c>
      <c r="AO127" s="2">
        <v>0</v>
      </c>
      <c r="AT127" s="2">
        <v>0</v>
      </c>
      <c r="AU127" s="2" t="s">
        <v>206</v>
      </c>
    </row>
    <row r="128" spans="1:47">
      <c r="A128" s="2">
        <v>127</v>
      </c>
      <c r="B128" s="5">
        <v>45407</v>
      </c>
      <c r="C128" s="5">
        <v>45431</v>
      </c>
      <c r="D128" s="2">
        <f t="shared" si="4"/>
        <v>24</v>
      </c>
      <c r="E128" s="2">
        <v>89</v>
      </c>
      <c r="F128" s="2">
        <v>2</v>
      </c>
      <c r="G128" s="2">
        <v>3</v>
      </c>
      <c r="H128" s="2">
        <v>0</v>
      </c>
      <c r="I128" s="2">
        <v>0</v>
      </c>
      <c r="J128" s="2">
        <v>0</v>
      </c>
      <c r="K128" s="2">
        <v>0</v>
      </c>
      <c r="L128" s="2">
        <v>0</v>
      </c>
      <c r="M128" s="2">
        <v>0</v>
      </c>
      <c r="N128" s="2">
        <v>0</v>
      </c>
      <c r="P128" t="s">
        <v>195</v>
      </c>
      <c r="Q128" s="2">
        <v>0</v>
      </c>
      <c r="R128" s="2">
        <v>1</v>
      </c>
      <c r="S128" s="5">
        <v>45407</v>
      </c>
      <c r="T128" s="5">
        <v>45407</v>
      </c>
      <c r="U128" s="28">
        <f t="shared" si="2"/>
        <v>0</v>
      </c>
      <c r="V128" s="2">
        <v>0</v>
      </c>
      <c r="W128" s="2">
        <v>0</v>
      </c>
      <c r="X128" s="2">
        <v>0</v>
      </c>
      <c r="Y128" s="2">
        <v>0</v>
      </c>
      <c r="Z128" s="2">
        <v>0</v>
      </c>
      <c r="AA128" s="2">
        <v>0</v>
      </c>
      <c r="AB128" s="2">
        <v>0</v>
      </c>
      <c r="AC128" s="2">
        <v>0</v>
      </c>
      <c r="AD128" s="2">
        <v>0</v>
      </c>
      <c r="AE128" s="2">
        <v>1</v>
      </c>
      <c r="AF128" s="2" t="s">
        <v>217</v>
      </c>
      <c r="AG128" s="2">
        <v>0</v>
      </c>
      <c r="AH128" s="2">
        <v>0</v>
      </c>
      <c r="AI128" s="2">
        <v>1</v>
      </c>
      <c r="AJ128" s="2">
        <v>1</v>
      </c>
      <c r="AK128" s="11">
        <v>1</v>
      </c>
      <c r="AL128" s="5">
        <v>45419</v>
      </c>
      <c r="AM128" s="2">
        <v>0</v>
      </c>
      <c r="AN128" s="2">
        <v>1</v>
      </c>
      <c r="AO128" s="2">
        <v>0</v>
      </c>
      <c r="AT128" s="2">
        <v>0</v>
      </c>
      <c r="AU128" s="2" t="s">
        <v>228</v>
      </c>
    </row>
    <row r="129" spans="1:47">
      <c r="A129" s="8">
        <v>128</v>
      </c>
      <c r="B129" s="5">
        <v>45408</v>
      </c>
      <c r="C129" s="6">
        <v>45429</v>
      </c>
      <c r="D129" s="2">
        <f t="shared" si="4"/>
        <v>21</v>
      </c>
      <c r="E129" s="2">
        <v>88</v>
      </c>
      <c r="F129" s="2">
        <v>2</v>
      </c>
      <c r="G129" s="2">
        <v>2</v>
      </c>
      <c r="H129" s="2">
        <v>1</v>
      </c>
      <c r="I129" s="2">
        <v>0</v>
      </c>
      <c r="J129" s="2">
        <v>0</v>
      </c>
      <c r="K129" s="2">
        <v>1</v>
      </c>
      <c r="L129" s="2">
        <v>0</v>
      </c>
      <c r="M129" s="2">
        <v>0</v>
      </c>
      <c r="N129" s="2">
        <v>1</v>
      </c>
      <c r="O129" s="2" t="s">
        <v>181</v>
      </c>
      <c r="P129" t="s">
        <v>179</v>
      </c>
      <c r="Q129" s="2">
        <v>0</v>
      </c>
      <c r="R129" s="2">
        <v>1</v>
      </c>
      <c r="S129" s="5">
        <v>45408</v>
      </c>
      <c r="T129" s="5">
        <v>45408</v>
      </c>
      <c r="U129" s="28">
        <f t="shared" si="2"/>
        <v>0</v>
      </c>
      <c r="V129" s="2">
        <v>0</v>
      </c>
      <c r="W129" s="2">
        <v>0</v>
      </c>
      <c r="X129" s="2">
        <v>0</v>
      </c>
      <c r="Y129" s="2">
        <v>0</v>
      </c>
      <c r="Z129" s="2">
        <v>0</v>
      </c>
      <c r="AA129" s="2">
        <v>0</v>
      </c>
      <c r="AB129" s="2">
        <v>0</v>
      </c>
      <c r="AC129" s="2">
        <v>0</v>
      </c>
      <c r="AD129" s="2">
        <v>0</v>
      </c>
      <c r="AE129" s="2">
        <v>1</v>
      </c>
      <c r="AF129" s="2" t="s">
        <v>229</v>
      </c>
      <c r="AG129" s="2">
        <v>0</v>
      </c>
      <c r="AH129" s="2">
        <v>0</v>
      </c>
      <c r="AI129" s="2">
        <v>1</v>
      </c>
      <c r="AJ129" s="2">
        <v>0</v>
      </c>
      <c r="AK129" s="2">
        <v>1</v>
      </c>
      <c r="AL129" s="5">
        <v>45419</v>
      </c>
      <c r="AM129" s="2">
        <v>0</v>
      </c>
      <c r="AN129" s="2">
        <v>1</v>
      </c>
      <c r="AO129" s="2">
        <v>0</v>
      </c>
      <c r="AT129" s="2">
        <v>0</v>
      </c>
      <c r="AU129" s="2" t="s">
        <v>206</v>
      </c>
    </row>
    <row r="130" spans="1:47">
      <c r="A130" s="2">
        <v>129</v>
      </c>
      <c r="B130" s="5">
        <v>45409</v>
      </c>
      <c r="C130" s="5">
        <v>45413</v>
      </c>
      <c r="D130" s="2">
        <f t="shared" si="4"/>
        <v>4</v>
      </c>
      <c r="E130" s="2">
        <v>43</v>
      </c>
      <c r="F130" s="2">
        <v>2</v>
      </c>
      <c r="G130" s="2">
        <v>2</v>
      </c>
      <c r="H130" s="2">
        <v>1</v>
      </c>
      <c r="I130" s="2">
        <v>0</v>
      </c>
      <c r="J130" s="2">
        <v>0</v>
      </c>
      <c r="K130" s="2">
        <v>0</v>
      </c>
      <c r="L130" s="2">
        <v>0</v>
      </c>
      <c r="M130" s="2">
        <v>0</v>
      </c>
      <c r="N130" s="2">
        <v>1</v>
      </c>
      <c r="O130" s="2" t="s">
        <v>230</v>
      </c>
      <c r="P130" t="s">
        <v>208</v>
      </c>
      <c r="Q130" s="2">
        <v>0</v>
      </c>
      <c r="R130" s="2">
        <v>1</v>
      </c>
      <c r="S130" s="5">
        <v>45409</v>
      </c>
      <c r="T130" s="5">
        <v>45409</v>
      </c>
      <c r="U130" s="28">
        <f t="shared" si="2"/>
        <v>0</v>
      </c>
      <c r="V130" s="2">
        <v>0</v>
      </c>
      <c r="W130" s="2">
        <v>0</v>
      </c>
      <c r="X130" s="2">
        <v>0</v>
      </c>
      <c r="Y130" s="2">
        <v>0</v>
      </c>
      <c r="Z130" s="2">
        <v>0</v>
      </c>
      <c r="AA130" s="2">
        <v>0</v>
      </c>
      <c r="AB130" s="2">
        <v>0</v>
      </c>
      <c r="AC130" s="2">
        <v>0</v>
      </c>
      <c r="AD130" s="2">
        <v>0</v>
      </c>
      <c r="AE130" s="2">
        <v>1</v>
      </c>
      <c r="AF130" s="2" t="s">
        <v>91</v>
      </c>
      <c r="AG130" s="2">
        <v>0</v>
      </c>
      <c r="AH130" s="2">
        <v>0</v>
      </c>
      <c r="AI130" s="2">
        <v>1</v>
      </c>
      <c r="AJ130" s="2">
        <v>1</v>
      </c>
      <c r="AK130" s="2">
        <v>1</v>
      </c>
      <c r="AL130" s="5">
        <v>45411</v>
      </c>
      <c r="AM130" s="2">
        <v>0</v>
      </c>
      <c r="AN130" s="2">
        <v>0</v>
      </c>
      <c r="AO130" s="2">
        <v>0</v>
      </c>
      <c r="AT130" s="2">
        <v>0</v>
      </c>
      <c r="AU130" s="2" t="s">
        <v>206</v>
      </c>
    </row>
    <row r="131" spans="1:47">
      <c r="A131" s="2">
        <v>130</v>
      </c>
      <c r="B131" s="5">
        <v>45412</v>
      </c>
      <c r="C131" s="5">
        <v>45419</v>
      </c>
      <c r="D131" s="2">
        <f t="shared" si="4"/>
        <v>7</v>
      </c>
      <c r="E131" s="2">
        <v>92</v>
      </c>
      <c r="F131" s="2">
        <v>1</v>
      </c>
      <c r="G131" s="2">
        <v>2</v>
      </c>
      <c r="H131" s="2">
        <v>0</v>
      </c>
      <c r="I131" s="2">
        <v>0</v>
      </c>
      <c r="J131" s="2">
        <v>0</v>
      </c>
      <c r="K131" s="2">
        <v>0</v>
      </c>
      <c r="L131" s="2">
        <v>0</v>
      </c>
      <c r="M131" s="2">
        <v>0</v>
      </c>
      <c r="N131" s="2">
        <v>0</v>
      </c>
      <c r="P131" t="s">
        <v>208</v>
      </c>
      <c r="Q131" s="2">
        <v>0</v>
      </c>
      <c r="R131" s="2">
        <v>1</v>
      </c>
      <c r="S131" s="5">
        <v>45412</v>
      </c>
      <c r="T131" s="5">
        <v>45412</v>
      </c>
      <c r="U131" s="28">
        <f t="shared" ref="U131:U149" si="5">T131-S131</f>
        <v>0</v>
      </c>
      <c r="V131" s="2">
        <v>0</v>
      </c>
      <c r="W131" s="2">
        <v>0</v>
      </c>
      <c r="X131" s="2">
        <v>0</v>
      </c>
      <c r="Y131" s="2">
        <v>0</v>
      </c>
      <c r="Z131" s="2">
        <v>0</v>
      </c>
      <c r="AA131" s="2">
        <v>0</v>
      </c>
      <c r="AB131" s="2">
        <v>0</v>
      </c>
      <c r="AC131" s="2">
        <v>0</v>
      </c>
      <c r="AD131" s="2">
        <v>0</v>
      </c>
      <c r="AE131" s="2">
        <v>1</v>
      </c>
      <c r="AF131" s="2" t="s">
        <v>68</v>
      </c>
      <c r="AG131" s="2">
        <v>0</v>
      </c>
      <c r="AH131" s="2">
        <v>0</v>
      </c>
      <c r="AI131" s="2">
        <v>1</v>
      </c>
      <c r="AJ131" s="2">
        <v>1</v>
      </c>
      <c r="AK131" s="2">
        <v>0</v>
      </c>
      <c r="AO131" s="2">
        <v>0</v>
      </c>
      <c r="AT131" s="2">
        <v>0</v>
      </c>
      <c r="AU131" s="2" t="s">
        <v>231</v>
      </c>
    </row>
    <row r="132" spans="1:47">
      <c r="A132" s="2">
        <v>131</v>
      </c>
      <c r="B132" s="5">
        <v>45352</v>
      </c>
      <c r="C132" s="5">
        <v>45359</v>
      </c>
      <c r="D132" s="2">
        <f t="shared" si="4"/>
        <v>7</v>
      </c>
      <c r="E132" s="2">
        <v>82</v>
      </c>
      <c r="F132" s="2">
        <v>2</v>
      </c>
      <c r="G132" s="2">
        <v>2</v>
      </c>
      <c r="H132" s="2">
        <v>0</v>
      </c>
      <c r="I132" s="2">
        <v>0</v>
      </c>
      <c r="J132" s="2">
        <v>0</v>
      </c>
      <c r="K132" s="2">
        <v>0</v>
      </c>
      <c r="L132" s="2">
        <v>0</v>
      </c>
      <c r="M132" s="2">
        <v>0</v>
      </c>
      <c r="N132" s="2">
        <v>0</v>
      </c>
      <c r="P132" t="s">
        <v>208</v>
      </c>
      <c r="Q132" s="2">
        <v>0</v>
      </c>
      <c r="R132" s="2">
        <v>1</v>
      </c>
      <c r="S132" s="5">
        <v>45352</v>
      </c>
      <c r="T132" s="5">
        <v>45352</v>
      </c>
      <c r="U132" s="28">
        <f t="shared" si="5"/>
        <v>0</v>
      </c>
      <c r="V132" s="2">
        <v>0</v>
      </c>
      <c r="W132" s="2">
        <v>0</v>
      </c>
      <c r="X132" s="2">
        <v>0</v>
      </c>
      <c r="Y132" s="2">
        <v>0</v>
      </c>
      <c r="Z132" s="2">
        <v>0</v>
      </c>
      <c r="AA132" s="2">
        <v>0</v>
      </c>
      <c r="AB132" s="2">
        <v>0</v>
      </c>
      <c r="AC132" s="2">
        <v>0</v>
      </c>
      <c r="AD132" s="2">
        <v>0</v>
      </c>
      <c r="AE132" s="2">
        <v>1</v>
      </c>
      <c r="AF132" s="2" t="s">
        <v>117</v>
      </c>
      <c r="AG132" s="2">
        <v>0</v>
      </c>
      <c r="AH132" s="2">
        <v>0</v>
      </c>
      <c r="AI132" s="2">
        <v>1</v>
      </c>
      <c r="AJ132" s="2">
        <v>1</v>
      </c>
      <c r="AK132" s="2">
        <v>0</v>
      </c>
      <c r="AO132" s="2">
        <v>0</v>
      </c>
      <c r="AT132" s="2">
        <v>0</v>
      </c>
      <c r="AU132" s="2" t="s">
        <v>231</v>
      </c>
    </row>
    <row r="133" spans="1:47">
      <c r="A133" s="2">
        <v>132</v>
      </c>
      <c r="B133" s="5">
        <v>45353</v>
      </c>
      <c r="C133" s="5">
        <v>45360</v>
      </c>
      <c r="D133" s="2">
        <f t="shared" si="4"/>
        <v>7</v>
      </c>
      <c r="E133" s="2">
        <v>44</v>
      </c>
      <c r="F133" s="2">
        <v>2</v>
      </c>
      <c r="G133" s="2">
        <v>3</v>
      </c>
      <c r="H133" s="2">
        <v>1</v>
      </c>
      <c r="I133" s="2">
        <v>0</v>
      </c>
      <c r="J133" s="2">
        <v>0</v>
      </c>
      <c r="K133" s="2">
        <v>0</v>
      </c>
      <c r="L133" s="2">
        <v>1</v>
      </c>
      <c r="M133" s="2">
        <v>0</v>
      </c>
      <c r="N133" s="2">
        <v>0</v>
      </c>
      <c r="P133" t="s">
        <v>195</v>
      </c>
      <c r="Q133" s="2">
        <v>0</v>
      </c>
      <c r="R133" s="2">
        <v>1</v>
      </c>
      <c r="S133" s="5">
        <v>45353</v>
      </c>
      <c r="T133" s="5">
        <v>45353</v>
      </c>
      <c r="U133" s="28">
        <f t="shared" si="5"/>
        <v>0</v>
      </c>
      <c r="V133" s="2">
        <v>0</v>
      </c>
      <c r="W133" s="2">
        <v>0</v>
      </c>
      <c r="X133" s="2">
        <v>0</v>
      </c>
      <c r="Y133" s="2">
        <v>0</v>
      </c>
      <c r="Z133" s="2">
        <v>0</v>
      </c>
      <c r="AA133" s="2">
        <v>0</v>
      </c>
      <c r="AB133" s="2">
        <v>0</v>
      </c>
      <c r="AC133" s="2">
        <v>0</v>
      </c>
      <c r="AD133" s="2">
        <v>0</v>
      </c>
      <c r="AE133" s="2">
        <v>1</v>
      </c>
      <c r="AF133" s="2" t="s">
        <v>91</v>
      </c>
      <c r="AG133" s="2">
        <v>0</v>
      </c>
      <c r="AH133" s="2">
        <v>1</v>
      </c>
      <c r="AI133" s="2">
        <v>1</v>
      </c>
      <c r="AJ133" s="2">
        <v>1</v>
      </c>
      <c r="AK133" s="2">
        <v>0</v>
      </c>
      <c r="AO133" s="2">
        <v>0</v>
      </c>
      <c r="AT133" s="2">
        <v>0</v>
      </c>
      <c r="AU133" s="2" t="s">
        <v>232</v>
      </c>
    </row>
    <row r="134" spans="1:47">
      <c r="A134" s="2">
        <v>133</v>
      </c>
      <c r="B134" s="5">
        <v>45354</v>
      </c>
      <c r="C134" s="5">
        <v>45365</v>
      </c>
      <c r="D134" s="2">
        <f t="shared" si="4"/>
        <v>11</v>
      </c>
      <c r="E134" s="2">
        <v>65</v>
      </c>
      <c r="F134" s="2">
        <v>1</v>
      </c>
      <c r="G134" s="2">
        <v>2</v>
      </c>
      <c r="H134" s="2">
        <v>0</v>
      </c>
      <c r="I134" s="2">
        <v>0</v>
      </c>
      <c r="J134" s="2">
        <v>0</v>
      </c>
      <c r="K134" s="2">
        <v>0</v>
      </c>
      <c r="L134" s="2">
        <v>0</v>
      </c>
      <c r="M134" s="2">
        <v>0</v>
      </c>
      <c r="N134" s="2">
        <v>0</v>
      </c>
      <c r="P134" t="s">
        <v>179</v>
      </c>
      <c r="Q134" s="2">
        <v>0</v>
      </c>
      <c r="R134" s="2">
        <v>1</v>
      </c>
      <c r="S134" s="5">
        <v>45354</v>
      </c>
      <c r="T134" s="5">
        <v>45354</v>
      </c>
      <c r="U134" s="28">
        <f t="shared" si="5"/>
        <v>0</v>
      </c>
      <c r="V134" s="2">
        <v>0</v>
      </c>
      <c r="W134" s="2">
        <v>0</v>
      </c>
      <c r="X134" s="2">
        <v>0</v>
      </c>
      <c r="Y134" s="2">
        <v>0</v>
      </c>
      <c r="Z134" s="2">
        <v>0</v>
      </c>
      <c r="AA134" s="2">
        <v>0</v>
      </c>
      <c r="AB134" s="2">
        <v>0</v>
      </c>
      <c r="AC134" s="2">
        <v>0</v>
      </c>
      <c r="AD134" s="2">
        <v>0</v>
      </c>
      <c r="AE134" s="2">
        <v>1</v>
      </c>
      <c r="AF134" s="2" t="s">
        <v>233</v>
      </c>
      <c r="AG134" s="2">
        <v>0</v>
      </c>
      <c r="AH134" s="2">
        <v>0</v>
      </c>
      <c r="AI134" s="2">
        <v>1</v>
      </c>
      <c r="AJ134" s="2">
        <v>1</v>
      </c>
      <c r="AK134" s="2">
        <v>1</v>
      </c>
      <c r="AL134" s="5">
        <v>45357</v>
      </c>
      <c r="AM134" s="2">
        <v>0</v>
      </c>
      <c r="AN134" s="2">
        <v>0</v>
      </c>
      <c r="AO134" s="2">
        <v>0</v>
      </c>
      <c r="AT134" s="2">
        <v>0</v>
      </c>
      <c r="AU134" s="2" t="s">
        <v>206</v>
      </c>
    </row>
    <row r="135" spans="1:47">
      <c r="A135" s="2">
        <v>134</v>
      </c>
      <c r="B135" s="5">
        <v>45354</v>
      </c>
      <c r="C135" s="5">
        <v>45358</v>
      </c>
      <c r="D135" s="2">
        <f t="shared" si="4"/>
        <v>4</v>
      </c>
      <c r="E135" s="2">
        <v>77</v>
      </c>
      <c r="F135" s="2">
        <v>2</v>
      </c>
      <c r="G135" s="2">
        <v>3</v>
      </c>
      <c r="H135" s="2">
        <v>0</v>
      </c>
      <c r="I135" s="2">
        <v>0</v>
      </c>
      <c r="J135" s="2">
        <v>0</v>
      </c>
      <c r="K135" s="2">
        <v>0</v>
      </c>
      <c r="L135" s="2">
        <v>0</v>
      </c>
      <c r="M135" s="2">
        <v>0</v>
      </c>
      <c r="N135" s="2">
        <v>0</v>
      </c>
      <c r="P135" t="s">
        <v>208</v>
      </c>
      <c r="Q135" s="2">
        <v>0</v>
      </c>
      <c r="R135" s="2">
        <v>1</v>
      </c>
      <c r="S135" s="5">
        <v>45354</v>
      </c>
      <c r="T135" s="5">
        <v>45354</v>
      </c>
      <c r="U135" s="28">
        <f t="shared" si="5"/>
        <v>0</v>
      </c>
      <c r="V135" s="2">
        <v>0</v>
      </c>
      <c r="W135" s="2">
        <v>0</v>
      </c>
      <c r="X135" s="2">
        <v>0</v>
      </c>
      <c r="Y135" s="2">
        <v>0</v>
      </c>
      <c r="Z135" s="2">
        <v>0</v>
      </c>
      <c r="AA135" s="2">
        <v>0</v>
      </c>
      <c r="AB135" s="2">
        <v>0</v>
      </c>
      <c r="AC135" s="2">
        <v>0</v>
      </c>
      <c r="AD135" s="2">
        <v>0</v>
      </c>
      <c r="AE135" s="2">
        <v>1</v>
      </c>
      <c r="AF135" s="2" t="s">
        <v>91</v>
      </c>
      <c r="AG135" s="2">
        <v>0</v>
      </c>
      <c r="AH135" s="2">
        <v>1</v>
      </c>
      <c r="AI135" s="2">
        <v>1</v>
      </c>
      <c r="AJ135" s="2">
        <v>1</v>
      </c>
      <c r="AK135" s="2">
        <v>1</v>
      </c>
      <c r="AL135" s="5">
        <v>45357</v>
      </c>
      <c r="AM135" s="2">
        <v>0</v>
      </c>
      <c r="AN135" s="2">
        <v>0</v>
      </c>
      <c r="AO135" s="2">
        <v>0</v>
      </c>
      <c r="AT135" s="2">
        <v>0</v>
      </c>
      <c r="AU135" s="2" t="s">
        <v>206</v>
      </c>
    </row>
    <row r="136" spans="1:47">
      <c r="A136" s="2">
        <v>135</v>
      </c>
      <c r="B136" s="5">
        <v>45356</v>
      </c>
      <c r="C136" s="5">
        <v>45363</v>
      </c>
      <c r="D136" s="2">
        <f t="shared" si="4"/>
        <v>7</v>
      </c>
      <c r="E136" s="2">
        <v>70</v>
      </c>
      <c r="F136" s="2">
        <v>1</v>
      </c>
      <c r="G136" s="2">
        <v>2</v>
      </c>
      <c r="H136" s="2">
        <v>0</v>
      </c>
      <c r="I136" s="2">
        <v>0</v>
      </c>
      <c r="J136" s="2">
        <v>0</v>
      </c>
      <c r="K136" s="2">
        <v>0</v>
      </c>
      <c r="L136" s="2">
        <v>0</v>
      </c>
      <c r="M136" s="2">
        <v>0</v>
      </c>
      <c r="N136" s="2">
        <v>0</v>
      </c>
      <c r="P136" t="s">
        <v>179</v>
      </c>
      <c r="Q136" s="2">
        <v>0</v>
      </c>
      <c r="R136" s="2">
        <v>1</v>
      </c>
      <c r="S136" s="5">
        <v>45356</v>
      </c>
      <c r="T136" s="5">
        <v>45356</v>
      </c>
      <c r="U136" s="28">
        <f t="shared" si="5"/>
        <v>0</v>
      </c>
      <c r="V136" s="2">
        <v>0</v>
      </c>
      <c r="W136" s="2">
        <v>0</v>
      </c>
      <c r="X136" s="2">
        <v>0</v>
      </c>
      <c r="Y136" s="2">
        <v>0</v>
      </c>
      <c r="Z136" s="2">
        <v>0</v>
      </c>
      <c r="AA136" s="2">
        <v>0</v>
      </c>
      <c r="AB136" s="2">
        <v>0</v>
      </c>
      <c r="AC136" s="2">
        <v>0</v>
      </c>
      <c r="AD136" s="2">
        <v>0</v>
      </c>
      <c r="AE136" s="2">
        <v>1</v>
      </c>
      <c r="AF136" s="2" t="s">
        <v>68</v>
      </c>
      <c r="AG136" s="2">
        <v>0</v>
      </c>
      <c r="AH136" s="2">
        <v>0</v>
      </c>
      <c r="AI136" s="2">
        <v>1</v>
      </c>
      <c r="AJ136" s="2">
        <v>1</v>
      </c>
      <c r="AK136" s="2">
        <v>1</v>
      </c>
      <c r="AL136" s="5">
        <v>45362</v>
      </c>
      <c r="AM136" s="2">
        <v>0</v>
      </c>
      <c r="AN136" s="2">
        <v>1</v>
      </c>
      <c r="AO136" s="2">
        <v>0</v>
      </c>
      <c r="AT136" s="2">
        <v>0</v>
      </c>
      <c r="AU136" s="2" t="s">
        <v>234</v>
      </c>
    </row>
    <row r="137" spans="1:47">
      <c r="A137" s="2">
        <v>136</v>
      </c>
      <c r="B137" s="5">
        <v>45357</v>
      </c>
      <c r="C137" s="5">
        <v>45360</v>
      </c>
      <c r="D137" s="2">
        <f t="shared" si="4"/>
        <v>3</v>
      </c>
      <c r="E137" s="2">
        <v>70</v>
      </c>
      <c r="F137" s="2">
        <v>1</v>
      </c>
      <c r="G137" s="2">
        <v>3</v>
      </c>
      <c r="H137" s="2">
        <v>0</v>
      </c>
      <c r="I137" s="2">
        <v>0</v>
      </c>
      <c r="J137" s="2">
        <v>0</v>
      </c>
      <c r="K137" s="2">
        <v>0</v>
      </c>
      <c r="L137" s="2">
        <v>0</v>
      </c>
      <c r="M137" s="2">
        <v>0</v>
      </c>
      <c r="N137" s="2">
        <v>0</v>
      </c>
      <c r="P137" t="s">
        <v>195</v>
      </c>
      <c r="Q137" s="2">
        <v>0</v>
      </c>
      <c r="R137" s="2">
        <v>1</v>
      </c>
      <c r="S137" s="5">
        <v>45357</v>
      </c>
      <c r="T137" s="5">
        <v>45357</v>
      </c>
      <c r="U137" s="28">
        <f t="shared" si="5"/>
        <v>0</v>
      </c>
      <c r="V137" s="2">
        <v>0</v>
      </c>
      <c r="W137" s="2">
        <v>0</v>
      </c>
      <c r="X137" s="2">
        <v>0</v>
      </c>
      <c r="Y137" s="2">
        <v>0</v>
      </c>
      <c r="Z137" s="2">
        <v>0</v>
      </c>
      <c r="AA137" s="2">
        <v>0</v>
      </c>
      <c r="AB137" s="2">
        <v>0</v>
      </c>
      <c r="AC137" s="2">
        <v>0</v>
      </c>
      <c r="AD137" s="2">
        <v>0</v>
      </c>
      <c r="AE137" s="2">
        <v>1</v>
      </c>
      <c r="AF137" s="2" t="s">
        <v>117</v>
      </c>
      <c r="AG137" s="2">
        <v>0</v>
      </c>
      <c r="AH137" s="2">
        <v>0</v>
      </c>
      <c r="AI137" s="2">
        <v>1</v>
      </c>
      <c r="AJ137" s="2">
        <v>1</v>
      </c>
      <c r="AK137" s="2">
        <v>0</v>
      </c>
      <c r="AO137" s="2">
        <v>0</v>
      </c>
      <c r="AT137" s="2">
        <v>0</v>
      </c>
      <c r="AU137" s="2" t="s">
        <v>235</v>
      </c>
    </row>
    <row r="138" spans="1:47">
      <c r="A138" s="2">
        <v>137</v>
      </c>
      <c r="B138" s="5">
        <v>45359</v>
      </c>
      <c r="C138" s="5">
        <v>45362</v>
      </c>
      <c r="D138" s="2">
        <f t="shared" si="4"/>
        <v>3</v>
      </c>
      <c r="E138" s="2">
        <v>75</v>
      </c>
      <c r="F138" s="2">
        <v>1</v>
      </c>
      <c r="G138" s="2">
        <v>3</v>
      </c>
      <c r="H138" s="2">
        <v>1</v>
      </c>
      <c r="I138" s="2">
        <v>0</v>
      </c>
      <c r="J138" s="2">
        <v>0</v>
      </c>
      <c r="K138" s="2">
        <v>0</v>
      </c>
      <c r="L138" s="2">
        <v>0</v>
      </c>
      <c r="M138" s="2">
        <v>0</v>
      </c>
      <c r="N138" s="2">
        <v>1</v>
      </c>
      <c r="O138" s="2" t="s">
        <v>70</v>
      </c>
      <c r="P138" t="s">
        <v>195</v>
      </c>
      <c r="Q138" s="2">
        <v>0</v>
      </c>
      <c r="R138" s="2">
        <v>1</v>
      </c>
      <c r="S138" s="5">
        <v>45359</v>
      </c>
      <c r="T138" s="5">
        <v>45359</v>
      </c>
      <c r="U138" s="28">
        <f t="shared" si="5"/>
        <v>0</v>
      </c>
      <c r="V138" s="2">
        <v>0</v>
      </c>
      <c r="W138" s="2">
        <v>0</v>
      </c>
      <c r="X138" s="2">
        <v>0</v>
      </c>
      <c r="Y138" s="2">
        <v>0</v>
      </c>
      <c r="Z138" s="2">
        <v>0</v>
      </c>
      <c r="AA138" s="2">
        <v>0</v>
      </c>
      <c r="AB138" s="2">
        <v>0</v>
      </c>
      <c r="AC138" s="2">
        <v>0</v>
      </c>
      <c r="AD138" s="2">
        <v>0</v>
      </c>
      <c r="AE138" s="2">
        <v>1</v>
      </c>
      <c r="AF138" s="2" t="s">
        <v>117</v>
      </c>
      <c r="AG138" s="2">
        <v>0</v>
      </c>
      <c r="AH138" s="2">
        <v>0</v>
      </c>
      <c r="AI138" s="2">
        <v>1</v>
      </c>
      <c r="AJ138" s="2">
        <v>1</v>
      </c>
      <c r="AK138" s="11">
        <v>1</v>
      </c>
      <c r="AL138" s="5">
        <v>45361</v>
      </c>
      <c r="AM138" s="2">
        <v>0</v>
      </c>
      <c r="AN138" s="2">
        <v>1</v>
      </c>
      <c r="AO138" s="2">
        <v>0</v>
      </c>
      <c r="AT138" s="2">
        <v>0</v>
      </c>
      <c r="AU138" s="2" t="s">
        <v>236</v>
      </c>
    </row>
    <row r="139" spans="1:47">
      <c r="A139" s="2">
        <v>138</v>
      </c>
      <c r="B139" s="5">
        <v>45359</v>
      </c>
      <c r="C139" s="5">
        <v>45362</v>
      </c>
      <c r="D139" s="2">
        <f t="shared" si="4"/>
        <v>3</v>
      </c>
      <c r="E139" s="2">
        <v>60</v>
      </c>
      <c r="F139" s="2">
        <v>2</v>
      </c>
      <c r="G139" s="2">
        <v>3</v>
      </c>
      <c r="H139" s="2">
        <v>0</v>
      </c>
      <c r="I139" s="2">
        <v>0</v>
      </c>
      <c r="J139" s="2">
        <v>0</v>
      </c>
      <c r="K139" s="2">
        <v>0</v>
      </c>
      <c r="L139" s="2">
        <v>0</v>
      </c>
      <c r="M139" s="2">
        <v>0</v>
      </c>
      <c r="N139" s="2">
        <v>0</v>
      </c>
      <c r="P139" t="s">
        <v>195</v>
      </c>
      <c r="Q139" s="2">
        <v>0</v>
      </c>
      <c r="R139" s="2">
        <v>1</v>
      </c>
      <c r="S139" s="5">
        <v>45359</v>
      </c>
      <c r="T139" s="5">
        <v>45359</v>
      </c>
      <c r="U139" s="28">
        <f t="shared" si="5"/>
        <v>0</v>
      </c>
      <c r="V139" s="2">
        <v>0</v>
      </c>
      <c r="W139" s="2">
        <v>0</v>
      </c>
      <c r="X139" s="2">
        <v>0</v>
      </c>
      <c r="Y139" s="2">
        <v>0</v>
      </c>
      <c r="Z139" s="2">
        <v>0</v>
      </c>
      <c r="AA139" s="2">
        <v>0</v>
      </c>
      <c r="AB139" s="2">
        <v>0</v>
      </c>
      <c r="AC139" s="2">
        <v>0</v>
      </c>
      <c r="AD139" s="2">
        <v>0</v>
      </c>
      <c r="AE139" s="2">
        <v>1</v>
      </c>
      <c r="AF139" s="2" t="s">
        <v>117</v>
      </c>
      <c r="AG139" s="2">
        <v>0</v>
      </c>
      <c r="AH139" s="2">
        <v>0</v>
      </c>
      <c r="AI139" s="2">
        <v>1</v>
      </c>
      <c r="AJ139" s="2">
        <v>1</v>
      </c>
      <c r="AK139" s="2">
        <v>0</v>
      </c>
      <c r="AO139" s="2">
        <v>0</v>
      </c>
      <c r="AT139" s="2">
        <v>0</v>
      </c>
      <c r="AU139" s="2" t="s">
        <v>206</v>
      </c>
    </row>
    <row r="140" spans="1:47">
      <c r="A140" s="2">
        <v>139</v>
      </c>
      <c r="B140" s="5">
        <v>45361</v>
      </c>
      <c r="C140" s="5">
        <v>45373</v>
      </c>
      <c r="D140" s="2">
        <f t="shared" si="4"/>
        <v>12</v>
      </c>
      <c r="E140" s="2">
        <v>71</v>
      </c>
      <c r="F140" s="2">
        <v>1</v>
      </c>
      <c r="G140" s="2">
        <v>2</v>
      </c>
      <c r="H140" s="2">
        <v>1</v>
      </c>
      <c r="I140" s="2">
        <v>0</v>
      </c>
      <c r="J140" s="2">
        <v>0</v>
      </c>
      <c r="K140" s="2">
        <v>0</v>
      </c>
      <c r="L140" s="2">
        <v>1</v>
      </c>
      <c r="M140" s="2">
        <v>0</v>
      </c>
      <c r="N140" s="2">
        <v>0</v>
      </c>
      <c r="P140" t="s">
        <v>179</v>
      </c>
      <c r="Q140" s="2">
        <v>0</v>
      </c>
      <c r="R140" s="2">
        <v>1</v>
      </c>
      <c r="S140" s="5">
        <v>45361</v>
      </c>
      <c r="T140" s="5">
        <v>45361</v>
      </c>
      <c r="U140" s="28">
        <f t="shared" si="5"/>
        <v>0</v>
      </c>
      <c r="V140" s="2">
        <v>1</v>
      </c>
      <c r="W140" s="2">
        <v>0</v>
      </c>
      <c r="X140" s="2">
        <v>0</v>
      </c>
      <c r="Y140" s="2">
        <v>1</v>
      </c>
      <c r="Z140" s="2">
        <v>0</v>
      </c>
      <c r="AA140" s="2">
        <v>0</v>
      </c>
      <c r="AB140" s="2">
        <v>0</v>
      </c>
      <c r="AC140" s="2">
        <v>0</v>
      </c>
      <c r="AD140" s="2">
        <v>0</v>
      </c>
      <c r="AE140" s="2">
        <v>1</v>
      </c>
      <c r="AF140" s="2" t="s">
        <v>237</v>
      </c>
      <c r="AG140" s="2">
        <v>0</v>
      </c>
      <c r="AH140" s="2">
        <v>1</v>
      </c>
      <c r="AI140" s="2">
        <v>1</v>
      </c>
      <c r="AJ140" s="2">
        <v>1</v>
      </c>
      <c r="AK140" s="2">
        <v>1</v>
      </c>
      <c r="AL140" s="5">
        <v>45362</v>
      </c>
      <c r="AM140" s="2">
        <v>0</v>
      </c>
      <c r="AN140" s="2">
        <v>0</v>
      </c>
      <c r="AO140" s="2">
        <v>0</v>
      </c>
      <c r="AT140" s="2">
        <v>0</v>
      </c>
      <c r="AU140" s="2" t="s">
        <v>238</v>
      </c>
    </row>
    <row r="141" spans="1:47">
      <c r="A141" s="2">
        <v>140</v>
      </c>
      <c r="B141" s="5">
        <v>45362</v>
      </c>
      <c r="C141" s="5">
        <v>45367</v>
      </c>
      <c r="D141" s="2">
        <f t="shared" si="4"/>
        <v>5</v>
      </c>
      <c r="E141" s="2">
        <v>80</v>
      </c>
      <c r="F141" s="2">
        <v>2</v>
      </c>
      <c r="G141" s="2">
        <v>2</v>
      </c>
      <c r="H141" s="2">
        <v>1</v>
      </c>
      <c r="I141" s="2">
        <v>0</v>
      </c>
      <c r="J141" s="2">
        <v>0</v>
      </c>
      <c r="K141" s="2">
        <v>0</v>
      </c>
      <c r="L141" s="2">
        <v>0</v>
      </c>
      <c r="M141" s="2">
        <v>0</v>
      </c>
      <c r="N141" s="2">
        <v>1</v>
      </c>
      <c r="O141" s="2" t="s">
        <v>70</v>
      </c>
      <c r="P141" t="s">
        <v>195</v>
      </c>
      <c r="Q141" s="2">
        <v>0</v>
      </c>
      <c r="R141" s="2">
        <v>1</v>
      </c>
      <c r="S141" s="5">
        <v>45362</v>
      </c>
      <c r="T141" s="5">
        <v>45362</v>
      </c>
      <c r="U141" s="28">
        <f t="shared" si="5"/>
        <v>0</v>
      </c>
      <c r="V141" s="2">
        <v>0</v>
      </c>
      <c r="W141" s="2">
        <v>0</v>
      </c>
      <c r="X141" s="2">
        <v>0</v>
      </c>
      <c r="Y141" s="2">
        <v>0</v>
      </c>
      <c r="Z141" s="2">
        <v>0</v>
      </c>
      <c r="AA141" s="2">
        <v>0</v>
      </c>
      <c r="AB141" s="2">
        <v>0</v>
      </c>
      <c r="AC141" s="2">
        <v>0</v>
      </c>
      <c r="AD141" s="2">
        <v>0</v>
      </c>
      <c r="AE141" s="2">
        <v>1</v>
      </c>
      <c r="AF141" s="2" t="s">
        <v>239</v>
      </c>
      <c r="AG141" s="2">
        <v>0</v>
      </c>
      <c r="AH141" s="2">
        <v>1</v>
      </c>
      <c r="AI141" s="2">
        <v>1</v>
      </c>
      <c r="AJ141" s="2">
        <v>0</v>
      </c>
      <c r="AK141" s="2">
        <v>1</v>
      </c>
      <c r="AL141" s="5">
        <v>45366</v>
      </c>
      <c r="AM141" s="2">
        <v>0</v>
      </c>
      <c r="AN141" s="2">
        <v>0</v>
      </c>
      <c r="AO141" s="2">
        <v>0</v>
      </c>
      <c r="AT141" s="2">
        <v>0</v>
      </c>
      <c r="AU141" s="2" t="s">
        <v>206</v>
      </c>
    </row>
    <row r="142" spans="1:47">
      <c r="A142" s="2">
        <v>141</v>
      </c>
      <c r="B142" s="5">
        <v>45362</v>
      </c>
      <c r="C142" s="5">
        <v>45370</v>
      </c>
      <c r="D142" s="2">
        <f t="shared" si="4"/>
        <v>8</v>
      </c>
      <c r="E142" s="2">
        <v>61</v>
      </c>
      <c r="F142" s="2">
        <v>1</v>
      </c>
      <c r="G142" s="2">
        <v>3</v>
      </c>
      <c r="H142" s="2">
        <v>0</v>
      </c>
      <c r="I142" s="2">
        <v>0</v>
      </c>
      <c r="J142" s="2">
        <v>0</v>
      </c>
      <c r="K142" s="2">
        <v>0</v>
      </c>
      <c r="L142" s="2">
        <v>0</v>
      </c>
      <c r="M142" s="2">
        <v>0</v>
      </c>
      <c r="N142" s="2">
        <v>0</v>
      </c>
      <c r="P142" t="s">
        <v>195</v>
      </c>
      <c r="Q142" s="2">
        <v>0</v>
      </c>
      <c r="R142" s="2">
        <v>1</v>
      </c>
      <c r="S142" s="5">
        <v>45362</v>
      </c>
      <c r="T142" s="5">
        <v>45362</v>
      </c>
      <c r="U142" s="28">
        <f t="shared" si="5"/>
        <v>0</v>
      </c>
      <c r="V142" s="2">
        <v>0</v>
      </c>
      <c r="W142" s="2">
        <v>0</v>
      </c>
      <c r="X142" s="2">
        <v>0</v>
      </c>
      <c r="Y142" s="2">
        <v>0</v>
      </c>
      <c r="Z142" s="2">
        <v>0</v>
      </c>
      <c r="AA142" s="2">
        <v>0</v>
      </c>
      <c r="AB142" s="2">
        <v>0</v>
      </c>
      <c r="AC142" s="2">
        <v>0</v>
      </c>
      <c r="AD142" s="2">
        <v>0</v>
      </c>
      <c r="AE142" s="2">
        <v>1</v>
      </c>
      <c r="AF142" s="2" t="s">
        <v>217</v>
      </c>
      <c r="AG142" s="2">
        <v>0</v>
      </c>
      <c r="AH142" s="2">
        <v>1</v>
      </c>
      <c r="AI142" s="2">
        <v>1</v>
      </c>
      <c r="AJ142" s="2">
        <v>1</v>
      </c>
      <c r="AK142" s="2">
        <v>1</v>
      </c>
      <c r="AL142" s="5">
        <v>45364</v>
      </c>
      <c r="AM142" s="2">
        <v>0</v>
      </c>
      <c r="AN142" s="2">
        <v>0</v>
      </c>
      <c r="AO142" s="2">
        <v>0</v>
      </c>
      <c r="AT142" s="2">
        <v>0</v>
      </c>
      <c r="AU142" s="2" t="s">
        <v>206</v>
      </c>
    </row>
    <row r="143" spans="1:47">
      <c r="A143" s="2">
        <v>142</v>
      </c>
      <c r="B143" s="5">
        <v>45365</v>
      </c>
      <c r="C143" s="5">
        <v>45377</v>
      </c>
      <c r="D143" s="2">
        <f t="shared" si="4"/>
        <v>12</v>
      </c>
      <c r="E143" s="2">
        <v>54</v>
      </c>
      <c r="F143" s="2">
        <v>1</v>
      </c>
      <c r="G143" s="2">
        <v>2</v>
      </c>
      <c r="H143" s="2">
        <v>1</v>
      </c>
      <c r="I143" s="2">
        <v>0</v>
      </c>
      <c r="J143" s="2">
        <v>0</v>
      </c>
      <c r="K143" s="2">
        <v>0</v>
      </c>
      <c r="L143" s="2">
        <v>1</v>
      </c>
      <c r="M143" s="2">
        <v>0</v>
      </c>
      <c r="N143" s="2">
        <v>0</v>
      </c>
      <c r="P143" t="s">
        <v>179</v>
      </c>
      <c r="Q143" s="2">
        <v>0</v>
      </c>
      <c r="R143" s="2">
        <v>1</v>
      </c>
      <c r="S143" s="5">
        <v>45365</v>
      </c>
      <c r="T143" s="5">
        <v>45365</v>
      </c>
      <c r="U143" s="28">
        <f t="shared" si="5"/>
        <v>0</v>
      </c>
      <c r="V143" s="2">
        <v>1</v>
      </c>
      <c r="W143" s="2">
        <v>0</v>
      </c>
      <c r="X143" s="2">
        <v>0</v>
      </c>
      <c r="Y143" s="2">
        <v>1</v>
      </c>
      <c r="Z143" s="2">
        <v>0</v>
      </c>
      <c r="AA143" s="2">
        <v>0</v>
      </c>
      <c r="AB143" s="2">
        <v>0</v>
      </c>
      <c r="AC143" s="2">
        <v>0</v>
      </c>
      <c r="AD143" s="2">
        <v>0</v>
      </c>
      <c r="AE143" s="2">
        <v>1</v>
      </c>
      <c r="AF143" s="2" t="s">
        <v>240</v>
      </c>
      <c r="AG143" s="2">
        <v>0</v>
      </c>
      <c r="AH143" s="2">
        <v>1</v>
      </c>
      <c r="AI143" s="2">
        <v>1</v>
      </c>
      <c r="AJ143" s="2">
        <v>1</v>
      </c>
      <c r="AK143" s="2">
        <v>1</v>
      </c>
      <c r="AL143" s="5">
        <v>45370</v>
      </c>
      <c r="AM143" s="2">
        <v>0</v>
      </c>
      <c r="AN143" s="2">
        <v>0</v>
      </c>
      <c r="AO143" s="2">
        <v>0</v>
      </c>
      <c r="AT143" s="2">
        <v>0</v>
      </c>
      <c r="AU143" s="2" t="s">
        <v>241</v>
      </c>
    </row>
    <row r="144" spans="1:47">
      <c r="A144" s="2">
        <v>143</v>
      </c>
      <c r="B144" s="5">
        <v>45365</v>
      </c>
      <c r="C144" s="5">
        <v>45378</v>
      </c>
      <c r="D144" s="2">
        <f t="shared" si="4"/>
        <v>13</v>
      </c>
      <c r="E144" s="2">
        <v>74</v>
      </c>
      <c r="F144" s="2">
        <v>1</v>
      </c>
      <c r="G144" s="2">
        <v>2</v>
      </c>
      <c r="H144" s="2">
        <v>0</v>
      </c>
      <c r="I144" s="2">
        <v>0</v>
      </c>
      <c r="J144" s="2">
        <v>0</v>
      </c>
      <c r="K144" s="2">
        <v>0</v>
      </c>
      <c r="L144" s="2">
        <v>0</v>
      </c>
      <c r="M144" s="2">
        <v>0</v>
      </c>
      <c r="N144" s="2">
        <v>0</v>
      </c>
      <c r="P144" t="s">
        <v>179</v>
      </c>
      <c r="Q144" s="2">
        <v>0</v>
      </c>
      <c r="R144" s="2">
        <v>1</v>
      </c>
      <c r="S144" s="5">
        <v>45365</v>
      </c>
      <c r="T144" s="5">
        <v>45365</v>
      </c>
      <c r="U144" s="28">
        <f t="shared" si="5"/>
        <v>0</v>
      </c>
      <c r="V144" s="2">
        <v>0</v>
      </c>
      <c r="W144" s="2">
        <v>0</v>
      </c>
      <c r="X144" s="2">
        <v>0</v>
      </c>
      <c r="Y144" s="2">
        <v>0</v>
      </c>
      <c r="Z144" s="2">
        <v>0</v>
      </c>
      <c r="AA144" s="2">
        <v>0</v>
      </c>
      <c r="AB144" s="2">
        <v>0</v>
      </c>
      <c r="AC144" s="2">
        <v>0</v>
      </c>
      <c r="AD144" s="2">
        <v>0</v>
      </c>
      <c r="AE144" s="2">
        <v>1</v>
      </c>
      <c r="AF144" s="2" t="s">
        <v>68</v>
      </c>
      <c r="AG144" s="2">
        <v>0</v>
      </c>
      <c r="AH144" s="2">
        <v>0</v>
      </c>
      <c r="AI144" s="2">
        <v>1</v>
      </c>
      <c r="AJ144" s="2">
        <v>0</v>
      </c>
      <c r="AK144" s="2">
        <v>0</v>
      </c>
      <c r="AO144" s="2">
        <v>0</v>
      </c>
      <c r="AT144" s="2">
        <v>0</v>
      </c>
      <c r="AU144" s="2" t="s">
        <v>206</v>
      </c>
    </row>
    <row r="145" spans="1:47">
      <c r="A145" s="2">
        <v>144</v>
      </c>
      <c r="B145" s="5">
        <v>45367</v>
      </c>
      <c r="C145" s="5">
        <v>45370</v>
      </c>
      <c r="D145" s="2">
        <f t="shared" si="4"/>
        <v>3</v>
      </c>
      <c r="E145" s="2">
        <v>53</v>
      </c>
      <c r="F145" s="2">
        <v>1</v>
      </c>
      <c r="G145" s="2">
        <v>5</v>
      </c>
      <c r="H145" s="2">
        <v>0</v>
      </c>
      <c r="I145" s="2">
        <v>0</v>
      </c>
      <c r="J145" s="2">
        <v>0</v>
      </c>
      <c r="K145" s="2">
        <v>0</v>
      </c>
      <c r="L145" s="2">
        <v>0</v>
      </c>
      <c r="M145" s="2">
        <v>0</v>
      </c>
      <c r="N145" s="2">
        <v>0</v>
      </c>
      <c r="P145" t="s">
        <v>179</v>
      </c>
      <c r="Q145" s="2">
        <v>0</v>
      </c>
      <c r="R145" s="2">
        <v>1</v>
      </c>
      <c r="S145" s="5">
        <v>45367</v>
      </c>
      <c r="T145" s="5">
        <v>45367</v>
      </c>
      <c r="U145" s="28">
        <f t="shared" si="5"/>
        <v>0</v>
      </c>
      <c r="V145" s="2">
        <v>0</v>
      </c>
      <c r="W145" s="2">
        <v>0</v>
      </c>
      <c r="X145" s="2">
        <v>0</v>
      </c>
      <c r="Y145" s="2">
        <v>0</v>
      </c>
      <c r="Z145" s="2">
        <v>0</v>
      </c>
      <c r="AA145" s="2">
        <v>0</v>
      </c>
      <c r="AB145" s="2">
        <v>0</v>
      </c>
      <c r="AC145" s="2">
        <v>0</v>
      </c>
      <c r="AD145" s="2">
        <v>0</v>
      </c>
      <c r="AE145" s="2">
        <v>1</v>
      </c>
      <c r="AF145" s="2" t="s">
        <v>117</v>
      </c>
      <c r="AG145" s="2">
        <v>0</v>
      </c>
      <c r="AH145" s="2">
        <v>0</v>
      </c>
      <c r="AI145" s="2">
        <v>1</v>
      </c>
      <c r="AJ145" s="2">
        <v>1</v>
      </c>
      <c r="AK145" s="2">
        <v>0</v>
      </c>
      <c r="AO145" s="2">
        <v>0</v>
      </c>
      <c r="AT145" s="2">
        <v>0</v>
      </c>
      <c r="AU145" s="2" t="s">
        <v>206</v>
      </c>
    </row>
    <row r="146" spans="1:47">
      <c r="A146" s="2">
        <v>145</v>
      </c>
      <c r="B146" s="5">
        <v>45368</v>
      </c>
      <c r="C146" s="5">
        <v>45376</v>
      </c>
      <c r="D146" s="2">
        <f t="shared" si="4"/>
        <v>8</v>
      </c>
      <c r="E146" s="2">
        <v>23</v>
      </c>
      <c r="F146" s="2">
        <v>2</v>
      </c>
      <c r="G146" s="2">
        <v>2</v>
      </c>
      <c r="H146" s="2">
        <v>0</v>
      </c>
      <c r="I146" s="2">
        <v>0</v>
      </c>
      <c r="J146" s="2">
        <v>0</v>
      </c>
      <c r="K146" s="2">
        <v>0</v>
      </c>
      <c r="L146" s="2">
        <v>0</v>
      </c>
      <c r="M146" s="2">
        <v>0</v>
      </c>
      <c r="N146" s="2">
        <v>0</v>
      </c>
      <c r="P146" t="s">
        <v>179</v>
      </c>
      <c r="Q146" s="2">
        <v>0</v>
      </c>
      <c r="R146" s="2">
        <v>1</v>
      </c>
      <c r="S146" s="5">
        <v>45368</v>
      </c>
      <c r="T146" s="5">
        <v>45368</v>
      </c>
      <c r="U146" s="28">
        <f t="shared" si="5"/>
        <v>0</v>
      </c>
      <c r="V146" s="2">
        <v>0</v>
      </c>
      <c r="W146" s="2">
        <v>0</v>
      </c>
      <c r="X146" s="2">
        <v>0</v>
      </c>
      <c r="Y146" s="2">
        <v>0</v>
      </c>
      <c r="Z146" s="2">
        <v>0</v>
      </c>
      <c r="AA146" s="2">
        <v>0</v>
      </c>
      <c r="AB146" s="2">
        <v>0</v>
      </c>
      <c r="AC146" s="2">
        <v>0</v>
      </c>
      <c r="AD146" s="2">
        <v>0</v>
      </c>
      <c r="AE146" s="2">
        <v>1</v>
      </c>
      <c r="AF146" s="2" t="s">
        <v>91</v>
      </c>
      <c r="AG146" s="2">
        <v>0</v>
      </c>
      <c r="AH146" s="2">
        <v>1</v>
      </c>
      <c r="AI146" s="2">
        <v>0</v>
      </c>
      <c r="AJ146" s="2">
        <v>1</v>
      </c>
      <c r="AK146" s="11">
        <v>1</v>
      </c>
      <c r="AL146" s="5">
        <v>45373</v>
      </c>
      <c r="AM146" s="2">
        <v>0</v>
      </c>
      <c r="AN146" s="2">
        <v>0</v>
      </c>
      <c r="AO146" s="2">
        <v>0</v>
      </c>
      <c r="AT146" s="2">
        <v>0</v>
      </c>
      <c r="AU146" s="2" t="s">
        <v>206</v>
      </c>
    </row>
    <row r="147" spans="1:47">
      <c r="A147" s="2">
        <v>146</v>
      </c>
      <c r="B147" s="5">
        <v>45363</v>
      </c>
      <c r="C147" s="5">
        <v>45401</v>
      </c>
      <c r="D147" s="2">
        <f t="shared" ref="D147:D149" si="6">C147-B147</f>
        <v>38</v>
      </c>
      <c r="E147" s="2">
        <v>41</v>
      </c>
      <c r="F147" s="2">
        <v>1</v>
      </c>
      <c r="G147" s="2">
        <v>3</v>
      </c>
      <c r="H147" s="2">
        <v>1</v>
      </c>
      <c r="I147" s="2">
        <v>0</v>
      </c>
      <c r="J147" s="2">
        <v>0</v>
      </c>
      <c r="K147" s="2">
        <v>0</v>
      </c>
      <c r="L147" s="2">
        <v>1</v>
      </c>
      <c r="M147" s="2">
        <v>0</v>
      </c>
      <c r="N147" s="2">
        <v>0</v>
      </c>
      <c r="P147" t="s">
        <v>179</v>
      </c>
      <c r="Q147" s="2">
        <v>0</v>
      </c>
      <c r="R147" s="2">
        <v>1</v>
      </c>
      <c r="S147" s="5">
        <v>45370</v>
      </c>
      <c r="T147" s="5">
        <v>45370</v>
      </c>
      <c r="U147" s="28">
        <f t="shared" si="5"/>
        <v>0</v>
      </c>
      <c r="V147" s="2">
        <v>1</v>
      </c>
      <c r="W147" s="2">
        <v>0</v>
      </c>
      <c r="X147" s="2">
        <v>0</v>
      </c>
      <c r="Y147" s="2">
        <v>1</v>
      </c>
      <c r="Z147" s="2">
        <v>0</v>
      </c>
      <c r="AA147" s="2">
        <v>0</v>
      </c>
      <c r="AB147" s="2">
        <v>0</v>
      </c>
      <c r="AC147" s="2">
        <v>0</v>
      </c>
      <c r="AD147" s="2">
        <v>0</v>
      </c>
      <c r="AE147" s="2">
        <v>1</v>
      </c>
      <c r="AF147" s="2" t="s">
        <v>91</v>
      </c>
      <c r="AG147" s="2">
        <v>1</v>
      </c>
      <c r="AH147" s="2">
        <v>1</v>
      </c>
      <c r="AI147" s="2">
        <v>1</v>
      </c>
      <c r="AJ147" s="2">
        <v>1</v>
      </c>
      <c r="AK147" s="2">
        <v>1</v>
      </c>
      <c r="AL147" s="5">
        <v>45372</v>
      </c>
      <c r="AM147" s="2">
        <v>0</v>
      </c>
      <c r="AN147" s="2">
        <v>0</v>
      </c>
      <c r="AO147" s="2">
        <v>0</v>
      </c>
      <c r="AT147" s="2">
        <v>0</v>
      </c>
      <c r="AU147" s="2" t="s">
        <v>242</v>
      </c>
    </row>
    <row r="148" spans="1:47">
      <c r="A148" s="2">
        <v>147</v>
      </c>
      <c r="B148" s="5">
        <v>45372</v>
      </c>
      <c r="C148" s="5">
        <v>45377</v>
      </c>
      <c r="D148" s="2">
        <f t="shared" si="6"/>
        <v>5</v>
      </c>
      <c r="E148" s="2">
        <v>73</v>
      </c>
      <c r="F148" s="2">
        <v>2</v>
      </c>
      <c r="G148" s="2">
        <v>2</v>
      </c>
      <c r="H148" s="2">
        <v>1</v>
      </c>
      <c r="I148" s="2">
        <v>0</v>
      </c>
      <c r="J148" s="2">
        <v>0</v>
      </c>
      <c r="K148" s="2">
        <v>0</v>
      </c>
      <c r="L148" s="2">
        <v>1</v>
      </c>
      <c r="M148" s="2">
        <v>0</v>
      </c>
      <c r="N148" s="2">
        <v>0</v>
      </c>
      <c r="P148" t="s">
        <v>195</v>
      </c>
      <c r="Q148" s="2">
        <v>0</v>
      </c>
      <c r="R148" s="2">
        <v>1</v>
      </c>
      <c r="S148" s="5">
        <v>45372</v>
      </c>
      <c r="T148" s="5">
        <v>45372</v>
      </c>
      <c r="U148" s="28">
        <f t="shared" si="5"/>
        <v>0</v>
      </c>
      <c r="V148" s="2">
        <v>0</v>
      </c>
      <c r="W148" s="2">
        <v>0</v>
      </c>
      <c r="X148" s="2">
        <v>0</v>
      </c>
      <c r="Y148" s="2">
        <v>0</v>
      </c>
      <c r="Z148" s="2">
        <v>0</v>
      </c>
      <c r="AA148" s="2">
        <v>0</v>
      </c>
      <c r="AB148" s="2">
        <v>0</v>
      </c>
      <c r="AC148" s="2">
        <v>0</v>
      </c>
      <c r="AD148" s="2">
        <v>0</v>
      </c>
      <c r="AE148" s="2">
        <v>1</v>
      </c>
      <c r="AF148" s="2" t="s">
        <v>68</v>
      </c>
      <c r="AG148" s="2">
        <v>0</v>
      </c>
      <c r="AH148" s="2">
        <v>1</v>
      </c>
      <c r="AI148" s="2">
        <v>1</v>
      </c>
      <c r="AJ148" s="2">
        <v>1</v>
      </c>
      <c r="AK148" s="2">
        <v>0</v>
      </c>
      <c r="AO148" s="2">
        <v>0</v>
      </c>
      <c r="AT148" s="2">
        <v>0</v>
      </c>
      <c r="AU148" s="2" t="s">
        <v>243</v>
      </c>
    </row>
    <row r="149" spans="1:47">
      <c r="A149" s="2">
        <v>148</v>
      </c>
      <c r="B149" s="5">
        <v>45378</v>
      </c>
      <c r="C149" s="5">
        <v>45387</v>
      </c>
      <c r="D149" s="2">
        <f t="shared" si="6"/>
        <v>9</v>
      </c>
      <c r="E149" s="2">
        <v>59</v>
      </c>
      <c r="F149" s="2">
        <v>2</v>
      </c>
      <c r="G149" s="2">
        <v>2</v>
      </c>
      <c r="H149" s="2">
        <v>0</v>
      </c>
      <c r="I149" s="2">
        <v>0</v>
      </c>
      <c r="J149" s="2">
        <v>0</v>
      </c>
      <c r="K149" s="2">
        <v>0</v>
      </c>
      <c r="L149" s="2">
        <v>0</v>
      </c>
      <c r="M149" s="2">
        <v>0</v>
      </c>
      <c r="N149" s="2">
        <v>0</v>
      </c>
      <c r="P149" t="s">
        <v>179</v>
      </c>
      <c r="Q149" s="2">
        <v>0</v>
      </c>
      <c r="R149" s="2">
        <v>1</v>
      </c>
      <c r="S149" s="5">
        <v>45378</v>
      </c>
      <c r="T149" s="5">
        <v>45378</v>
      </c>
      <c r="U149" s="28">
        <f t="shared" si="5"/>
        <v>0</v>
      </c>
      <c r="V149" s="2">
        <v>0</v>
      </c>
      <c r="W149" s="2">
        <v>0</v>
      </c>
      <c r="X149" s="2">
        <v>0</v>
      </c>
      <c r="Y149" s="2">
        <v>0</v>
      </c>
      <c r="Z149" s="2">
        <v>0</v>
      </c>
      <c r="AA149" s="2">
        <v>0</v>
      </c>
      <c r="AB149" s="2">
        <v>0</v>
      </c>
      <c r="AC149" s="2">
        <v>0</v>
      </c>
      <c r="AD149" s="2">
        <v>0</v>
      </c>
      <c r="AE149" s="2">
        <v>1</v>
      </c>
      <c r="AF149" s="2" t="s">
        <v>117</v>
      </c>
      <c r="AG149" s="2">
        <v>0</v>
      </c>
      <c r="AH149" s="2">
        <v>1</v>
      </c>
      <c r="AI149" s="2">
        <v>1</v>
      </c>
      <c r="AJ149" s="2">
        <v>1</v>
      </c>
      <c r="AK149" s="2">
        <v>0</v>
      </c>
      <c r="AO149" s="2">
        <v>0</v>
      </c>
      <c r="AT149" s="2">
        <v>0</v>
      </c>
      <c r="AU149" s="2" t="s">
        <v>206</v>
      </c>
    </row>
    <row r="151" spans="1:47">
      <c r="D151" s="2" t="s">
        <v>245</v>
      </c>
      <c r="E151" s="2">
        <f>AVERAGE(D2:D149)</f>
        <v>12.767123287671232</v>
      </c>
      <c r="F151" s="2">
        <f>AVERAGE(E2:E149)</f>
        <v>69.243243243243242</v>
      </c>
      <c r="I151" s="2">
        <f>SUM(H2:H149)</f>
        <v>73</v>
      </c>
      <c r="J151" s="2">
        <f t="shared" ref="J151:O151" si="7">SUM(I2:I149)</f>
        <v>5</v>
      </c>
      <c r="K151" s="2">
        <f t="shared" si="7"/>
        <v>6</v>
      </c>
      <c r="L151" s="2">
        <f t="shared" si="7"/>
        <v>11</v>
      </c>
      <c r="M151" s="2">
        <f t="shared" si="7"/>
        <v>25</v>
      </c>
      <c r="N151" s="2">
        <f t="shared" si="7"/>
        <v>2</v>
      </c>
      <c r="O151" s="2">
        <f t="shared" si="7"/>
        <v>59</v>
      </c>
      <c r="R151" s="2">
        <f>SUM(Q2:Q149)</f>
        <v>50</v>
      </c>
      <c r="S151" s="2">
        <f>SUM(R2:R149)</f>
        <v>263</v>
      </c>
      <c r="V151" s="2">
        <f t="shared" ref="T151:W151" si="8">SUM(U2:U149)</f>
        <v>134</v>
      </c>
      <c r="W151" s="2">
        <f t="shared" si="8"/>
        <v>63</v>
      </c>
      <c r="X151" s="2">
        <f t="shared" ref="T151:AF151" si="9">SUM(W2:W149)</f>
        <v>9</v>
      </c>
      <c r="Y151" s="2">
        <f t="shared" si="9"/>
        <v>13</v>
      </c>
      <c r="Z151" s="2">
        <f t="shared" si="9"/>
        <v>18</v>
      </c>
      <c r="AA151" s="2">
        <f t="shared" si="9"/>
        <v>12</v>
      </c>
      <c r="AB151" s="2">
        <f t="shared" si="9"/>
        <v>8</v>
      </c>
      <c r="AC151" s="2">
        <f t="shared" si="9"/>
        <v>6</v>
      </c>
      <c r="AD151" s="2">
        <f t="shared" si="9"/>
        <v>9</v>
      </c>
      <c r="AE151" s="2">
        <f t="shared" si="9"/>
        <v>13</v>
      </c>
      <c r="AF151" s="2">
        <f t="shared" si="9"/>
        <v>137</v>
      </c>
      <c r="AH151" s="2">
        <f t="shared" ref="AG151:AL151" si="10">SUM(AG2:AG149)</f>
        <v>55</v>
      </c>
      <c r="AI151" s="2">
        <f t="shared" si="10"/>
        <v>75</v>
      </c>
      <c r="AJ151" s="2">
        <f t="shared" si="10"/>
        <v>128</v>
      </c>
      <c r="AK151" s="2">
        <f t="shared" si="10"/>
        <v>121</v>
      </c>
      <c r="AL151" s="2">
        <f t="shared" si="10"/>
        <v>99</v>
      </c>
      <c r="AP151" s="2">
        <f t="shared" ref="AM151:AU151" si="11">SUM(AO2:AO149)</f>
        <v>21</v>
      </c>
      <c r="AU151" s="2">
        <f t="shared" si="11"/>
        <v>27</v>
      </c>
    </row>
    <row r="152" spans="1:47">
      <c r="D152" s="2" t="s">
        <v>246</v>
      </c>
      <c r="E152" s="2">
        <f>MEDIAN(D2:D149)</f>
        <v>9</v>
      </c>
      <c r="F152" s="2">
        <f>MEDIAN(E2:E149)</f>
        <v>72</v>
      </c>
    </row>
    <row r="153" spans="1:47">
      <c r="D153" s="2" t="s">
        <v>247</v>
      </c>
      <c r="E153" s="2">
        <f>MODE(D2:D149)</f>
        <v>7</v>
      </c>
      <c r="F153" s="2">
        <f>MODE(E2:E149)</f>
        <v>77</v>
      </c>
      <c r="I153" s="33">
        <f t="shared" ref="I153:N153" si="12">SUM(H4:H10,H12:H20,H23:H26,H28:H32,H35:H36,H38:H39,H41:H42)</f>
        <v>23</v>
      </c>
      <c r="J153" s="34">
        <f t="shared" si="12"/>
        <v>0</v>
      </c>
      <c r="K153" s="34">
        <f t="shared" si="12"/>
        <v>0</v>
      </c>
      <c r="L153" s="34">
        <f t="shared" si="12"/>
        <v>3</v>
      </c>
      <c r="M153" s="34">
        <f t="shared" si="12"/>
        <v>6</v>
      </c>
      <c r="N153" s="34">
        <f t="shared" si="12"/>
        <v>1</v>
      </c>
      <c r="O153" s="34">
        <f>SUM(N4:N10,N12:N20,N23:N26,N28:N32,N35:N36,N38:N39,N41:N42)</f>
        <v>20</v>
      </c>
      <c r="P153" s="35" t="s">
        <v>248</v>
      </c>
      <c r="Q153" s="34">
        <f>COUNTIF(P2:P149, "staphylococcus aureus")</f>
        <v>31</v>
      </c>
      <c r="R153" s="34">
        <f>COUNTIFS(P2:P149, "staphylococcus aureus", Q2:Q149, "1")</f>
        <v>26</v>
      </c>
      <c r="S153" s="34">
        <f>SUM(R4:R10,R12:R20,R23:R26,R28:R32,R35:R36,R38:R39,R41:R42)</f>
        <v>75</v>
      </c>
      <c r="T153" s="34"/>
      <c r="U153" s="34"/>
      <c r="V153" s="34">
        <f t="shared" ref="T153:W153" si="13">SUM(U4:U10,U12:U20,U23:U26,U28:U32,U35:U36,U38:U39,U41:U42)</f>
        <v>52</v>
      </c>
      <c r="W153" s="34">
        <f t="shared" si="13"/>
        <v>22</v>
      </c>
      <c r="X153" s="34">
        <f t="shared" ref="X153:AE153" si="14">SUM(W4:W10,W12:W20,W23:W26,W28:W32,W35:W36,W38:W39,W41:W42)</f>
        <v>4</v>
      </c>
      <c r="Y153" s="34">
        <f t="shared" si="14"/>
        <v>5</v>
      </c>
      <c r="Z153" s="34">
        <f t="shared" si="14"/>
        <v>4</v>
      </c>
      <c r="AA153" s="34">
        <f t="shared" si="14"/>
        <v>7</v>
      </c>
      <c r="AB153" s="34">
        <f t="shared" si="14"/>
        <v>2</v>
      </c>
      <c r="AC153" s="34">
        <f t="shared" si="14"/>
        <v>3</v>
      </c>
      <c r="AD153" s="34">
        <f t="shared" si="14"/>
        <v>3</v>
      </c>
      <c r="AE153" s="34">
        <f t="shared" si="14"/>
        <v>6</v>
      </c>
      <c r="AF153" s="34">
        <f t="shared" ref="AF153:AL153" si="15">SUM(AE4:AE10,AE12:AE20,AE23:AE26,AE28:AE32,AE35:AE36,AE38:AE39,AE41:AE42)</f>
        <v>30</v>
      </c>
      <c r="AG153" s="34"/>
      <c r="AH153" s="34">
        <f t="shared" si="15"/>
        <v>24</v>
      </c>
      <c r="AI153" s="34">
        <f t="shared" si="15"/>
        <v>24</v>
      </c>
      <c r="AJ153" s="34">
        <f t="shared" si="15"/>
        <v>25</v>
      </c>
      <c r="AK153" s="34">
        <f t="shared" si="15"/>
        <v>21</v>
      </c>
      <c r="AL153" s="34">
        <f t="shared" si="15"/>
        <v>28</v>
      </c>
      <c r="AM153" s="34"/>
      <c r="AN153" s="34"/>
      <c r="AO153" s="34"/>
      <c r="AP153" s="34">
        <f t="shared" ref="AM153:AU153" si="16">SUM(AO4:AO10,AO12:AO20,AO23:AO26,AO28:AO32,AO35:AO36,AO38:AO39,AO41:AO42)</f>
        <v>7</v>
      </c>
      <c r="AQ153" s="34"/>
      <c r="AR153" s="34"/>
      <c r="AS153" s="34"/>
      <c r="AT153" s="34"/>
      <c r="AU153" s="36">
        <f t="shared" si="16"/>
        <v>10</v>
      </c>
    </row>
    <row r="154" spans="1:47">
      <c r="D154" s="2" t="s">
        <v>249</v>
      </c>
      <c r="E154" s="2">
        <f>STDEV(D2:D149)</f>
        <v>14.537485954399079</v>
      </c>
      <c r="F154" s="2">
        <f>STDEV(E2:E149)</f>
        <v>16.110427443212515</v>
      </c>
      <c r="I154" s="37">
        <f t="shared" ref="I154:N154" si="17">SUM(H2:H3,H11,H21,H22,H27,H33:H34,H37,H40,H43)</f>
        <v>8</v>
      </c>
      <c r="J154" s="2">
        <f t="shared" si="17"/>
        <v>4</v>
      </c>
      <c r="K154" s="2">
        <f t="shared" si="17"/>
        <v>1</v>
      </c>
      <c r="L154" s="2">
        <f t="shared" si="17"/>
        <v>1</v>
      </c>
      <c r="M154" s="2">
        <f t="shared" si="17"/>
        <v>3</v>
      </c>
      <c r="N154" s="2">
        <f t="shared" si="17"/>
        <v>1</v>
      </c>
      <c r="O154" s="2">
        <f>SUM(N2:N3,N11,N21,N22,N27,N33:N34,N37,N40,N43)</f>
        <v>5</v>
      </c>
      <c r="P154" s="11" t="s">
        <v>250</v>
      </c>
      <c r="Q154" s="2">
        <f>COUNTIF(P2:P149, "methicillin-resistant staphylococcus aureus")</f>
        <v>11</v>
      </c>
      <c r="R154" s="2">
        <f>COUNTIFS(P2:P149, "methicillin-resistant staphylococcus aureus", Q2:Q149, "1")</f>
        <v>9</v>
      </c>
      <c r="S154" s="2">
        <f>SUM(R2:R3,R11,R21,R22,R27,R33:R34,R37,R40,R43)</f>
        <v>47</v>
      </c>
      <c r="V154" s="2">
        <f t="shared" ref="T154:W154" si="18">SUM(U2:U3,U11,U21,U22,U27,U33:U34,U37,U40,U43)</f>
        <v>40</v>
      </c>
      <c r="W154" s="2">
        <f t="shared" si="18"/>
        <v>7</v>
      </c>
      <c r="X154" s="2">
        <f t="shared" ref="X154:AE154" si="19">SUM(W2:W3,W11,W21,W22,W27,W33:W34,W37,W40,W43)</f>
        <v>3</v>
      </c>
      <c r="Y154" s="2">
        <f t="shared" si="19"/>
        <v>4</v>
      </c>
      <c r="Z154" s="2">
        <f t="shared" si="19"/>
        <v>2</v>
      </c>
      <c r="AA154" s="2">
        <f t="shared" si="19"/>
        <v>1</v>
      </c>
      <c r="AB154" s="2">
        <f t="shared" si="19"/>
        <v>0</v>
      </c>
      <c r="AC154" s="2">
        <f t="shared" si="19"/>
        <v>1</v>
      </c>
      <c r="AD154" s="2">
        <f t="shared" si="19"/>
        <v>0</v>
      </c>
      <c r="AE154" s="2">
        <f t="shared" si="19"/>
        <v>1</v>
      </c>
      <c r="AF154" s="2">
        <f t="shared" ref="AF154:AL154" si="20">SUM(AE2:AE3,AE11,AE21,AE22,AE27,AE33:AE34,AE37,AE40,AE43)</f>
        <v>11</v>
      </c>
      <c r="AH154" s="2">
        <f t="shared" si="20"/>
        <v>10</v>
      </c>
      <c r="AI154" s="2">
        <f t="shared" si="20"/>
        <v>7</v>
      </c>
      <c r="AJ154" s="2">
        <f t="shared" si="20"/>
        <v>8</v>
      </c>
      <c r="AK154" s="2">
        <f t="shared" si="20"/>
        <v>10</v>
      </c>
      <c r="AL154" s="2">
        <f t="shared" si="20"/>
        <v>10</v>
      </c>
      <c r="AP154" s="2">
        <f t="shared" ref="AM154:AU154" si="21">SUM(AO2:AO3,AO11,AO21,AO22,AO27,AO33:AO34,AO37,AO40,AO43)</f>
        <v>6</v>
      </c>
      <c r="AU154" s="38">
        <f t="shared" si="21"/>
        <v>3</v>
      </c>
    </row>
    <row r="155" spans="1:47">
      <c r="D155" s="2" t="s">
        <v>251</v>
      </c>
      <c r="E155" s="2">
        <f>MAX(D2:D149)</f>
        <v>107</v>
      </c>
      <c r="F155" s="2">
        <f>MAX(E2:E149)</f>
        <v>96</v>
      </c>
      <c r="I155" s="37"/>
      <c r="AU155" s="38"/>
    </row>
    <row r="156" spans="1:47">
      <c r="D156" s="2" t="s">
        <v>252</v>
      </c>
      <c r="E156" s="11">
        <f>MIN(D2:D149)</f>
        <v>0</v>
      </c>
      <c r="F156" s="2">
        <f>MIN(E2:E149)</f>
        <v>23</v>
      </c>
      <c r="I156" s="37">
        <f t="shared" ref="I156:N156" si="22">SUM(H44,H50,H60)</f>
        <v>0</v>
      </c>
      <c r="J156" s="2">
        <f t="shared" si="22"/>
        <v>0</v>
      </c>
      <c r="K156" s="2">
        <f t="shared" si="22"/>
        <v>0</v>
      </c>
      <c r="L156" s="2">
        <f t="shared" si="22"/>
        <v>0</v>
      </c>
      <c r="M156" s="2">
        <f t="shared" si="22"/>
        <v>0</v>
      </c>
      <c r="N156" s="2">
        <f t="shared" si="22"/>
        <v>0</v>
      </c>
      <c r="O156" s="2">
        <f>SUM(N44,N50,N60)</f>
        <v>2</v>
      </c>
      <c r="P156" s="11" t="s">
        <v>253</v>
      </c>
      <c r="Q156" s="2">
        <f>COUNTIF(P2:P149, "streptococcus mutans")</f>
        <v>3</v>
      </c>
      <c r="R156" s="2">
        <f>COUNTIFS(P2:P149, "streptococcus mutans", Q2:Q149, "1")</f>
        <v>0</v>
      </c>
      <c r="S156" s="2">
        <f>SUM(R44,R50,R60)</f>
        <v>3</v>
      </c>
      <c r="V156" s="2">
        <f t="shared" ref="T156:W156" si="23">SUM(U44,U50,U60)</f>
        <v>0</v>
      </c>
      <c r="W156" s="2">
        <f t="shared" si="23"/>
        <v>3</v>
      </c>
      <c r="X156" s="2">
        <f t="shared" ref="X156:AE156" si="24">SUM(W44,W50,W60)</f>
        <v>1</v>
      </c>
      <c r="Y156" s="2">
        <f t="shared" si="24"/>
        <v>0</v>
      </c>
      <c r="Z156" s="2">
        <f t="shared" si="24"/>
        <v>0</v>
      </c>
      <c r="AA156" s="2">
        <f t="shared" si="24"/>
        <v>0</v>
      </c>
      <c r="AB156" s="2">
        <f t="shared" si="24"/>
        <v>0</v>
      </c>
      <c r="AC156" s="2">
        <f t="shared" si="24"/>
        <v>0</v>
      </c>
      <c r="AD156" s="2">
        <f t="shared" si="24"/>
        <v>1</v>
      </c>
      <c r="AE156" s="2">
        <f t="shared" si="24"/>
        <v>1</v>
      </c>
      <c r="AF156" s="2">
        <f t="shared" ref="AF156:AL156" si="25">SUM(AE44,AE50,AE60)</f>
        <v>3</v>
      </c>
      <c r="AH156" s="2">
        <f t="shared" si="25"/>
        <v>1</v>
      </c>
      <c r="AI156" s="2">
        <f t="shared" si="25"/>
        <v>2</v>
      </c>
      <c r="AJ156" s="2">
        <f t="shared" si="25"/>
        <v>3</v>
      </c>
      <c r="AK156" s="2">
        <f t="shared" si="25"/>
        <v>3</v>
      </c>
      <c r="AL156" s="2">
        <f t="shared" si="25"/>
        <v>3</v>
      </c>
      <c r="AP156" s="2">
        <f t="shared" ref="AM156:AU156" si="26">SUM(AO44,AO50,AO60)</f>
        <v>1</v>
      </c>
      <c r="AU156" s="38">
        <f t="shared" si="26"/>
        <v>0</v>
      </c>
    </row>
    <row r="157" spans="1:47">
      <c r="I157" s="37">
        <f t="shared" ref="I157:N157" si="27">SUM(H45,H47:H48,H51:H53,H57,H61)</f>
        <v>1</v>
      </c>
      <c r="J157" s="2">
        <f t="shared" si="27"/>
        <v>0</v>
      </c>
      <c r="K157" s="2">
        <f t="shared" si="27"/>
        <v>0</v>
      </c>
      <c r="L157" s="2">
        <f t="shared" si="27"/>
        <v>0</v>
      </c>
      <c r="M157" s="2">
        <f t="shared" si="27"/>
        <v>1</v>
      </c>
      <c r="N157" s="2">
        <f t="shared" si="27"/>
        <v>0</v>
      </c>
      <c r="O157" s="2">
        <f>SUM(N45,N47:N48,N51:N53,N57,N61)</f>
        <v>1</v>
      </c>
      <c r="P157" s="11" t="s">
        <v>254</v>
      </c>
      <c r="Q157" s="2">
        <f>COUNTIF(P2:P149, "streptococcus mitis group")</f>
        <v>8</v>
      </c>
      <c r="R157" s="2">
        <f>COUNTIFS(P2:P149, "streptococcus mitis group", Q2:Q149, "1")</f>
        <v>0</v>
      </c>
      <c r="S157" s="2">
        <f>SUM(R45,R47:R48,R51:R53,R57,R61)</f>
        <v>8</v>
      </c>
      <c r="V157" s="2">
        <f t="shared" ref="T157:W157" si="28">SUM(U45,U47:U48,U51:U53,U57,U61)</f>
        <v>0</v>
      </c>
      <c r="W157" s="2">
        <f t="shared" si="28"/>
        <v>6</v>
      </c>
      <c r="X157" s="2">
        <f t="shared" ref="X157:AE157" si="29">SUM(W45,W47:W48,W51:W53,W57,W61)</f>
        <v>0</v>
      </c>
      <c r="Y157" s="2">
        <f t="shared" si="29"/>
        <v>0</v>
      </c>
      <c r="Z157" s="2">
        <f t="shared" si="29"/>
        <v>1</v>
      </c>
      <c r="AA157" s="2">
        <f t="shared" si="29"/>
        <v>2</v>
      </c>
      <c r="AB157" s="2">
        <f t="shared" si="29"/>
        <v>0</v>
      </c>
      <c r="AC157" s="2">
        <f t="shared" si="29"/>
        <v>2</v>
      </c>
      <c r="AD157" s="2">
        <f t="shared" si="29"/>
        <v>0</v>
      </c>
      <c r="AE157" s="2">
        <f t="shared" si="29"/>
        <v>3</v>
      </c>
      <c r="AF157" s="2">
        <f t="shared" ref="AF157:AL157" si="30">SUM(AE45,AE47:AE48,AE51:AE53,AE57,AE61)</f>
        <v>8</v>
      </c>
      <c r="AH157" s="2">
        <f t="shared" si="30"/>
        <v>3</v>
      </c>
      <c r="AI157" s="2">
        <f t="shared" si="30"/>
        <v>4</v>
      </c>
      <c r="AJ157" s="2">
        <f t="shared" si="30"/>
        <v>6</v>
      </c>
      <c r="AK157" s="2">
        <f t="shared" si="30"/>
        <v>6</v>
      </c>
      <c r="AL157" s="2">
        <f t="shared" si="30"/>
        <v>5</v>
      </c>
      <c r="AP157" s="2">
        <f t="shared" ref="AM157:AU157" si="31">SUM(AO45,AO47:AO48,AO51:AO53,AO57,AO61)</f>
        <v>1</v>
      </c>
      <c r="AU157" s="38">
        <f t="shared" si="31"/>
        <v>2</v>
      </c>
    </row>
    <row r="158" spans="1:47">
      <c r="I158" s="37">
        <f t="shared" ref="I158:N158" si="32">SUM(H46,H58)</f>
        <v>2</v>
      </c>
      <c r="J158" s="2">
        <f t="shared" si="32"/>
        <v>0</v>
      </c>
      <c r="K158" s="2">
        <f t="shared" si="32"/>
        <v>1</v>
      </c>
      <c r="L158" s="2">
        <f t="shared" si="32"/>
        <v>0</v>
      </c>
      <c r="M158" s="2">
        <f t="shared" si="32"/>
        <v>0</v>
      </c>
      <c r="N158" s="2">
        <f t="shared" si="32"/>
        <v>0</v>
      </c>
      <c r="O158" s="2">
        <f>SUM(N46,N58)</f>
        <v>1</v>
      </c>
      <c r="P158" s="11" t="s">
        <v>255</v>
      </c>
      <c r="Q158" s="2">
        <f>COUNTIF(P2:P149, "streptococcus gordonii")</f>
        <v>2</v>
      </c>
      <c r="R158" s="2">
        <f>COUNTIFS(P2:P149, "streptococcus gordonii", Q2:Q149, "1")</f>
        <v>1</v>
      </c>
      <c r="S158" s="2">
        <f>SUM(R46,R58)</f>
        <v>3</v>
      </c>
      <c r="V158" s="2">
        <f t="shared" ref="T158:W158" si="33">SUM(U46,U58)</f>
        <v>1</v>
      </c>
      <c r="W158" s="2">
        <f t="shared" si="33"/>
        <v>0</v>
      </c>
      <c r="X158" s="2">
        <f t="shared" ref="X158:AE158" si="34">SUM(W46,W58)</f>
        <v>0</v>
      </c>
      <c r="Y158" s="2">
        <f t="shared" si="34"/>
        <v>0</v>
      </c>
      <c r="Z158" s="2">
        <f t="shared" si="34"/>
        <v>0</v>
      </c>
      <c r="AA158" s="2">
        <f t="shared" si="34"/>
        <v>0</v>
      </c>
      <c r="AB158" s="2">
        <f t="shared" si="34"/>
        <v>0</v>
      </c>
      <c r="AC158" s="2">
        <f t="shared" si="34"/>
        <v>0</v>
      </c>
      <c r="AD158" s="2">
        <f t="shared" si="34"/>
        <v>0</v>
      </c>
      <c r="AE158" s="2">
        <f t="shared" si="34"/>
        <v>0</v>
      </c>
      <c r="AF158" s="2">
        <f t="shared" ref="AF158:AL158" si="35">SUM(AE46,AE58)</f>
        <v>2</v>
      </c>
      <c r="AH158" s="2">
        <f t="shared" si="35"/>
        <v>2</v>
      </c>
      <c r="AI158" s="2">
        <f t="shared" si="35"/>
        <v>2</v>
      </c>
      <c r="AJ158" s="2">
        <f t="shared" si="35"/>
        <v>2</v>
      </c>
      <c r="AK158" s="2">
        <f t="shared" si="35"/>
        <v>2</v>
      </c>
      <c r="AL158" s="2">
        <f t="shared" si="35"/>
        <v>2</v>
      </c>
      <c r="AP158" s="2">
        <f t="shared" ref="AM158:AU158" si="36">SUM(AO46,AO58)</f>
        <v>2</v>
      </c>
      <c r="AU158" s="38">
        <f t="shared" si="36"/>
        <v>0</v>
      </c>
    </row>
    <row r="159" spans="1:47">
      <c r="I159" s="37">
        <f t="shared" ref="I159:N159" si="37">SUM(H49,H54,H56)</f>
        <v>1</v>
      </c>
      <c r="J159" s="2">
        <f t="shared" si="37"/>
        <v>0</v>
      </c>
      <c r="K159" s="2">
        <f t="shared" si="37"/>
        <v>0</v>
      </c>
      <c r="L159" s="2">
        <f t="shared" si="37"/>
        <v>0</v>
      </c>
      <c r="M159" s="2">
        <f t="shared" si="37"/>
        <v>1</v>
      </c>
      <c r="N159" s="2">
        <f t="shared" si="37"/>
        <v>0</v>
      </c>
      <c r="O159" s="2">
        <f>SUM(N49,N54,N56)</f>
        <v>0</v>
      </c>
      <c r="P159" s="11" t="s">
        <v>256</v>
      </c>
      <c r="Q159" s="2">
        <f>COUNTIF(P2:P149, "streptococcus constellatus")</f>
        <v>3</v>
      </c>
      <c r="R159" s="2">
        <f>COUNTIFS(P2:P149, "streptococcus constellatus", Q2:Q149, "1")</f>
        <v>0</v>
      </c>
      <c r="S159" s="2">
        <f>SUM(R49,R54,R56)</f>
        <v>3</v>
      </c>
      <c r="V159" s="2">
        <f t="shared" ref="T159:W159" si="38">SUM(U49,U54,U56)</f>
        <v>0</v>
      </c>
      <c r="W159" s="2">
        <f t="shared" si="38"/>
        <v>2</v>
      </c>
      <c r="X159" s="2">
        <f t="shared" ref="X159:AE159" si="39">SUM(W49,W54,W56)</f>
        <v>0</v>
      </c>
      <c r="Y159" s="2">
        <f t="shared" si="39"/>
        <v>0</v>
      </c>
      <c r="Z159" s="2">
        <f t="shared" si="39"/>
        <v>0</v>
      </c>
      <c r="AA159" s="2">
        <f t="shared" si="39"/>
        <v>1</v>
      </c>
      <c r="AB159" s="2">
        <f t="shared" si="39"/>
        <v>2</v>
      </c>
      <c r="AC159" s="2">
        <f t="shared" si="39"/>
        <v>0</v>
      </c>
      <c r="AD159" s="2">
        <f t="shared" si="39"/>
        <v>0</v>
      </c>
      <c r="AE159" s="2">
        <f t="shared" si="39"/>
        <v>0</v>
      </c>
      <c r="AF159" s="2">
        <f t="shared" ref="AF159:AL159" si="40">SUM(AE49,AE54,AE56)</f>
        <v>3</v>
      </c>
      <c r="AH159" s="2">
        <f t="shared" si="40"/>
        <v>1</v>
      </c>
      <c r="AI159" s="2">
        <f t="shared" si="40"/>
        <v>2</v>
      </c>
      <c r="AJ159" s="2">
        <f t="shared" si="40"/>
        <v>2</v>
      </c>
      <c r="AK159" s="2">
        <f t="shared" si="40"/>
        <v>2</v>
      </c>
      <c r="AL159" s="2">
        <f t="shared" si="40"/>
        <v>2</v>
      </c>
      <c r="AP159" s="2">
        <f t="shared" ref="AM159:AU159" si="41">SUM(AO49,AO54,AO56)</f>
        <v>0</v>
      </c>
      <c r="AU159" s="38">
        <f t="shared" si="41"/>
        <v>1</v>
      </c>
    </row>
    <row r="160" spans="1:47">
      <c r="C160" s="22" t="s">
        <v>257</v>
      </c>
      <c r="D160" s="24" t="s">
        <v>258</v>
      </c>
      <c r="I160" s="37">
        <f t="shared" ref="I160:N160" si="42">SUM(H55,H59)</f>
        <v>0</v>
      </c>
      <c r="J160" s="2">
        <f t="shared" si="42"/>
        <v>0</v>
      </c>
      <c r="K160" s="2">
        <f t="shared" si="42"/>
        <v>0</v>
      </c>
      <c r="L160" s="2">
        <f t="shared" si="42"/>
        <v>0</v>
      </c>
      <c r="M160" s="2">
        <f t="shared" si="42"/>
        <v>0</v>
      </c>
      <c r="N160" s="2">
        <f t="shared" si="42"/>
        <v>0</v>
      </c>
      <c r="O160" s="2">
        <f>SUM(N55,N59)</f>
        <v>0</v>
      </c>
      <c r="P160" s="11" t="s">
        <v>259</v>
      </c>
      <c r="Q160" s="2">
        <f>COUNTIF(P2:P149, "streptococcus anginosus")</f>
        <v>2</v>
      </c>
      <c r="R160" s="2">
        <f>COUNTIFS(P2:P149, "streptococcus anginosus", Q2:Q149, "1")</f>
        <v>0</v>
      </c>
      <c r="S160" s="2">
        <f>SUM(R55,R59)</f>
        <v>2</v>
      </c>
      <c r="V160" s="2">
        <f t="shared" ref="T160:W160" si="43">SUM(U55,U59)</f>
        <v>0</v>
      </c>
      <c r="W160" s="2">
        <f t="shared" si="43"/>
        <v>2</v>
      </c>
      <c r="X160" s="2">
        <f t="shared" ref="X160:AE160" si="44">SUM(W55,W59)</f>
        <v>0</v>
      </c>
      <c r="Y160" s="2">
        <f t="shared" si="44"/>
        <v>1</v>
      </c>
      <c r="Z160" s="2">
        <f t="shared" si="44"/>
        <v>0</v>
      </c>
      <c r="AA160" s="2">
        <f t="shared" si="44"/>
        <v>1</v>
      </c>
      <c r="AB160" s="2">
        <f t="shared" si="44"/>
        <v>0</v>
      </c>
      <c r="AC160" s="2">
        <f t="shared" si="44"/>
        <v>0</v>
      </c>
      <c r="AD160" s="2">
        <f t="shared" si="44"/>
        <v>0</v>
      </c>
      <c r="AE160" s="2">
        <f t="shared" si="44"/>
        <v>1</v>
      </c>
      <c r="AF160" s="2">
        <f t="shared" ref="AF160:AL160" si="45">SUM(AE55,AE59)</f>
        <v>2</v>
      </c>
      <c r="AH160" s="2">
        <f t="shared" si="45"/>
        <v>2</v>
      </c>
      <c r="AI160" s="2">
        <f t="shared" si="45"/>
        <v>2</v>
      </c>
      <c r="AJ160" s="2">
        <f t="shared" si="45"/>
        <v>1</v>
      </c>
      <c r="AK160" s="2">
        <f t="shared" si="45"/>
        <v>1</v>
      </c>
      <c r="AL160" s="2">
        <f t="shared" si="45"/>
        <v>2</v>
      </c>
      <c r="AP160" s="2">
        <f t="shared" ref="AM160:AU160" si="46">SUM(AO55,AO59)</f>
        <v>0</v>
      </c>
      <c r="AU160" s="38">
        <f t="shared" si="46"/>
        <v>2</v>
      </c>
    </row>
    <row r="161" spans="3:47">
      <c r="C161" s="25">
        <f>COUNTIF(F2:F149, "1")</f>
        <v>74</v>
      </c>
      <c r="D161" s="27">
        <f>COUNTIF(F2:F149, "2")</f>
        <v>74</v>
      </c>
      <c r="I161" s="37">
        <f t="shared" ref="I161:N161" si="47">SUM(H62)</f>
        <v>0</v>
      </c>
      <c r="J161" s="2">
        <f t="shared" si="47"/>
        <v>0</v>
      </c>
      <c r="K161" s="2">
        <f t="shared" si="47"/>
        <v>0</v>
      </c>
      <c r="L161" s="2">
        <f t="shared" si="47"/>
        <v>0</v>
      </c>
      <c r="M161" s="2">
        <f t="shared" si="47"/>
        <v>0</v>
      </c>
      <c r="N161" s="2">
        <f t="shared" si="47"/>
        <v>0</v>
      </c>
      <c r="O161" s="2">
        <f>SUM(N62)</f>
        <v>0</v>
      </c>
      <c r="P161" s="11" t="s">
        <v>260</v>
      </c>
      <c r="Q161" s="2">
        <f>COUNTIF(P2:P149, "streptococcus sanguinis")</f>
        <v>1</v>
      </c>
      <c r="R161" s="2">
        <f>COUNTIFS(P2:P149, "streptococcus sanguinis", Q2:Q149, "1")</f>
        <v>0</v>
      </c>
      <c r="S161" s="2">
        <f>SUM(R62)</f>
        <v>1</v>
      </c>
      <c r="V161" s="2">
        <f t="shared" ref="T161:W161" si="48">SUM(U62)</f>
        <v>0</v>
      </c>
      <c r="W161" s="2">
        <f t="shared" si="48"/>
        <v>0</v>
      </c>
      <c r="X161" s="2">
        <f t="shared" ref="X161:AE161" si="49">SUM(W62)</f>
        <v>0</v>
      </c>
      <c r="Y161" s="2">
        <f t="shared" si="49"/>
        <v>0</v>
      </c>
      <c r="Z161" s="2">
        <f t="shared" si="49"/>
        <v>0</v>
      </c>
      <c r="AA161" s="2">
        <f t="shared" si="49"/>
        <v>0</v>
      </c>
      <c r="AB161" s="2">
        <f t="shared" si="49"/>
        <v>0</v>
      </c>
      <c r="AC161" s="2">
        <f t="shared" si="49"/>
        <v>0</v>
      </c>
      <c r="AD161" s="2">
        <f t="shared" si="49"/>
        <v>0</v>
      </c>
      <c r="AE161" s="2">
        <f t="shared" si="49"/>
        <v>0</v>
      </c>
      <c r="AF161" s="2">
        <f t="shared" ref="AF161:AL161" si="50">SUM(AE62)</f>
        <v>0</v>
      </c>
      <c r="AH161" s="2">
        <f t="shared" si="50"/>
        <v>0</v>
      </c>
      <c r="AI161" s="2">
        <f t="shared" si="50"/>
        <v>0</v>
      </c>
      <c r="AJ161" s="2">
        <f t="shared" si="50"/>
        <v>0</v>
      </c>
      <c r="AK161" s="2">
        <f t="shared" si="50"/>
        <v>0</v>
      </c>
      <c r="AL161" s="2">
        <f t="shared" si="50"/>
        <v>0</v>
      </c>
      <c r="AP161" s="2">
        <f t="shared" ref="AM161:AU161" si="51">SUM(AO62)</f>
        <v>0</v>
      </c>
      <c r="AU161" s="38">
        <f t="shared" si="51"/>
        <v>0</v>
      </c>
    </row>
    <row r="162" spans="3:47">
      <c r="I162" s="37"/>
      <c r="AU162" s="38"/>
    </row>
    <row r="163" spans="3:47">
      <c r="C163" s="22" t="s">
        <v>261</v>
      </c>
      <c r="D163" s="23" t="s">
        <v>262</v>
      </c>
      <c r="E163" s="23" t="s">
        <v>263</v>
      </c>
      <c r="F163" s="24" t="s">
        <v>264</v>
      </c>
      <c r="I163" s="37">
        <f t="shared" ref="I163:N163" si="52">SUM(H63)</f>
        <v>1</v>
      </c>
      <c r="J163" s="2">
        <f t="shared" si="52"/>
        <v>0</v>
      </c>
      <c r="K163" s="2">
        <f t="shared" si="52"/>
        <v>1</v>
      </c>
      <c r="L163" s="2">
        <f t="shared" si="52"/>
        <v>0</v>
      </c>
      <c r="M163" s="2">
        <f t="shared" si="52"/>
        <v>0</v>
      </c>
      <c r="N163" s="2">
        <f t="shared" si="52"/>
        <v>0</v>
      </c>
      <c r="O163" s="2">
        <f>SUM(N63)</f>
        <v>1</v>
      </c>
      <c r="P163" s="11" t="s">
        <v>265</v>
      </c>
      <c r="Q163" s="2">
        <f>COUNTIF(P2:P149, "streptococcus lutetiensis")</f>
        <v>1</v>
      </c>
      <c r="R163" s="2">
        <f>COUNTIFS(P2:P149, "streptococcus lutetiensis", Q2:Q149, "1")</f>
        <v>0</v>
      </c>
      <c r="S163" s="2">
        <f>SUM(R63)</f>
        <v>1</v>
      </c>
      <c r="V163" s="2">
        <f t="shared" ref="T163:W163" si="53">SUM(U63)</f>
        <v>0</v>
      </c>
      <c r="W163" s="2">
        <f t="shared" si="53"/>
        <v>1</v>
      </c>
      <c r="X163" s="2">
        <f t="shared" ref="X163:AE163" si="54">SUM(W63)</f>
        <v>0</v>
      </c>
      <c r="Y163" s="2">
        <f t="shared" si="54"/>
        <v>0</v>
      </c>
      <c r="Z163" s="2">
        <f t="shared" si="54"/>
        <v>0</v>
      </c>
      <c r="AA163" s="2">
        <f t="shared" si="54"/>
        <v>0</v>
      </c>
      <c r="AB163" s="2">
        <f t="shared" si="54"/>
        <v>1</v>
      </c>
      <c r="AC163" s="2">
        <f t="shared" si="54"/>
        <v>0</v>
      </c>
      <c r="AD163" s="2">
        <f t="shared" si="54"/>
        <v>0</v>
      </c>
      <c r="AE163" s="2">
        <f t="shared" si="54"/>
        <v>0</v>
      </c>
      <c r="AF163" s="2">
        <f t="shared" ref="AF163:AL163" si="55">SUM(AE63)</f>
        <v>1</v>
      </c>
      <c r="AH163" s="2">
        <f t="shared" si="55"/>
        <v>0</v>
      </c>
      <c r="AI163" s="2">
        <f t="shared" si="55"/>
        <v>0</v>
      </c>
      <c r="AJ163" s="2">
        <f t="shared" si="55"/>
        <v>1</v>
      </c>
      <c r="AK163" s="2">
        <f t="shared" si="55"/>
        <v>1</v>
      </c>
      <c r="AL163" s="2">
        <f t="shared" si="55"/>
        <v>0</v>
      </c>
      <c r="AP163" s="2">
        <f t="shared" ref="AM163:AU163" si="56">SUM(AO63)</f>
        <v>0</v>
      </c>
      <c r="AU163" s="38">
        <f t="shared" si="56"/>
        <v>0</v>
      </c>
    </row>
    <row r="164" spans="3:47">
      <c r="C164" s="25">
        <f>COUNTIF(G2:G149, "2")</f>
        <v>108</v>
      </c>
      <c r="D164" s="26">
        <f>COUNTIF(G2:G149, "3")</f>
        <v>31</v>
      </c>
      <c r="E164" s="26">
        <f>COUNTIF(G2:G149, "4")</f>
        <v>3</v>
      </c>
      <c r="F164" s="27">
        <f>COUNTIF(G2:G149, "5")</f>
        <v>6</v>
      </c>
      <c r="I164" s="37"/>
      <c r="AU164" s="38"/>
    </row>
    <row r="165" spans="3:47">
      <c r="I165" s="37">
        <f t="shared" ref="I165:N165" si="57">SUM(H64:H67,H69:H74,H76)</f>
        <v>9</v>
      </c>
      <c r="J165" s="2">
        <f t="shared" si="57"/>
        <v>1</v>
      </c>
      <c r="K165" s="2">
        <f t="shared" si="57"/>
        <v>0</v>
      </c>
      <c r="L165" s="2">
        <f t="shared" si="57"/>
        <v>4</v>
      </c>
      <c r="M165" s="2">
        <f t="shared" si="57"/>
        <v>3</v>
      </c>
      <c r="N165" s="2">
        <f t="shared" si="57"/>
        <v>0</v>
      </c>
      <c r="O165" s="2">
        <f>SUM(N64:N67,N69:N74,N76)</f>
        <v>5</v>
      </c>
      <c r="P165" s="11" t="s">
        <v>266</v>
      </c>
      <c r="Q165" s="2">
        <f>COUNTIF(P2:P149, "enterococcus faecalis")</f>
        <v>11</v>
      </c>
      <c r="R165" s="2">
        <f>COUNTIFS(P2:P149, "enterococcus faecalis", Q2:Q149, "1")</f>
        <v>9</v>
      </c>
      <c r="S165" s="2">
        <f>SUM(R64:R67,R69:R74,R76)</f>
        <v>35</v>
      </c>
      <c r="V165" s="2">
        <f t="shared" ref="T165:W165" si="58">SUM(U64:U67,U69:U74,U76)</f>
        <v>24</v>
      </c>
      <c r="W165" s="2">
        <f t="shared" si="58"/>
        <v>9</v>
      </c>
      <c r="X165" s="2">
        <f t="shared" ref="X165:AE165" si="59">SUM(W64:W67,W69:W74,W76)</f>
        <v>0</v>
      </c>
      <c r="Y165" s="2">
        <f t="shared" si="59"/>
        <v>1</v>
      </c>
      <c r="Z165" s="2">
        <f t="shared" si="59"/>
        <v>3</v>
      </c>
      <c r="AA165" s="2">
        <f t="shared" si="59"/>
        <v>0</v>
      </c>
      <c r="AB165" s="2">
        <f t="shared" si="59"/>
        <v>2</v>
      </c>
      <c r="AC165" s="2">
        <f t="shared" si="59"/>
        <v>0</v>
      </c>
      <c r="AD165" s="2">
        <f t="shared" si="59"/>
        <v>4</v>
      </c>
      <c r="AE165" s="2">
        <f t="shared" si="59"/>
        <v>0</v>
      </c>
      <c r="AF165" s="2">
        <f t="shared" ref="AF165:AL165" si="60">SUM(AE64:AE67,AE69:AE74,AE76)</f>
        <v>11</v>
      </c>
      <c r="AH165" s="2">
        <f t="shared" si="60"/>
        <v>6</v>
      </c>
      <c r="AI165" s="2">
        <f t="shared" si="60"/>
        <v>9</v>
      </c>
      <c r="AJ165" s="2">
        <f t="shared" si="60"/>
        <v>10</v>
      </c>
      <c r="AK165" s="2">
        <f t="shared" si="60"/>
        <v>11</v>
      </c>
      <c r="AL165" s="2">
        <f t="shared" si="60"/>
        <v>10</v>
      </c>
      <c r="AP165" s="2">
        <f t="shared" ref="AM165:AU165" si="61">SUM(AO64:AO67,AO69:AO74,AO76)</f>
        <v>1</v>
      </c>
      <c r="AU165" s="38">
        <f t="shared" si="61"/>
        <v>2</v>
      </c>
    </row>
    <row r="166" spans="3:47">
      <c r="I166" s="37">
        <f t="shared" ref="I166:N166" si="62">SUM(H68,H75)</f>
        <v>1</v>
      </c>
      <c r="J166" s="2">
        <f t="shared" si="62"/>
        <v>0</v>
      </c>
      <c r="K166" s="2">
        <f t="shared" si="62"/>
        <v>0</v>
      </c>
      <c r="L166" s="2">
        <f t="shared" si="62"/>
        <v>0</v>
      </c>
      <c r="M166" s="2">
        <f t="shared" si="62"/>
        <v>2</v>
      </c>
      <c r="N166" s="2">
        <f t="shared" si="62"/>
        <v>0</v>
      </c>
      <c r="O166" s="2">
        <f>SUM(N68,N75)</f>
        <v>2</v>
      </c>
      <c r="P166" s="11" t="s">
        <v>267</v>
      </c>
      <c r="Q166" s="2">
        <f>COUNTIF(P2:P149, "vancomycin resistant enterococcus faecalis")</f>
        <v>2</v>
      </c>
      <c r="R166" s="2">
        <f>COUNTIFS(P2:P149, "vancomycin resistant enterococcus faecalis", Q2:Q149, "1")</f>
        <v>1</v>
      </c>
      <c r="S166" s="2">
        <f>SUM(R68,R75)</f>
        <v>5</v>
      </c>
      <c r="V166" s="2">
        <f t="shared" ref="T166:W166" si="63">SUM(U68,U75)</f>
        <v>7</v>
      </c>
      <c r="W166" s="2">
        <f t="shared" si="63"/>
        <v>2</v>
      </c>
      <c r="X166" s="2">
        <f t="shared" ref="X166:AE166" si="64">SUM(W68,W75)</f>
        <v>0</v>
      </c>
      <c r="Y166" s="2">
        <f t="shared" si="64"/>
        <v>0</v>
      </c>
      <c r="Z166" s="2">
        <f t="shared" si="64"/>
        <v>2</v>
      </c>
      <c r="AA166" s="2">
        <f t="shared" si="64"/>
        <v>0</v>
      </c>
      <c r="AB166" s="2">
        <f t="shared" si="64"/>
        <v>1</v>
      </c>
      <c r="AC166" s="2">
        <f t="shared" si="64"/>
        <v>0</v>
      </c>
      <c r="AD166" s="2">
        <f t="shared" si="64"/>
        <v>0</v>
      </c>
      <c r="AE166" s="2">
        <f t="shared" si="64"/>
        <v>0</v>
      </c>
      <c r="AF166" s="2">
        <f t="shared" ref="AF166:AL166" si="65">SUM(AE68,AE75)</f>
        <v>2</v>
      </c>
      <c r="AH166" s="2">
        <f t="shared" si="65"/>
        <v>2</v>
      </c>
      <c r="AI166" s="2">
        <f t="shared" si="65"/>
        <v>0</v>
      </c>
      <c r="AJ166" s="2">
        <f t="shared" si="65"/>
        <v>2</v>
      </c>
      <c r="AK166" s="2">
        <f t="shared" si="65"/>
        <v>1</v>
      </c>
      <c r="AL166" s="2">
        <f t="shared" si="65"/>
        <v>2</v>
      </c>
      <c r="AP166" s="2">
        <f t="shared" ref="AM166:AU166" si="66">SUM(AO68,AO75)</f>
        <v>0</v>
      </c>
      <c r="AU166" s="38">
        <f t="shared" si="66"/>
        <v>1</v>
      </c>
    </row>
    <row r="167" spans="3:47">
      <c r="I167" s="37"/>
      <c r="AU167" s="38"/>
    </row>
    <row r="168" spans="3:47">
      <c r="I168" s="37">
        <f t="shared" ref="I168:N168" si="67">SUM(H77:H79,H82:H83,H85:H86,H88:H98,H100:H105,H108,H109,H112,H114:H120,H122:H124,H129,H134,H136,H140,H143:H147,H149)</f>
        <v>17</v>
      </c>
      <c r="J168" s="2">
        <f t="shared" si="67"/>
        <v>0</v>
      </c>
      <c r="K168" s="2">
        <f t="shared" si="67"/>
        <v>3</v>
      </c>
      <c r="L168" s="2">
        <f t="shared" si="67"/>
        <v>2</v>
      </c>
      <c r="M168" s="2">
        <f t="shared" si="67"/>
        <v>6</v>
      </c>
      <c r="N168" s="2">
        <f t="shared" si="67"/>
        <v>0</v>
      </c>
      <c r="O168" s="2">
        <f>SUM(N77:N79,N82:N83,N85:N86,N88:N98,N100:N105,N108,N109,N112,N114:N120,N122:N124,N129,N134,N136,N140,N143:N147,N149)</f>
        <v>15</v>
      </c>
      <c r="P168" s="11" t="s">
        <v>268</v>
      </c>
      <c r="Q168" s="2">
        <f>COUNTIF(P2:P149, "staphylococcus epidermidis")</f>
        <v>47</v>
      </c>
      <c r="R168" s="2">
        <f>COUNTIFS(P2:P149, "staphylococcus epidermidis", Q2:Q149, "1")</f>
        <v>3</v>
      </c>
      <c r="S168" s="2">
        <f>SUM(R77:R79,R82:R83,R85:R86,R88:R98,R100:R105,R108,R109,R112,R114:R120,R122:R124,R129,R134,R136,R140,R143:R147,R149)</f>
        <v>53</v>
      </c>
      <c r="V168" s="2">
        <f t="shared" ref="T168:W168" si="68">SUM(U77:U79,U82:U83,U85:U86,U88:U98,U100:U105,U108,U109,U112,U114:U120,U122:U124,U129,U134,U136,U140,U143:U147,U149)</f>
        <v>9</v>
      </c>
      <c r="W168" s="2">
        <f t="shared" si="68"/>
        <v>7</v>
      </c>
      <c r="X168" s="2">
        <f t="shared" ref="X168:AE168" si="69">SUM(W77:W79,W82:W83,W85:W86,W88:W98,W100:W105,W108,W109,W112,W114:W120,W122:W124,W129,W134,W136,W140,W143:W147,W149)</f>
        <v>1</v>
      </c>
      <c r="Y168" s="2">
        <f t="shared" si="69"/>
        <v>2</v>
      </c>
      <c r="Z168" s="2">
        <f t="shared" si="69"/>
        <v>5</v>
      </c>
      <c r="AA168" s="2">
        <f t="shared" si="69"/>
        <v>0</v>
      </c>
      <c r="AB168" s="2">
        <f t="shared" si="69"/>
        <v>0</v>
      </c>
      <c r="AC168" s="2">
        <f t="shared" si="69"/>
        <v>0</v>
      </c>
      <c r="AD168" s="2">
        <f t="shared" si="69"/>
        <v>1</v>
      </c>
      <c r="AE168" s="2">
        <f t="shared" si="69"/>
        <v>0</v>
      </c>
      <c r="AF168" s="2">
        <f t="shared" ref="AF168:AL168" si="70">SUM(AE77:AE79,AE82:AE83,AE85:AE86,AE88:AE98,AE100:AE105,AE108,AE109,AE112,AE114:AE120,AE122:AE124,AE129,AE134,AE136,AE140,AE143:AE147,AE149)</f>
        <v>38</v>
      </c>
      <c r="AH168" s="2">
        <f t="shared" si="70"/>
        <v>3</v>
      </c>
      <c r="AI168" s="2">
        <f t="shared" si="70"/>
        <v>13</v>
      </c>
      <c r="AJ168" s="2">
        <f t="shared" si="70"/>
        <v>44</v>
      </c>
      <c r="AK168" s="2">
        <f t="shared" si="70"/>
        <v>40</v>
      </c>
      <c r="AL168" s="2">
        <f t="shared" si="70"/>
        <v>24</v>
      </c>
      <c r="AP168" s="2">
        <f t="shared" ref="AM168:AU168" si="71">SUM(AO77:AO79,AO82:AO83,AO85:AO86,AO88:AO98,AO100:AO105,AO108,AO109,AO112,AO114:AO120,AO122:AO124,AO129,AO134,AO136,AO140,AO143:AO147,AO149)</f>
        <v>2</v>
      </c>
      <c r="AU168" s="38">
        <f t="shared" si="71"/>
        <v>5</v>
      </c>
    </row>
    <row r="169" spans="3:47">
      <c r="I169" s="37">
        <f t="shared" ref="I169:N169" si="72">SUM(H87,H106,H113,H125,H128,H133,H137:H139,H141:H142,H148)</f>
        <v>6</v>
      </c>
      <c r="J169" s="2">
        <f t="shared" si="72"/>
        <v>0</v>
      </c>
      <c r="K169" s="2">
        <f t="shared" si="72"/>
        <v>0</v>
      </c>
      <c r="L169" s="2">
        <f t="shared" si="72"/>
        <v>1</v>
      </c>
      <c r="M169" s="2">
        <f t="shared" si="72"/>
        <v>2</v>
      </c>
      <c r="N169" s="2">
        <f t="shared" si="72"/>
        <v>0</v>
      </c>
      <c r="O169" s="2">
        <f>SUM(N87,N106,N113,N125,N128,N133,N137:N139,N141:N142,N148)</f>
        <v>3</v>
      </c>
      <c r="P169" s="11" t="s">
        <v>269</v>
      </c>
      <c r="Q169" s="2">
        <f>COUNTIF(P2:P149, "staphylococcus hominis")</f>
        <v>12</v>
      </c>
      <c r="R169" s="2">
        <f>COUNTIFS(P2:P149, "staphylococcus hominis", Q2:Q149, "1")</f>
        <v>0</v>
      </c>
      <c r="S169" s="2">
        <f>SUM(R87,R106,R113,R125,R128,R133,R137:R139,R141:R142,R148)</f>
        <v>12</v>
      </c>
      <c r="V169" s="2">
        <f t="shared" ref="T169:W169" si="73">SUM(U87,U106,U113,U125,U128,U133,U137:U139,U141:U142,U148)</f>
        <v>0</v>
      </c>
      <c r="W169" s="2">
        <f t="shared" si="73"/>
        <v>0</v>
      </c>
      <c r="X169" s="2">
        <f t="shared" ref="X169:AE169" si="74">SUM(W87,W106,W113,W125,W128,W133,W137:W139,W141:W142,W148)</f>
        <v>0</v>
      </c>
      <c r="Y169" s="2">
        <f t="shared" si="74"/>
        <v>0</v>
      </c>
      <c r="Z169" s="2">
        <f t="shared" si="74"/>
        <v>0</v>
      </c>
      <c r="AA169" s="2">
        <f t="shared" si="74"/>
        <v>0</v>
      </c>
      <c r="AB169" s="2">
        <f t="shared" si="74"/>
        <v>0</v>
      </c>
      <c r="AC169" s="2">
        <f t="shared" si="74"/>
        <v>0</v>
      </c>
      <c r="AD169" s="2">
        <f t="shared" si="74"/>
        <v>0</v>
      </c>
      <c r="AE169" s="2">
        <f t="shared" si="74"/>
        <v>0</v>
      </c>
      <c r="AF169" s="2">
        <f t="shared" ref="AF169:AL169" si="75">SUM(AE87,AE106,AE113,AE125,AE128,AE133,AE137:AE139,AE141:AE142,AE148)</f>
        <v>12</v>
      </c>
      <c r="AH169" s="2">
        <f t="shared" si="75"/>
        <v>0</v>
      </c>
      <c r="AI169" s="2">
        <f t="shared" si="75"/>
        <v>6</v>
      </c>
      <c r="AJ169" s="2">
        <f t="shared" si="75"/>
        <v>12</v>
      </c>
      <c r="AK169" s="2">
        <f t="shared" si="75"/>
        <v>11</v>
      </c>
      <c r="AL169" s="2">
        <f t="shared" si="75"/>
        <v>5</v>
      </c>
      <c r="AP169" s="2">
        <f t="shared" ref="AM169:AU169" si="76">SUM(AO87,AO106,AO113,AO125,AO128,AO133,AO137:AO139,AO141:AO142,AO148)</f>
        <v>1</v>
      </c>
      <c r="AU169" s="38">
        <f t="shared" si="76"/>
        <v>0</v>
      </c>
    </row>
    <row r="170" spans="3:47">
      <c r="I170" s="37">
        <f t="shared" ref="I170:N170" si="77">SUM(H99,H111,H127,H130:H132,H135)</f>
        <v>1</v>
      </c>
      <c r="J170" s="2">
        <f t="shared" si="77"/>
        <v>0</v>
      </c>
      <c r="K170" s="2">
        <f t="shared" si="77"/>
        <v>0</v>
      </c>
      <c r="L170" s="2">
        <f t="shared" si="77"/>
        <v>0</v>
      </c>
      <c r="M170" s="2">
        <f t="shared" si="77"/>
        <v>0</v>
      </c>
      <c r="N170" s="2">
        <f t="shared" si="77"/>
        <v>0</v>
      </c>
      <c r="O170" s="2">
        <f>SUM(N99,N111,N127,N130:N132,N135)</f>
        <v>1</v>
      </c>
      <c r="P170" s="11" t="s">
        <v>270</v>
      </c>
      <c r="Q170" s="2">
        <f>COUNTIF(P2:P149, "staphylococcus capitis")</f>
        <v>7</v>
      </c>
      <c r="R170" s="2">
        <f>COUNTIFS(P2:P149, "staphylococcus capitis", Q2:Q149, "1")</f>
        <v>0</v>
      </c>
      <c r="S170" s="2">
        <f>SUM(R99,R111,R127,R130:R132,R135)</f>
        <v>7</v>
      </c>
      <c r="V170" s="2">
        <f t="shared" ref="T170:W170" si="78">SUM(U99,U111,U127,U130:U132,U135)</f>
        <v>0</v>
      </c>
      <c r="W170" s="2">
        <f t="shared" si="78"/>
        <v>0</v>
      </c>
      <c r="X170" s="2">
        <f t="shared" ref="X170:AE170" si="79">SUM(W99,W111,W127,W130:W132,W135)</f>
        <v>0</v>
      </c>
      <c r="Y170" s="2">
        <f t="shared" si="79"/>
        <v>0</v>
      </c>
      <c r="Z170" s="2">
        <f t="shared" si="79"/>
        <v>0</v>
      </c>
      <c r="AA170" s="2">
        <f t="shared" si="79"/>
        <v>0</v>
      </c>
      <c r="AB170" s="2">
        <f t="shared" si="79"/>
        <v>0</v>
      </c>
      <c r="AC170" s="2">
        <f t="shared" si="79"/>
        <v>0</v>
      </c>
      <c r="AD170" s="2">
        <f t="shared" si="79"/>
        <v>0</v>
      </c>
      <c r="AE170" s="2">
        <f t="shared" si="79"/>
        <v>0</v>
      </c>
      <c r="AF170" s="2">
        <f t="shared" ref="AF170:AL170" si="80">SUM(AE99,AE111,AE127,AE130:AE132,AE135)</f>
        <v>7</v>
      </c>
      <c r="AH170" s="2">
        <f t="shared" si="80"/>
        <v>1</v>
      </c>
      <c r="AI170" s="2">
        <f t="shared" si="80"/>
        <v>2</v>
      </c>
      <c r="AJ170" s="2">
        <f t="shared" si="80"/>
        <v>6</v>
      </c>
      <c r="AK170" s="2">
        <f t="shared" si="80"/>
        <v>6</v>
      </c>
      <c r="AL170" s="2">
        <f t="shared" si="80"/>
        <v>3</v>
      </c>
      <c r="AP170" s="2">
        <f t="shared" ref="AM170:AU170" si="81">SUM(AO99,AO111,AO127,AO130:AO132,AO135)</f>
        <v>0</v>
      </c>
      <c r="AU170" s="38">
        <f t="shared" si="81"/>
        <v>0</v>
      </c>
    </row>
    <row r="171" spans="3:47">
      <c r="I171" s="37">
        <f t="shared" ref="I171:N171" si="82">SUM(H107,H121,H126)</f>
        <v>1</v>
      </c>
      <c r="J171" s="2">
        <f t="shared" si="82"/>
        <v>0</v>
      </c>
      <c r="K171" s="2">
        <f t="shared" si="82"/>
        <v>0</v>
      </c>
      <c r="L171" s="2">
        <f t="shared" si="82"/>
        <v>0</v>
      </c>
      <c r="M171" s="2">
        <f t="shared" si="82"/>
        <v>0</v>
      </c>
      <c r="N171" s="2">
        <f t="shared" si="82"/>
        <v>0</v>
      </c>
      <c r="O171" s="2">
        <f>SUM(N107,N121,N126)</f>
        <v>1</v>
      </c>
      <c r="P171" s="11" t="s">
        <v>271</v>
      </c>
      <c r="Q171" s="2">
        <f>COUNTIF(P2:P149, "staphylococcus haemolyticus")</f>
        <v>3</v>
      </c>
      <c r="R171" s="2">
        <f>COUNTIFS(P2:P149, "staphylococcus haemolyticus", Q2:Q149, "1")</f>
        <v>1</v>
      </c>
      <c r="S171" s="2">
        <f>SUM(R107,R121,R126)</f>
        <v>4</v>
      </c>
      <c r="V171" s="2">
        <f t="shared" ref="T171:W171" si="83">SUM(U107,U121,U126)</f>
        <v>1</v>
      </c>
      <c r="W171" s="2">
        <f t="shared" si="83"/>
        <v>0</v>
      </c>
      <c r="X171" s="2">
        <f t="shared" ref="X171:AE171" si="84">SUM(W107,W121,W126)</f>
        <v>0</v>
      </c>
      <c r="Y171" s="2">
        <f t="shared" si="84"/>
        <v>0</v>
      </c>
      <c r="Z171" s="2">
        <f t="shared" si="84"/>
        <v>0</v>
      </c>
      <c r="AA171" s="2">
        <f t="shared" si="84"/>
        <v>0</v>
      </c>
      <c r="AB171" s="2">
        <f t="shared" si="84"/>
        <v>0</v>
      </c>
      <c r="AC171" s="2">
        <f t="shared" si="84"/>
        <v>0</v>
      </c>
      <c r="AD171" s="2">
        <f t="shared" si="84"/>
        <v>0</v>
      </c>
      <c r="AE171" s="2">
        <f t="shared" si="84"/>
        <v>0</v>
      </c>
      <c r="AF171" s="2">
        <f t="shared" ref="AF171:AL171" si="85">SUM(AE107,AE121,AE126)</f>
        <v>3</v>
      </c>
      <c r="AH171" s="2">
        <f t="shared" si="85"/>
        <v>0</v>
      </c>
      <c r="AI171" s="2">
        <f t="shared" si="85"/>
        <v>1</v>
      </c>
      <c r="AJ171" s="2">
        <f t="shared" si="85"/>
        <v>3</v>
      </c>
      <c r="AK171" s="2">
        <f t="shared" si="85"/>
        <v>3</v>
      </c>
      <c r="AL171" s="2">
        <f t="shared" si="85"/>
        <v>1</v>
      </c>
      <c r="AP171" s="2">
        <f t="shared" ref="AM171:AU171" si="86">SUM(AO107,AO121,AO126)</f>
        <v>0</v>
      </c>
      <c r="AU171" s="38">
        <f t="shared" si="86"/>
        <v>0</v>
      </c>
    </row>
    <row r="172" spans="3:47">
      <c r="I172" s="37">
        <f t="shared" ref="I172:N172" si="87">SUM(H81,H110,H84)</f>
        <v>2</v>
      </c>
      <c r="J172" s="2">
        <f t="shared" si="87"/>
        <v>0</v>
      </c>
      <c r="K172" s="2">
        <f t="shared" si="87"/>
        <v>0</v>
      </c>
      <c r="L172" s="2">
        <f t="shared" si="87"/>
        <v>0</v>
      </c>
      <c r="M172" s="2">
        <f t="shared" si="87"/>
        <v>1</v>
      </c>
      <c r="N172" s="2">
        <f t="shared" si="87"/>
        <v>0</v>
      </c>
      <c r="O172" s="2">
        <f>SUM(N81,N110,N84)</f>
        <v>2</v>
      </c>
      <c r="P172" s="11" t="s">
        <v>272</v>
      </c>
      <c r="Q172" s="2">
        <f>COUNTIF(P2:P149, "staphylococcus pettenkoferi")</f>
        <v>3</v>
      </c>
      <c r="R172" s="2">
        <f>COUNTIFS(P2:P149, "staphylococcus pettenkoferi", Q2:Q149, "1")</f>
        <v>0</v>
      </c>
      <c r="S172" s="2">
        <f>SUM(R81,R110,R84)</f>
        <v>3</v>
      </c>
      <c r="V172" s="2">
        <f t="shared" ref="T172:W172" si="88">SUM(U81,U110,U84)</f>
        <v>0</v>
      </c>
      <c r="W172" s="2">
        <f t="shared" si="88"/>
        <v>1</v>
      </c>
      <c r="X172" s="2">
        <f t="shared" ref="X172:AE172" si="89">SUM(W81,W110,W84)</f>
        <v>0</v>
      </c>
      <c r="Y172" s="2">
        <f t="shared" si="89"/>
        <v>0</v>
      </c>
      <c r="Z172" s="2">
        <f t="shared" si="89"/>
        <v>1</v>
      </c>
      <c r="AA172" s="2">
        <f t="shared" si="89"/>
        <v>0</v>
      </c>
      <c r="AB172" s="2">
        <f t="shared" si="89"/>
        <v>0</v>
      </c>
      <c r="AC172" s="2">
        <f t="shared" si="89"/>
        <v>0</v>
      </c>
      <c r="AD172" s="2">
        <f t="shared" si="89"/>
        <v>0</v>
      </c>
      <c r="AE172" s="2">
        <f t="shared" si="89"/>
        <v>0</v>
      </c>
      <c r="AF172" s="2">
        <f t="shared" ref="AF172:AL172" si="90">SUM(AE81,AE110,AE84)</f>
        <v>3</v>
      </c>
      <c r="AH172" s="2">
        <f t="shared" si="90"/>
        <v>0</v>
      </c>
      <c r="AI172" s="2">
        <f t="shared" si="90"/>
        <v>1</v>
      </c>
      <c r="AJ172" s="2">
        <f t="shared" si="90"/>
        <v>2</v>
      </c>
      <c r="AK172" s="2">
        <f t="shared" si="90"/>
        <v>3</v>
      </c>
      <c r="AL172" s="2">
        <f t="shared" si="90"/>
        <v>1</v>
      </c>
      <c r="AP172" s="2">
        <f t="shared" ref="AM172:AU172" si="91">SUM(AO81,AO110,AO84)</f>
        <v>0</v>
      </c>
      <c r="AU172" s="38">
        <f t="shared" si="91"/>
        <v>0</v>
      </c>
    </row>
    <row r="173" spans="3:47">
      <c r="I173" s="39">
        <f t="shared" ref="I173:N173" si="92">SUM(H80)</f>
        <v>0</v>
      </c>
      <c r="J173" s="40">
        <f t="shared" si="92"/>
        <v>0</v>
      </c>
      <c r="K173" s="40">
        <f t="shared" si="92"/>
        <v>0</v>
      </c>
      <c r="L173" s="40">
        <f t="shared" si="92"/>
        <v>0</v>
      </c>
      <c r="M173" s="40">
        <f t="shared" si="92"/>
        <v>0</v>
      </c>
      <c r="N173" s="40">
        <f t="shared" si="92"/>
        <v>0</v>
      </c>
      <c r="O173" s="40">
        <f>SUM(N80)</f>
        <v>0</v>
      </c>
      <c r="P173" s="41" t="s">
        <v>273</v>
      </c>
      <c r="Q173" s="40">
        <f>COUNTIF(P2:P149, "staphylococcus saccarolyticus")</f>
        <v>1</v>
      </c>
      <c r="R173" s="40">
        <f>COUNTIFS(P2:P149, "staphylococcus saccarolyticus", Q2:Q149, "1")</f>
        <v>0</v>
      </c>
      <c r="S173" s="40">
        <f>SUM(R80)</f>
        <v>1</v>
      </c>
      <c r="T173" s="40"/>
      <c r="U173" s="40"/>
      <c r="V173" s="40">
        <f t="shared" ref="T173:W173" si="93">SUM(U80)</f>
        <v>0</v>
      </c>
      <c r="W173" s="40">
        <f t="shared" si="93"/>
        <v>1</v>
      </c>
      <c r="X173" s="40">
        <f t="shared" ref="X173:AE173" si="94">SUM(W80)</f>
        <v>0</v>
      </c>
      <c r="Y173" s="40">
        <f t="shared" si="94"/>
        <v>0</v>
      </c>
      <c r="Z173" s="40">
        <f t="shared" si="94"/>
        <v>0</v>
      </c>
      <c r="AA173" s="40">
        <f t="shared" si="94"/>
        <v>0</v>
      </c>
      <c r="AB173" s="40">
        <f t="shared" si="94"/>
        <v>0</v>
      </c>
      <c r="AC173" s="40">
        <f t="shared" si="94"/>
        <v>0</v>
      </c>
      <c r="AD173" s="40">
        <f t="shared" si="94"/>
        <v>0</v>
      </c>
      <c r="AE173" s="40">
        <f t="shared" si="94"/>
        <v>1</v>
      </c>
      <c r="AF173" s="40">
        <f t="shared" ref="AF173:AL173" si="95">SUM(AE80)</f>
        <v>1</v>
      </c>
      <c r="AG173" s="40"/>
      <c r="AH173" s="40">
        <f t="shared" si="95"/>
        <v>0</v>
      </c>
      <c r="AI173" s="40">
        <f t="shared" si="95"/>
        <v>0</v>
      </c>
      <c r="AJ173" s="40">
        <f t="shared" si="95"/>
        <v>1</v>
      </c>
      <c r="AK173" s="40">
        <f t="shared" si="95"/>
        <v>0</v>
      </c>
      <c r="AL173" s="40">
        <f t="shared" si="95"/>
        <v>1</v>
      </c>
      <c r="AM173" s="40"/>
      <c r="AN173" s="40"/>
      <c r="AO173" s="40"/>
      <c r="AP173" s="40">
        <f t="shared" ref="AM173:AU173" si="96">SUM(AO80)</f>
        <v>0</v>
      </c>
      <c r="AQ173" s="40"/>
      <c r="AR173" s="40"/>
      <c r="AS173" s="40"/>
      <c r="AT173" s="40"/>
      <c r="AU173" s="42">
        <f t="shared" si="96"/>
        <v>1</v>
      </c>
    </row>
    <row r="175" spans="3:47">
      <c r="I175" s="2">
        <f t="shared" ref="I175:N175" si="97">SUM(I153:I173)</f>
        <v>73</v>
      </c>
      <c r="J175" s="2">
        <f t="shared" si="97"/>
        <v>5</v>
      </c>
      <c r="K175" s="2">
        <f t="shared" si="97"/>
        <v>6</v>
      </c>
      <c r="L175" s="2">
        <f t="shared" si="97"/>
        <v>11</v>
      </c>
      <c r="M175" s="2">
        <f t="shared" si="97"/>
        <v>25</v>
      </c>
      <c r="N175" s="2">
        <f t="shared" si="97"/>
        <v>2</v>
      </c>
      <c r="O175" s="2">
        <f t="shared" ref="O175" si="98">SUM(O153:O173)</f>
        <v>59</v>
      </c>
      <c r="P175" s="7" t="s">
        <v>274</v>
      </c>
      <c r="Q175" s="2">
        <f t="shared" ref="Q175:U175" si="99">SUM(Q153:Q173)</f>
        <v>148</v>
      </c>
      <c r="R175" s="2">
        <f t="shared" si="99"/>
        <v>50</v>
      </c>
      <c r="S175" s="2">
        <f t="shared" si="99"/>
        <v>263</v>
      </c>
      <c r="V175" s="2">
        <f t="shared" ref="T175:W175" si="100">SUM(V153:V173)</f>
        <v>134</v>
      </c>
      <c r="W175" s="2">
        <f t="shared" si="100"/>
        <v>63</v>
      </c>
      <c r="X175" s="2">
        <f t="shared" ref="X175:AE175" si="101">SUM(X153:X173)</f>
        <v>9</v>
      </c>
      <c r="Y175" s="2">
        <f t="shared" si="101"/>
        <v>13</v>
      </c>
      <c r="Z175" s="2">
        <f t="shared" si="101"/>
        <v>18</v>
      </c>
      <c r="AA175" s="2">
        <f t="shared" si="101"/>
        <v>12</v>
      </c>
      <c r="AB175" s="2">
        <f t="shared" si="101"/>
        <v>8</v>
      </c>
      <c r="AC175" s="2">
        <f t="shared" si="101"/>
        <v>6</v>
      </c>
      <c r="AD175" s="2">
        <f t="shared" si="101"/>
        <v>9</v>
      </c>
      <c r="AE175" s="2">
        <f t="shared" si="101"/>
        <v>13</v>
      </c>
      <c r="AF175" s="2">
        <f t="shared" ref="AF175:AL175" si="102">SUM(AF153:AF173)</f>
        <v>137</v>
      </c>
      <c r="AH175" s="2">
        <f t="shared" si="102"/>
        <v>55</v>
      </c>
      <c r="AI175" s="2">
        <f t="shared" si="102"/>
        <v>75</v>
      </c>
      <c r="AJ175" s="2">
        <f t="shared" si="102"/>
        <v>128</v>
      </c>
      <c r="AK175" s="2">
        <f t="shared" si="102"/>
        <v>121</v>
      </c>
      <c r="AL175" s="2">
        <f t="shared" si="102"/>
        <v>99</v>
      </c>
      <c r="AP175" s="2">
        <f t="shared" ref="AM175:AU175" si="103">SUM(AP153:AP173)</f>
        <v>21</v>
      </c>
      <c r="AU175" s="2">
        <f t="shared" si="103"/>
        <v>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DEC00-26A1-43F0-94D3-F0F2D495C5C1}">
  <dimension ref="A1:AU135"/>
  <sheetViews>
    <sheetView workbookViewId="0">
      <pane xSplit="2" ySplit="1" topLeftCell="C126" activePane="bottomRight" state="frozen"/>
      <selection pane="bottomRight" activeCell="B1" sqref="B1:B135"/>
      <selection pane="bottomLeft"/>
      <selection pane="topRight"/>
    </sheetView>
  </sheetViews>
  <sheetFormatPr defaultRowHeight="15"/>
  <cols>
    <col min="1" max="1" width="7.42578125" style="2" customWidth="1"/>
    <col min="2" max="2" width="14.42578125" style="2" customWidth="1"/>
    <col min="3" max="3" width="12.140625" style="2" customWidth="1"/>
    <col min="4" max="4" width="12.5703125" style="2" customWidth="1"/>
    <col min="5" max="8" width="9.140625" style="2"/>
    <col min="9" max="12" width="13.140625" style="2" customWidth="1"/>
    <col min="13" max="14" width="15.140625" style="2" customWidth="1"/>
    <col min="15" max="15" width="16.5703125" style="2" customWidth="1"/>
    <col min="16" max="16" width="16.7109375" style="2" customWidth="1"/>
    <col min="17" max="17" width="40.42578125" style="2" customWidth="1"/>
    <col min="18" max="18" width="11.42578125" style="2" customWidth="1"/>
    <col min="19" max="19" width="12.140625" style="2" customWidth="1"/>
    <col min="20" max="22" width="12.42578125" style="2" customWidth="1"/>
    <col min="23" max="32" width="17.42578125" style="2" customWidth="1"/>
    <col min="33" max="33" width="12.7109375" style="2" customWidth="1"/>
    <col min="34" max="34" width="14.42578125" style="2" customWidth="1"/>
    <col min="35" max="35" width="12.7109375" style="2" customWidth="1"/>
    <col min="36" max="36" width="18.7109375" style="2" customWidth="1"/>
    <col min="37" max="37" width="17" style="2" customWidth="1"/>
    <col min="38" max="39" width="12.140625" style="2" customWidth="1"/>
    <col min="40" max="40" width="13.28515625" style="2" customWidth="1"/>
    <col min="41" max="41" width="17.28515625" style="2" customWidth="1"/>
    <col min="42" max="42" width="9.140625" style="2"/>
    <col min="43" max="43" width="11.28515625" style="2" customWidth="1"/>
    <col min="44" max="44" width="13.85546875" style="2" customWidth="1"/>
    <col min="45" max="45" width="16.42578125" style="2" customWidth="1"/>
    <col min="46" max="46" width="15.5703125" style="2" customWidth="1"/>
    <col min="47" max="47" width="13" style="2" customWidth="1"/>
    <col min="48" max="48" width="67.7109375" style="2" customWidth="1"/>
    <col min="49" max="16384" width="9.140625" style="2"/>
  </cols>
  <sheetData>
    <row r="1" spans="1:47" s="1" customFormat="1" ht="63.75" customHeight="1">
      <c r="A1" s="1" t="s">
        <v>0</v>
      </c>
      <c r="B1" s="3" t="s">
        <v>1</v>
      </c>
      <c r="C1" s="3" t="s">
        <v>2</v>
      </c>
      <c r="D1" s="3" t="s">
        <v>3</v>
      </c>
      <c r="E1" s="3" t="s">
        <v>4</v>
      </c>
      <c r="F1" s="3" t="s">
        <v>5</v>
      </c>
      <c r="G1" s="3" t="s">
        <v>6</v>
      </c>
      <c r="H1" s="1" t="s">
        <v>7</v>
      </c>
      <c r="I1" s="1" t="s">
        <v>8</v>
      </c>
      <c r="J1" s="1" t="s">
        <v>9</v>
      </c>
      <c r="K1" s="1" t="s">
        <v>10</v>
      </c>
      <c r="L1" s="1" t="s">
        <v>11</v>
      </c>
      <c r="M1" s="1" t="s">
        <v>12</v>
      </c>
      <c r="N1" s="1" t="s">
        <v>13</v>
      </c>
      <c r="O1" s="1" t="s">
        <v>14</v>
      </c>
      <c r="P1" s="4" t="s">
        <v>15</v>
      </c>
      <c r="Q1" s="1" t="s">
        <v>16</v>
      </c>
      <c r="R1" s="1" t="s">
        <v>17</v>
      </c>
      <c r="S1" s="1" t="s">
        <v>18</v>
      </c>
      <c r="T1" s="1" t="s">
        <v>19</v>
      </c>
      <c r="U1" s="1" t="s">
        <v>275</v>
      </c>
      <c r="V1" s="1" t="s">
        <v>20</v>
      </c>
      <c r="W1" s="1" t="s">
        <v>21</v>
      </c>
      <c r="X1" s="1" t="s">
        <v>22</v>
      </c>
      <c r="Y1" s="1" t="s">
        <v>23</v>
      </c>
      <c r="Z1" s="1" t="s">
        <v>24</v>
      </c>
      <c r="AA1" s="1" t="s">
        <v>25</v>
      </c>
      <c r="AB1" s="1" t="s">
        <v>26</v>
      </c>
      <c r="AC1" s="1" t="s">
        <v>27</v>
      </c>
      <c r="AD1" s="1" t="s">
        <v>28</v>
      </c>
      <c r="AE1" s="4" t="s">
        <v>29</v>
      </c>
      <c r="AF1" s="1" t="s">
        <v>30</v>
      </c>
      <c r="AG1" s="1" t="s">
        <v>31</v>
      </c>
      <c r="AH1" s="1" t="s">
        <v>32</v>
      </c>
      <c r="AI1" s="1" t="s">
        <v>33</v>
      </c>
      <c r="AJ1" s="1" t="s">
        <v>34</v>
      </c>
      <c r="AK1" s="4" t="s">
        <v>35</v>
      </c>
      <c r="AL1" s="4" t="s">
        <v>36</v>
      </c>
      <c r="AM1" s="1" t="s">
        <v>37</v>
      </c>
      <c r="AN1" s="1" t="s">
        <v>38</v>
      </c>
      <c r="AO1" s="3" t="s">
        <v>39</v>
      </c>
      <c r="AP1" s="3" t="s">
        <v>40</v>
      </c>
      <c r="AQ1" s="1" t="s">
        <v>41</v>
      </c>
      <c r="AR1" s="1" t="s">
        <v>42</v>
      </c>
      <c r="AS1" s="1" t="s">
        <v>43</v>
      </c>
      <c r="AT1" s="1" t="s">
        <v>44</v>
      </c>
      <c r="AU1" s="1" t="s">
        <v>45</v>
      </c>
    </row>
    <row r="2" spans="1:47">
      <c r="A2" s="2">
        <v>1</v>
      </c>
      <c r="B2" s="5">
        <v>45442</v>
      </c>
      <c r="C2" s="5">
        <v>45462</v>
      </c>
      <c r="D2" s="2">
        <f>C2-B2</f>
        <v>20</v>
      </c>
      <c r="E2" s="2">
        <v>85</v>
      </c>
      <c r="F2" s="2">
        <v>1</v>
      </c>
      <c r="G2" s="2">
        <v>2</v>
      </c>
      <c r="H2" s="2">
        <v>1</v>
      </c>
      <c r="I2" s="2">
        <v>0</v>
      </c>
      <c r="J2" s="2">
        <v>1</v>
      </c>
      <c r="K2" s="2">
        <v>1</v>
      </c>
      <c r="L2" s="2">
        <v>0</v>
      </c>
      <c r="M2" s="2">
        <v>0</v>
      </c>
      <c r="N2" s="2">
        <v>1</v>
      </c>
      <c r="O2" s="2" t="s">
        <v>46</v>
      </c>
      <c r="P2" t="s">
        <v>47</v>
      </c>
      <c r="Q2" s="2">
        <v>1</v>
      </c>
      <c r="R2" s="2">
        <v>11</v>
      </c>
      <c r="S2" s="5">
        <v>45442</v>
      </c>
      <c r="T2" s="5">
        <v>45455</v>
      </c>
      <c r="U2" s="28">
        <f>T2-S2</f>
        <v>13</v>
      </c>
      <c r="V2" s="2">
        <v>0</v>
      </c>
      <c r="W2" s="2">
        <v>0</v>
      </c>
      <c r="X2" s="2">
        <v>0</v>
      </c>
      <c r="Y2" s="2">
        <v>0</v>
      </c>
      <c r="Z2" s="2">
        <v>0</v>
      </c>
      <c r="AA2" s="2">
        <v>0</v>
      </c>
      <c r="AB2" s="2">
        <v>0</v>
      </c>
      <c r="AC2" s="2">
        <v>0</v>
      </c>
      <c r="AD2" s="2">
        <v>0</v>
      </c>
      <c r="AE2" s="2">
        <v>1</v>
      </c>
      <c r="AF2" s="2" t="s">
        <v>48</v>
      </c>
      <c r="AG2" s="2">
        <v>1</v>
      </c>
      <c r="AH2" s="2">
        <v>0</v>
      </c>
      <c r="AI2" s="2">
        <v>1</v>
      </c>
      <c r="AJ2" s="2">
        <v>1</v>
      </c>
      <c r="AK2" s="2">
        <v>1</v>
      </c>
      <c r="AL2" s="5">
        <v>45443</v>
      </c>
      <c r="AM2" s="2">
        <v>0</v>
      </c>
      <c r="AN2" s="11">
        <v>0</v>
      </c>
      <c r="AO2" s="2">
        <v>1</v>
      </c>
      <c r="AP2" s="5">
        <v>45446</v>
      </c>
      <c r="AQ2" s="2">
        <v>0</v>
      </c>
      <c r="AR2" s="2">
        <v>0</v>
      </c>
      <c r="AS2" s="2">
        <v>0</v>
      </c>
      <c r="AT2" s="2">
        <v>0</v>
      </c>
      <c r="AU2" s="2" t="s">
        <v>49</v>
      </c>
    </row>
    <row r="3" spans="1:47">
      <c r="A3" s="2">
        <v>2</v>
      </c>
      <c r="B3" s="5">
        <v>45446</v>
      </c>
      <c r="E3" s="2">
        <v>78</v>
      </c>
      <c r="F3" s="2">
        <v>1</v>
      </c>
      <c r="G3" s="2">
        <v>3</v>
      </c>
      <c r="H3" s="2">
        <v>0</v>
      </c>
      <c r="I3" s="2">
        <v>0</v>
      </c>
      <c r="J3" s="2">
        <v>0</v>
      </c>
      <c r="K3" s="2">
        <v>0</v>
      </c>
      <c r="L3" s="2">
        <v>0</v>
      </c>
      <c r="M3" s="2">
        <v>0</v>
      </c>
      <c r="N3" s="2">
        <v>0</v>
      </c>
      <c r="P3" t="s">
        <v>47</v>
      </c>
      <c r="Q3" s="2">
        <v>1</v>
      </c>
      <c r="R3" s="2">
        <v>6</v>
      </c>
      <c r="S3" s="5">
        <v>45446</v>
      </c>
      <c r="T3" s="5">
        <v>45450</v>
      </c>
      <c r="U3" s="28">
        <f t="shared" ref="U3:U66" si="0">T3-S3</f>
        <v>4</v>
      </c>
      <c r="V3" s="2">
        <v>1</v>
      </c>
      <c r="W3" s="2">
        <v>1</v>
      </c>
      <c r="X3" s="2">
        <v>0</v>
      </c>
      <c r="Y3" s="2">
        <v>0</v>
      </c>
      <c r="Z3" s="2">
        <v>0</v>
      </c>
      <c r="AA3" s="2">
        <v>0</v>
      </c>
      <c r="AB3" s="2">
        <v>0</v>
      </c>
      <c r="AC3" s="2">
        <v>0</v>
      </c>
      <c r="AD3" s="2">
        <v>0</v>
      </c>
      <c r="AE3" s="2">
        <v>1</v>
      </c>
      <c r="AF3" s="2" t="s">
        <v>48</v>
      </c>
      <c r="AG3" s="2">
        <v>1</v>
      </c>
      <c r="AH3" s="2">
        <v>1</v>
      </c>
      <c r="AI3" s="2">
        <v>1</v>
      </c>
      <c r="AJ3" s="2">
        <v>1</v>
      </c>
      <c r="AK3" s="2">
        <v>1</v>
      </c>
      <c r="AL3" s="5">
        <v>45448</v>
      </c>
      <c r="AM3" s="2">
        <v>0</v>
      </c>
      <c r="AN3" s="2">
        <v>0</v>
      </c>
      <c r="AO3" s="2">
        <v>0</v>
      </c>
      <c r="AT3" s="2">
        <v>1</v>
      </c>
      <c r="AU3" s="2" t="s">
        <v>50</v>
      </c>
    </row>
    <row r="4" spans="1:47">
      <c r="A4" s="8">
        <v>3</v>
      </c>
      <c r="B4" s="5">
        <v>45448</v>
      </c>
      <c r="C4" s="6">
        <v>45465</v>
      </c>
      <c r="D4" s="2">
        <f t="shared" ref="D4:D56" si="1">C4-B4</f>
        <v>17</v>
      </c>
      <c r="E4" s="2">
        <v>62</v>
      </c>
      <c r="F4" s="2">
        <v>1</v>
      </c>
      <c r="G4" s="2">
        <v>2</v>
      </c>
      <c r="H4" s="2">
        <v>1</v>
      </c>
      <c r="I4" s="2">
        <v>0</v>
      </c>
      <c r="J4" s="2">
        <v>0</v>
      </c>
      <c r="K4" s="2">
        <v>0</v>
      </c>
      <c r="L4" s="2">
        <v>0</v>
      </c>
      <c r="M4" s="2">
        <v>0</v>
      </c>
      <c r="N4" s="2">
        <v>1</v>
      </c>
      <c r="O4" s="2" t="s">
        <v>51</v>
      </c>
      <c r="P4" t="s">
        <v>52</v>
      </c>
      <c r="Q4" s="2">
        <v>1</v>
      </c>
      <c r="R4" s="2">
        <v>5</v>
      </c>
      <c r="S4" s="5">
        <v>45448</v>
      </c>
      <c r="T4" s="5">
        <v>45454</v>
      </c>
      <c r="U4" s="28">
        <f t="shared" si="0"/>
        <v>6</v>
      </c>
      <c r="V4" s="2">
        <v>0</v>
      </c>
      <c r="W4" s="2">
        <v>0</v>
      </c>
      <c r="X4" s="2">
        <v>0</v>
      </c>
      <c r="Y4" s="2">
        <v>0</v>
      </c>
      <c r="Z4" s="2">
        <v>0</v>
      </c>
      <c r="AA4" s="2">
        <v>0</v>
      </c>
      <c r="AB4" s="2">
        <v>0</v>
      </c>
      <c r="AC4" s="2">
        <v>0</v>
      </c>
      <c r="AD4" s="2">
        <v>1</v>
      </c>
      <c r="AE4" s="2">
        <v>1</v>
      </c>
      <c r="AF4" s="2" t="s">
        <v>53</v>
      </c>
      <c r="AG4" s="2">
        <v>0</v>
      </c>
      <c r="AH4" s="2">
        <v>1</v>
      </c>
      <c r="AI4" s="2">
        <v>0</v>
      </c>
      <c r="AJ4" s="2">
        <v>1</v>
      </c>
      <c r="AK4" s="2">
        <v>1</v>
      </c>
      <c r="AL4" s="5">
        <v>45448</v>
      </c>
      <c r="AM4" s="2">
        <v>0</v>
      </c>
      <c r="AN4" s="2">
        <v>0</v>
      </c>
      <c r="AO4" s="2">
        <v>1</v>
      </c>
      <c r="AP4" s="5">
        <v>45455</v>
      </c>
      <c r="AQ4" s="2">
        <v>0</v>
      </c>
      <c r="AR4" s="2">
        <v>1</v>
      </c>
      <c r="AS4" s="2">
        <v>0</v>
      </c>
      <c r="AT4" s="2">
        <v>1</v>
      </c>
      <c r="AU4" s="2" t="s">
        <v>54</v>
      </c>
    </row>
    <row r="5" spans="1:47">
      <c r="A5" s="2">
        <v>4</v>
      </c>
      <c r="B5" s="5">
        <v>45449</v>
      </c>
      <c r="C5" s="5">
        <v>45455</v>
      </c>
      <c r="D5" s="2">
        <f t="shared" si="1"/>
        <v>6</v>
      </c>
      <c r="E5" s="2">
        <v>77</v>
      </c>
      <c r="F5" s="2">
        <v>1</v>
      </c>
      <c r="G5" s="2">
        <v>2</v>
      </c>
      <c r="H5" s="2">
        <v>0</v>
      </c>
      <c r="I5" s="2">
        <v>0</v>
      </c>
      <c r="J5" s="2">
        <v>0</v>
      </c>
      <c r="K5" s="2">
        <v>0</v>
      </c>
      <c r="L5" s="2">
        <v>0</v>
      </c>
      <c r="M5" s="2">
        <v>0</v>
      </c>
      <c r="N5" s="2">
        <v>0</v>
      </c>
      <c r="P5" t="s">
        <v>52</v>
      </c>
      <c r="Q5" s="2">
        <v>1</v>
      </c>
      <c r="R5" s="2">
        <v>2</v>
      </c>
      <c r="S5" s="5">
        <v>45449</v>
      </c>
      <c r="T5" s="5">
        <v>45450</v>
      </c>
      <c r="U5" s="28">
        <f t="shared" si="0"/>
        <v>1</v>
      </c>
      <c r="V5" s="2">
        <v>1</v>
      </c>
      <c r="W5" s="2">
        <v>0</v>
      </c>
      <c r="X5" s="2">
        <v>0</v>
      </c>
      <c r="Y5" s="2">
        <v>0</v>
      </c>
      <c r="Z5" s="2">
        <v>0</v>
      </c>
      <c r="AA5" s="2">
        <v>0</v>
      </c>
      <c r="AB5" s="2">
        <v>0</v>
      </c>
      <c r="AC5" s="2">
        <v>1</v>
      </c>
      <c r="AD5" s="2">
        <v>1</v>
      </c>
      <c r="AE5" s="2">
        <v>1</v>
      </c>
      <c r="AF5" s="2" t="s">
        <v>55</v>
      </c>
      <c r="AG5" s="2">
        <v>0</v>
      </c>
      <c r="AH5" s="2">
        <v>1</v>
      </c>
      <c r="AI5" s="2">
        <v>1</v>
      </c>
      <c r="AJ5" s="2">
        <v>1</v>
      </c>
      <c r="AK5" s="2">
        <v>1</v>
      </c>
      <c r="AL5" s="5">
        <v>45450</v>
      </c>
      <c r="AM5" s="2">
        <v>0</v>
      </c>
      <c r="AN5" s="2">
        <v>0</v>
      </c>
      <c r="AO5" s="2">
        <v>1</v>
      </c>
      <c r="AP5" s="5">
        <v>45453</v>
      </c>
      <c r="AQ5" s="2">
        <v>0</v>
      </c>
      <c r="AR5" s="2">
        <v>0</v>
      </c>
      <c r="AS5" s="2">
        <v>0</v>
      </c>
      <c r="AT5" s="2">
        <v>0</v>
      </c>
      <c r="AU5" s="2" t="s">
        <v>56</v>
      </c>
    </row>
    <row r="6" spans="1:47">
      <c r="A6" s="8">
        <v>5</v>
      </c>
      <c r="B6" s="5">
        <v>45453</v>
      </c>
      <c r="C6" s="6">
        <v>45456</v>
      </c>
      <c r="D6" s="2">
        <f t="shared" si="1"/>
        <v>3</v>
      </c>
      <c r="E6" s="2">
        <v>71</v>
      </c>
      <c r="F6" s="2">
        <v>1</v>
      </c>
      <c r="G6" s="2">
        <v>2</v>
      </c>
      <c r="H6" s="2">
        <v>1</v>
      </c>
      <c r="I6" s="2">
        <v>0</v>
      </c>
      <c r="J6" s="2">
        <v>0</v>
      </c>
      <c r="K6" s="2">
        <v>0</v>
      </c>
      <c r="L6" s="2">
        <v>1</v>
      </c>
      <c r="M6" s="2">
        <v>1</v>
      </c>
      <c r="N6" s="2">
        <v>1</v>
      </c>
      <c r="O6" s="2" t="s">
        <v>57</v>
      </c>
      <c r="P6" t="s">
        <v>52</v>
      </c>
      <c r="Q6" s="2">
        <v>1</v>
      </c>
      <c r="R6" s="2">
        <v>2</v>
      </c>
      <c r="S6" s="5">
        <v>45453</v>
      </c>
      <c r="T6" s="5">
        <v>45454</v>
      </c>
      <c r="U6" s="28">
        <f t="shared" si="0"/>
        <v>1</v>
      </c>
      <c r="V6" s="2">
        <v>1</v>
      </c>
      <c r="W6" s="2">
        <v>0</v>
      </c>
      <c r="X6" s="2">
        <v>0</v>
      </c>
      <c r="Y6" s="2">
        <v>0</v>
      </c>
      <c r="Z6" s="2">
        <v>1</v>
      </c>
      <c r="AA6" s="2">
        <v>0</v>
      </c>
      <c r="AB6" s="2">
        <v>0</v>
      </c>
      <c r="AC6" s="2">
        <v>0</v>
      </c>
      <c r="AD6" s="2">
        <v>0</v>
      </c>
      <c r="AE6" s="2">
        <v>1</v>
      </c>
      <c r="AF6" s="2" t="s">
        <v>58</v>
      </c>
      <c r="AG6" s="2">
        <v>1</v>
      </c>
      <c r="AH6" s="2">
        <v>1</v>
      </c>
      <c r="AI6" s="2">
        <v>1</v>
      </c>
      <c r="AJ6" s="2">
        <v>0</v>
      </c>
      <c r="AK6" s="2">
        <v>1</v>
      </c>
      <c r="AL6" s="5">
        <v>45454</v>
      </c>
      <c r="AM6" s="2">
        <v>1</v>
      </c>
      <c r="AN6" s="2">
        <v>1</v>
      </c>
      <c r="AO6" s="2">
        <v>0</v>
      </c>
      <c r="AT6" s="2">
        <v>1</v>
      </c>
      <c r="AU6" s="2" t="s">
        <v>59</v>
      </c>
    </row>
    <row r="7" spans="1:47">
      <c r="A7" s="8">
        <v>6</v>
      </c>
      <c r="B7" s="5">
        <v>45454</v>
      </c>
      <c r="C7" s="6">
        <v>45465</v>
      </c>
      <c r="D7" s="2">
        <f t="shared" si="1"/>
        <v>11</v>
      </c>
      <c r="E7" s="2">
        <v>81</v>
      </c>
      <c r="F7" s="2">
        <v>1</v>
      </c>
      <c r="G7" s="2">
        <v>2</v>
      </c>
      <c r="H7" s="2">
        <v>1</v>
      </c>
      <c r="I7" s="2">
        <v>0</v>
      </c>
      <c r="J7" s="2">
        <v>0</v>
      </c>
      <c r="K7" s="2">
        <v>0</v>
      </c>
      <c r="L7" s="2">
        <v>0</v>
      </c>
      <c r="M7" s="2">
        <v>0</v>
      </c>
      <c r="N7" s="2">
        <v>1</v>
      </c>
      <c r="O7" s="2" t="s">
        <v>60</v>
      </c>
      <c r="P7" t="s">
        <v>52</v>
      </c>
      <c r="Q7" s="2">
        <v>1</v>
      </c>
      <c r="R7" s="2">
        <v>4</v>
      </c>
      <c r="S7" s="5">
        <v>45454</v>
      </c>
      <c r="T7" s="5">
        <v>45458</v>
      </c>
      <c r="U7" s="28">
        <f t="shared" si="0"/>
        <v>4</v>
      </c>
      <c r="V7" s="2">
        <v>1</v>
      </c>
      <c r="W7" s="2">
        <v>0</v>
      </c>
      <c r="X7" s="2">
        <v>1</v>
      </c>
      <c r="Y7" s="2">
        <v>0</v>
      </c>
      <c r="Z7" s="2">
        <v>0</v>
      </c>
      <c r="AA7" s="2">
        <v>1</v>
      </c>
      <c r="AB7" s="2">
        <v>0</v>
      </c>
      <c r="AC7" s="2">
        <v>0</v>
      </c>
      <c r="AD7" s="2">
        <v>0</v>
      </c>
      <c r="AE7" s="2">
        <v>1</v>
      </c>
      <c r="AF7" s="2" t="s">
        <v>61</v>
      </c>
      <c r="AG7" s="2">
        <v>0</v>
      </c>
      <c r="AH7" s="2">
        <v>1</v>
      </c>
      <c r="AI7" s="2">
        <v>1</v>
      </c>
      <c r="AJ7" s="2">
        <v>0</v>
      </c>
      <c r="AK7" s="2">
        <v>1</v>
      </c>
      <c r="AL7" s="5">
        <v>45455</v>
      </c>
      <c r="AM7" s="2">
        <v>0</v>
      </c>
      <c r="AN7" s="2">
        <v>0</v>
      </c>
      <c r="AO7" s="2">
        <v>0</v>
      </c>
      <c r="AT7" s="2">
        <v>1</v>
      </c>
      <c r="AU7" s="2" t="s">
        <v>62</v>
      </c>
    </row>
    <row r="8" spans="1:47">
      <c r="A8" s="8">
        <v>7</v>
      </c>
      <c r="B8" s="5">
        <v>45453</v>
      </c>
      <c r="C8" s="6">
        <v>45485</v>
      </c>
      <c r="D8" s="2">
        <f t="shared" si="1"/>
        <v>32</v>
      </c>
      <c r="E8" s="2">
        <v>45</v>
      </c>
      <c r="F8" s="2">
        <v>2</v>
      </c>
      <c r="G8" s="2">
        <v>2</v>
      </c>
      <c r="H8" s="2">
        <v>0</v>
      </c>
      <c r="I8" s="2">
        <v>0</v>
      </c>
      <c r="J8" s="2">
        <v>0</v>
      </c>
      <c r="K8" s="2">
        <v>0</v>
      </c>
      <c r="L8" s="2">
        <v>0</v>
      </c>
      <c r="M8" s="2">
        <v>0</v>
      </c>
      <c r="N8" s="2">
        <v>0</v>
      </c>
      <c r="P8" t="s">
        <v>52</v>
      </c>
      <c r="Q8" s="2">
        <v>0</v>
      </c>
      <c r="R8" s="2">
        <v>1</v>
      </c>
      <c r="S8" s="5">
        <v>45455</v>
      </c>
      <c r="T8" s="5">
        <v>45455</v>
      </c>
      <c r="U8" s="28">
        <f t="shared" si="0"/>
        <v>0</v>
      </c>
      <c r="V8" s="2">
        <v>0</v>
      </c>
      <c r="W8" s="2">
        <v>0</v>
      </c>
      <c r="X8" s="2">
        <v>0</v>
      </c>
      <c r="Y8" s="2">
        <v>0</v>
      </c>
      <c r="Z8" s="2">
        <v>0</v>
      </c>
      <c r="AA8" s="2">
        <v>0</v>
      </c>
      <c r="AB8" s="2">
        <v>0</v>
      </c>
      <c r="AC8" s="2">
        <v>0</v>
      </c>
      <c r="AD8" s="2">
        <v>0</v>
      </c>
      <c r="AE8" s="2">
        <v>1</v>
      </c>
      <c r="AF8" s="2" t="s">
        <v>55</v>
      </c>
      <c r="AG8" s="2">
        <v>1</v>
      </c>
      <c r="AH8" s="2">
        <v>0</v>
      </c>
      <c r="AI8" s="2">
        <v>1</v>
      </c>
      <c r="AJ8" s="2">
        <v>1</v>
      </c>
      <c r="AK8" s="2">
        <v>1</v>
      </c>
      <c r="AL8" s="5">
        <v>45457</v>
      </c>
      <c r="AM8" s="2">
        <v>0</v>
      </c>
      <c r="AN8" s="2">
        <v>0</v>
      </c>
      <c r="AO8" s="2">
        <v>0</v>
      </c>
      <c r="AT8" s="2">
        <v>1</v>
      </c>
      <c r="AU8" s="2" t="s">
        <v>62</v>
      </c>
    </row>
    <row r="9" spans="1:47">
      <c r="A9" s="2">
        <v>8</v>
      </c>
      <c r="B9" s="5">
        <v>45456</v>
      </c>
      <c r="C9" s="5">
        <v>45466</v>
      </c>
      <c r="D9" s="2">
        <f t="shared" si="1"/>
        <v>10</v>
      </c>
      <c r="E9" s="2">
        <v>60</v>
      </c>
      <c r="F9" s="2">
        <v>1</v>
      </c>
      <c r="G9" s="2">
        <v>3</v>
      </c>
      <c r="H9" s="2">
        <v>1</v>
      </c>
      <c r="I9" s="2">
        <v>0</v>
      </c>
      <c r="J9" s="2">
        <v>0</v>
      </c>
      <c r="K9" s="2">
        <v>0</v>
      </c>
      <c r="L9" s="2">
        <v>0</v>
      </c>
      <c r="M9" s="2">
        <v>0</v>
      </c>
      <c r="N9" s="2">
        <v>1</v>
      </c>
      <c r="O9" s="2" t="s">
        <v>63</v>
      </c>
      <c r="P9" t="s">
        <v>52</v>
      </c>
      <c r="Q9" s="2">
        <v>1</v>
      </c>
      <c r="R9" s="2">
        <v>2</v>
      </c>
      <c r="S9" s="5">
        <v>45456</v>
      </c>
      <c r="T9" s="5">
        <v>45457</v>
      </c>
      <c r="U9" s="28">
        <f t="shared" si="0"/>
        <v>1</v>
      </c>
      <c r="V9" s="2">
        <v>1</v>
      </c>
      <c r="W9" s="2">
        <v>0</v>
      </c>
      <c r="X9" s="2">
        <v>0</v>
      </c>
      <c r="Y9" s="2">
        <v>0</v>
      </c>
      <c r="Z9" s="2">
        <v>1</v>
      </c>
      <c r="AA9" s="2">
        <v>0</v>
      </c>
      <c r="AB9" s="2">
        <v>0</v>
      </c>
      <c r="AC9" s="2">
        <v>0</v>
      </c>
      <c r="AD9" s="2">
        <v>0</v>
      </c>
      <c r="AE9" s="2">
        <v>1</v>
      </c>
      <c r="AF9" s="2" t="s">
        <v>55</v>
      </c>
      <c r="AG9" s="2">
        <v>1</v>
      </c>
      <c r="AH9" s="2">
        <v>1</v>
      </c>
      <c r="AI9" s="2">
        <v>1</v>
      </c>
      <c r="AJ9" s="2">
        <v>1</v>
      </c>
      <c r="AK9" s="2">
        <v>1</v>
      </c>
      <c r="AL9" s="5">
        <v>45457</v>
      </c>
      <c r="AM9" s="2">
        <v>0</v>
      </c>
      <c r="AN9" s="2">
        <v>0</v>
      </c>
      <c r="AO9" s="2">
        <v>0</v>
      </c>
      <c r="AT9" s="2">
        <v>0</v>
      </c>
    </row>
    <row r="10" spans="1:47">
      <c r="A10" s="2">
        <v>9</v>
      </c>
      <c r="B10" s="5">
        <v>45458</v>
      </c>
      <c r="C10" s="5">
        <v>45470</v>
      </c>
      <c r="D10" s="2">
        <f t="shared" si="1"/>
        <v>12</v>
      </c>
      <c r="E10" s="2">
        <v>64</v>
      </c>
      <c r="F10" s="2">
        <v>2</v>
      </c>
      <c r="G10" s="2">
        <v>2</v>
      </c>
      <c r="H10" s="2">
        <v>1</v>
      </c>
      <c r="I10" s="2">
        <v>0</v>
      </c>
      <c r="J10" s="2">
        <v>0</v>
      </c>
      <c r="K10" s="2">
        <v>0</v>
      </c>
      <c r="L10" s="2">
        <v>1</v>
      </c>
      <c r="M10" s="2">
        <v>0</v>
      </c>
      <c r="N10" s="2">
        <v>0</v>
      </c>
      <c r="P10" t="s">
        <v>52</v>
      </c>
      <c r="Q10" s="2">
        <v>1</v>
      </c>
      <c r="R10" s="2">
        <v>2</v>
      </c>
      <c r="S10" s="5">
        <v>45463</v>
      </c>
      <c r="T10" s="5">
        <v>45464</v>
      </c>
      <c r="U10" s="28">
        <f t="shared" si="0"/>
        <v>1</v>
      </c>
      <c r="V10" s="2">
        <v>1</v>
      </c>
      <c r="W10" s="2">
        <v>0</v>
      </c>
      <c r="X10" s="2">
        <v>1</v>
      </c>
      <c r="Y10" s="2">
        <v>0</v>
      </c>
      <c r="Z10" s="2">
        <v>0</v>
      </c>
      <c r="AA10" s="2">
        <v>0</v>
      </c>
      <c r="AB10" s="2">
        <v>0</v>
      </c>
      <c r="AC10" s="2">
        <v>0</v>
      </c>
      <c r="AD10" s="2">
        <v>0</v>
      </c>
      <c r="AE10" s="2">
        <v>1</v>
      </c>
      <c r="AF10" s="2" t="s">
        <v>55</v>
      </c>
      <c r="AG10" s="2">
        <v>1</v>
      </c>
      <c r="AH10" s="2">
        <v>1</v>
      </c>
      <c r="AI10" s="2">
        <v>1</v>
      </c>
      <c r="AJ10" s="2">
        <v>1</v>
      </c>
      <c r="AK10" s="2">
        <v>1</v>
      </c>
      <c r="AL10" s="5">
        <v>45467</v>
      </c>
      <c r="AM10" s="2">
        <v>0</v>
      </c>
      <c r="AN10" s="2">
        <v>0</v>
      </c>
      <c r="AO10" s="2">
        <v>0</v>
      </c>
      <c r="AT10" s="2">
        <v>0</v>
      </c>
      <c r="AU10" s="2" t="s">
        <v>64</v>
      </c>
    </row>
    <row r="11" spans="1:47">
      <c r="A11" s="7">
        <v>10</v>
      </c>
      <c r="B11" s="5">
        <v>45468</v>
      </c>
      <c r="C11" s="5">
        <v>45475</v>
      </c>
      <c r="D11" s="2">
        <f t="shared" si="1"/>
        <v>7</v>
      </c>
      <c r="E11" s="2">
        <v>46</v>
      </c>
      <c r="F11" s="2">
        <v>1</v>
      </c>
      <c r="G11" s="2">
        <v>2</v>
      </c>
      <c r="H11" s="2">
        <v>1</v>
      </c>
      <c r="I11" s="2">
        <v>1</v>
      </c>
      <c r="J11" s="2">
        <v>0</v>
      </c>
      <c r="K11" s="2">
        <v>0</v>
      </c>
      <c r="L11" s="2">
        <v>1</v>
      </c>
      <c r="M11" s="2">
        <v>1</v>
      </c>
      <c r="N11" s="2">
        <v>1</v>
      </c>
      <c r="O11" s="2" t="s">
        <v>65</v>
      </c>
      <c r="P11" t="s">
        <v>47</v>
      </c>
      <c r="Q11" s="2">
        <v>1</v>
      </c>
      <c r="R11" s="2">
        <v>5</v>
      </c>
      <c r="S11" s="5">
        <v>45468</v>
      </c>
      <c r="T11" s="5">
        <v>45473</v>
      </c>
      <c r="U11" s="28">
        <f t="shared" si="0"/>
        <v>5</v>
      </c>
      <c r="V11" s="2">
        <v>1</v>
      </c>
      <c r="W11" s="2">
        <v>1</v>
      </c>
      <c r="X11" s="2">
        <v>1</v>
      </c>
      <c r="Y11" s="2">
        <v>0</v>
      </c>
      <c r="Z11" s="2">
        <v>1</v>
      </c>
      <c r="AA11" s="2">
        <v>0</v>
      </c>
      <c r="AB11" s="2">
        <v>0</v>
      </c>
      <c r="AC11" s="2">
        <v>0</v>
      </c>
      <c r="AD11" s="2">
        <v>0</v>
      </c>
      <c r="AE11" s="2">
        <v>1</v>
      </c>
      <c r="AF11" s="2" t="s">
        <v>48</v>
      </c>
      <c r="AG11" s="2">
        <v>1</v>
      </c>
      <c r="AH11" s="2">
        <v>1</v>
      </c>
      <c r="AI11" s="2">
        <v>1</v>
      </c>
      <c r="AJ11" s="2">
        <v>1</v>
      </c>
      <c r="AK11" s="2">
        <v>1</v>
      </c>
      <c r="AL11" s="5">
        <v>45468</v>
      </c>
      <c r="AM11" s="2">
        <v>1</v>
      </c>
      <c r="AN11" s="2">
        <v>1</v>
      </c>
      <c r="AO11" s="2">
        <v>0</v>
      </c>
      <c r="AT11" s="2">
        <v>0</v>
      </c>
      <c r="AU11" s="2" t="s">
        <v>66</v>
      </c>
    </row>
    <row r="12" spans="1:47">
      <c r="A12" s="2">
        <v>11</v>
      </c>
      <c r="B12" s="5">
        <v>45470</v>
      </c>
      <c r="C12" s="5">
        <v>45501</v>
      </c>
      <c r="E12" s="2">
        <v>74</v>
      </c>
      <c r="F12" s="2">
        <v>1</v>
      </c>
      <c r="G12" s="2">
        <v>2</v>
      </c>
      <c r="H12" s="2">
        <v>1</v>
      </c>
      <c r="I12" s="2">
        <v>0</v>
      </c>
      <c r="J12" s="2">
        <v>0</v>
      </c>
      <c r="K12" s="2">
        <v>0</v>
      </c>
      <c r="L12" s="2">
        <v>0</v>
      </c>
      <c r="M12" s="2">
        <v>0</v>
      </c>
      <c r="N12" s="2">
        <v>1</v>
      </c>
      <c r="O12" s="2" t="s">
        <v>67</v>
      </c>
      <c r="P12" t="s">
        <v>52</v>
      </c>
      <c r="Q12" s="2">
        <v>0</v>
      </c>
      <c r="R12" s="2">
        <v>1</v>
      </c>
      <c r="S12" s="5">
        <v>45470</v>
      </c>
      <c r="T12" s="5">
        <v>45470</v>
      </c>
      <c r="U12" s="28">
        <f t="shared" si="0"/>
        <v>0</v>
      </c>
      <c r="V12" s="2">
        <v>1</v>
      </c>
      <c r="W12" s="2">
        <v>0</v>
      </c>
      <c r="X12" s="2">
        <v>1</v>
      </c>
      <c r="Y12" s="2">
        <v>0</v>
      </c>
      <c r="Z12" s="2">
        <v>0</v>
      </c>
      <c r="AA12" s="2">
        <v>0</v>
      </c>
      <c r="AB12" s="2">
        <v>1</v>
      </c>
      <c r="AC12" s="2">
        <v>0</v>
      </c>
      <c r="AD12" s="2">
        <v>0</v>
      </c>
      <c r="AE12" s="2">
        <v>1</v>
      </c>
      <c r="AF12" s="2" t="s">
        <v>68</v>
      </c>
      <c r="AG12" s="2">
        <v>0</v>
      </c>
      <c r="AH12" s="2">
        <v>1</v>
      </c>
      <c r="AI12" s="2">
        <v>1</v>
      </c>
      <c r="AJ12" s="2">
        <v>0</v>
      </c>
      <c r="AK12" s="2">
        <v>1</v>
      </c>
      <c r="AL12" s="5">
        <v>45471</v>
      </c>
      <c r="AM12" s="2">
        <v>0</v>
      </c>
      <c r="AN12" s="2">
        <v>1</v>
      </c>
      <c r="AO12" s="2">
        <v>0</v>
      </c>
      <c r="AT12" s="2">
        <v>1</v>
      </c>
      <c r="AU12" s="2" t="s">
        <v>69</v>
      </c>
    </row>
    <row r="13" spans="1:47">
      <c r="A13" s="2">
        <v>12</v>
      </c>
      <c r="B13" s="5">
        <v>45413</v>
      </c>
      <c r="C13" s="5">
        <v>45423</v>
      </c>
      <c r="D13" s="2">
        <f t="shared" si="1"/>
        <v>10</v>
      </c>
      <c r="E13" s="2">
        <v>70</v>
      </c>
      <c r="F13" s="2">
        <v>1</v>
      </c>
      <c r="G13" s="2">
        <v>5</v>
      </c>
      <c r="H13" s="2">
        <v>1</v>
      </c>
      <c r="I13" s="2">
        <v>0</v>
      </c>
      <c r="J13" s="2">
        <v>0</v>
      </c>
      <c r="K13" s="2">
        <v>0</v>
      </c>
      <c r="L13" s="2">
        <v>1</v>
      </c>
      <c r="M13" s="2">
        <v>0</v>
      </c>
      <c r="N13" s="2">
        <v>1</v>
      </c>
      <c r="O13" s="2" t="s">
        <v>70</v>
      </c>
      <c r="P13" t="s">
        <v>52</v>
      </c>
      <c r="Q13" s="2">
        <v>1</v>
      </c>
      <c r="R13" s="2">
        <v>2</v>
      </c>
      <c r="S13" s="5">
        <v>45413</v>
      </c>
      <c r="T13" s="5">
        <v>45415</v>
      </c>
      <c r="U13" s="28">
        <f t="shared" si="0"/>
        <v>2</v>
      </c>
      <c r="V13" s="2">
        <v>1</v>
      </c>
      <c r="W13" s="2">
        <v>0</v>
      </c>
      <c r="X13" s="2">
        <v>0</v>
      </c>
      <c r="Y13" s="2">
        <v>1</v>
      </c>
      <c r="Z13" s="2">
        <v>0</v>
      </c>
      <c r="AA13" s="2">
        <v>0</v>
      </c>
      <c r="AB13" s="2">
        <v>0</v>
      </c>
      <c r="AC13" s="2">
        <v>0</v>
      </c>
      <c r="AD13" s="2">
        <v>0</v>
      </c>
      <c r="AE13" s="2">
        <v>1</v>
      </c>
      <c r="AF13" s="2" t="s">
        <v>55</v>
      </c>
      <c r="AG13" s="2">
        <v>1</v>
      </c>
      <c r="AH13" s="2">
        <v>1</v>
      </c>
      <c r="AI13" s="2">
        <v>1</v>
      </c>
      <c r="AJ13" s="2">
        <v>1</v>
      </c>
      <c r="AK13" s="2">
        <v>1</v>
      </c>
      <c r="AL13" s="5">
        <v>45419</v>
      </c>
      <c r="AM13" s="2">
        <v>0</v>
      </c>
      <c r="AN13" s="2">
        <v>1</v>
      </c>
      <c r="AO13" s="2">
        <v>0</v>
      </c>
      <c r="AT13" s="2">
        <v>0</v>
      </c>
      <c r="AU13" s="2" t="s">
        <v>71</v>
      </c>
    </row>
    <row r="14" spans="1:47">
      <c r="A14" s="2">
        <v>13</v>
      </c>
      <c r="B14" s="5">
        <v>45414</v>
      </c>
      <c r="C14" s="5">
        <v>45436</v>
      </c>
      <c r="D14" s="2">
        <f t="shared" si="1"/>
        <v>22</v>
      </c>
      <c r="E14" s="2">
        <v>91</v>
      </c>
      <c r="F14" s="2">
        <v>2</v>
      </c>
      <c r="G14" s="2">
        <v>2</v>
      </c>
      <c r="H14" s="2">
        <v>1</v>
      </c>
      <c r="I14" s="2">
        <v>0</v>
      </c>
      <c r="J14" s="2">
        <v>0</v>
      </c>
      <c r="K14" s="2">
        <v>0</v>
      </c>
      <c r="L14" s="2">
        <v>0</v>
      </c>
      <c r="M14" s="2">
        <v>0</v>
      </c>
      <c r="N14" s="2">
        <v>1</v>
      </c>
      <c r="O14" s="2" t="s">
        <v>72</v>
      </c>
      <c r="P14" t="s">
        <v>52</v>
      </c>
      <c r="Q14" s="2">
        <v>1</v>
      </c>
      <c r="R14" s="2">
        <v>2</v>
      </c>
      <c r="S14" s="5">
        <v>45414</v>
      </c>
      <c r="T14" s="5">
        <v>45415</v>
      </c>
      <c r="U14" s="28">
        <f t="shared" si="0"/>
        <v>1</v>
      </c>
      <c r="V14" s="2">
        <v>1</v>
      </c>
      <c r="W14" s="2">
        <v>0</v>
      </c>
      <c r="X14" s="2">
        <v>0</v>
      </c>
      <c r="Y14" s="2">
        <v>0</v>
      </c>
      <c r="Z14" s="2">
        <v>1</v>
      </c>
      <c r="AA14" s="2">
        <v>0</v>
      </c>
      <c r="AB14" s="2">
        <v>0</v>
      </c>
      <c r="AC14" s="2">
        <v>0</v>
      </c>
      <c r="AD14" s="2">
        <v>0</v>
      </c>
      <c r="AE14" s="2">
        <v>1</v>
      </c>
      <c r="AF14" s="2" t="s">
        <v>55</v>
      </c>
      <c r="AG14" s="11">
        <v>1</v>
      </c>
      <c r="AH14" s="2">
        <v>1</v>
      </c>
      <c r="AI14" s="2">
        <v>1</v>
      </c>
      <c r="AJ14" s="2">
        <v>1</v>
      </c>
      <c r="AK14" s="2">
        <v>1</v>
      </c>
      <c r="AL14" s="5">
        <v>45418</v>
      </c>
      <c r="AM14" s="2">
        <v>0</v>
      </c>
      <c r="AN14" s="2">
        <v>0</v>
      </c>
      <c r="AO14" s="2">
        <v>0</v>
      </c>
      <c r="AT14" s="2">
        <v>0</v>
      </c>
      <c r="AU14" s="2" t="s">
        <v>73</v>
      </c>
    </row>
    <row r="15" spans="1:47">
      <c r="A15" s="2">
        <v>14</v>
      </c>
      <c r="B15" s="5">
        <v>45419</v>
      </c>
      <c r="C15" s="5">
        <v>45433</v>
      </c>
      <c r="D15" s="2">
        <f t="shared" si="1"/>
        <v>14</v>
      </c>
      <c r="E15" s="2">
        <v>71</v>
      </c>
      <c r="F15" s="2">
        <v>2</v>
      </c>
      <c r="G15" s="2">
        <v>2</v>
      </c>
      <c r="H15" s="2">
        <v>1</v>
      </c>
      <c r="I15" s="2">
        <v>0</v>
      </c>
      <c r="J15" s="2">
        <v>0</v>
      </c>
      <c r="K15" s="2">
        <v>0</v>
      </c>
      <c r="L15" s="2">
        <v>1</v>
      </c>
      <c r="M15" s="2">
        <v>0</v>
      </c>
      <c r="N15" s="2">
        <v>0</v>
      </c>
      <c r="P15" t="s">
        <v>52</v>
      </c>
      <c r="Q15" s="2">
        <v>1</v>
      </c>
      <c r="R15" s="2">
        <v>3</v>
      </c>
      <c r="S15" s="5">
        <v>45419</v>
      </c>
      <c r="T15" s="5">
        <v>45422</v>
      </c>
      <c r="U15" s="28">
        <f t="shared" si="0"/>
        <v>3</v>
      </c>
      <c r="V15" s="2">
        <v>1</v>
      </c>
      <c r="W15" s="2">
        <v>0</v>
      </c>
      <c r="X15" s="2">
        <v>1</v>
      </c>
      <c r="Y15" s="2">
        <v>1</v>
      </c>
      <c r="Z15" s="2">
        <v>0</v>
      </c>
      <c r="AA15" s="2">
        <v>0</v>
      </c>
      <c r="AB15" s="2">
        <v>0</v>
      </c>
      <c r="AC15" s="2">
        <v>0</v>
      </c>
      <c r="AD15" s="2">
        <v>0</v>
      </c>
      <c r="AE15" s="2">
        <v>1</v>
      </c>
      <c r="AF15" s="2" t="s">
        <v>55</v>
      </c>
      <c r="AG15" s="2">
        <v>1</v>
      </c>
      <c r="AH15" s="2">
        <v>1</v>
      </c>
      <c r="AI15" s="2">
        <v>0</v>
      </c>
      <c r="AJ15" s="2">
        <v>1</v>
      </c>
      <c r="AK15" s="2">
        <v>1</v>
      </c>
      <c r="AL15" s="5">
        <v>45420</v>
      </c>
      <c r="AM15" s="2">
        <v>0</v>
      </c>
      <c r="AN15" s="2">
        <v>0</v>
      </c>
      <c r="AO15" s="2">
        <v>0</v>
      </c>
      <c r="AT15" s="2">
        <v>0</v>
      </c>
      <c r="AU15" s="2" t="s">
        <v>75</v>
      </c>
    </row>
    <row r="16" spans="1:47">
      <c r="A16" s="2">
        <v>15</v>
      </c>
      <c r="B16" s="5">
        <v>45420</v>
      </c>
      <c r="C16" s="5">
        <v>45432</v>
      </c>
      <c r="D16" s="2">
        <f t="shared" si="1"/>
        <v>12</v>
      </c>
      <c r="E16" s="2">
        <v>77</v>
      </c>
      <c r="F16" s="2">
        <v>1</v>
      </c>
      <c r="G16" s="2">
        <v>2</v>
      </c>
      <c r="H16" s="2">
        <v>1</v>
      </c>
      <c r="I16" s="2">
        <v>0</v>
      </c>
      <c r="J16" s="2">
        <v>0</v>
      </c>
      <c r="K16" s="2">
        <v>0</v>
      </c>
      <c r="L16" s="2">
        <v>0</v>
      </c>
      <c r="M16" s="2">
        <v>0</v>
      </c>
      <c r="N16" s="2">
        <v>1</v>
      </c>
      <c r="O16" s="10" t="s">
        <v>76</v>
      </c>
      <c r="P16" t="s">
        <v>52</v>
      </c>
      <c r="Q16" s="2">
        <v>0</v>
      </c>
      <c r="R16" s="2">
        <v>1</v>
      </c>
      <c r="S16" s="5">
        <v>45420</v>
      </c>
      <c r="T16" s="5">
        <v>45420</v>
      </c>
      <c r="U16" s="28">
        <f t="shared" si="0"/>
        <v>0</v>
      </c>
      <c r="V16" s="2">
        <v>1</v>
      </c>
      <c r="W16" s="2">
        <v>0</v>
      </c>
      <c r="X16" s="2">
        <v>0</v>
      </c>
      <c r="Y16" s="2">
        <v>0</v>
      </c>
      <c r="Z16" s="2">
        <v>1</v>
      </c>
      <c r="AA16" s="2">
        <v>0</v>
      </c>
      <c r="AB16" s="2">
        <v>0</v>
      </c>
      <c r="AC16" s="2">
        <v>1</v>
      </c>
      <c r="AD16" s="2">
        <v>0</v>
      </c>
      <c r="AE16" s="2">
        <v>1</v>
      </c>
      <c r="AF16" s="2" t="s">
        <v>55</v>
      </c>
      <c r="AG16" s="2">
        <v>1</v>
      </c>
      <c r="AH16" s="2">
        <v>1</v>
      </c>
      <c r="AI16" s="2">
        <v>1</v>
      </c>
      <c r="AJ16" s="2">
        <v>1</v>
      </c>
      <c r="AK16" s="2">
        <v>1</v>
      </c>
      <c r="AL16" s="5">
        <v>45421</v>
      </c>
      <c r="AM16" s="2">
        <v>0</v>
      </c>
      <c r="AN16" s="2">
        <v>0</v>
      </c>
      <c r="AO16" s="2">
        <v>1</v>
      </c>
      <c r="AP16" s="5">
        <v>45425</v>
      </c>
      <c r="AQ16" s="2">
        <v>0</v>
      </c>
      <c r="AR16" s="2">
        <v>0</v>
      </c>
      <c r="AS16" s="2">
        <v>0</v>
      </c>
      <c r="AT16" s="2">
        <v>0</v>
      </c>
      <c r="AU16" s="2" t="s">
        <v>77</v>
      </c>
    </row>
    <row r="17" spans="1:47">
      <c r="A17" s="8">
        <v>16</v>
      </c>
      <c r="B17" s="5">
        <v>45420</v>
      </c>
      <c r="C17" s="6">
        <v>45435</v>
      </c>
      <c r="D17" s="2">
        <f t="shared" si="1"/>
        <v>15</v>
      </c>
      <c r="E17" s="2">
        <v>83</v>
      </c>
      <c r="F17" s="2">
        <v>2</v>
      </c>
      <c r="G17" s="2">
        <v>2</v>
      </c>
      <c r="H17" s="2">
        <v>1</v>
      </c>
      <c r="I17" s="2">
        <v>0</v>
      </c>
      <c r="J17" s="2">
        <v>0</v>
      </c>
      <c r="K17" s="2">
        <v>0</v>
      </c>
      <c r="L17" s="2">
        <v>0</v>
      </c>
      <c r="M17" s="2">
        <v>0</v>
      </c>
      <c r="N17" s="2">
        <v>1</v>
      </c>
      <c r="O17" s="2" t="s">
        <v>78</v>
      </c>
      <c r="P17" t="s">
        <v>52</v>
      </c>
      <c r="Q17" s="2">
        <v>1</v>
      </c>
      <c r="R17" s="2">
        <v>3</v>
      </c>
      <c r="S17" s="5">
        <v>45429</v>
      </c>
      <c r="T17" s="5">
        <v>45431</v>
      </c>
      <c r="U17" s="28">
        <f t="shared" si="0"/>
        <v>2</v>
      </c>
      <c r="V17" s="2">
        <v>0</v>
      </c>
      <c r="W17" s="2">
        <v>0</v>
      </c>
      <c r="X17" s="2">
        <v>0</v>
      </c>
      <c r="Y17" s="2">
        <v>0</v>
      </c>
      <c r="Z17" s="2">
        <v>0</v>
      </c>
      <c r="AA17" s="2">
        <v>0</v>
      </c>
      <c r="AB17" s="2">
        <v>0</v>
      </c>
      <c r="AC17" s="2">
        <v>0</v>
      </c>
      <c r="AD17" s="2">
        <v>0</v>
      </c>
      <c r="AE17" s="2">
        <v>1</v>
      </c>
      <c r="AF17" s="2" t="s">
        <v>79</v>
      </c>
      <c r="AG17" s="2">
        <v>1</v>
      </c>
      <c r="AH17" s="2">
        <v>1</v>
      </c>
      <c r="AI17" s="2">
        <v>1</v>
      </c>
      <c r="AJ17" s="2">
        <v>1</v>
      </c>
      <c r="AK17" s="2">
        <v>1</v>
      </c>
      <c r="AL17" s="5">
        <v>45432</v>
      </c>
      <c r="AM17" s="2">
        <v>0</v>
      </c>
      <c r="AN17" s="2">
        <v>0</v>
      </c>
      <c r="AO17" s="2">
        <v>0</v>
      </c>
      <c r="AT17" s="2">
        <v>1</v>
      </c>
      <c r="AU17" s="2" t="s">
        <v>80</v>
      </c>
    </row>
    <row r="18" spans="1:47">
      <c r="A18" s="2">
        <v>17</v>
      </c>
      <c r="B18" s="5">
        <v>45438</v>
      </c>
      <c r="C18" s="5">
        <v>45458</v>
      </c>
      <c r="D18" s="2">
        <f t="shared" si="1"/>
        <v>20</v>
      </c>
      <c r="E18" s="2">
        <v>59</v>
      </c>
      <c r="F18" s="2">
        <v>1</v>
      </c>
      <c r="G18" s="2">
        <v>3</v>
      </c>
      <c r="H18" s="2">
        <v>1</v>
      </c>
      <c r="I18" s="2">
        <v>0</v>
      </c>
      <c r="J18" s="2">
        <v>0</v>
      </c>
      <c r="K18" s="2">
        <v>0</v>
      </c>
      <c r="L18" s="2">
        <v>0</v>
      </c>
      <c r="M18" s="2">
        <v>0</v>
      </c>
      <c r="N18" s="2">
        <v>1</v>
      </c>
      <c r="O18" s="2" t="s">
        <v>81</v>
      </c>
      <c r="P18" t="s">
        <v>52</v>
      </c>
      <c r="Q18" s="2">
        <v>1</v>
      </c>
      <c r="R18" s="2">
        <v>2</v>
      </c>
      <c r="S18" s="5">
        <v>45440</v>
      </c>
      <c r="T18" s="5">
        <v>45441</v>
      </c>
      <c r="U18" s="28">
        <f t="shared" si="0"/>
        <v>1</v>
      </c>
      <c r="V18" s="2">
        <v>1</v>
      </c>
      <c r="W18" s="2">
        <v>0</v>
      </c>
      <c r="X18" s="2">
        <v>1</v>
      </c>
      <c r="Y18" s="2">
        <v>0</v>
      </c>
      <c r="Z18" s="2">
        <v>0</v>
      </c>
      <c r="AA18" s="2">
        <v>0</v>
      </c>
      <c r="AB18" s="2">
        <v>0</v>
      </c>
      <c r="AC18" s="2">
        <v>0</v>
      </c>
      <c r="AD18" s="2">
        <v>0</v>
      </c>
      <c r="AE18" s="2">
        <v>1</v>
      </c>
      <c r="AF18" s="2" t="s">
        <v>55</v>
      </c>
      <c r="AG18" s="2">
        <v>1</v>
      </c>
      <c r="AH18" s="2">
        <v>1</v>
      </c>
      <c r="AI18" s="2">
        <v>1</v>
      </c>
      <c r="AJ18" s="2">
        <v>1</v>
      </c>
      <c r="AK18" s="2">
        <v>1</v>
      </c>
      <c r="AL18" s="5">
        <v>45442</v>
      </c>
      <c r="AM18" s="2">
        <v>1</v>
      </c>
      <c r="AN18" s="2">
        <v>0</v>
      </c>
      <c r="AO18" s="11">
        <v>0</v>
      </c>
      <c r="AT18" s="2">
        <v>0</v>
      </c>
      <c r="AU18" s="2" t="s">
        <v>82</v>
      </c>
    </row>
    <row r="19" spans="1:47">
      <c r="A19" s="2">
        <v>18</v>
      </c>
      <c r="B19" s="5">
        <v>45385</v>
      </c>
      <c r="C19" s="5">
        <v>45395</v>
      </c>
      <c r="D19" s="2">
        <f t="shared" si="1"/>
        <v>10</v>
      </c>
      <c r="E19" s="2">
        <v>51</v>
      </c>
      <c r="F19" s="2">
        <v>1</v>
      </c>
      <c r="G19" s="2">
        <v>3</v>
      </c>
      <c r="H19" s="2">
        <v>0</v>
      </c>
      <c r="I19" s="2">
        <v>0</v>
      </c>
      <c r="J19" s="2">
        <v>0</v>
      </c>
      <c r="K19" s="2">
        <v>0</v>
      </c>
      <c r="L19" s="2">
        <v>0</v>
      </c>
      <c r="M19" s="2">
        <v>0</v>
      </c>
      <c r="N19" s="2">
        <v>0</v>
      </c>
      <c r="P19" t="s">
        <v>52</v>
      </c>
      <c r="Q19" s="2">
        <v>1</v>
      </c>
      <c r="R19" s="2">
        <v>3</v>
      </c>
      <c r="S19" s="5">
        <v>45385</v>
      </c>
      <c r="T19" s="5">
        <v>45388</v>
      </c>
      <c r="U19" s="28">
        <f t="shared" si="0"/>
        <v>3</v>
      </c>
      <c r="V19" s="2">
        <v>1</v>
      </c>
      <c r="W19" s="2">
        <v>1</v>
      </c>
      <c r="X19" s="2">
        <v>0</v>
      </c>
      <c r="Y19" s="2">
        <v>0</v>
      </c>
      <c r="Z19" s="2">
        <v>0</v>
      </c>
      <c r="AA19" s="2">
        <v>0</v>
      </c>
      <c r="AB19" s="2">
        <v>0</v>
      </c>
      <c r="AC19" s="2">
        <v>0</v>
      </c>
      <c r="AD19" s="2">
        <v>0</v>
      </c>
      <c r="AE19" s="2">
        <v>1</v>
      </c>
      <c r="AF19" s="2" t="s">
        <v>55</v>
      </c>
      <c r="AG19" s="2">
        <v>1</v>
      </c>
      <c r="AH19" s="2">
        <v>1</v>
      </c>
      <c r="AI19" s="2">
        <v>1</v>
      </c>
      <c r="AJ19" s="2">
        <v>1</v>
      </c>
      <c r="AK19" s="2">
        <v>1</v>
      </c>
      <c r="AL19" s="5">
        <v>45387</v>
      </c>
      <c r="AM19" s="2">
        <v>0</v>
      </c>
      <c r="AN19" s="2">
        <v>0</v>
      </c>
      <c r="AO19" s="2">
        <v>1</v>
      </c>
      <c r="AP19" s="5">
        <v>45391</v>
      </c>
      <c r="AQ19" s="2">
        <v>0</v>
      </c>
      <c r="AR19" s="2">
        <v>0</v>
      </c>
      <c r="AS19" s="2">
        <v>0</v>
      </c>
      <c r="AT19" s="2">
        <v>0</v>
      </c>
      <c r="AU19" s="2" t="s">
        <v>83</v>
      </c>
    </row>
    <row r="20" spans="1:47">
      <c r="A20" s="8">
        <v>19</v>
      </c>
      <c r="B20" s="5">
        <v>45393</v>
      </c>
      <c r="C20" s="6">
        <v>45398</v>
      </c>
      <c r="D20" s="2">
        <f t="shared" si="1"/>
        <v>5</v>
      </c>
      <c r="E20" s="2">
        <v>65</v>
      </c>
      <c r="F20" s="2">
        <v>2</v>
      </c>
      <c r="G20" s="2">
        <v>2</v>
      </c>
      <c r="H20" s="2">
        <v>1</v>
      </c>
      <c r="I20" s="2">
        <v>0</v>
      </c>
      <c r="J20" s="2">
        <v>0</v>
      </c>
      <c r="K20" s="2">
        <v>0</v>
      </c>
      <c r="L20" s="2">
        <v>0</v>
      </c>
      <c r="M20" s="2">
        <v>0</v>
      </c>
      <c r="N20" s="2">
        <v>1</v>
      </c>
      <c r="O20" s="2" t="s">
        <v>51</v>
      </c>
      <c r="P20" t="s">
        <v>47</v>
      </c>
      <c r="Q20" s="2">
        <v>1</v>
      </c>
      <c r="R20" s="2">
        <v>3</v>
      </c>
      <c r="S20" s="5">
        <v>45393</v>
      </c>
      <c r="T20" s="5">
        <v>45394</v>
      </c>
      <c r="U20" s="28">
        <f t="shared" si="0"/>
        <v>1</v>
      </c>
      <c r="V20" s="2">
        <v>0</v>
      </c>
      <c r="W20" s="2">
        <v>0</v>
      </c>
      <c r="X20" s="2">
        <v>0</v>
      </c>
      <c r="Y20" s="2">
        <v>0</v>
      </c>
      <c r="Z20" s="2">
        <v>0</v>
      </c>
      <c r="AA20" s="2">
        <v>0</v>
      </c>
      <c r="AB20" s="2">
        <v>0</v>
      </c>
      <c r="AC20" s="2">
        <v>0</v>
      </c>
      <c r="AD20" s="2">
        <v>1</v>
      </c>
      <c r="AE20" s="2">
        <v>1</v>
      </c>
      <c r="AF20" s="2" t="s">
        <v>48</v>
      </c>
      <c r="AG20" s="2">
        <v>1</v>
      </c>
      <c r="AH20" s="2">
        <v>0</v>
      </c>
      <c r="AI20" s="2">
        <v>1</v>
      </c>
      <c r="AJ20" s="2">
        <v>1</v>
      </c>
      <c r="AK20" s="2">
        <v>1</v>
      </c>
      <c r="AL20" s="5">
        <v>45394</v>
      </c>
      <c r="AM20" s="2">
        <v>0</v>
      </c>
      <c r="AN20" s="2">
        <v>1</v>
      </c>
      <c r="AO20" s="2">
        <v>0</v>
      </c>
      <c r="AT20" s="2">
        <v>0</v>
      </c>
      <c r="AU20" s="2" t="s">
        <v>86</v>
      </c>
    </row>
    <row r="21" spans="1:47">
      <c r="A21" s="2">
        <v>20</v>
      </c>
      <c r="B21" s="5">
        <v>45392</v>
      </c>
      <c r="C21" s="5">
        <v>45401</v>
      </c>
      <c r="D21" s="2">
        <f t="shared" si="1"/>
        <v>9</v>
      </c>
      <c r="E21" s="2">
        <v>85</v>
      </c>
      <c r="F21" s="2">
        <v>1</v>
      </c>
      <c r="G21" s="2">
        <v>2</v>
      </c>
      <c r="H21" s="2">
        <v>0</v>
      </c>
      <c r="I21" s="2">
        <v>0</v>
      </c>
      <c r="J21" s="2">
        <v>0</v>
      </c>
      <c r="K21" s="2">
        <v>0</v>
      </c>
      <c r="L21" s="2">
        <v>0</v>
      </c>
      <c r="M21" s="2">
        <v>0</v>
      </c>
      <c r="N21" s="2">
        <v>0</v>
      </c>
      <c r="P21" t="s">
        <v>52</v>
      </c>
      <c r="Q21" s="2">
        <v>1</v>
      </c>
      <c r="R21" s="2">
        <v>2</v>
      </c>
      <c r="S21" s="5">
        <v>45396</v>
      </c>
      <c r="T21" s="5">
        <v>45396</v>
      </c>
      <c r="U21" s="28">
        <f t="shared" si="0"/>
        <v>0</v>
      </c>
      <c r="V21" s="2">
        <v>0</v>
      </c>
      <c r="W21" s="2">
        <v>0</v>
      </c>
      <c r="X21" s="2">
        <v>0</v>
      </c>
      <c r="Y21" s="2">
        <v>0</v>
      </c>
      <c r="Z21" s="2">
        <v>0</v>
      </c>
      <c r="AA21" s="2">
        <v>0</v>
      </c>
      <c r="AB21" s="2">
        <v>0</v>
      </c>
      <c r="AC21" s="2">
        <v>0</v>
      </c>
      <c r="AD21" s="2">
        <v>0</v>
      </c>
      <c r="AE21" s="2">
        <v>1</v>
      </c>
      <c r="AF21" s="2" t="s">
        <v>55</v>
      </c>
      <c r="AG21" s="11">
        <v>1</v>
      </c>
      <c r="AH21" s="2">
        <v>1</v>
      </c>
      <c r="AI21" s="2">
        <v>1</v>
      </c>
      <c r="AJ21" s="2">
        <v>1</v>
      </c>
      <c r="AK21" s="2">
        <v>1</v>
      </c>
      <c r="AL21" s="5">
        <v>45400</v>
      </c>
      <c r="AM21" s="2">
        <v>0</v>
      </c>
      <c r="AN21" s="2">
        <v>0</v>
      </c>
      <c r="AO21" s="2">
        <v>0</v>
      </c>
      <c r="AT21" s="2">
        <v>0</v>
      </c>
      <c r="AU21" s="2" t="s">
        <v>88</v>
      </c>
    </row>
    <row r="22" spans="1:47">
      <c r="A22" s="2">
        <v>21</v>
      </c>
      <c r="B22" s="5">
        <v>45400</v>
      </c>
      <c r="C22" s="5">
        <v>45408</v>
      </c>
      <c r="D22" s="2">
        <f t="shared" si="1"/>
        <v>8</v>
      </c>
      <c r="E22" s="2">
        <v>85</v>
      </c>
      <c r="F22" s="2">
        <v>2</v>
      </c>
      <c r="G22" s="2">
        <v>2</v>
      </c>
      <c r="H22" s="2">
        <v>1</v>
      </c>
      <c r="I22" s="2">
        <v>0</v>
      </c>
      <c r="J22" s="2">
        <v>0</v>
      </c>
      <c r="K22" s="2">
        <v>0</v>
      </c>
      <c r="L22" s="2">
        <v>0</v>
      </c>
      <c r="M22" s="2">
        <v>0</v>
      </c>
      <c r="N22" s="2">
        <v>1</v>
      </c>
      <c r="O22" s="2" t="s">
        <v>70</v>
      </c>
      <c r="P22" t="s">
        <v>52</v>
      </c>
      <c r="Q22" s="2">
        <v>1</v>
      </c>
      <c r="R22" s="2">
        <v>3</v>
      </c>
      <c r="S22" s="5">
        <v>45400</v>
      </c>
      <c r="T22" s="5">
        <v>45402</v>
      </c>
      <c r="U22" s="28">
        <f t="shared" si="0"/>
        <v>2</v>
      </c>
      <c r="V22" s="2">
        <v>1</v>
      </c>
      <c r="W22" s="2">
        <v>0</v>
      </c>
      <c r="X22" s="2">
        <v>0</v>
      </c>
      <c r="Y22" s="2">
        <v>0</v>
      </c>
      <c r="Z22" s="2">
        <v>1</v>
      </c>
      <c r="AA22" s="2">
        <v>0</v>
      </c>
      <c r="AB22" s="2">
        <v>0</v>
      </c>
      <c r="AC22" s="2">
        <v>0</v>
      </c>
      <c r="AD22" s="2">
        <v>0</v>
      </c>
      <c r="AE22" s="2">
        <v>1</v>
      </c>
      <c r="AF22" s="2" t="s">
        <v>55</v>
      </c>
      <c r="AG22" s="2">
        <v>1</v>
      </c>
      <c r="AH22" s="2">
        <v>1</v>
      </c>
      <c r="AI22" s="11">
        <v>0</v>
      </c>
      <c r="AJ22" s="2">
        <v>1</v>
      </c>
      <c r="AK22" s="2">
        <v>1</v>
      </c>
      <c r="AL22" s="5">
        <v>45404</v>
      </c>
      <c r="AM22" s="2">
        <v>0</v>
      </c>
      <c r="AN22" s="2">
        <v>1</v>
      </c>
      <c r="AO22" s="2">
        <v>0</v>
      </c>
      <c r="AT22" s="2">
        <v>0</v>
      </c>
      <c r="AU22" s="2" t="s">
        <v>89</v>
      </c>
    </row>
    <row r="23" spans="1:47">
      <c r="A23" s="2">
        <v>22</v>
      </c>
      <c r="B23" s="5">
        <v>45401</v>
      </c>
      <c r="C23" s="5">
        <v>45408</v>
      </c>
      <c r="D23" s="2">
        <f t="shared" si="1"/>
        <v>7</v>
      </c>
      <c r="E23" s="2">
        <v>79</v>
      </c>
      <c r="F23" s="2">
        <v>1</v>
      </c>
      <c r="G23" s="2">
        <v>2</v>
      </c>
      <c r="H23" s="2">
        <v>1</v>
      </c>
      <c r="I23" s="2">
        <v>0</v>
      </c>
      <c r="J23" s="2">
        <v>0</v>
      </c>
      <c r="K23" s="2">
        <v>1</v>
      </c>
      <c r="L23" s="2">
        <v>0</v>
      </c>
      <c r="M23" s="2">
        <v>0</v>
      </c>
      <c r="N23" s="2">
        <v>1</v>
      </c>
      <c r="O23" s="2" t="s">
        <v>63</v>
      </c>
      <c r="P23" t="s">
        <v>52</v>
      </c>
      <c r="Q23" s="2">
        <v>1</v>
      </c>
      <c r="R23" s="2">
        <v>1</v>
      </c>
      <c r="S23" s="5">
        <v>45401</v>
      </c>
      <c r="T23" s="5">
        <v>45401</v>
      </c>
      <c r="U23" s="28">
        <f t="shared" si="0"/>
        <v>0</v>
      </c>
      <c r="V23" s="2">
        <v>0</v>
      </c>
      <c r="W23" s="2">
        <v>0</v>
      </c>
      <c r="X23" s="2">
        <v>0</v>
      </c>
      <c r="Y23" s="2">
        <v>0</v>
      </c>
      <c r="Z23" s="2">
        <v>0</v>
      </c>
      <c r="AA23" s="2">
        <v>0</v>
      </c>
      <c r="AB23" s="2">
        <v>0</v>
      </c>
      <c r="AC23" s="2">
        <v>0</v>
      </c>
      <c r="AD23" s="2">
        <v>1</v>
      </c>
      <c r="AE23" s="2">
        <v>1</v>
      </c>
      <c r="AF23" s="2" t="s">
        <v>55</v>
      </c>
      <c r="AG23" s="2">
        <v>1</v>
      </c>
      <c r="AH23" s="2">
        <v>1</v>
      </c>
      <c r="AI23" s="2">
        <v>1</v>
      </c>
      <c r="AJ23" s="2">
        <v>0</v>
      </c>
      <c r="AK23" s="2">
        <v>1</v>
      </c>
      <c r="AL23" s="5">
        <v>45406</v>
      </c>
      <c r="AM23" s="2">
        <v>0</v>
      </c>
      <c r="AN23" s="2">
        <v>0</v>
      </c>
      <c r="AO23" s="2">
        <v>1</v>
      </c>
      <c r="AP23" s="5">
        <v>45408</v>
      </c>
      <c r="AQ23" s="2">
        <v>0</v>
      </c>
      <c r="AR23" s="2">
        <v>0</v>
      </c>
      <c r="AS23" s="2">
        <v>0</v>
      </c>
      <c r="AT23" s="2">
        <v>0</v>
      </c>
      <c r="AU23" s="2" t="s">
        <v>90</v>
      </c>
    </row>
    <row r="24" spans="1:47">
      <c r="A24" s="2">
        <v>23</v>
      </c>
      <c r="B24" s="5">
        <v>45401</v>
      </c>
      <c r="C24" s="5">
        <v>45447</v>
      </c>
      <c r="D24" s="2">
        <f t="shared" si="1"/>
        <v>46</v>
      </c>
      <c r="E24" s="2">
        <v>46</v>
      </c>
      <c r="F24" s="2">
        <v>2</v>
      </c>
      <c r="G24" s="2">
        <v>2</v>
      </c>
      <c r="H24" s="2">
        <v>1</v>
      </c>
      <c r="I24" s="2">
        <v>1</v>
      </c>
      <c r="J24" s="2">
        <v>0</v>
      </c>
      <c r="K24" s="2">
        <v>0</v>
      </c>
      <c r="L24" s="2">
        <v>1</v>
      </c>
      <c r="M24" s="2">
        <v>0</v>
      </c>
      <c r="N24" s="2">
        <v>0</v>
      </c>
      <c r="P24" t="s">
        <v>47</v>
      </c>
      <c r="Q24" s="2">
        <v>1</v>
      </c>
      <c r="R24" s="2">
        <v>3</v>
      </c>
      <c r="S24" s="5">
        <v>45401</v>
      </c>
      <c r="T24" s="5">
        <v>45404</v>
      </c>
      <c r="U24" s="28">
        <f t="shared" si="0"/>
        <v>3</v>
      </c>
      <c r="V24" s="2">
        <v>1</v>
      </c>
      <c r="W24" s="2">
        <v>0</v>
      </c>
      <c r="X24" s="2">
        <v>0</v>
      </c>
      <c r="Y24" s="2">
        <v>1</v>
      </c>
      <c r="Z24" s="2">
        <v>0</v>
      </c>
      <c r="AA24" s="2">
        <v>0</v>
      </c>
      <c r="AB24" s="2">
        <v>0</v>
      </c>
      <c r="AC24" s="2">
        <v>0</v>
      </c>
      <c r="AD24" s="2">
        <v>0</v>
      </c>
      <c r="AE24" s="2">
        <v>1</v>
      </c>
      <c r="AF24" s="2" t="s">
        <v>91</v>
      </c>
      <c r="AG24" s="2">
        <v>1</v>
      </c>
      <c r="AH24" s="2">
        <v>0</v>
      </c>
      <c r="AI24" s="2">
        <v>1</v>
      </c>
      <c r="AJ24" s="2">
        <v>1</v>
      </c>
      <c r="AK24" s="2">
        <v>1</v>
      </c>
      <c r="AL24" s="5">
        <v>45406</v>
      </c>
      <c r="AM24" s="2">
        <v>0</v>
      </c>
      <c r="AN24" s="2">
        <v>0</v>
      </c>
      <c r="AO24" s="2">
        <v>1</v>
      </c>
      <c r="AP24" s="5">
        <v>45408</v>
      </c>
      <c r="AQ24" s="2">
        <v>0</v>
      </c>
      <c r="AR24" s="2">
        <v>0</v>
      </c>
      <c r="AS24" s="2">
        <v>0</v>
      </c>
      <c r="AT24" s="2">
        <v>0</v>
      </c>
      <c r="AU24" s="2" t="s">
        <v>92</v>
      </c>
    </row>
    <row r="25" spans="1:47">
      <c r="A25" s="2">
        <v>24</v>
      </c>
      <c r="B25" s="5">
        <v>45402</v>
      </c>
      <c r="C25" s="5">
        <v>45412</v>
      </c>
      <c r="D25" s="2">
        <f t="shared" si="1"/>
        <v>10</v>
      </c>
      <c r="E25" s="2">
        <v>87</v>
      </c>
      <c r="F25" s="2">
        <v>2</v>
      </c>
      <c r="G25" s="2">
        <v>2</v>
      </c>
      <c r="H25" s="2">
        <v>1</v>
      </c>
      <c r="I25" s="2">
        <v>0</v>
      </c>
      <c r="J25" s="2">
        <v>0</v>
      </c>
      <c r="K25" s="2">
        <v>0</v>
      </c>
      <c r="L25" s="2">
        <v>0</v>
      </c>
      <c r="M25" s="2">
        <v>0</v>
      </c>
      <c r="N25" s="2">
        <v>1</v>
      </c>
      <c r="O25" s="2" t="s">
        <v>93</v>
      </c>
      <c r="P25" t="s">
        <v>52</v>
      </c>
      <c r="Q25" s="2">
        <v>1</v>
      </c>
      <c r="R25" s="2">
        <v>2</v>
      </c>
      <c r="S25" s="5">
        <v>45402</v>
      </c>
      <c r="T25" s="5">
        <v>45403</v>
      </c>
      <c r="U25" s="28">
        <f t="shared" si="0"/>
        <v>1</v>
      </c>
      <c r="V25" s="2">
        <v>0</v>
      </c>
      <c r="W25" s="2">
        <v>0</v>
      </c>
      <c r="X25" s="2">
        <v>0</v>
      </c>
      <c r="Y25" s="2">
        <v>0</v>
      </c>
      <c r="Z25" s="2">
        <v>0</v>
      </c>
      <c r="AA25" s="2">
        <v>0</v>
      </c>
      <c r="AB25" s="2">
        <v>0</v>
      </c>
      <c r="AC25" s="2">
        <v>0</v>
      </c>
      <c r="AD25" s="2">
        <v>0</v>
      </c>
      <c r="AE25" s="2">
        <v>1</v>
      </c>
      <c r="AF25" s="2" t="s">
        <v>55</v>
      </c>
      <c r="AG25" s="11">
        <v>1</v>
      </c>
      <c r="AH25" s="2">
        <v>1</v>
      </c>
      <c r="AI25" s="2">
        <v>1</v>
      </c>
      <c r="AJ25" s="2">
        <v>1</v>
      </c>
      <c r="AK25" s="2">
        <v>1</v>
      </c>
      <c r="AL25" s="5">
        <v>45406</v>
      </c>
      <c r="AM25" s="2">
        <v>0</v>
      </c>
      <c r="AN25" s="2">
        <v>0</v>
      </c>
      <c r="AO25" s="2">
        <v>1</v>
      </c>
      <c r="AP25" s="5">
        <v>45411</v>
      </c>
      <c r="AQ25" s="2">
        <v>0</v>
      </c>
      <c r="AR25" s="2">
        <v>0</v>
      </c>
      <c r="AS25" s="2">
        <v>1</v>
      </c>
      <c r="AT25" s="2">
        <v>0</v>
      </c>
      <c r="AU25" s="2" t="s">
        <v>94</v>
      </c>
    </row>
    <row r="26" spans="1:47">
      <c r="A26" s="2">
        <v>25</v>
      </c>
      <c r="B26" s="5">
        <v>45405</v>
      </c>
      <c r="C26" s="5">
        <v>45423</v>
      </c>
      <c r="D26" s="2">
        <f t="shared" si="1"/>
        <v>18</v>
      </c>
      <c r="E26" s="2">
        <v>66</v>
      </c>
      <c r="F26" s="2">
        <v>1</v>
      </c>
      <c r="G26" s="2">
        <v>2</v>
      </c>
      <c r="H26" s="2">
        <v>1</v>
      </c>
      <c r="I26" s="2">
        <v>0</v>
      </c>
      <c r="J26" s="2">
        <v>0</v>
      </c>
      <c r="K26" s="2">
        <v>0</v>
      </c>
      <c r="L26" s="2">
        <v>0</v>
      </c>
      <c r="M26" s="2">
        <v>0</v>
      </c>
      <c r="N26" s="2">
        <v>1</v>
      </c>
      <c r="O26" s="2" t="s">
        <v>63</v>
      </c>
      <c r="P26" t="s">
        <v>52</v>
      </c>
      <c r="Q26" s="2">
        <v>1</v>
      </c>
      <c r="R26" s="2">
        <v>4</v>
      </c>
      <c r="S26" s="5">
        <v>45405</v>
      </c>
      <c r="T26" s="5">
        <v>45408</v>
      </c>
      <c r="U26" s="28">
        <f t="shared" si="0"/>
        <v>3</v>
      </c>
      <c r="V26" s="2">
        <v>1</v>
      </c>
      <c r="W26" s="2">
        <v>1</v>
      </c>
      <c r="X26" s="2">
        <v>0</v>
      </c>
      <c r="Y26" s="2">
        <v>0</v>
      </c>
      <c r="Z26" s="2">
        <v>1</v>
      </c>
      <c r="AA26" s="2">
        <v>0</v>
      </c>
      <c r="AB26" s="2">
        <v>0</v>
      </c>
      <c r="AC26" s="2">
        <v>0</v>
      </c>
      <c r="AD26" s="2">
        <v>0</v>
      </c>
      <c r="AE26" s="2">
        <v>1</v>
      </c>
      <c r="AF26" s="2" t="s">
        <v>55</v>
      </c>
      <c r="AG26" s="11">
        <v>1</v>
      </c>
      <c r="AH26" s="2">
        <v>0</v>
      </c>
      <c r="AI26" s="2">
        <v>1</v>
      </c>
      <c r="AJ26" s="2">
        <v>0</v>
      </c>
      <c r="AK26" s="2">
        <v>1</v>
      </c>
      <c r="AL26" s="5">
        <v>45411</v>
      </c>
      <c r="AM26" s="2">
        <v>0</v>
      </c>
      <c r="AN26" s="2">
        <v>0</v>
      </c>
      <c r="AO26" s="2">
        <v>0</v>
      </c>
      <c r="AT26" s="2">
        <v>1</v>
      </c>
      <c r="AU26" s="2" t="s">
        <v>95</v>
      </c>
    </row>
    <row r="27" spans="1:47">
      <c r="A27" s="2">
        <v>26</v>
      </c>
      <c r="B27" s="5">
        <v>45406</v>
      </c>
      <c r="C27" s="5">
        <v>45424</v>
      </c>
      <c r="D27" s="2">
        <f t="shared" si="1"/>
        <v>18</v>
      </c>
      <c r="E27" s="2">
        <v>59</v>
      </c>
      <c r="F27" s="2">
        <v>2</v>
      </c>
      <c r="G27" s="2">
        <v>2</v>
      </c>
      <c r="H27" s="2">
        <v>1</v>
      </c>
      <c r="I27" s="2">
        <v>0</v>
      </c>
      <c r="J27" s="2">
        <v>0</v>
      </c>
      <c r="K27" s="2">
        <v>0</v>
      </c>
      <c r="L27" s="2">
        <v>1</v>
      </c>
      <c r="M27" s="2">
        <v>0</v>
      </c>
      <c r="N27" s="2">
        <v>1</v>
      </c>
      <c r="O27" s="2" t="s">
        <v>70</v>
      </c>
      <c r="P27" t="s">
        <v>52</v>
      </c>
      <c r="Q27" s="2">
        <v>1</v>
      </c>
      <c r="R27" s="2">
        <v>3</v>
      </c>
      <c r="S27" s="5">
        <v>45406</v>
      </c>
      <c r="T27" s="5">
        <v>45409</v>
      </c>
      <c r="U27" s="28">
        <f t="shared" si="0"/>
        <v>3</v>
      </c>
      <c r="V27" s="2">
        <v>1</v>
      </c>
      <c r="W27" s="2">
        <v>0</v>
      </c>
      <c r="X27" s="2">
        <v>0</v>
      </c>
      <c r="Y27" s="2">
        <v>1</v>
      </c>
      <c r="Z27" s="2">
        <v>0</v>
      </c>
      <c r="AA27" s="2">
        <v>0</v>
      </c>
      <c r="AB27" s="2">
        <v>0</v>
      </c>
      <c r="AC27" s="2">
        <v>0</v>
      </c>
      <c r="AD27" s="2">
        <v>0</v>
      </c>
      <c r="AE27" s="2">
        <v>1</v>
      </c>
      <c r="AF27" s="2" t="s">
        <v>55</v>
      </c>
      <c r="AG27" s="2">
        <v>1</v>
      </c>
      <c r="AH27" s="2">
        <v>1</v>
      </c>
      <c r="AI27" s="2">
        <v>1</v>
      </c>
      <c r="AJ27" s="2">
        <v>1</v>
      </c>
      <c r="AK27" s="2">
        <v>1</v>
      </c>
      <c r="AL27" s="5">
        <v>45415</v>
      </c>
      <c r="AM27" s="2">
        <v>1</v>
      </c>
      <c r="AN27" s="2">
        <v>0</v>
      </c>
      <c r="AO27" s="2">
        <v>0</v>
      </c>
      <c r="AT27" s="2">
        <v>1</v>
      </c>
      <c r="AU27" s="2" t="s">
        <v>96</v>
      </c>
    </row>
    <row r="28" spans="1:47">
      <c r="A28" s="8">
        <v>27</v>
      </c>
      <c r="B28" s="5">
        <v>45403</v>
      </c>
      <c r="C28" s="6">
        <v>45412</v>
      </c>
      <c r="D28" s="2">
        <f t="shared" si="1"/>
        <v>9</v>
      </c>
      <c r="E28" s="2">
        <v>72</v>
      </c>
      <c r="F28" s="2">
        <v>1</v>
      </c>
      <c r="G28" s="2">
        <v>2</v>
      </c>
      <c r="H28" s="2">
        <v>1</v>
      </c>
      <c r="I28" s="2">
        <v>0</v>
      </c>
      <c r="J28" s="2">
        <v>0</v>
      </c>
      <c r="K28" s="2">
        <v>0</v>
      </c>
      <c r="L28" s="2">
        <v>0</v>
      </c>
      <c r="M28" s="2">
        <v>0</v>
      </c>
      <c r="N28" s="2">
        <v>1</v>
      </c>
      <c r="O28" s="2" t="s">
        <v>97</v>
      </c>
      <c r="P28" t="s">
        <v>52</v>
      </c>
      <c r="Q28" s="2">
        <v>1</v>
      </c>
      <c r="R28" s="2">
        <v>2</v>
      </c>
      <c r="S28" s="5">
        <v>45407</v>
      </c>
      <c r="T28" s="5">
        <v>45409</v>
      </c>
      <c r="U28" s="28">
        <f t="shared" si="0"/>
        <v>2</v>
      </c>
      <c r="V28" s="2">
        <v>1</v>
      </c>
      <c r="W28" s="2">
        <v>1</v>
      </c>
      <c r="X28" s="2">
        <v>0</v>
      </c>
      <c r="Y28" s="2">
        <v>0</v>
      </c>
      <c r="Z28" s="2">
        <v>0</v>
      </c>
      <c r="AA28" s="2">
        <v>0</v>
      </c>
      <c r="AB28" s="2">
        <v>0</v>
      </c>
      <c r="AC28" s="2">
        <v>0</v>
      </c>
      <c r="AD28" s="2">
        <v>1</v>
      </c>
      <c r="AE28" s="2">
        <v>1</v>
      </c>
      <c r="AF28" s="2" t="s">
        <v>55</v>
      </c>
      <c r="AG28" s="2">
        <v>1</v>
      </c>
      <c r="AH28" s="2">
        <v>1</v>
      </c>
      <c r="AI28" s="2">
        <v>1</v>
      </c>
      <c r="AJ28" s="2">
        <v>1</v>
      </c>
      <c r="AK28" s="2">
        <v>1</v>
      </c>
      <c r="AL28" s="5">
        <v>45408</v>
      </c>
      <c r="AM28" s="2">
        <v>0</v>
      </c>
      <c r="AN28" s="2">
        <v>0</v>
      </c>
      <c r="AO28" s="2">
        <v>0</v>
      </c>
      <c r="AT28" s="2">
        <v>0</v>
      </c>
      <c r="AU28" s="2" t="s">
        <v>98</v>
      </c>
    </row>
    <row r="29" spans="1:47">
      <c r="A29" s="2">
        <v>28</v>
      </c>
      <c r="B29" s="5">
        <v>45406</v>
      </c>
      <c r="C29" s="5">
        <v>45422</v>
      </c>
      <c r="D29" s="2">
        <f t="shared" si="1"/>
        <v>16</v>
      </c>
      <c r="E29" s="2">
        <v>71</v>
      </c>
      <c r="F29" s="2">
        <v>2</v>
      </c>
      <c r="G29" s="2">
        <v>2</v>
      </c>
      <c r="H29" s="2">
        <v>1</v>
      </c>
      <c r="I29" s="2">
        <v>0</v>
      </c>
      <c r="J29" s="2">
        <v>0</v>
      </c>
      <c r="K29" s="2">
        <v>0</v>
      </c>
      <c r="L29" s="2">
        <v>0</v>
      </c>
      <c r="M29" s="2">
        <v>0</v>
      </c>
      <c r="N29" s="2">
        <v>1</v>
      </c>
      <c r="O29" s="2" t="s">
        <v>99</v>
      </c>
      <c r="P29" t="s">
        <v>52</v>
      </c>
      <c r="Q29" s="2">
        <v>1</v>
      </c>
      <c r="R29" s="2">
        <v>2</v>
      </c>
      <c r="S29" s="5">
        <v>45409</v>
      </c>
      <c r="T29" s="5">
        <v>45410</v>
      </c>
      <c r="U29" s="28">
        <f t="shared" si="0"/>
        <v>1</v>
      </c>
      <c r="V29" s="2">
        <v>1</v>
      </c>
      <c r="W29" s="2">
        <v>1</v>
      </c>
      <c r="X29" s="2">
        <v>0</v>
      </c>
      <c r="Y29" s="2">
        <v>0</v>
      </c>
      <c r="Z29" s="2">
        <v>1</v>
      </c>
      <c r="AA29" s="2">
        <v>0</v>
      </c>
      <c r="AB29" s="2">
        <v>0</v>
      </c>
      <c r="AC29" s="2">
        <v>0</v>
      </c>
      <c r="AD29" s="2">
        <v>1</v>
      </c>
      <c r="AE29" s="2">
        <v>1</v>
      </c>
      <c r="AF29" s="2" t="s">
        <v>79</v>
      </c>
      <c r="AG29" s="2">
        <v>1</v>
      </c>
      <c r="AH29" s="2">
        <v>1</v>
      </c>
      <c r="AI29" s="2">
        <v>1</v>
      </c>
      <c r="AJ29" s="2">
        <v>1</v>
      </c>
      <c r="AK29" s="2">
        <v>1</v>
      </c>
      <c r="AL29" s="5">
        <v>45414</v>
      </c>
      <c r="AM29" s="2">
        <v>0</v>
      </c>
      <c r="AN29" s="2">
        <v>0</v>
      </c>
      <c r="AO29" s="2">
        <v>0</v>
      </c>
      <c r="AT29" s="2">
        <v>0</v>
      </c>
      <c r="AU29" s="2" t="s">
        <v>100</v>
      </c>
    </row>
    <row r="30" spans="1:47">
      <c r="A30" s="2">
        <v>29</v>
      </c>
      <c r="B30" s="5">
        <v>45347</v>
      </c>
      <c r="C30" s="5">
        <v>45454</v>
      </c>
      <c r="D30" s="2">
        <f t="shared" si="1"/>
        <v>107</v>
      </c>
      <c r="E30" s="2">
        <v>54</v>
      </c>
      <c r="F30" s="2">
        <v>1</v>
      </c>
      <c r="G30" s="2">
        <v>3</v>
      </c>
      <c r="H30" s="2">
        <v>0</v>
      </c>
      <c r="I30" s="2">
        <v>0</v>
      </c>
      <c r="J30" s="2">
        <v>0</v>
      </c>
      <c r="K30" s="2">
        <v>0</v>
      </c>
      <c r="L30" s="2">
        <v>0</v>
      </c>
      <c r="M30" s="2">
        <v>0</v>
      </c>
      <c r="N30" s="2">
        <v>0</v>
      </c>
      <c r="P30" t="s">
        <v>47</v>
      </c>
      <c r="Q30" s="2">
        <v>1</v>
      </c>
      <c r="R30" s="2">
        <v>4</v>
      </c>
      <c r="S30" s="5">
        <v>45407</v>
      </c>
      <c r="T30" s="5">
        <v>45410</v>
      </c>
      <c r="U30" s="28">
        <f t="shared" si="0"/>
        <v>3</v>
      </c>
      <c r="V30" s="2">
        <v>1</v>
      </c>
      <c r="W30" s="2">
        <v>0</v>
      </c>
      <c r="X30" s="2">
        <v>1</v>
      </c>
      <c r="Y30" s="2">
        <v>0</v>
      </c>
      <c r="Z30" s="2">
        <v>0</v>
      </c>
      <c r="AA30" s="2">
        <v>0</v>
      </c>
      <c r="AB30" s="2">
        <v>0</v>
      </c>
      <c r="AC30" s="2">
        <v>0</v>
      </c>
      <c r="AD30" s="2">
        <v>0</v>
      </c>
      <c r="AE30" s="2">
        <v>1</v>
      </c>
      <c r="AF30" s="2" t="s">
        <v>91</v>
      </c>
      <c r="AG30" s="2">
        <v>1</v>
      </c>
      <c r="AH30" s="2">
        <v>1</v>
      </c>
      <c r="AI30" s="2">
        <v>0</v>
      </c>
      <c r="AJ30" s="2">
        <v>1</v>
      </c>
      <c r="AK30" s="2">
        <v>1</v>
      </c>
      <c r="AL30" s="5">
        <v>45411</v>
      </c>
      <c r="AM30" s="2">
        <v>0</v>
      </c>
      <c r="AN30" s="2">
        <v>0</v>
      </c>
      <c r="AO30" s="2">
        <v>0</v>
      </c>
      <c r="AT30" s="2">
        <v>1</v>
      </c>
      <c r="AU30" s="2" t="s">
        <v>101</v>
      </c>
    </row>
    <row r="31" spans="1:47">
      <c r="A31" s="2">
        <v>30</v>
      </c>
      <c r="B31" s="5">
        <v>45351</v>
      </c>
      <c r="C31" s="5">
        <v>45379</v>
      </c>
      <c r="D31" s="2">
        <f t="shared" si="1"/>
        <v>28</v>
      </c>
      <c r="E31" s="2">
        <v>28</v>
      </c>
      <c r="F31" s="2">
        <v>2</v>
      </c>
      <c r="G31" s="2">
        <v>2</v>
      </c>
      <c r="H31" s="2">
        <v>1</v>
      </c>
      <c r="I31" s="2">
        <v>1</v>
      </c>
      <c r="J31" s="2">
        <v>0</v>
      </c>
      <c r="K31" s="2">
        <v>0</v>
      </c>
      <c r="L31" s="2">
        <v>0</v>
      </c>
      <c r="M31" s="2">
        <v>0</v>
      </c>
      <c r="N31" s="2">
        <v>0</v>
      </c>
      <c r="P31" t="s">
        <v>47</v>
      </c>
      <c r="Q31" s="2">
        <v>1</v>
      </c>
      <c r="R31" s="2">
        <v>3</v>
      </c>
      <c r="S31" s="5">
        <v>45351</v>
      </c>
      <c r="T31" s="5">
        <v>45353</v>
      </c>
      <c r="U31" s="28">
        <f t="shared" si="0"/>
        <v>2</v>
      </c>
      <c r="V31" s="2">
        <v>1</v>
      </c>
      <c r="W31" s="2">
        <v>0</v>
      </c>
      <c r="X31" s="2">
        <v>0</v>
      </c>
      <c r="Y31" s="2">
        <v>0</v>
      </c>
      <c r="Z31" s="2">
        <v>0</v>
      </c>
      <c r="AA31" s="2">
        <v>0</v>
      </c>
      <c r="AB31" s="2">
        <v>1</v>
      </c>
      <c r="AC31" s="2">
        <v>0</v>
      </c>
      <c r="AD31" s="2">
        <v>0</v>
      </c>
      <c r="AE31" s="2">
        <v>1</v>
      </c>
      <c r="AF31" s="2" t="s">
        <v>91</v>
      </c>
      <c r="AG31" s="2">
        <v>1</v>
      </c>
      <c r="AH31" s="2">
        <v>1</v>
      </c>
      <c r="AI31" s="2">
        <v>0</v>
      </c>
      <c r="AJ31" s="2">
        <v>1</v>
      </c>
      <c r="AK31" s="2">
        <v>1</v>
      </c>
      <c r="AL31" s="5">
        <v>45352</v>
      </c>
      <c r="AM31" s="2">
        <v>0</v>
      </c>
      <c r="AN31" s="2">
        <v>1</v>
      </c>
      <c r="AO31" s="2">
        <v>1</v>
      </c>
      <c r="AP31" s="5">
        <v>45365</v>
      </c>
      <c r="AQ31" s="2">
        <v>0</v>
      </c>
      <c r="AR31" s="2">
        <v>1</v>
      </c>
      <c r="AS31" s="2">
        <v>0</v>
      </c>
      <c r="AT31" s="2">
        <v>0</v>
      </c>
      <c r="AU31" s="2" t="s">
        <v>102</v>
      </c>
    </row>
    <row r="32" spans="1:47">
      <c r="A32" s="8">
        <v>31</v>
      </c>
      <c r="B32" s="5">
        <v>45343</v>
      </c>
      <c r="C32" s="6">
        <v>45368</v>
      </c>
      <c r="D32" s="2">
        <f t="shared" si="1"/>
        <v>25</v>
      </c>
      <c r="E32" s="2">
        <v>82</v>
      </c>
      <c r="F32" s="2">
        <v>1</v>
      </c>
      <c r="G32" s="2">
        <v>2</v>
      </c>
      <c r="H32" s="2">
        <v>1</v>
      </c>
      <c r="I32" s="2">
        <v>0</v>
      </c>
      <c r="J32" s="2">
        <v>0</v>
      </c>
      <c r="K32" s="2">
        <v>0</v>
      </c>
      <c r="L32" s="2">
        <v>1</v>
      </c>
      <c r="M32" s="2">
        <v>0</v>
      </c>
      <c r="N32" s="2">
        <v>1</v>
      </c>
      <c r="O32" s="2" t="s">
        <v>103</v>
      </c>
      <c r="P32" t="s">
        <v>52</v>
      </c>
      <c r="Q32" s="2">
        <v>1</v>
      </c>
      <c r="R32" s="2">
        <v>2</v>
      </c>
      <c r="S32" s="5">
        <v>45351</v>
      </c>
      <c r="T32" s="5">
        <v>45352</v>
      </c>
      <c r="U32" s="28">
        <f t="shared" si="0"/>
        <v>1</v>
      </c>
      <c r="V32" s="2">
        <v>1</v>
      </c>
      <c r="W32" s="2">
        <v>0</v>
      </c>
      <c r="X32" s="2">
        <v>0</v>
      </c>
      <c r="Y32" s="2">
        <v>1</v>
      </c>
      <c r="Z32" s="2">
        <v>0</v>
      </c>
      <c r="AA32" s="2">
        <v>0</v>
      </c>
      <c r="AB32" s="2">
        <v>0</v>
      </c>
      <c r="AC32" s="2">
        <v>1</v>
      </c>
      <c r="AD32" s="2">
        <v>0</v>
      </c>
      <c r="AE32" s="2">
        <v>1</v>
      </c>
      <c r="AF32" s="2" t="s">
        <v>91</v>
      </c>
      <c r="AG32" s="2">
        <v>1</v>
      </c>
      <c r="AH32" s="2">
        <v>0</v>
      </c>
      <c r="AI32" s="2">
        <v>1</v>
      </c>
      <c r="AJ32" s="2">
        <v>0</v>
      </c>
      <c r="AK32" s="2">
        <v>1</v>
      </c>
      <c r="AL32" s="5">
        <v>45352</v>
      </c>
      <c r="AM32" s="2">
        <v>0</v>
      </c>
      <c r="AN32" s="2">
        <v>1</v>
      </c>
      <c r="AO32" s="2">
        <v>0</v>
      </c>
      <c r="AT32" s="2">
        <v>1</v>
      </c>
      <c r="AU32" s="2" t="s">
        <v>104</v>
      </c>
    </row>
    <row r="33" spans="1:47">
      <c r="A33" s="2">
        <v>32</v>
      </c>
      <c r="B33" s="5">
        <v>45355</v>
      </c>
      <c r="C33" s="5">
        <v>45378</v>
      </c>
      <c r="D33" s="2">
        <f t="shared" si="1"/>
        <v>23</v>
      </c>
      <c r="E33" s="2">
        <v>79</v>
      </c>
      <c r="F33" s="2">
        <v>2</v>
      </c>
      <c r="G33" s="2">
        <v>2</v>
      </c>
      <c r="H33" s="2">
        <v>1</v>
      </c>
      <c r="I33" s="2">
        <v>0</v>
      </c>
      <c r="J33" s="2">
        <v>0</v>
      </c>
      <c r="K33" s="2">
        <v>0</v>
      </c>
      <c r="L33" s="2">
        <v>0</v>
      </c>
      <c r="M33" s="2">
        <v>0</v>
      </c>
      <c r="N33" s="2">
        <v>1</v>
      </c>
      <c r="O33" s="2" t="s">
        <v>106</v>
      </c>
      <c r="P33" t="s">
        <v>47</v>
      </c>
      <c r="Q33" s="2">
        <v>1</v>
      </c>
      <c r="R33" s="2">
        <v>5</v>
      </c>
      <c r="S33" s="5">
        <v>45355</v>
      </c>
      <c r="T33" s="5">
        <v>45359</v>
      </c>
      <c r="U33" s="28">
        <f t="shared" si="0"/>
        <v>4</v>
      </c>
      <c r="V33" s="2">
        <v>0</v>
      </c>
      <c r="W33" s="2">
        <v>0</v>
      </c>
      <c r="X33" s="2">
        <v>0</v>
      </c>
      <c r="Y33" s="2">
        <v>0</v>
      </c>
      <c r="Z33" s="2">
        <v>0</v>
      </c>
      <c r="AA33" s="2">
        <v>0</v>
      </c>
      <c r="AB33" s="2">
        <v>0</v>
      </c>
      <c r="AC33" s="2">
        <v>0</v>
      </c>
      <c r="AD33" s="2">
        <v>0</v>
      </c>
      <c r="AE33" s="2">
        <v>1</v>
      </c>
      <c r="AF33" s="2" t="s">
        <v>48</v>
      </c>
      <c r="AG33" s="2">
        <v>1</v>
      </c>
      <c r="AH33" s="2">
        <v>1</v>
      </c>
      <c r="AI33" s="2">
        <v>1</v>
      </c>
      <c r="AJ33" s="2">
        <v>1</v>
      </c>
      <c r="AK33" s="2">
        <v>1</v>
      </c>
      <c r="AL33" s="5">
        <v>45357</v>
      </c>
      <c r="AM33" s="2">
        <v>0</v>
      </c>
      <c r="AN33" s="2">
        <v>0</v>
      </c>
      <c r="AO33" s="2">
        <v>1</v>
      </c>
      <c r="AP33" s="5">
        <v>45364</v>
      </c>
      <c r="AQ33" s="2">
        <v>0</v>
      </c>
      <c r="AR33" s="2">
        <v>0</v>
      </c>
      <c r="AS33" s="2">
        <v>0</v>
      </c>
      <c r="AT33" s="2">
        <v>0</v>
      </c>
      <c r="AU33" s="2" t="s">
        <v>107</v>
      </c>
    </row>
    <row r="34" spans="1:47">
      <c r="A34" s="8">
        <v>33</v>
      </c>
      <c r="B34" s="5">
        <v>45356</v>
      </c>
      <c r="C34" s="6">
        <v>45383</v>
      </c>
      <c r="D34" s="2">
        <f t="shared" si="1"/>
        <v>27</v>
      </c>
      <c r="E34" s="2">
        <v>77</v>
      </c>
      <c r="F34" s="2">
        <v>2</v>
      </c>
      <c r="G34" s="2">
        <v>3</v>
      </c>
      <c r="H34" s="2">
        <v>1</v>
      </c>
      <c r="I34" s="2">
        <v>0</v>
      </c>
      <c r="J34" s="2">
        <v>0</v>
      </c>
      <c r="K34" s="2">
        <v>1</v>
      </c>
      <c r="L34" s="2">
        <v>0</v>
      </c>
      <c r="M34" s="2">
        <v>0</v>
      </c>
      <c r="N34" s="2">
        <v>1</v>
      </c>
      <c r="O34" s="2" t="s">
        <v>108</v>
      </c>
      <c r="P34" t="s">
        <v>52</v>
      </c>
      <c r="Q34" s="2">
        <v>1</v>
      </c>
      <c r="R34" s="2">
        <v>3</v>
      </c>
      <c r="S34" s="5">
        <v>45364</v>
      </c>
      <c r="T34" s="5">
        <v>45366</v>
      </c>
      <c r="U34" s="28">
        <f t="shared" si="0"/>
        <v>2</v>
      </c>
      <c r="V34" s="2">
        <v>0</v>
      </c>
      <c r="W34" s="2">
        <v>0</v>
      </c>
      <c r="X34" s="2">
        <v>0</v>
      </c>
      <c r="Y34" s="2">
        <v>0</v>
      </c>
      <c r="Z34" s="2">
        <v>0</v>
      </c>
      <c r="AA34" s="2">
        <v>0</v>
      </c>
      <c r="AB34" s="2">
        <v>0</v>
      </c>
      <c r="AC34" s="2">
        <v>0</v>
      </c>
      <c r="AD34" s="2">
        <v>0</v>
      </c>
      <c r="AE34" s="2">
        <v>1</v>
      </c>
      <c r="AF34" s="2" t="s">
        <v>55</v>
      </c>
      <c r="AG34" s="2">
        <v>1</v>
      </c>
      <c r="AH34" s="2">
        <v>0</v>
      </c>
      <c r="AI34" s="2">
        <v>1</v>
      </c>
      <c r="AJ34" s="2">
        <v>1</v>
      </c>
      <c r="AK34" s="2">
        <v>1</v>
      </c>
      <c r="AL34" s="5">
        <v>45365</v>
      </c>
      <c r="AM34" s="2">
        <v>0</v>
      </c>
      <c r="AN34" s="2">
        <v>0</v>
      </c>
      <c r="AO34" s="2">
        <v>1</v>
      </c>
      <c r="AP34" s="5">
        <v>45366</v>
      </c>
      <c r="AQ34" s="2">
        <v>1</v>
      </c>
      <c r="AR34" s="2">
        <v>0</v>
      </c>
      <c r="AS34" s="2">
        <v>0</v>
      </c>
      <c r="AT34" s="2">
        <v>0</v>
      </c>
      <c r="AU34" s="2" t="s">
        <v>109</v>
      </c>
    </row>
    <row r="35" spans="1:47">
      <c r="A35" s="2">
        <v>34</v>
      </c>
      <c r="B35" s="5">
        <v>45364</v>
      </c>
      <c r="C35" s="5">
        <v>45377</v>
      </c>
      <c r="D35" s="2">
        <f t="shared" si="1"/>
        <v>13</v>
      </c>
      <c r="E35" s="2">
        <v>95</v>
      </c>
      <c r="F35" s="2">
        <v>2</v>
      </c>
      <c r="G35" s="2">
        <v>4</v>
      </c>
      <c r="H35" s="2">
        <v>0</v>
      </c>
      <c r="I35" s="2">
        <v>0</v>
      </c>
      <c r="J35" s="2">
        <v>0</v>
      </c>
      <c r="K35" s="2">
        <v>0</v>
      </c>
      <c r="L35" s="2">
        <v>0</v>
      </c>
      <c r="M35" s="2">
        <v>0</v>
      </c>
      <c r="N35" s="2">
        <v>0</v>
      </c>
      <c r="P35" t="s">
        <v>52</v>
      </c>
      <c r="Q35" s="2">
        <v>1</v>
      </c>
      <c r="R35" s="2">
        <v>5</v>
      </c>
      <c r="S35" s="5">
        <v>45364</v>
      </c>
      <c r="T35" s="5">
        <v>45368</v>
      </c>
      <c r="U35" s="28">
        <f t="shared" si="0"/>
        <v>4</v>
      </c>
      <c r="V35" s="2">
        <v>1</v>
      </c>
      <c r="W35" s="2">
        <v>0</v>
      </c>
      <c r="X35" s="2">
        <v>0</v>
      </c>
      <c r="Y35" s="2">
        <v>0</v>
      </c>
      <c r="Z35" s="2">
        <v>0</v>
      </c>
      <c r="AA35" s="2">
        <v>0</v>
      </c>
      <c r="AB35" s="2">
        <v>0</v>
      </c>
      <c r="AC35" s="2">
        <v>0</v>
      </c>
      <c r="AD35" s="2">
        <v>1</v>
      </c>
      <c r="AE35" s="2">
        <v>1</v>
      </c>
      <c r="AF35" s="2" t="s">
        <v>55</v>
      </c>
      <c r="AG35" s="2">
        <v>1</v>
      </c>
      <c r="AH35" s="2">
        <v>1</v>
      </c>
      <c r="AI35" s="2">
        <v>1</v>
      </c>
      <c r="AJ35" s="2">
        <v>1</v>
      </c>
      <c r="AK35" s="2">
        <v>1</v>
      </c>
      <c r="AL35" s="5">
        <v>45366</v>
      </c>
      <c r="AM35" s="2">
        <v>0</v>
      </c>
      <c r="AN35" s="2">
        <v>0</v>
      </c>
      <c r="AO35" s="2">
        <v>0</v>
      </c>
      <c r="AT35" s="2">
        <v>0</v>
      </c>
      <c r="AU35" s="2" t="s">
        <v>110</v>
      </c>
    </row>
    <row r="36" spans="1:47">
      <c r="A36" s="2">
        <v>35</v>
      </c>
      <c r="B36" s="5">
        <v>45390</v>
      </c>
      <c r="C36" s="5">
        <v>45425</v>
      </c>
      <c r="D36" s="2">
        <f t="shared" si="1"/>
        <v>35</v>
      </c>
      <c r="E36" s="2">
        <v>42</v>
      </c>
      <c r="F36" s="2">
        <v>2</v>
      </c>
      <c r="G36" s="2">
        <v>4</v>
      </c>
      <c r="H36" s="2">
        <v>1</v>
      </c>
      <c r="I36" s="2">
        <v>1</v>
      </c>
      <c r="J36" s="2">
        <v>0</v>
      </c>
      <c r="K36" s="2">
        <v>0</v>
      </c>
      <c r="L36" s="2">
        <v>0</v>
      </c>
      <c r="M36" s="2">
        <v>0</v>
      </c>
      <c r="N36" s="2">
        <v>0</v>
      </c>
      <c r="P36" t="s">
        <v>47</v>
      </c>
      <c r="Q36" s="2">
        <v>1</v>
      </c>
      <c r="R36" s="11">
        <v>5</v>
      </c>
      <c r="S36" s="5">
        <v>45393</v>
      </c>
      <c r="T36" s="5">
        <v>45398</v>
      </c>
      <c r="U36" s="28">
        <f t="shared" si="0"/>
        <v>5</v>
      </c>
      <c r="V36" s="2">
        <v>1</v>
      </c>
      <c r="W36" s="2">
        <v>1</v>
      </c>
      <c r="X36" s="2">
        <v>1</v>
      </c>
      <c r="Y36" s="2">
        <v>0</v>
      </c>
      <c r="Z36" s="2">
        <v>0</v>
      </c>
      <c r="AA36" s="2">
        <v>0</v>
      </c>
      <c r="AB36" s="2">
        <v>0</v>
      </c>
      <c r="AC36" s="2">
        <v>0</v>
      </c>
      <c r="AD36" s="2">
        <v>0</v>
      </c>
      <c r="AE36" s="2">
        <v>1</v>
      </c>
      <c r="AF36" s="2" t="s">
        <v>48</v>
      </c>
      <c r="AG36" s="2">
        <v>1</v>
      </c>
      <c r="AH36" s="2">
        <v>1</v>
      </c>
      <c r="AI36" s="2">
        <v>0</v>
      </c>
      <c r="AJ36" s="2">
        <v>1</v>
      </c>
      <c r="AK36" s="2">
        <v>1</v>
      </c>
      <c r="AL36" s="5">
        <v>45397</v>
      </c>
      <c r="AM36" s="2">
        <v>0</v>
      </c>
      <c r="AN36" s="2">
        <v>0</v>
      </c>
      <c r="AO36" s="2">
        <v>1</v>
      </c>
      <c r="AP36" s="5">
        <v>45397</v>
      </c>
      <c r="AQ36" s="2">
        <v>0</v>
      </c>
      <c r="AR36" s="2">
        <v>0</v>
      </c>
      <c r="AS36" s="2">
        <v>0</v>
      </c>
      <c r="AT36" s="2">
        <v>0</v>
      </c>
      <c r="AU36" s="2" t="s">
        <v>111</v>
      </c>
    </row>
    <row r="37" spans="1:47">
      <c r="A37" s="8">
        <v>36</v>
      </c>
      <c r="B37" s="5">
        <v>45378</v>
      </c>
      <c r="C37" s="6">
        <v>45380</v>
      </c>
      <c r="D37" s="2">
        <f t="shared" si="1"/>
        <v>2</v>
      </c>
      <c r="E37" s="2">
        <v>64</v>
      </c>
      <c r="F37" s="2">
        <v>2</v>
      </c>
      <c r="G37" s="2">
        <v>2</v>
      </c>
      <c r="H37" s="2">
        <v>1</v>
      </c>
      <c r="I37" s="2">
        <v>0</v>
      </c>
      <c r="J37" s="2">
        <v>0</v>
      </c>
      <c r="K37" s="2">
        <v>0</v>
      </c>
      <c r="L37" s="2">
        <v>0</v>
      </c>
      <c r="M37" s="2">
        <v>0</v>
      </c>
      <c r="N37" s="2">
        <v>1</v>
      </c>
      <c r="O37" s="2" t="s">
        <v>63</v>
      </c>
      <c r="P37" t="s">
        <v>52</v>
      </c>
      <c r="Q37" s="2">
        <v>1</v>
      </c>
      <c r="R37" s="2">
        <v>3</v>
      </c>
      <c r="S37" s="5">
        <v>45378</v>
      </c>
      <c r="T37" s="5">
        <v>45379</v>
      </c>
      <c r="U37" s="28">
        <f t="shared" si="0"/>
        <v>1</v>
      </c>
      <c r="V37" s="2">
        <v>0</v>
      </c>
      <c r="W37" s="2">
        <v>0</v>
      </c>
      <c r="X37" s="2">
        <v>0</v>
      </c>
      <c r="Y37" s="2">
        <v>0</v>
      </c>
      <c r="Z37" s="2">
        <v>0</v>
      </c>
      <c r="AA37" s="2">
        <v>0</v>
      </c>
      <c r="AB37" s="2">
        <v>0</v>
      </c>
      <c r="AC37" s="2">
        <v>0</v>
      </c>
      <c r="AD37" s="2">
        <v>0</v>
      </c>
      <c r="AE37" s="2">
        <v>1</v>
      </c>
      <c r="AF37" s="2" t="s">
        <v>55</v>
      </c>
      <c r="AG37" s="2">
        <v>1</v>
      </c>
      <c r="AH37" s="2">
        <v>1</v>
      </c>
      <c r="AI37" s="2">
        <v>1</v>
      </c>
      <c r="AJ37" s="2">
        <v>0</v>
      </c>
      <c r="AK37" s="2">
        <v>1</v>
      </c>
      <c r="AL37" s="5">
        <v>45379</v>
      </c>
      <c r="AM37" s="2">
        <v>1</v>
      </c>
      <c r="AN37" s="2">
        <v>1</v>
      </c>
      <c r="AO37" s="2">
        <v>0</v>
      </c>
      <c r="AT37" s="2">
        <v>1</v>
      </c>
      <c r="AU37" s="2" t="s">
        <v>112</v>
      </c>
    </row>
    <row r="38" spans="1:47">
      <c r="A38" s="2">
        <v>37</v>
      </c>
      <c r="B38" s="5">
        <v>45379</v>
      </c>
      <c r="C38" s="5">
        <v>45390</v>
      </c>
      <c r="D38" s="2">
        <f t="shared" si="1"/>
        <v>11</v>
      </c>
      <c r="E38" s="2">
        <v>87</v>
      </c>
      <c r="F38" s="2">
        <v>2</v>
      </c>
      <c r="G38" s="2">
        <v>2</v>
      </c>
      <c r="H38" s="2">
        <v>1</v>
      </c>
      <c r="I38" s="2">
        <v>0</v>
      </c>
      <c r="J38" s="2">
        <v>0</v>
      </c>
      <c r="K38" s="2">
        <v>1</v>
      </c>
      <c r="L38" s="2">
        <v>0</v>
      </c>
      <c r="M38" s="2">
        <v>0</v>
      </c>
      <c r="N38" s="2">
        <v>0</v>
      </c>
      <c r="O38" s="2" t="s">
        <v>72</v>
      </c>
      <c r="P38" t="s">
        <v>52</v>
      </c>
      <c r="Q38" s="2">
        <v>1</v>
      </c>
      <c r="R38" s="2">
        <v>4</v>
      </c>
      <c r="S38" s="5">
        <v>45379</v>
      </c>
      <c r="T38" s="5">
        <v>45382</v>
      </c>
      <c r="U38" s="28">
        <f t="shared" si="0"/>
        <v>3</v>
      </c>
      <c r="V38" s="2">
        <v>0</v>
      </c>
      <c r="W38" s="2">
        <v>0</v>
      </c>
      <c r="X38" s="2">
        <v>0</v>
      </c>
      <c r="Y38" s="2">
        <v>0</v>
      </c>
      <c r="Z38" s="2">
        <v>0</v>
      </c>
      <c r="AA38" s="2">
        <v>0</v>
      </c>
      <c r="AB38" s="2">
        <v>0</v>
      </c>
      <c r="AC38" s="2">
        <v>0</v>
      </c>
      <c r="AD38" s="2">
        <v>0</v>
      </c>
      <c r="AE38" s="2">
        <v>1</v>
      </c>
      <c r="AF38" s="2" t="s">
        <v>79</v>
      </c>
      <c r="AG38" s="2">
        <v>1</v>
      </c>
      <c r="AH38" s="2">
        <v>1</v>
      </c>
      <c r="AI38" s="2">
        <v>0</v>
      </c>
      <c r="AJ38" s="2">
        <v>0</v>
      </c>
      <c r="AK38" s="2">
        <v>1</v>
      </c>
      <c r="AL38" s="5">
        <v>45383</v>
      </c>
      <c r="AM38" s="2">
        <v>0</v>
      </c>
      <c r="AN38" s="2">
        <v>0</v>
      </c>
      <c r="AO38" s="2">
        <v>0</v>
      </c>
      <c r="AT38" s="2">
        <v>0</v>
      </c>
      <c r="AU38" s="2" t="s">
        <v>113</v>
      </c>
    </row>
    <row r="39" spans="1:47" s="13" customFormat="1">
      <c r="A39" s="2">
        <v>38</v>
      </c>
      <c r="B39" s="18">
        <v>45381</v>
      </c>
      <c r="C39" s="18">
        <v>45412</v>
      </c>
      <c r="D39" s="13">
        <f t="shared" si="1"/>
        <v>31</v>
      </c>
      <c r="E39" s="13">
        <v>69</v>
      </c>
      <c r="F39" s="13">
        <v>2</v>
      </c>
      <c r="G39" s="13">
        <v>3</v>
      </c>
      <c r="H39" s="13">
        <v>0</v>
      </c>
      <c r="I39" s="13">
        <v>0</v>
      </c>
      <c r="J39" s="13">
        <v>0</v>
      </c>
      <c r="K39" s="13">
        <v>0</v>
      </c>
      <c r="L39" s="13">
        <v>0</v>
      </c>
      <c r="M39" s="13">
        <v>0</v>
      </c>
      <c r="N39" s="13">
        <v>0</v>
      </c>
      <c r="P39" s="14" t="s">
        <v>114</v>
      </c>
      <c r="Q39" s="13">
        <v>0</v>
      </c>
      <c r="R39" s="13">
        <v>1</v>
      </c>
      <c r="S39" s="18">
        <v>45381</v>
      </c>
      <c r="T39" s="18">
        <v>45381</v>
      </c>
      <c r="U39" s="28">
        <f t="shared" si="0"/>
        <v>0</v>
      </c>
      <c r="V39" s="13">
        <v>0</v>
      </c>
      <c r="W39" s="13">
        <v>0</v>
      </c>
      <c r="X39" s="13">
        <v>0</v>
      </c>
      <c r="Y39" s="13">
        <v>0</v>
      </c>
      <c r="Z39" s="13">
        <v>0</v>
      </c>
      <c r="AA39" s="13">
        <v>0</v>
      </c>
      <c r="AB39" s="13">
        <v>0</v>
      </c>
      <c r="AC39" s="13">
        <v>0</v>
      </c>
      <c r="AD39" s="13">
        <v>0</v>
      </c>
      <c r="AE39" s="13">
        <v>1</v>
      </c>
      <c r="AF39" s="13" t="s">
        <v>48</v>
      </c>
      <c r="AG39" s="13">
        <v>1</v>
      </c>
      <c r="AH39" s="13">
        <v>1</v>
      </c>
      <c r="AI39" s="13">
        <v>1</v>
      </c>
      <c r="AJ39" s="13">
        <v>1</v>
      </c>
      <c r="AK39" s="13">
        <v>1</v>
      </c>
      <c r="AL39" s="18">
        <v>45383</v>
      </c>
      <c r="AM39" s="13">
        <v>0</v>
      </c>
      <c r="AN39" s="13">
        <v>1</v>
      </c>
      <c r="AO39" s="13">
        <v>1</v>
      </c>
      <c r="AP39" s="18">
        <v>45385</v>
      </c>
      <c r="AQ39" s="13">
        <v>0</v>
      </c>
      <c r="AR39" s="13">
        <v>0</v>
      </c>
      <c r="AS39" s="13">
        <v>1</v>
      </c>
      <c r="AT39" s="13">
        <v>0</v>
      </c>
      <c r="AU39" s="13" t="s">
        <v>115</v>
      </c>
    </row>
    <row r="40" spans="1:47">
      <c r="A40" s="2">
        <v>39</v>
      </c>
      <c r="B40" s="5">
        <v>45443</v>
      </c>
      <c r="C40" s="5">
        <v>45455</v>
      </c>
      <c r="D40" s="2">
        <f t="shared" si="1"/>
        <v>12</v>
      </c>
      <c r="E40" s="2">
        <v>70</v>
      </c>
      <c r="F40" s="2">
        <v>2</v>
      </c>
      <c r="G40" s="2">
        <v>2</v>
      </c>
      <c r="H40" s="2">
        <v>0</v>
      </c>
      <c r="I40" s="2">
        <v>0</v>
      </c>
      <c r="J40" s="2">
        <v>0</v>
      </c>
      <c r="K40" s="2">
        <v>0</v>
      </c>
      <c r="L40" s="2">
        <v>0</v>
      </c>
      <c r="M40" s="2">
        <v>0</v>
      </c>
      <c r="N40" s="2">
        <v>0</v>
      </c>
      <c r="P40" t="s">
        <v>116</v>
      </c>
      <c r="Q40" s="2">
        <v>0</v>
      </c>
      <c r="R40" s="2">
        <v>1</v>
      </c>
      <c r="S40" s="5">
        <v>45444</v>
      </c>
      <c r="T40" s="5">
        <v>45444</v>
      </c>
      <c r="U40" s="28">
        <f t="shared" si="0"/>
        <v>0</v>
      </c>
      <c r="V40" s="2">
        <v>1</v>
      </c>
      <c r="W40" s="2">
        <v>1</v>
      </c>
      <c r="X40" s="2">
        <v>0</v>
      </c>
      <c r="Y40" s="2">
        <v>0</v>
      </c>
      <c r="Z40" s="2">
        <v>0</v>
      </c>
      <c r="AA40" s="2">
        <v>0</v>
      </c>
      <c r="AB40" s="2">
        <v>0</v>
      </c>
      <c r="AC40" s="2">
        <v>0</v>
      </c>
      <c r="AD40" s="2">
        <v>0</v>
      </c>
      <c r="AE40" s="2">
        <v>1</v>
      </c>
      <c r="AF40" s="2" t="s">
        <v>117</v>
      </c>
      <c r="AG40" s="2">
        <v>1</v>
      </c>
      <c r="AH40" s="2">
        <v>1</v>
      </c>
      <c r="AI40" s="2">
        <v>1</v>
      </c>
      <c r="AJ40" s="2">
        <v>1</v>
      </c>
      <c r="AK40" s="2">
        <v>1</v>
      </c>
      <c r="AL40" s="5">
        <v>45448</v>
      </c>
      <c r="AM40" s="2">
        <v>0</v>
      </c>
      <c r="AN40" s="2">
        <v>1</v>
      </c>
      <c r="AO40" s="2">
        <v>0</v>
      </c>
      <c r="AT40" s="2">
        <v>0</v>
      </c>
      <c r="AU40" s="2" t="s">
        <v>118</v>
      </c>
    </row>
    <row r="41" spans="1:47">
      <c r="A41" s="2">
        <v>40</v>
      </c>
      <c r="B41" s="5">
        <v>45449</v>
      </c>
      <c r="C41" s="5">
        <v>45453</v>
      </c>
      <c r="D41" s="2">
        <f t="shared" si="1"/>
        <v>4</v>
      </c>
      <c r="E41" s="2">
        <v>78</v>
      </c>
      <c r="F41" s="2">
        <v>2</v>
      </c>
      <c r="G41" s="2">
        <v>2</v>
      </c>
      <c r="H41" s="2">
        <v>1</v>
      </c>
      <c r="I41" s="2">
        <v>0</v>
      </c>
      <c r="J41" s="2">
        <v>0</v>
      </c>
      <c r="K41" s="2">
        <v>0</v>
      </c>
      <c r="L41" s="2">
        <v>1</v>
      </c>
      <c r="M41" s="2">
        <v>0</v>
      </c>
      <c r="N41" s="2">
        <v>0</v>
      </c>
      <c r="P41" t="s">
        <v>119</v>
      </c>
      <c r="Q41" s="2">
        <v>0</v>
      </c>
      <c r="R41" s="2">
        <v>1</v>
      </c>
      <c r="S41" s="5">
        <v>45449</v>
      </c>
      <c r="T41" s="5">
        <v>45449</v>
      </c>
      <c r="U41" s="28">
        <f t="shared" si="0"/>
        <v>0</v>
      </c>
      <c r="V41" s="2">
        <v>1</v>
      </c>
      <c r="W41" s="2">
        <v>0</v>
      </c>
      <c r="X41" s="2">
        <v>0</v>
      </c>
      <c r="Y41" s="2">
        <v>0</v>
      </c>
      <c r="Z41" s="2">
        <v>0</v>
      </c>
      <c r="AA41" s="2">
        <v>0</v>
      </c>
      <c r="AB41" s="2">
        <v>0</v>
      </c>
      <c r="AC41" s="2">
        <v>0</v>
      </c>
      <c r="AD41" s="2">
        <v>1</v>
      </c>
      <c r="AE41" s="2">
        <v>1</v>
      </c>
      <c r="AF41" s="2" t="s">
        <v>117</v>
      </c>
      <c r="AG41" s="11">
        <v>0</v>
      </c>
      <c r="AH41" s="2">
        <v>1</v>
      </c>
      <c r="AI41" s="2">
        <v>1</v>
      </c>
      <c r="AJ41" s="11">
        <v>1</v>
      </c>
      <c r="AK41" s="2">
        <v>0</v>
      </c>
      <c r="AO41" s="2">
        <v>0</v>
      </c>
      <c r="AT41" s="2">
        <v>0</v>
      </c>
      <c r="AU41" s="2" t="s">
        <v>120</v>
      </c>
    </row>
    <row r="42" spans="1:47">
      <c r="A42" s="2">
        <v>41</v>
      </c>
      <c r="B42" s="5">
        <v>45450</v>
      </c>
      <c r="C42" s="5">
        <v>45456</v>
      </c>
      <c r="D42" s="2">
        <f t="shared" si="1"/>
        <v>6</v>
      </c>
      <c r="E42" s="2">
        <v>71</v>
      </c>
      <c r="F42" s="2">
        <v>1</v>
      </c>
      <c r="G42" s="2">
        <v>2</v>
      </c>
      <c r="H42" s="2">
        <v>1</v>
      </c>
      <c r="I42" s="2">
        <v>0</v>
      </c>
      <c r="J42" s="2">
        <v>1</v>
      </c>
      <c r="K42" s="2">
        <v>0</v>
      </c>
      <c r="L42" s="2">
        <v>0</v>
      </c>
      <c r="M42" s="2">
        <v>0</v>
      </c>
      <c r="N42" s="2">
        <v>0</v>
      </c>
      <c r="P42" t="s">
        <v>121</v>
      </c>
      <c r="Q42" s="2">
        <v>0</v>
      </c>
      <c r="R42" s="2">
        <v>1</v>
      </c>
      <c r="S42" s="5">
        <v>45450</v>
      </c>
      <c r="T42" s="5">
        <v>45450</v>
      </c>
      <c r="U42" s="28">
        <f t="shared" si="0"/>
        <v>0</v>
      </c>
      <c r="V42" s="2">
        <v>0</v>
      </c>
      <c r="W42" s="2">
        <v>0</v>
      </c>
      <c r="X42" s="2">
        <v>0</v>
      </c>
      <c r="Y42" s="2">
        <v>0</v>
      </c>
      <c r="Z42" s="2">
        <v>0</v>
      </c>
      <c r="AA42" s="2">
        <v>0</v>
      </c>
      <c r="AB42" s="2">
        <v>0</v>
      </c>
      <c r="AC42" s="2">
        <v>0</v>
      </c>
      <c r="AD42" s="2">
        <v>0</v>
      </c>
      <c r="AE42" s="2">
        <v>1</v>
      </c>
      <c r="AF42" s="2" t="s">
        <v>117</v>
      </c>
      <c r="AG42" s="2">
        <v>1</v>
      </c>
      <c r="AH42" s="2">
        <v>1</v>
      </c>
      <c r="AI42" s="2">
        <v>1</v>
      </c>
      <c r="AJ42" s="2">
        <v>1</v>
      </c>
      <c r="AK42" s="2">
        <v>1</v>
      </c>
      <c r="AL42" s="5">
        <v>45453</v>
      </c>
      <c r="AM42" s="2">
        <v>0</v>
      </c>
      <c r="AN42" s="2">
        <v>0</v>
      </c>
      <c r="AO42" s="2">
        <v>1</v>
      </c>
      <c r="AP42" s="5">
        <v>45455</v>
      </c>
      <c r="AQ42" s="2">
        <v>0</v>
      </c>
      <c r="AR42" s="2">
        <v>1</v>
      </c>
      <c r="AS42" s="2">
        <v>0</v>
      </c>
      <c r="AT42" s="2">
        <v>0</v>
      </c>
      <c r="AU42" s="2" t="s">
        <v>122</v>
      </c>
    </row>
    <row r="43" spans="1:47">
      <c r="A43" s="2">
        <v>42</v>
      </c>
      <c r="B43" s="5">
        <v>45455</v>
      </c>
      <c r="C43" s="5">
        <v>45462</v>
      </c>
      <c r="D43" s="2">
        <f t="shared" si="1"/>
        <v>7</v>
      </c>
      <c r="E43" s="2">
        <v>83</v>
      </c>
      <c r="F43" s="2">
        <v>1</v>
      </c>
      <c r="G43" s="2">
        <v>5</v>
      </c>
      <c r="H43" s="2">
        <v>0</v>
      </c>
      <c r="I43" s="2">
        <v>0</v>
      </c>
      <c r="J43" s="2">
        <v>0</v>
      </c>
      <c r="K43" s="2">
        <v>0</v>
      </c>
      <c r="L43" s="2">
        <v>0</v>
      </c>
      <c r="M43" s="2">
        <v>0</v>
      </c>
      <c r="N43" s="2">
        <v>0</v>
      </c>
      <c r="P43" t="s">
        <v>119</v>
      </c>
      <c r="Q43" s="2">
        <v>0</v>
      </c>
      <c r="R43" s="2">
        <v>1</v>
      </c>
      <c r="S43" s="5">
        <v>45455</v>
      </c>
      <c r="T43" s="5">
        <v>45455</v>
      </c>
      <c r="U43" s="28">
        <f t="shared" si="0"/>
        <v>0</v>
      </c>
      <c r="V43" s="2">
        <v>1</v>
      </c>
      <c r="W43" s="2">
        <v>0</v>
      </c>
      <c r="X43" s="2">
        <v>0</v>
      </c>
      <c r="Y43" s="2">
        <v>0</v>
      </c>
      <c r="Z43" s="2">
        <v>1</v>
      </c>
      <c r="AA43" s="2">
        <v>0</v>
      </c>
      <c r="AB43" s="2">
        <v>0</v>
      </c>
      <c r="AC43" s="2">
        <v>0</v>
      </c>
      <c r="AD43" s="2">
        <v>0</v>
      </c>
      <c r="AE43" s="2">
        <v>1</v>
      </c>
      <c r="AF43" s="2" t="s">
        <v>117</v>
      </c>
      <c r="AG43" s="2">
        <v>1</v>
      </c>
      <c r="AH43" s="2">
        <v>1</v>
      </c>
      <c r="AI43" s="2">
        <v>1</v>
      </c>
      <c r="AJ43" s="2">
        <v>1</v>
      </c>
      <c r="AK43" s="2">
        <v>1</v>
      </c>
      <c r="AL43" s="5">
        <v>45457</v>
      </c>
      <c r="AM43" s="2">
        <v>1</v>
      </c>
      <c r="AN43" s="2">
        <v>0</v>
      </c>
      <c r="AO43" s="2">
        <v>0</v>
      </c>
      <c r="AP43" s="5"/>
      <c r="AT43" s="2">
        <v>0</v>
      </c>
      <c r="AU43" s="2" t="s">
        <v>123</v>
      </c>
    </row>
    <row r="44" spans="1:47">
      <c r="A44" s="2">
        <v>43</v>
      </c>
      <c r="B44" s="5">
        <v>45460</v>
      </c>
      <c r="C44" s="5">
        <v>45465</v>
      </c>
      <c r="D44" s="2">
        <f t="shared" si="1"/>
        <v>5</v>
      </c>
      <c r="E44" s="2">
        <v>65</v>
      </c>
      <c r="F44" s="2">
        <v>1</v>
      </c>
      <c r="G44" s="2">
        <v>3</v>
      </c>
      <c r="H44" s="2">
        <v>0</v>
      </c>
      <c r="I44" s="2">
        <v>0</v>
      </c>
      <c r="J44" s="2">
        <v>0</v>
      </c>
      <c r="K44" s="2">
        <v>0</v>
      </c>
      <c r="L44" s="2">
        <v>0</v>
      </c>
      <c r="M44" s="2">
        <v>0</v>
      </c>
      <c r="N44" s="2">
        <v>0</v>
      </c>
      <c r="P44" t="s">
        <v>119</v>
      </c>
      <c r="Q44" s="2">
        <v>0</v>
      </c>
      <c r="R44" s="2">
        <v>1</v>
      </c>
      <c r="S44" s="5">
        <v>45460</v>
      </c>
      <c r="T44" s="5">
        <v>45460</v>
      </c>
      <c r="U44" s="28">
        <f t="shared" si="0"/>
        <v>0</v>
      </c>
      <c r="V44" s="2">
        <v>1</v>
      </c>
      <c r="W44" s="2">
        <v>0</v>
      </c>
      <c r="X44" s="2">
        <v>0</v>
      </c>
      <c r="Y44" s="2">
        <v>0</v>
      </c>
      <c r="Z44" s="2">
        <v>0</v>
      </c>
      <c r="AA44" s="2">
        <v>0</v>
      </c>
      <c r="AB44" s="2">
        <v>1</v>
      </c>
      <c r="AC44" s="2">
        <v>0</v>
      </c>
      <c r="AD44" s="2">
        <v>0</v>
      </c>
      <c r="AE44" s="2">
        <v>1</v>
      </c>
      <c r="AF44" s="2" t="s">
        <v>117</v>
      </c>
      <c r="AG44" s="11">
        <v>0</v>
      </c>
      <c r="AH44" s="2">
        <v>0</v>
      </c>
      <c r="AI44" s="2">
        <v>1</v>
      </c>
      <c r="AJ44" s="2">
        <v>1</v>
      </c>
      <c r="AK44" s="2">
        <v>1</v>
      </c>
      <c r="AL44" s="5">
        <v>45463</v>
      </c>
      <c r="AM44" s="2">
        <v>0</v>
      </c>
      <c r="AN44" s="2">
        <v>1</v>
      </c>
      <c r="AO44" s="2">
        <v>0</v>
      </c>
      <c r="AT44" s="2">
        <v>0</v>
      </c>
      <c r="AU44" s="2" t="s">
        <v>124</v>
      </c>
    </row>
    <row r="45" spans="1:47">
      <c r="A45" s="2">
        <v>44</v>
      </c>
      <c r="B45" s="5">
        <v>45473</v>
      </c>
      <c r="C45" s="5">
        <v>45483</v>
      </c>
      <c r="D45" s="2">
        <f t="shared" si="1"/>
        <v>10</v>
      </c>
      <c r="E45" s="2">
        <v>55</v>
      </c>
      <c r="F45" s="2">
        <v>2</v>
      </c>
      <c r="G45" s="2">
        <v>2</v>
      </c>
      <c r="H45" s="2">
        <v>1</v>
      </c>
      <c r="I45" s="2">
        <v>0</v>
      </c>
      <c r="J45" s="2">
        <v>0</v>
      </c>
      <c r="K45" s="2">
        <v>0</v>
      </c>
      <c r="L45" s="2">
        <v>1</v>
      </c>
      <c r="M45" s="2">
        <v>0</v>
      </c>
      <c r="N45" s="2">
        <v>0</v>
      </c>
      <c r="P45" t="s">
        <v>125</v>
      </c>
      <c r="Q45" s="2">
        <v>0</v>
      </c>
      <c r="R45" s="2">
        <v>1</v>
      </c>
      <c r="S45" s="5">
        <v>45473</v>
      </c>
      <c r="T45" s="5">
        <v>45473</v>
      </c>
      <c r="U45" s="28">
        <f t="shared" si="0"/>
        <v>0</v>
      </c>
      <c r="V45" s="2">
        <v>0</v>
      </c>
      <c r="W45" s="2">
        <v>0</v>
      </c>
      <c r="X45" s="2">
        <v>0</v>
      </c>
      <c r="Y45" s="2">
        <v>0</v>
      </c>
      <c r="Z45" s="2">
        <v>0</v>
      </c>
      <c r="AA45" s="2">
        <v>0</v>
      </c>
      <c r="AB45" s="2">
        <v>0</v>
      </c>
      <c r="AC45" s="2">
        <v>0</v>
      </c>
      <c r="AD45" s="2">
        <v>0</v>
      </c>
      <c r="AE45" s="2">
        <v>1</v>
      </c>
      <c r="AF45" s="2" t="s">
        <v>126</v>
      </c>
      <c r="AG45" s="11">
        <v>0</v>
      </c>
      <c r="AH45" s="2">
        <v>1</v>
      </c>
      <c r="AI45" s="2">
        <v>0</v>
      </c>
      <c r="AJ45" s="2">
        <v>1</v>
      </c>
      <c r="AK45" s="2">
        <v>1</v>
      </c>
      <c r="AL45" s="5">
        <v>45475</v>
      </c>
      <c r="AM45" s="2">
        <v>0</v>
      </c>
      <c r="AN45" s="2">
        <v>0</v>
      </c>
      <c r="AO45" s="2">
        <v>0</v>
      </c>
      <c r="AT45" s="2">
        <v>0</v>
      </c>
      <c r="AU45" s="2" t="s">
        <v>127</v>
      </c>
    </row>
    <row r="46" spans="1:47">
      <c r="A46" s="2">
        <v>45</v>
      </c>
      <c r="B46" s="5">
        <v>45421</v>
      </c>
      <c r="C46" s="5">
        <v>45426</v>
      </c>
      <c r="D46" s="2">
        <f t="shared" si="1"/>
        <v>5</v>
      </c>
      <c r="E46" s="2">
        <v>58</v>
      </c>
      <c r="F46" s="2">
        <v>1</v>
      </c>
      <c r="G46" s="2">
        <v>3</v>
      </c>
      <c r="H46" s="2">
        <v>0</v>
      </c>
      <c r="I46" s="2">
        <v>0</v>
      </c>
      <c r="J46" s="2">
        <v>0</v>
      </c>
      <c r="K46" s="2">
        <v>0</v>
      </c>
      <c r="L46" s="2">
        <v>0</v>
      </c>
      <c r="M46" s="2">
        <v>0</v>
      </c>
      <c r="N46" s="2">
        <v>1</v>
      </c>
      <c r="O46" s="2" t="s">
        <v>128</v>
      </c>
      <c r="P46" t="s">
        <v>116</v>
      </c>
      <c r="Q46" s="2">
        <v>0</v>
      </c>
      <c r="R46" s="2">
        <v>1</v>
      </c>
      <c r="S46" s="5">
        <v>45421</v>
      </c>
      <c r="T46" s="5">
        <v>45421</v>
      </c>
      <c r="U46" s="28">
        <f t="shared" si="0"/>
        <v>0</v>
      </c>
      <c r="V46" s="2">
        <v>1</v>
      </c>
      <c r="W46" s="2">
        <v>0</v>
      </c>
      <c r="X46" s="2">
        <v>0</v>
      </c>
      <c r="Y46" s="2">
        <v>0</v>
      </c>
      <c r="Z46" s="2">
        <v>0</v>
      </c>
      <c r="AA46" s="2">
        <v>0</v>
      </c>
      <c r="AB46" s="2">
        <v>0</v>
      </c>
      <c r="AC46" s="2">
        <v>0</v>
      </c>
      <c r="AD46" s="2">
        <v>1</v>
      </c>
      <c r="AE46" s="2">
        <v>1</v>
      </c>
      <c r="AF46" s="2" t="s">
        <v>129</v>
      </c>
      <c r="AG46" s="11">
        <v>0</v>
      </c>
      <c r="AH46" s="2">
        <v>1</v>
      </c>
      <c r="AI46" s="2">
        <v>1</v>
      </c>
      <c r="AJ46" s="2">
        <v>1</v>
      </c>
      <c r="AK46" s="2">
        <v>1</v>
      </c>
      <c r="AL46" s="5">
        <v>45422</v>
      </c>
      <c r="AM46" s="2">
        <v>0</v>
      </c>
      <c r="AN46" s="2">
        <v>0</v>
      </c>
      <c r="AO46" s="2">
        <v>1</v>
      </c>
      <c r="AP46" s="5">
        <v>45425</v>
      </c>
      <c r="AQ46" s="2">
        <v>1</v>
      </c>
      <c r="AR46" s="2">
        <v>0</v>
      </c>
      <c r="AS46" s="2">
        <v>1</v>
      </c>
      <c r="AT46" s="2">
        <v>0</v>
      </c>
      <c r="AU46" s="2" t="s">
        <v>130</v>
      </c>
    </row>
    <row r="47" spans="1:47">
      <c r="A47" s="8">
        <v>46</v>
      </c>
      <c r="B47" s="5">
        <v>45428</v>
      </c>
      <c r="C47" s="6">
        <v>45448</v>
      </c>
      <c r="D47" s="2">
        <f t="shared" si="1"/>
        <v>20</v>
      </c>
      <c r="E47" s="2">
        <v>77</v>
      </c>
      <c r="F47" s="2">
        <v>1</v>
      </c>
      <c r="G47" s="2">
        <v>2</v>
      </c>
      <c r="H47" s="2">
        <v>0</v>
      </c>
      <c r="I47" s="2">
        <v>0</v>
      </c>
      <c r="J47" s="2">
        <v>0</v>
      </c>
      <c r="K47" s="2">
        <v>0</v>
      </c>
      <c r="L47" s="2">
        <v>0</v>
      </c>
      <c r="M47" s="2">
        <v>0</v>
      </c>
      <c r="N47" s="2">
        <v>0</v>
      </c>
      <c r="P47" t="s">
        <v>119</v>
      </c>
      <c r="Q47" s="2">
        <v>0</v>
      </c>
      <c r="R47" s="2">
        <v>1</v>
      </c>
      <c r="S47" s="5">
        <v>45429</v>
      </c>
      <c r="T47" s="5">
        <v>45429</v>
      </c>
      <c r="U47" s="28">
        <f t="shared" si="0"/>
        <v>0</v>
      </c>
      <c r="V47" s="2">
        <v>1</v>
      </c>
      <c r="W47" s="2">
        <v>0</v>
      </c>
      <c r="X47" s="2">
        <v>0</v>
      </c>
      <c r="Y47" s="2">
        <v>0</v>
      </c>
      <c r="Z47" s="2">
        <v>0</v>
      </c>
      <c r="AA47" s="2">
        <v>0</v>
      </c>
      <c r="AB47" s="2">
        <v>0</v>
      </c>
      <c r="AC47" s="2">
        <v>0</v>
      </c>
      <c r="AD47" s="2">
        <v>1</v>
      </c>
      <c r="AE47" s="2">
        <v>1</v>
      </c>
      <c r="AF47" s="11" t="s">
        <v>91</v>
      </c>
      <c r="AG47" s="2">
        <v>1</v>
      </c>
      <c r="AH47" s="2">
        <v>1</v>
      </c>
      <c r="AI47" s="2">
        <v>0</v>
      </c>
      <c r="AJ47" s="2">
        <v>0</v>
      </c>
      <c r="AK47" s="2">
        <v>1</v>
      </c>
      <c r="AL47" s="5">
        <v>45433</v>
      </c>
      <c r="AM47" s="2">
        <v>0</v>
      </c>
      <c r="AN47" s="2">
        <v>0</v>
      </c>
      <c r="AO47" s="2">
        <v>1</v>
      </c>
      <c r="AP47" s="5">
        <v>45434</v>
      </c>
      <c r="AQ47" s="2">
        <v>0</v>
      </c>
      <c r="AR47" s="2">
        <v>0</v>
      </c>
      <c r="AS47" s="2">
        <v>0</v>
      </c>
      <c r="AT47" s="2">
        <v>1</v>
      </c>
      <c r="AU47" s="2" t="s">
        <v>132</v>
      </c>
    </row>
    <row r="48" spans="1:47">
      <c r="A48" s="8">
        <v>47</v>
      </c>
      <c r="B48" s="5">
        <v>45433</v>
      </c>
      <c r="C48" s="6">
        <v>45447</v>
      </c>
      <c r="D48" s="2">
        <f t="shared" si="1"/>
        <v>14</v>
      </c>
      <c r="E48" s="2">
        <v>75</v>
      </c>
      <c r="F48" s="2">
        <v>1</v>
      </c>
      <c r="G48" s="2">
        <v>2</v>
      </c>
      <c r="H48" s="2">
        <v>0</v>
      </c>
      <c r="I48" s="2">
        <v>0</v>
      </c>
      <c r="J48" s="2">
        <v>0</v>
      </c>
      <c r="K48" s="2">
        <v>0</v>
      </c>
      <c r="L48" s="2">
        <v>0</v>
      </c>
      <c r="M48" s="2">
        <v>0</v>
      </c>
      <c r="N48" s="2">
        <v>0</v>
      </c>
      <c r="P48" t="s">
        <v>119</v>
      </c>
      <c r="Q48" s="2">
        <v>0</v>
      </c>
      <c r="R48" s="2">
        <v>1</v>
      </c>
      <c r="S48" s="5">
        <v>45433</v>
      </c>
      <c r="T48" s="5">
        <v>45433</v>
      </c>
      <c r="U48" s="28">
        <f t="shared" si="0"/>
        <v>0</v>
      </c>
      <c r="V48" s="2">
        <v>0</v>
      </c>
      <c r="W48" s="2">
        <v>0</v>
      </c>
      <c r="X48" s="2">
        <v>0</v>
      </c>
      <c r="Y48" s="2">
        <v>0</v>
      </c>
      <c r="Z48" s="2">
        <v>0</v>
      </c>
      <c r="AA48" s="2">
        <v>0</v>
      </c>
      <c r="AB48" s="2">
        <v>0</v>
      </c>
      <c r="AC48" s="2">
        <v>0</v>
      </c>
      <c r="AD48" s="2">
        <v>0</v>
      </c>
      <c r="AE48" s="2">
        <v>1</v>
      </c>
      <c r="AF48" s="2" t="s">
        <v>117</v>
      </c>
      <c r="AG48" s="11">
        <v>0</v>
      </c>
      <c r="AH48" s="2">
        <v>0</v>
      </c>
      <c r="AI48" s="2">
        <v>1</v>
      </c>
      <c r="AJ48" s="2">
        <v>1</v>
      </c>
      <c r="AK48" s="2">
        <v>1</v>
      </c>
      <c r="AL48" s="5">
        <v>45436</v>
      </c>
      <c r="AM48" s="2">
        <v>0</v>
      </c>
      <c r="AN48" s="2">
        <v>0</v>
      </c>
      <c r="AO48" s="2">
        <v>0</v>
      </c>
      <c r="AT48" s="2">
        <v>0</v>
      </c>
      <c r="AU48" s="2" t="s">
        <v>133</v>
      </c>
    </row>
    <row r="49" spans="1:47">
      <c r="A49" s="2">
        <v>48</v>
      </c>
      <c r="B49" s="5">
        <v>45441</v>
      </c>
      <c r="C49" s="5">
        <v>45448</v>
      </c>
      <c r="D49" s="2">
        <f t="shared" si="1"/>
        <v>7</v>
      </c>
      <c r="E49" s="2">
        <v>54</v>
      </c>
      <c r="F49" s="2">
        <v>1</v>
      </c>
      <c r="G49" s="2">
        <v>3</v>
      </c>
      <c r="H49" s="2">
        <v>0</v>
      </c>
      <c r="I49" s="2">
        <v>0</v>
      </c>
      <c r="J49" s="2">
        <v>0</v>
      </c>
      <c r="K49" s="2">
        <v>0</v>
      </c>
      <c r="L49" s="2">
        <v>0</v>
      </c>
      <c r="M49" s="2">
        <v>0</v>
      </c>
      <c r="N49" s="2">
        <v>0</v>
      </c>
      <c r="P49" t="s">
        <v>125</v>
      </c>
      <c r="Q49" s="2">
        <v>0</v>
      </c>
      <c r="R49" s="2">
        <v>1</v>
      </c>
      <c r="S49" s="5">
        <v>45441</v>
      </c>
      <c r="T49" s="5">
        <v>45441</v>
      </c>
      <c r="U49" s="28">
        <f t="shared" si="0"/>
        <v>0</v>
      </c>
      <c r="V49" s="2">
        <v>1</v>
      </c>
      <c r="W49" s="2">
        <v>0</v>
      </c>
      <c r="X49" s="2">
        <v>0</v>
      </c>
      <c r="Y49" s="2">
        <v>0</v>
      </c>
      <c r="Z49" s="2">
        <v>0</v>
      </c>
      <c r="AA49" s="2">
        <v>1</v>
      </c>
      <c r="AB49" s="2">
        <v>0</v>
      </c>
      <c r="AC49" s="2">
        <v>0</v>
      </c>
      <c r="AD49" s="2">
        <v>0</v>
      </c>
      <c r="AE49" s="2">
        <v>1</v>
      </c>
      <c r="AF49" s="2" t="s">
        <v>134</v>
      </c>
      <c r="AG49" s="2">
        <v>0</v>
      </c>
      <c r="AH49" s="2">
        <v>0</v>
      </c>
      <c r="AI49" s="2">
        <v>1</v>
      </c>
      <c r="AJ49" s="2">
        <v>1</v>
      </c>
      <c r="AK49" s="2">
        <v>0</v>
      </c>
      <c r="AO49" s="2">
        <v>0</v>
      </c>
      <c r="AT49" s="2">
        <v>0</v>
      </c>
      <c r="AU49" s="2" t="s">
        <v>135</v>
      </c>
    </row>
    <row r="50" spans="1:47">
      <c r="A50" s="8">
        <v>49</v>
      </c>
      <c r="B50" s="5">
        <v>45395</v>
      </c>
      <c r="C50" s="6">
        <v>45420</v>
      </c>
      <c r="D50" s="2">
        <f t="shared" si="1"/>
        <v>25</v>
      </c>
      <c r="E50" s="2">
        <v>78</v>
      </c>
      <c r="F50" s="2">
        <v>2</v>
      </c>
      <c r="G50" s="2">
        <v>2</v>
      </c>
      <c r="H50" s="2">
        <v>0</v>
      </c>
      <c r="I50" s="2">
        <v>0</v>
      </c>
      <c r="J50" s="2">
        <v>0</v>
      </c>
      <c r="K50" s="2">
        <v>0</v>
      </c>
      <c r="L50" s="2">
        <v>0</v>
      </c>
      <c r="M50" s="2">
        <v>0</v>
      </c>
      <c r="N50" s="2">
        <v>0</v>
      </c>
      <c r="P50" t="s">
        <v>136</v>
      </c>
      <c r="Q50" s="2">
        <v>0</v>
      </c>
      <c r="R50" s="2">
        <v>1</v>
      </c>
      <c r="S50" s="5">
        <v>45395</v>
      </c>
      <c r="T50" s="5">
        <v>45395</v>
      </c>
      <c r="U50" s="28">
        <f t="shared" si="0"/>
        <v>0</v>
      </c>
      <c r="V50" s="2">
        <v>1</v>
      </c>
      <c r="W50" s="2">
        <v>0</v>
      </c>
      <c r="X50" s="2">
        <v>0</v>
      </c>
      <c r="Y50" s="2">
        <v>0</v>
      </c>
      <c r="Z50" s="2">
        <v>0</v>
      </c>
      <c r="AA50" s="2">
        <v>0</v>
      </c>
      <c r="AB50" s="2">
        <v>0</v>
      </c>
      <c r="AC50" s="2">
        <v>0</v>
      </c>
      <c r="AD50" s="2">
        <v>1</v>
      </c>
      <c r="AE50" s="2">
        <v>1</v>
      </c>
      <c r="AF50" s="2" t="s">
        <v>137</v>
      </c>
      <c r="AG50" s="2">
        <v>1</v>
      </c>
      <c r="AH50" s="2">
        <v>1</v>
      </c>
      <c r="AI50" s="2">
        <v>0</v>
      </c>
      <c r="AJ50" s="2">
        <v>0</v>
      </c>
      <c r="AK50" s="2">
        <v>1</v>
      </c>
      <c r="AL50" s="5">
        <v>45402</v>
      </c>
      <c r="AM50" s="2">
        <v>0</v>
      </c>
      <c r="AN50" s="2">
        <v>0</v>
      </c>
      <c r="AO50" s="2">
        <v>0</v>
      </c>
      <c r="AT50" s="2">
        <v>1</v>
      </c>
      <c r="AU50" s="2" t="s">
        <v>138</v>
      </c>
    </row>
    <row r="51" spans="1:47">
      <c r="A51" s="2">
        <v>50</v>
      </c>
      <c r="B51" s="5">
        <v>45409</v>
      </c>
      <c r="C51" s="5">
        <v>45435</v>
      </c>
      <c r="D51" s="2">
        <f t="shared" si="1"/>
        <v>26</v>
      </c>
      <c r="E51" s="2">
        <v>36</v>
      </c>
      <c r="F51" s="2">
        <v>1</v>
      </c>
      <c r="G51" s="2">
        <v>3</v>
      </c>
      <c r="H51" s="2">
        <v>0</v>
      </c>
      <c r="I51" s="2">
        <v>0</v>
      </c>
      <c r="J51" s="2">
        <v>0</v>
      </c>
      <c r="K51" s="2">
        <v>0</v>
      </c>
      <c r="L51" s="2">
        <v>0</v>
      </c>
      <c r="M51" s="2">
        <v>0</v>
      </c>
      <c r="N51" s="2">
        <v>0</v>
      </c>
      <c r="P51" t="s">
        <v>125</v>
      </c>
      <c r="Q51" s="2">
        <v>0</v>
      </c>
      <c r="R51" s="2">
        <v>1</v>
      </c>
      <c r="S51" s="5">
        <v>45409</v>
      </c>
      <c r="T51" s="5">
        <v>45409</v>
      </c>
      <c r="U51" s="28">
        <f t="shared" si="0"/>
        <v>0</v>
      </c>
      <c r="V51" s="2">
        <v>1</v>
      </c>
      <c r="W51" s="2">
        <v>0</v>
      </c>
      <c r="X51" s="2">
        <v>0</v>
      </c>
      <c r="Y51" s="2">
        <v>0</v>
      </c>
      <c r="Z51" s="2">
        <v>1</v>
      </c>
      <c r="AA51" s="2">
        <v>1</v>
      </c>
      <c r="AB51" s="2">
        <v>0</v>
      </c>
      <c r="AC51" s="2">
        <v>0</v>
      </c>
      <c r="AD51" s="2">
        <v>0</v>
      </c>
      <c r="AE51" s="2">
        <v>1</v>
      </c>
      <c r="AF51" s="2" t="s">
        <v>117</v>
      </c>
      <c r="AG51" s="2">
        <v>1</v>
      </c>
      <c r="AH51" s="2">
        <v>1</v>
      </c>
      <c r="AI51" s="11">
        <v>1</v>
      </c>
      <c r="AJ51" s="2">
        <v>0</v>
      </c>
      <c r="AK51" s="2">
        <v>1</v>
      </c>
      <c r="AL51" s="5">
        <v>45413</v>
      </c>
      <c r="AM51" s="2">
        <v>0</v>
      </c>
      <c r="AN51" s="2">
        <v>0</v>
      </c>
      <c r="AO51" s="2">
        <v>0</v>
      </c>
      <c r="AT51" s="2">
        <v>1</v>
      </c>
      <c r="AU51" s="2" t="s">
        <v>139</v>
      </c>
    </row>
    <row r="52" spans="1:47">
      <c r="A52" s="2">
        <v>51</v>
      </c>
      <c r="B52" s="5">
        <v>45410</v>
      </c>
      <c r="C52" s="5">
        <v>45415</v>
      </c>
      <c r="D52" s="2">
        <f t="shared" si="1"/>
        <v>5</v>
      </c>
      <c r="E52" s="2">
        <v>95</v>
      </c>
      <c r="F52" s="2">
        <v>2</v>
      </c>
      <c r="G52" s="2">
        <v>2</v>
      </c>
      <c r="H52" s="2">
        <v>0</v>
      </c>
      <c r="I52" s="2">
        <v>0</v>
      </c>
      <c r="J52" s="2">
        <v>0</v>
      </c>
      <c r="K52" s="2">
        <v>0</v>
      </c>
      <c r="L52" s="2">
        <v>0</v>
      </c>
      <c r="M52" s="2">
        <v>0</v>
      </c>
      <c r="N52" s="2">
        <v>0</v>
      </c>
      <c r="P52" t="s">
        <v>119</v>
      </c>
      <c r="Q52" s="2">
        <v>0</v>
      </c>
      <c r="R52" s="2">
        <v>1</v>
      </c>
      <c r="S52" s="5">
        <v>45410</v>
      </c>
      <c r="T52" s="5">
        <v>45410</v>
      </c>
      <c r="U52" s="28">
        <f t="shared" si="0"/>
        <v>0</v>
      </c>
      <c r="V52" s="2">
        <v>0</v>
      </c>
      <c r="W52" s="2">
        <v>0</v>
      </c>
      <c r="X52" s="2">
        <v>0</v>
      </c>
      <c r="Y52" s="2">
        <v>0</v>
      </c>
      <c r="Z52" s="2">
        <v>0</v>
      </c>
      <c r="AA52" s="2">
        <v>0</v>
      </c>
      <c r="AB52" s="2">
        <v>0</v>
      </c>
      <c r="AC52" s="2">
        <v>0</v>
      </c>
      <c r="AD52" s="2">
        <v>0</v>
      </c>
      <c r="AE52" s="2">
        <v>1</v>
      </c>
      <c r="AF52" s="2" t="s">
        <v>117</v>
      </c>
      <c r="AG52" s="2">
        <v>0</v>
      </c>
      <c r="AH52" s="2">
        <v>0</v>
      </c>
      <c r="AI52" s="2">
        <v>1</v>
      </c>
      <c r="AJ52" s="2">
        <v>1</v>
      </c>
      <c r="AK52" s="2">
        <v>1</v>
      </c>
      <c r="AL52" s="5">
        <v>45414</v>
      </c>
      <c r="AM52" s="2">
        <v>0</v>
      </c>
      <c r="AN52" s="2">
        <v>0</v>
      </c>
      <c r="AO52" s="2">
        <v>0</v>
      </c>
      <c r="AT52" s="2">
        <v>0</v>
      </c>
      <c r="AU52" s="2" t="s">
        <v>140</v>
      </c>
    </row>
    <row r="53" spans="1:47">
      <c r="A53" s="2">
        <v>52</v>
      </c>
      <c r="B53" s="5">
        <v>45356</v>
      </c>
      <c r="C53" s="5">
        <v>45366</v>
      </c>
      <c r="D53" s="2">
        <f t="shared" si="1"/>
        <v>10</v>
      </c>
      <c r="E53" s="2">
        <v>42</v>
      </c>
      <c r="F53" s="2">
        <v>1</v>
      </c>
      <c r="G53" s="2">
        <v>2</v>
      </c>
      <c r="H53" s="2">
        <v>1</v>
      </c>
      <c r="I53" s="2">
        <v>0</v>
      </c>
      <c r="J53" s="2">
        <v>0</v>
      </c>
      <c r="K53" s="2">
        <v>0</v>
      </c>
      <c r="L53" s="2">
        <v>0</v>
      </c>
      <c r="M53" s="2">
        <v>0</v>
      </c>
      <c r="N53" s="2">
        <v>1</v>
      </c>
      <c r="O53" s="2" t="s">
        <v>141</v>
      </c>
      <c r="P53" t="s">
        <v>121</v>
      </c>
      <c r="Q53" s="2">
        <v>1</v>
      </c>
      <c r="R53" s="2">
        <v>2</v>
      </c>
      <c r="S53" s="5">
        <v>45356</v>
      </c>
      <c r="T53" s="5">
        <v>45357</v>
      </c>
      <c r="U53" s="28">
        <f t="shared" si="0"/>
        <v>1</v>
      </c>
      <c r="V53" s="2">
        <v>0</v>
      </c>
      <c r="W53" s="2">
        <v>0</v>
      </c>
      <c r="X53" s="2">
        <v>0</v>
      </c>
      <c r="Y53" s="2">
        <v>0</v>
      </c>
      <c r="Z53" s="2">
        <v>0</v>
      </c>
      <c r="AA53" s="2">
        <v>0</v>
      </c>
      <c r="AB53" s="2">
        <v>0</v>
      </c>
      <c r="AC53" s="2">
        <v>0</v>
      </c>
      <c r="AD53" s="2">
        <v>0</v>
      </c>
      <c r="AE53" s="2">
        <v>1</v>
      </c>
      <c r="AF53" s="2" t="s">
        <v>117</v>
      </c>
      <c r="AG53" s="2">
        <v>1</v>
      </c>
      <c r="AH53" s="2">
        <v>1</v>
      </c>
      <c r="AI53" s="2">
        <v>1</v>
      </c>
      <c r="AJ53" s="2">
        <v>1</v>
      </c>
      <c r="AK53" s="2">
        <v>1</v>
      </c>
      <c r="AL53" s="5">
        <v>45357</v>
      </c>
      <c r="AM53" s="2">
        <v>1</v>
      </c>
      <c r="AN53" s="11">
        <v>1</v>
      </c>
      <c r="AO53" s="11">
        <v>1</v>
      </c>
      <c r="AP53" s="5">
        <v>45359</v>
      </c>
      <c r="AQ53" s="2">
        <v>1</v>
      </c>
      <c r="AR53" s="2">
        <v>1</v>
      </c>
      <c r="AS53" s="2">
        <v>0</v>
      </c>
      <c r="AT53" s="2">
        <v>0</v>
      </c>
      <c r="AU53" s="2" t="s">
        <v>142</v>
      </c>
    </row>
    <row r="54" spans="1:47">
      <c r="A54" s="2">
        <v>53</v>
      </c>
      <c r="B54" s="5">
        <v>45357</v>
      </c>
      <c r="C54" s="5">
        <v>45385</v>
      </c>
      <c r="D54" s="2">
        <f t="shared" si="1"/>
        <v>28</v>
      </c>
      <c r="E54" s="2">
        <v>37</v>
      </c>
      <c r="F54" s="2">
        <v>2</v>
      </c>
      <c r="G54" s="2">
        <v>2</v>
      </c>
      <c r="H54" s="2">
        <v>0</v>
      </c>
      <c r="I54" s="2">
        <v>0</v>
      </c>
      <c r="J54" s="2">
        <v>0</v>
      </c>
      <c r="K54" s="2">
        <v>0</v>
      </c>
      <c r="L54" s="2">
        <v>0</v>
      </c>
      <c r="M54" s="2">
        <v>0</v>
      </c>
      <c r="N54" s="2">
        <v>0</v>
      </c>
      <c r="P54" t="s">
        <v>136</v>
      </c>
      <c r="Q54" s="2">
        <v>0</v>
      </c>
      <c r="R54" s="2">
        <v>1</v>
      </c>
      <c r="S54" s="5">
        <v>45357</v>
      </c>
      <c r="T54" s="5">
        <v>45357</v>
      </c>
      <c r="U54" s="28">
        <f t="shared" si="0"/>
        <v>0</v>
      </c>
      <c r="V54" s="2">
        <v>1</v>
      </c>
      <c r="W54" s="2">
        <v>0</v>
      </c>
      <c r="X54" s="2">
        <v>1</v>
      </c>
      <c r="Y54" s="2">
        <v>0</v>
      </c>
      <c r="Z54" s="2">
        <v>1</v>
      </c>
      <c r="AA54" s="2">
        <v>0</v>
      </c>
      <c r="AB54" s="2">
        <v>0</v>
      </c>
      <c r="AC54" s="2">
        <v>0</v>
      </c>
      <c r="AD54" s="2">
        <v>0</v>
      </c>
      <c r="AE54" s="2">
        <v>1</v>
      </c>
      <c r="AF54" s="2" t="s">
        <v>143</v>
      </c>
      <c r="AG54" s="2">
        <v>1</v>
      </c>
      <c r="AH54" s="2">
        <v>1</v>
      </c>
      <c r="AI54" s="2">
        <v>1</v>
      </c>
      <c r="AJ54" s="2">
        <v>1</v>
      </c>
      <c r="AK54" s="2">
        <v>1</v>
      </c>
      <c r="AL54" s="5">
        <v>45359</v>
      </c>
      <c r="AM54" s="2">
        <v>0</v>
      </c>
      <c r="AN54" s="2">
        <v>0</v>
      </c>
      <c r="AO54" s="2">
        <v>0</v>
      </c>
      <c r="AT54" s="2">
        <v>1</v>
      </c>
      <c r="AU54" s="2" t="s">
        <v>144</v>
      </c>
    </row>
    <row r="55" spans="1:47">
      <c r="A55" s="2">
        <v>54</v>
      </c>
      <c r="B55" s="5">
        <v>45359</v>
      </c>
      <c r="C55" s="5">
        <v>45366</v>
      </c>
      <c r="D55" s="2">
        <f t="shared" si="1"/>
        <v>7</v>
      </c>
      <c r="E55" s="2">
        <v>86</v>
      </c>
      <c r="F55" s="2">
        <v>1</v>
      </c>
      <c r="G55" s="2">
        <v>2</v>
      </c>
      <c r="H55" s="2">
        <v>0</v>
      </c>
      <c r="I55" s="2">
        <v>0</v>
      </c>
      <c r="J55" s="2">
        <v>0</v>
      </c>
      <c r="K55" s="2">
        <v>0</v>
      </c>
      <c r="L55" s="2">
        <v>0</v>
      </c>
      <c r="M55" s="2">
        <v>0</v>
      </c>
      <c r="N55" s="2">
        <v>1</v>
      </c>
      <c r="O55" s="2" t="s">
        <v>145</v>
      </c>
      <c r="P55" t="s">
        <v>116</v>
      </c>
      <c r="Q55" s="2">
        <v>0</v>
      </c>
      <c r="R55" s="2">
        <v>1</v>
      </c>
      <c r="S55" s="5">
        <v>45359</v>
      </c>
      <c r="T55" s="5">
        <v>45359</v>
      </c>
      <c r="U55" s="28">
        <f t="shared" si="0"/>
        <v>0</v>
      </c>
      <c r="V55" s="2">
        <v>1</v>
      </c>
      <c r="W55" s="2">
        <v>0</v>
      </c>
      <c r="X55" s="2">
        <v>0</v>
      </c>
      <c r="Y55" s="2">
        <v>0</v>
      </c>
      <c r="Z55" s="2">
        <v>0</v>
      </c>
      <c r="AA55" s="2">
        <v>0</v>
      </c>
      <c r="AB55" s="2">
        <v>0</v>
      </c>
      <c r="AC55" s="2">
        <v>1</v>
      </c>
      <c r="AD55" s="2">
        <v>0</v>
      </c>
      <c r="AE55" s="2">
        <v>1</v>
      </c>
      <c r="AF55" s="2" t="s">
        <v>146</v>
      </c>
      <c r="AG55" s="2">
        <v>0</v>
      </c>
      <c r="AH55" s="2">
        <v>0</v>
      </c>
      <c r="AI55" s="2">
        <v>1</v>
      </c>
      <c r="AJ55" s="2">
        <v>1</v>
      </c>
      <c r="AK55" s="2">
        <v>1</v>
      </c>
      <c r="AL55" s="5">
        <v>45363</v>
      </c>
      <c r="AM55" s="2">
        <v>0</v>
      </c>
      <c r="AN55" s="2">
        <v>1</v>
      </c>
      <c r="AO55" s="2">
        <v>0</v>
      </c>
      <c r="AT55" s="2">
        <v>0</v>
      </c>
      <c r="AU55" s="2" t="s">
        <v>147</v>
      </c>
    </row>
    <row r="56" spans="1:47">
      <c r="A56" s="2">
        <v>55</v>
      </c>
      <c r="B56" s="5">
        <v>45369</v>
      </c>
      <c r="C56" s="12">
        <v>45377</v>
      </c>
      <c r="D56" s="2">
        <f t="shared" si="1"/>
        <v>8</v>
      </c>
      <c r="E56" s="2">
        <v>74</v>
      </c>
      <c r="F56" s="2">
        <v>2</v>
      </c>
      <c r="G56" s="2">
        <v>2</v>
      </c>
      <c r="H56" s="2">
        <v>0</v>
      </c>
      <c r="I56" s="2">
        <v>0</v>
      </c>
      <c r="J56" s="2">
        <v>0</v>
      </c>
      <c r="K56" s="2">
        <v>0</v>
      </c>
      <c r="L56" s="2">
        <v>0</v>
      </c>
      <c r="M56" s="2">
        <v>0</v>
      </c>
      <c r="N56" s="2">
        <v>1</v>
      </c>
      <c r="O56" s="2" t="s">
        <v>70</v>
      </c>
      <c r="P56" t="s">
        <v>119</v>
      </c>
      <c r="Q56" s="2">
        <v>0</v>
      </c>
      <c r="R56" s="2">
        <v>1</v>
      </c>
      <c r="S56" s="5">
        <v>45369</v>
      </c>
      <c r="T56" s="5">
        <v>45369</v>
      </c>
      <c r="U56" s="28">
        <f t="shared" si="0"/>
        <v>0</v>
      </c>
      <c r="V56" s="2">
        <v>1</v>
      </c>
      <c r="W56" s="2">
        <v>0</v>
      </c>
      <c r="X56" s="2">
        <v>0</v>
      </c>
      <c r="Y56" s="2">
        <v>0</v>
      </c>
      <c r="Z56" s="2">
        <v>1</v>
      </c>
      <c r="AA56" s="2">
        <v>0</v>
      </c>
      <c r="AB56" s="2">
        <v>0</v>
      </c>
      <c r="AC56" s="2">
        <v>0</v>
      </c>
      <c r="AD56" s="2">
        <v>1</v>
      </c>
      <c r="AE56" s="2">
        <v>1</v>
      </c>
      <c r="AF56" s="2" t="s">
        <v>117</v>
      </c>
      <c r="AG56" s="2">
        <v>1</v>
      </c>
      <c r="AH56" s="2">
        <v>0</v>
      </c>
      <c r="AI56" s="2">
        <v>1</v>
      </c>
      <c r="AJ56" s="2">
        <v>1</v>
      </c>
      <c r="AK56" s="2">
        <v>0</v>
      </c>
      <c r="AO56" s="2">
        <v>0</v>
      </c>
      <c r="AT56" s="2">
        <v>0</v>
      </c>
      <c r="AU56" s="2" t="s">
        <v>148</v>
      </c>
    </row>
    <row r="57" spans="1:47">
      <c r="A57" s="2">
        <v>56</v>
      </c>
      <c r="B57" s="5">
        <v>45458</v>
      </c>
      <c r="C57" s="5">
        <v>45467</v>
      </c>
      <c r="D57" s="2">
        <f>C57-B57</f>
        <v>9</v>
      </c>
      <c r="E57" s="2">
        <v>87</v>
      </c>
      <c r="F57" s="2">
        <v>2</v>
      </c>
      <c r="G57" s="2">
        <v>5</v>
      </c>
      <c r="H57" s="2">
        <v>0</v>
      </c>
      <c r="I57" s="2">
        <v>0</v>
      </c>
      <c r="J57" s="2">
        <v>0</v>
      </c>
      <c r="K57" s="2">
        <v>0</v>
      </c>
      <c r="L57" s="2">
        <v>0</v>
      </c>
      <c r="M57" s="2">
        <v>0</v>
      </c>
      <c r="N57" s="2">
        <v>0</v>
      </c>
      <c r="O57" s="2" t="s">
        <v>70</v>
      </c>
      <c r="P57" t="s">
        <v>155</v>
      </c>
      <c r="Q57" s="2">
        <v>1</v>
      </c>
      <c r="R57" s="2">
        <v>2</v>
      </c>
      <c r="S57" s="5">
        <v>45457</v>
      </c>
      <c r="T57" s="5">
        <v>45458</v>
      </c>
      <c r="U57" s="28">
        <f t="shared" si="0"/>
        <v>1</v>
      </c>
      <c r="V57" s="2">
        <v>1</v>
      </c>
      <c r="W57" s="2">
        <v>0</v>
      </c>
      <c r="X57" s="2">
        <v>0</v>
      </c>
      <c r="Y57" s="2">
        <v>0</v>
      </c>
      <c r="Z57" s="2">
        <v>0</v>
      </c>
      <c r="AA57" s="2">
        <v>0</v>
      </c>
      <c r="AB57" s="2">
        <v>0</v>
      </c>
      <c r="AC57" s="2">
        <v>1</v>
      </c>
      <c r="AD57" s="2">
        <v>0</v>
      </c>
      <c r="AE57" s="2">
        <v>1</v>
      </c>
      <c r="AF57" s="2" t="s">
        <v>146</v>
      </c>
      <c r="AG57" s="2">
        <v>0</v>
      </c>
      <c r="AH57" s="2">
        <v>1</v>
      </c>
      <c r="AI57" s="2">
        <v>1</v>
      </c>
      <c r="AJ57" s="2">
        <v>1</v>
      </c>
      <c r="AK57" s="2">
        <v>1</v>
      </c>
      <c r="AL57" s="5">
        <v>45462</v>
      </c>
      <c r="AM57" s="2">
        <v>0</v>
      </c>
      <c r="AN57" s="2">
        <v>0</v>
      </c>
      <c r="AO57" s="2">
        <v>0</v>
      </c>
      <c r="AT57" s="2">
        <v>0</v>
      </c>
      <c r="AU57" s="2" t="s">
        <v>156</v>
      </c>
    </row>
    <row r="58" spans="1:47">
      <c r="A58" s="2">
        <v>57</v>
      </c>
      <c r="B58" s="5">
        <v>45459</v>
      </c>
      <c r="E58" s="2">
        <v>55</v>
      </c>
      <c r="F58" s="2">
        <v>2</v>
      </c>
      <c r="G58" s="2">
        <v>2</v>
      </c>
      <c r="H58" s="2">
        <v>1</v>
      </c>
      <c r="I58" s="2">
        <v>0</v>
      </c>
      <c r="J58" s="2">
        <v>0</v>
      </c>
      <c r="K58" s="2">
        <v>1</v>
      </c>
      <c r="L58" s="2">
        <v>0</v>
      </c>
      <c r="M58" s="2">
        <v>0</v>
      </c>
      <c r="N58" s="2">
        <v>1</v>
      </c>
      <c r="O58" s="2" t="s">
        <v>157</v>
      </c>
      <c r="P58" t="s">
        <v>155</v>
      </c>
      <c r="Q58" s="2">
        <v>1</v>
      </c>
      <c r="R58" s="2">
        <v>4</v>
      </c>
      <c r="S58" s="5">
        <v>45469</v>
      </c>
      <c r="T58" s="5">
        <v>45472</v>
      </c>
      <c r="U58" s="28">
        <f t="shared" si="0"/>
        <v>3</v>
      </c>
      <c r="V58" s="2">
        <v>0</v>
      </c>
      <c r="W58" s="2">
        <v>0</v>
      </c>
      <c r="X58" s="2">
        <v>0</v>
      </c>
      <c r="Y58" s="2">
        <v>0</v>
      </c>
      <c r="Z58" s="2">
        <v>0</v>
      </c>
      <c r="AA58" s="2">
        <v>0</v>
      </c>
      <c r="AB58" s="2">
        <v>0</v>
      </c>
      <c r="AC58" s="2">
        <v>0</v>
      </c>
      <c r="AD58" s="2">
        <v>0</v>
      </c>
      <c r="AE58" s="2">
        <v>1</v>
      </c>
      <c r="AF58" s="2" t="s">
        <v>158</v>
      </c>
      <c r="AG58" s="2">
        <v>1</v>
      </c>
      <c r="AH58" s="2">
        <v>1</v>
      </c>
      <c r="AI58" s="2">
        <v>1</v>
      </c>
      <c r="AJ58" s="2">
        <v>1</v>
      </c>
      <c r="AK58" s="2">
        <v>1</v>
      </c>
      <c r="AL58" s="5">
        <v>45485</v>
      </c>
      <c r="AM58" s="2">
        <v>0</v>
      </c>
      <c r="AN58" s="2">
        <v>1</v>
      </c>
      <c r="AO58" s="11"/>
      <c r="AT58" s="2">
        <v>1</v>
      </c>
      <c r="AU58" s="2" t="s">
        <v>159</v>
      </c>
    </row>
    <row r="59" spans="1:47">
      <c r="A59" s="2">
        <v>58</v>
      </c>
      <c r="B59" s="5">
        <v>45469</v>
      </c>
      <c r="C59" s="5">
        <v>45484</v>
      </c>
      <c r="D59" s="2">
        <f>C59-B59</f>
        <v>15</v>
      </c>
      <c r="E59" s="2">
        <v>86</v>
      </c>
      <c r="F59" s="2">
        <v>2</v>
      </c>
      <c r="G59" s="2">
        <v>2</v>
      </c>
      <c r="H59" s="2">
        <v>1</v>
      </c>
      <c r="I59" s="2">
        <v>0</v>
      </c>
      <c r="J59" s="2">
        <v>0</v>
      </c>
      <c r="K59" s="2">
        <v>1</v>
      </c>
      <c r="L59" s="2">
        <v>0</v>
      </c>
      <c r="M59" s="2">
        <v>0</v>
      </c>
      <c r="N59" s="2">
        <v>0</v>
      </c>
      <c r="P59" t="s">
        <v>155</v>
      </c>
      <c r="Q59" s="2">
        <v>0</v>
      </c>
      <c r="R59" s="2">
        <v>1</v>
      </c>
      <c r="S59" s="5">
        <v>45471</v>
      </c>
      <c r="T59" s="5">
        <v>45471</v>
      </c>
      <c r="U59" s="28">
        <f t="shared" si="0"/>
        <v>0</v>
      </c>
      <c r="V59" s="2">
        <v>1</v>
      </c>
      <c r="W59" s="2">
        <v>0</v>
      </c>
      <c r="X59" s="2">
        <v>0</v>
      </c>
      <c r="Y59" s="2">
        <v>0</v>
      </c>
      <c r="Z59" s="2">
        <v>0</v>
      </c>
      <c r="AA59" s="2">
        <v>0</v>
      </c>
      <c r="AB59" s="2">
        <v>0</v>
      </c>
      <c r="AC59" s="2">
        <v>1</v>
      </c>
      <c r="AD59" s="2">
        <v>0</v>
      </c>
      <c r="AE59" s="2">
        <v>1</v>
      </c>
      <c r="AF59" s="2" t="s">
        <v>146</v>
      </c>
      <c r="AG59" s="2">
        <v>0</v>
      </c>
      <c r="AH59" s="2">
        <v>1</v>
      </c>
      <c r="AI59" s="2">
        <v>1</v>
      </c>
      <c r="AJ59" s="2">
        <v>1</v>
      </c>
      <c r="AK59" s="2">
        <v>1</v>
      </c>
      <c r="AL59" s="5">
        <v>45474</v>
      </c>
      <c r="AM59" s="2">
        <v>0</v>
      </c>
      <c r="AN59" s="2">
        <v>1</v>
      </c>
      <c r="AO59" s="2">
        <v>0</v>
      </c>
      <c r="AT59" s="2">
        <v>0</v>
      </c>
      <c r="AU59" s="2" t="s">
        <v>160</v>
      </c>
    </row>
    <row r="60" spans="1:47">
      <c r="A60" s="8">
        <v>59</v>
      </c>
      <c r="B60" s="5">
        <v>45421</v>
      </c>
      <c r="C60" s="6">
        <v>45428</v>
      </c>
      <c r="D60" s="2">
        <f>C60-B60</f>
        <v>7</v>
      </c>
      <c r="E60" s="2">
        <v>77</v>
      </c>
      <c r="F60" s="2">
        <v>2</v>
      </c>
      <c r="G60" s="2">
        <v>5</v>
      </c>
      <c r="H60" s="2">
        <v>0</v>
      </c>
      <c r="I60" s="2">
        <v>0</v>
      </c>
      <c r="J60" s="2">
        <v>0</v>
      </c>
      <c r="K60" s="2">
        <v>0</v>
      </c>
      <c r="L60" s="2">
        <v>1</v>
      </c>
      <c r="M60" s="2">
        <v>0</v>
      </c>
      <c r="N60" s="2">
        <v>1</v>
      </c>
      <c r="O60" s="2" t="s">
        <v>70</v>
      </c>
      <c r="P60" t="s">
        <v>163</v>
      </c>
      <c r="Q60" s="2">
        <v>1</v>
      </c>
      <c r="R60" s="2">
        <v>4</v>
      </c>
      <c r="S60" s="5">
        <v>45421</v>
      </c>
      <c r="T60" s="5">
        <v>45428</v>
      </c>
      <c r="U60" s="28">
        <f t="shared" si="0"/>
        <v>7</v>
      </c>
      <c r="V60" s="2">
        <v>1</v>
      </c>
      <c r="W60" s="2">
        <v>0</v>
      </c>
      <c r="X60" s="2">
        <v>0</v>
      </c>
      <c r="Y60" s="2">
        <v>1</v>
      </c>
      <c r="Z60" s="2">
        <v>0</v>
      </c>
      <c r="AA60" s="2">
        <v>1</v>
      </c>
      <c r="AB60" s="2">
        <v>0</v>
      </c>
      <c r="AC60" s="2">
        <v>0</v>
      </c>
      <c r="AD60" s="2">
        <v>0</v>
      </c>
      <c r="AE60" s="2">
        <v>1</v>
      </c>
      <c r="AF60" s="2" t="s">
        <v>48</v>
      </c>
      <c r="AG60" s="2">
        <v>1</v>
      </c>
      <c r="AH60" s="2">
        <v>0</v>
      </c>
      <c r="AI60" s="2">
        <v>1</v>
      </c>
      <c r="AJ60" s="2">
        <v>0</v>
      </c>
      <c r="AK60" s="2">
        <v>1</v>
      </c>
      <c r="AL60" s="5">
        <v>45425</v>
      </c>
      <c r="AM60" s="2">
        <v>0</v>
      </c>
      <c r="AN60" s="2">
        <v>0</v>
      </c>
      <c r="AO60" s="2">
        <v>0</v>
      </c>
      <c r="AT60" s="2">
        <v>1</v>
      </c>
      <c r="AU60" s="2" t="s">
        <v>164</v>
      </c>
    </row>
    <row r="61" spans="1:47">
      <c r="A61" s="2">
        <v>60</v>
      </c>
      <c r="B61" s="5">
        <v>45425</v>
      </c>
      <c r="C61" s="5">
        <v>45444</v>
      </c>
      <c r="D61" s="2">
        <f>C61-B61</f>
        <v>19</v>
      </c>
      <c r="E61" s="2">
        <v>81</v>
      </c>
      <c r="F61" s="2">
        <v>1</v>
      </c>
      <c r="G61" s="2">
        <v>2</v>
      </c>
      <c r="H61" s="2">
        <v>1</v>
      </c>
      <c r="I61" s="2">
        <v>0</v>
      </c>
      <c r="J61" s="2">
        <v>0</v>
      </c>
      <c r="K61" s="2">
        <v>1</v>
      </c>
      <c r="L61" s="2">
        <v>0</v>
      </c>
      <c r="M61" s="2">
        <v>0</v>
      </c>
      <c r="N61" s="2">
        <v>1</v>
      </c>
      <c r="O61" s="2" t="s">
        <v>72</v>
      </c>
      <c r="P61" t="s">
        <v>155</v>
      </c>
      <c r="Q61" s="2">
        <v>1</v>
      </c>
      <c r="R61" s="2">
        <v>2</v>
      </c>
      <c r="S61" s="5">
        <v>45425</v>
      </c>
      <c r="T61" s="5">
        <v>45426</v>
      </c>
      <c r="U61" s="28">
        <f t="shared" si="0"/>
        <v>1</v>
      </c>
      <c r="V61" s="2">
        <v>1</v>
      </c>
      <c r="W61" s="2">
        <v>0</v>
      </c>
      <c r="X61" s="2">
        <v>0</v>
      </c>
      <c r="Y61" s="2">
        <v>0</v>
      </c>
      <c r="Z61" s="2">
        <v>0</v>
      </c>
      <c r="AA61" s="2">
        <v>1</v>
      </c>
      <c r="AB61" s="2">
        <v>0</v>
      </c>
      <c r="AC61" s="2">
        <v>0</v>
      </c>
      <c r="AD61" s="2">
        <v>0</v>
      </c>
      <c r="AE61" s="2">
        <v>1</v>
      </c>
      <c r="AF61" s="2" t="s">
        <v>158</v>
      </c>
      <c r="AG61" s="2">
        <v>1</v>
      </c>
      <c r="AH61" s="2">
        <v>1</v>
      </c>
      <c r="AI61" s="2">
        <v>1</v>
      </c>
      <c r="AJ61" s="2">
        <v>1</v>
      </c>
      <c r="AK61" s="2">
        <v>1</v>
      </c>
      <c r="AL61" s="5">
        <v>45429</v>
      </c>
      <c r="AM61" s="2">
        <v>0</v>
      </c>
      <c r="AN61" s="2">
        <v>1</v>
      </c>
      <c r="AO61" s="2">
        <v>0</v>
      </c>
      <c r="AT61" s="2">
        <v>0</v>
      </c>
      <c r="AU61" s="2" t="s">
        <v>165</v>
      </c>
    </row>
    <row r="62" spans="1:47">
      <c r="A62" s="2">
        <v>61</v>
      </c>
      <c r="B62" s="5">
        <v>45381</v>
      </c>
      <c r="C62" s="5">
        <v>45387</v>
      </c>
      <c r="D62" s="2">
        <f>C62-B62</f>
        <v>6</v>
      </c>
      <c r="E62" s="2">
        <v>87</v>
      </c>
      <c r="F62" s="2">
        <v>2</v>
      </c>
      <c r="G62" s="2">
        <v>3</v>
      </c>
      <c r="H62" s="2">
        <v>1</v>
      </c>
      <c r="I62" s="2">
        <v>0</v>
      </c>
      <c r="J62" s="2">
        <v>0</v>
      </c>
      <c r="K62" s="2">
        <v>1</v>
      </c>
      <c r="L62" s="2">
        <v>0</v>
      </c>
      <c r="M62" s="2">
        <v>0</v>
      </c>
      <c r="N62" s="2">
        <v>1</v>
      </c>
      <c r="O62" s="2" t="s">
        <v>166</v>
      </c>
      <c r="P62" t="s">
        <v>155</v>
      </c>
      <c r="Q62" s="2">
        <v>1</v>
      </c>
      <c r="R62" s="2">
        <v>3</v>
      </c>
      <c r="S62" s="5">
        <v>45382</v>
      </c>
      <c r="T62" s="5">
        <v>45384</v>
      </c>
      <c r="U62" s="28">
        <f t="shared" si="0"/>
        <v>2</v>
      </c>
      <c r="V62" s="2">
        <v>0</v>
      </c>
      <c r="W62" s="2">
        <v>0</v>
      </c>
      <c r="X62" s="2">
        <v>0</v>
      </c>
      <c r="Y62" s="2">
        <v>0</v>
      </c>
      <c r="Z62" s="2">
        <v>0</v>
      </c>
      <c r="AA62" s="2">
        <v>0</v>
      </c>
      <c r="AB62" s="2">
        <v>0</v>
      </c>
      <c r="AC62" s="2">
        <v>0</v>
      </c>
      <c r="AD62" s="2">
        <v>0</v>
      </c>
      <c r="AE62" s="2">
        <v>1</v>
      </c>
      <c r="AF62" s="2" t="s">
        <v>167</v>
      </c>
      <c r="AG62" s="2">
        <v>1</v>
      </c>
      <c r="AH62" s="2">
        <v>0</v>
      </c>
      <c r="AI62" s="2">
        <v>1</v>
      </c>
      <c r="AJ62" s="2">
        <v>1</v>
      </c>
      <c r="AK62" s="2">
        <v>1</v>
      </c>
      <c r="AL62" s="5">
        <v>45383</v>
      </c>
      <c r="AM62" s="2">
        <v>0</v>
      </c>
      <c r="AN62" s="2">
        <v>1</v>
      </c>
      <c r="AO62" s="2">
        <v>0</v>
      </c>
      <c r="AT62" s="2">
        <v>0</v>
      </c>
      <c r="AU62" s="2" t="s">
        <v>168</v>
      </c>
    </row>
    <row r="63" spans="1:47">
      <c r="A63" s="2">
        <v>62</v>
      </c>
      <c r="B63" s="5">
        <v>45398</v>
      </c>
      <c r="C63" s="5">
        <v>45403</v>
      </c>
      <c r="D63" s="11">
        <f>C63-B63</f>
        <v>5</v>
      </c>
      <c r="E63" s="2">
        <v>47</v>
      </c>
      <c r="F63" s="2">
        <v>1</v>
      </c>
      <c r="G63" s="2">
        <v>2</v>
      </c>
      <c r="H63" s="2">
        <v>1</v>
      </c>
      <c r="I63" s="2">
        <v>1</v>
      </c>
      <c r="J63" s="2">
        <v>0</v>
      </c>
      <c r="K63" s="2">
        <v>0</v>
      </c>
      <c r="L63" s="2">
        <v>0</v>
      </c>
      <c r="M63" s="2">
        <v>0</v>
      </c>
      <c r="N63" s="2">
        <v>1</v>
      </c>
      <c r="O63" s="2" t="s">
        <v>169</v>
      </c>
      <c r="P63" t="s">
        <v>155</v>
      </c>
      <c r="Q63" s="2">
        <v>1</v>
      </c>
      <c r="R63" s="2">
        <v>4</v>
      </c>
      <c r="S63" s="5">
        <v>45398</v>
      </c>
      <c r="T63" s="5">
        <v>45403</v>
      </c>
      <c r="U63" s="28">
        <f t="shared" si="0"/>
        <v>5</v>
      </c>
      <c r="V63" s="2">
        <v>1</v>
      </c>
      <c r="W63" s="2">
        <v>0</v>
      </c>
      <c r="X63" s="2">
        <v>1</v>
      </c>
      <c r="Y63" s="2">
        <v>0</v>
      </c>
      <c r="Z63" s="2">
        <v>0</v>
      </c>
      <c r="AA63" s="2">
        <v>0</v>
      </c>
      <c r="AB63" s="2">
        <v>0</v>
      </c>
      <c r="AC63" s="2">
        <v>0</v>
      </c>
      <c r="AD63" s="2">
        <v>0</v>
      </c>
      <c r="AE63" s="2">
        <v>1</v>
      </c>
      <c r="AF63" s="2" t="s">
        <v>158</v>
      </c>
      <c r="AG63" s="2">
        <v>1</v>
      </c>
      <c r="AH63" s="2">
        <v>1</v>
      </c>
      <c r="AI63" s="2">
        <v>1</v>
      </c>
      <c r="AJ63" s="2">
        <v>1</v>
      </c>
      <c r="AK63" s="2">
        <v>1</v>
      </c>
      <c r="AL63" s="5">
        <v>45400</v>
      </c>
      <c r="AM63" s="2">
        <v>1</v>
      </c>
      <c r="AN63" s="2">
        <v>0</v>
      </c>
      <c r="AO63" s="2">
        <v>0</v>
      </c>
      <c r="AT63" s="2">
        <v>0</v>
      </c>
      <c r="AU63" s="2" t="s">
        <v>170</v>
      </c>
    </row>
    <row r="64" spans="1:47">
      <c r="A64" s="2">
        <v>63</v>
      </c>
      <c r="B64" s="5">
        <v>45398</v>
      </c>
      <c r="C64" s="5">
        <v>45442</v>
      </c>
      <c r="D64" s="2">
        <f>C64-B64</f>
        <v>44</v>
      </c>
      <c r="E64" s="2">
        <v>54</v>
      </c>
      <c r="F64" s="2">
        <v>1</v>
      </c>
      <c r="G64" s="2">
        <v>2</v>
      </c>
      <c r="H64" s="2">
        <v>1</v>
      </c>
      <c r="I64" s="2">
        <v>0</v>
      </c>
      <c r="J64" s="2">
        <v>0</v>
      </c>
      <c r="K64" s="2">
        <v>0</v>
      </c>
      <c r="L64" s="2">
        <v>1</v>
      </c>
      <c r="M64" s="2">
        <v>0</v>
      </c>
      <c r="N64" s="2">
        <v>0</v>
      </c>
      <c r="P64" t="s">
        <v>155</v>
      </c>
      <c r="Q64" s="2">
        <v>1</v>
      </c>
      <c r="R64" s="2">
        <v>5</v>
      </c>
      <c r="S64" s="5">
        <v>45398</v>
      </c>
      <c r="T64" s="5">
        <v>45401</v>
      </c>
      <c r="U64" s="28">
        <f t="shared" si="0"/>
        <v>3</v>
      </c>
      <c r="V64" s="2">
        <v>1</v>
      </c>
      <c r="W64" s="2">
        <v>0</v>
      </c>
      <c r="X64" s="2">
        <v>0</v>
      </c>
      <c r="Y64" s="2">
        <v>1</v>
      </c>
      <c r="Z64" s="2">
        <v>0</v>
      </c>
      <c r="AA64" s="2">
        <v>0</v>
      </c>
      <c r="AB64" s="2">
        <v>0</v>
      </c>
      <c r="AC64" s="2">
        <v>0</v>
      </c>
      <c r="AD64" s="2">
        <v>0</v>
      </c>
      <c r="AE64" s="2">
        <v>1</v>
      </c>
      <c r="AF64" s="2" t="s">
        <v>158</v>
      </c>
      <c r="AG64" s="2">
        <v>1</v>
      </c>
      <c r="AH64" s="2">
        <v>1</v>
      </c>
      <c r="AI64" s="2">
        <v>1</v>
      </c>
      <c r="AJ64" s="2">
        <v>1</v>
      </c>
      <c r="AK64" s="2">
        <v>1</v>
      </c>
      <c r="AL64" s="5">
        <v>45401</v>
      </c>
      <c r="AM64" s="2">
        <v>0</v>
      </c>
      <c r="AN64" s="2">
        <v>0</v>
      </c>
      <c r="AO64" s="2">
        <v>0</v>
      </c>
      <c r="AT64" s="2">
        <v>1</v>
      </c>
      <c r="AU64" s="2" t="s">
        <v>171</v>
      </c>
    </row>
    <row r="65" spans="1:47">
      <c r="A65" s="2">
        <v>64</v>
      </c>
      <c r="B65" s="5">
        <v>45409</v>
      </c>
      <c r="C65" s="5">
        <v>45419</v>
      </c>
      <c r="D65" s="2">
        <f>C65-B65</f>
        <v>10</v>
      </c>
      <c r="E65" s="2">
        <v>82</v>
      </c>
      <c r="F65" s="2">
        <v>1</v>
      </c>
      <c r="G65" s="2">
        <v>2</v>
      </c>
      <c r="H65" s="2">
        <v>1</v>
      </c>
      <c r="I65" s="2">
        <v>0</v>
      </c>
      <c r="J65" s="2">
        <v>0</v>
      </c>
      <c r="K65" s="2">
        <v>0</v>
      </c>
      <c r="L65" s="2">
        <v>0</v>
      </c>
      <c r="M65" s="2">
        <v>0</v>
      </c>
      <c r="N65" s="2">
        <v>1</v>
      </c>
      <c r="O65" s="2" t="s">
        <v>172</v>
      </c>
      <c r="P65" t="s">
        <v>155</v>
      </c>
      <c r="Q65" s="2">
        <v>0</v>
      </c>
      <c r="R65" s="2">
        <v>1</v>
      </c>
      <c r="S65" s="5">
        <v>45411</v>
      </c>
      <c r="T65" s="5">
        <v>45411</v>
      </c>
      <c r="U65" s="28">
        <f t="shared" si="0"/>
        <v>0</v>
      </c>
      <c r="V65" s="2">
        <v>1</v>
      </c>
      <c r="W65" s="2">
        <v>0</v>
      </c>
      <c r="X65" s="2">
        <v>0</v>
      </c>
      <c r="Y65" s="2">
        <v>0</v>
      </c>
      <c r="Z65" s="2">
        <v>0</v>
      </c>
      <c r="AA65" s="2">
        <v>0</v>
      </c>
      <c r="AB65" s="2">
        <v>0</v>
      </c>
      <c r="AC65" s="2">
        <v>1</v>
      </c>
      <c r="AD65" s="2">
        <v>0</v>
      </c>
      <c r="AE65" s="2">
        <v>1</v>
      </c>
      <c r="AF65" s="2" t="s">
        <v>173</v>
      </c>
      <c r="AG65" s="2">
        <v>0</v>
      </c>
      <c r="AH65" s="2">
        <v>1</v>
      </c>
      <c r="AI65" s="2">
        <v>1</v>
      </c>
      <c r="AJ65" s="2">
        <v>1</v>
      </c>
      <c r="AK65" s="2">
        <v>1</v>
      </c>
      <c r="AL65" s="5">
        <v>45411</v>
      </c>
      <c r="AM65" s="2">
        <v>0</v>
      </c>
      <c r="AN65" s="2">
        <v>1</v>
      </c>
      <c r="AO65" s="2">
        <v>0</v>
      </c>
      <c r="AT65" s="2">
        <v>0</v>
      </c>
      <c r="AU65" s="2" t="s">
        <v>174</v>
      </c>
    </row>
    <row r="66" spans="1:47">
      <c r="A66" s="2">
        <v>65</v>
      </c>
      <c r="B66" s="5">
        <v>45375</v>
      </c>
      <c r="C66" s="5">
        <v>45388</v>
      </c>
      <c r="D66" s="2">
        <f>C66-B66</f>
        <v>13</v>
      </c>
      <c r="E66" s="2">
        <v>54</v>
      </c>
      <c r="F66" s="2">
        <v>2</v>
      </c>
      <c r="G66" s="2">
        <v>2</v>
      </c>
      <c r="H66" s="2">
        <v>0</v>
      </c>
      <c r="I66" s="2">
        <v>0</v>
      </c>
      <c r="J66" s="2">
        <v>0</v>
      </c>
      <c r="K66" s="2">
        <v>0</v>
      </c>
      <c r="L66" s="2">
        <v>0</v>
      </c>
      <c r="M66" s="2">
        <v>0</v>
      </c>
      <c r="N66" s="2">
        <v>0</v>
      </c>
      <c r="P66" t="s">
        <v>155</v>
      </c>
      <c r="Q66" s="2">
        <v>1</v>
      </c>
      <c r="R66" s="2">
        <v>6</v>
      </c>
      <c r="S66" s="5">
        <v>45375</v>
      </c>
      <c r="T66" s="5">
        <v>45380</v>
      </c>
      <c r="U66" s="28">
        <f t="shared" si="0"/>
        <v>5</v>
      </c>
      <c r="V66" s="2">
        <v>1</v>
      </c>
      <c r="W66" s="2">
        <v>0</v>
      </c>
      <c r="X66" s="2">
        <v>0</v>
      </c>
      <c r="Y66" s="2">
        <v>0</v>
      </c>
      <c r="Z66" s="2">
        <v>0</v>
      </c>
      <c r="AA66" s="2">
        <v>0</v>
      </c>
      <c r="AB66" s="2">
        <v>0</v>
      </c>
      <c r="AC66" s="2">
        <v>1</v>
      </c>
      <c r="AD66" s="2">
        <v>0</v>
      </c>
      <c r="AE66" s="2">
        <v>1</v>
      </c>
      <c r="AF66" s="2" t="s">
        <v>175</v>
      </c>
      <c r="AG66" s="2">
        <v>0</v>
      </c>
      <c r="AH66" s="2">
        <v>1</v>
      </c>
      <c r="AI66" s="2">
        <v>0</v>
      </c>
      <c r="AJ66" s="2">
        <v>1</v>
      </c>
      <c r="AK66" s="2">
        <v>1</v>
      </c>
      <c r="AL66" s="5">
        <v>45380</v>
      </c>
      <c r="AM66" s="2">
        <v>0</v>
      </c>
      <c r="AN66" s="2">
        <v>0</v>
      </c>
      <c r="AO66" s="2">
        <v>1</v>
      </c>
      <c r="AP66" s="5">
        <v>45383</v>
      </c>
      <c r="AQ66" s="2">
        <v>0</v>
      </c>
      <c r="AR66" s="2">
        <v>0</v>
      </c>
      <c r="AS66" s="2">
        <v>1</v>
      </c>
      <c r="AT66" s="2">
        <v>0</v>
      </c>
      <c r="AU66" s="2" t="s">
        <v>176</v>
      </c>
    </row>
    <row r="67" spans="1:47">
      <c r="A67" s="2">
        <v>66</v>
      </c>
      <c r="B67" s="5">
        <v>45433</v>
      </c>
      <c r="C67" s="5">
        <v>45443</v>
      </c>
      <c r="D67" s="2">
        <f>C67-B67</f>
        <v>10</v>
      </c>
      <c r="E67" s="2">
        <v>71</v>
      </c>
      <c r="F67" s="2">
        <v>2</v>
      </c>
      <c r="G67" s="2">
        <v>2</v>
      </c>
      <c r="H67" s="2">
        <v>1</v>
      </c>
      <c r="I67" s="2">
        <v>0</v>
      </c>
      <c r="J67" s="2">
        <v>0</v>
      </c>
      <c r="K67" s="2">
        <v>0</v>
      </c>
      <c r="L67" s="2">
        <v>1</v>
      </c>
      <c r="M67" s="2">
        <v>0</v>
      </c>
      <c r="N67" s="2">
        <v>1</v>
      </c>
      <c r="O67" s="2" t="s">
        <v>99</v>
      </c>
      <c r="P67" t="s">
        <v>163</v>
      </c>
      <c r="Q67" s="2">
        <v>0</v>
      </c>
      <c r="R67" s="2">
        <v>1</v>
      </c>
      <c r="S67" s="5">
        <v>45433</v>
      </c>
      <c r="T67" s="5">
        <v>45433</v>
      </c>
      <c r="U67" s="28">
        <f t="shared" ref="U67:U130" si="2">T67-S67</f>
        <v>0</v>
      </c>
      <c r="V67" s="2">
        <v>1</v>
      </c>
      <c r="W67" s="2">
        <v>0</v>
      </c>
      <c r="X67" s="2">
        <v>0</v>
      </c>
      <c r="Y67" s="2">
        <v>1</v>
      </c>
      <c r="Z67" s="2">
        <v>0</v>
      </c>
      <c r="AA67" s="2">
        <v>0</v>
      </c>
      <c r="AB67" s="2">
        <v>0</v>
      </c>
      <c r="AC67" s="2">
        <v>0</v>
      </c>
      <c r="AD67" s="2">
        <v>0</v>
      </c>
      <c r="AE67" s="2">
        <v>1</v>
      </c>
      <c r="AF67" s="2" t="s">
        <v>48</v>
      </c>
      <c r="AG67" s="2">
        <v>1</v>
      </c>
      <c r="AH67" s="2">
        <v>0</v>
      </c>
      <c r="AI67" s="2">
        <v>1</v>
      </c>
      <c r="AJ67" s="2">
        <v>1</v>
      </c>
      <c r="AK67" s="2">
        <v>1</v>
      </c>
      <c r="AL67" s="5">
        <v>45436</v>
      </c>
      <c r="AM67" s="2">
        <v>0</v>
      </c>
      <c r="AN67" s="2">
        <v>0</v>
      </c>
      <c r="AO67" s="2">
        <v>0</v>
      </c>
      <c r="AT67" s="2">
        <v>0</v>
      </c>
      <c r="AU67" s="2" t="s">
        <v>177</v>
      </c>
    </row>
    <row r="68" spans="1:47" s="13" customFormat="1">
      <c r="A68" s="2">
        <v>67</v>
      </c>
      <c r="B68" s="18">
        <v>45398</v>
      </c>
      <c r="C68" s="18">
        <v>45442</v>
      </c>
      <c r="D68" s="13">
        <f t="shared" ref="D68" si="3">C68-B68</f>
        <v>44</v>
      </c>
      <c r="E68" s="13">
        <v>54</v>
      </c>
      <c r="F68" s="13">
        <v>1</v>
      </c>
      <c r="G68" s="13">
        <v>2</v>
      </c>
      <c r="H68" s="13">
        <v>1</v>
      </c>
      <c r="I68" s="13">
        <v>0</v>
      </c>
      <c r="J68" s="13">
        <v>0</v>
      </c>
      <c r="K68" s="13">
        <v>0</v>
      </c>
      <c r="L68" s="13">
        <v>1</v>
      </c>
      <c r="M68" s="13">
        <v>0</v>
      </c>
      <c r="N68" s="13">
        <v>0</v>
      </c>
      <c r="P68" s="14" t="s">
        <v>155</v>
      </c>
      <c r="Q68" s="13">
        <v>1</v>
      </c>
      <c r="R68" s="13">
        <v>5</v>
      </c>
      <c r="S68" s="18">
        <v>45398</v>
      </c>
      <c r="T68" s="18">
        <v>45401</v>
      </c>
      <c r="U68" s="28">
        <f t="shared" si="2"/>
        <v>3</v>
      </c>
      <c r="V68" s="13">
        <v>1</v>
      </c>
      <c r="W68" s="13">
        <v>0</v>
      </c>
      <c r="X68" s="13">
        <v>0</v>
      </c>
      <c r="Y68" s="13">
        <v>1</v>
      </c>
      <c r="Z68" s="13">
        <v>0</v>
      </c>
      <c r="AA68" s="13">
        <v>1</v>
      </c>
      <c r="AB68" s="13">
        <v>0</v>
      </c>
      <c r="AC68" s="13">
        <v>0</v>
      </c>
      <c r="AD68" s="13">
        <v>0</v>
      </c>
      <c r="AE68" s="13">
        <v>1</v>
      </c>
      <c r="AF68" s="13" t="s">
        <v>158</v>
      </c>
      <c r="AG68" s="13">
        <v>1</v>
      </c>
      <c r="AH68" s="13">
        <v>1</v>
      </c>
      <c r="AI68" s="13">
        <v>1</v>
      </c>
      <c r="AJ68" s="13">
        <v>1</v>
      </c>
      <c r="AK68" s="13">
        <v>1</v>
      </c>
      <c r="AL68" s="18">
        <v>45401</v>
      </c>
      <c r="AM68" s="13">
        <v>0</v>
      </c>
      <c r="AN68" s="13">
        <v>0</v>
      </c>
      <c r="AO68" s="13">
        <v>0</v>
      </c>
      <c r="AT68" s="13">
        <v>0</v>
      </c>
      <c r="AU68" s="13" t="s">
        <v>178</v>
      </c>
    </row>
    <row r="69" spans="1:47">
      <c r="A69" s="2">
        <v>68</v>
      </c>
      <c r="B69" s="5">
        <v>45444</v>
      </c>
      <c r="C69" s="5">
        <v>45449</v>
      </c>
      <c r="D69" s="2">
        <f>C69-B69</f>
        <v>5</v>
      </c>
      <c r="E69" s="2">
        <v>69</v>
      </c>
      <c r="F69" s="2">
        <v>1</v>
      </c>
      <c r="G69" s="2">
        <v>2</v>
      </c>
      <c r="H69" s="2">
        <v>1</v>
      </c>
      <c r="I69" s="2">
        <v>0</v>
      </c>
      <c r="J69" s="2">
        <v>0</v>
      </c>
      <c r="K69" s="2">
        <v>0</v>
      </c>
      <c r="L69" s="2">
        <v>1</v>
      </c>
      <c r="M69" s="2">
        <v>0</v>
      </c>
      <c r="N69" s="2">
        <v>0</v>
      </c>
      <c r="P69" t="s">
        <v>179</v>
      </c>
      <c r="Q69" s="2">
        <v>0</v>
      </c>
      <c r="R69" s="2">
        <v>1</v>
      </c>
      <c r="S69" s="5">
        <v>45444</v>
      </c>
      <c r="T69" s="5">
        <v>45444</v>
      </c>
      <c r="U69" s="28">
        <f t="shared" si="2"/>
        <v>0</v>
      </c>
      <c r="V69" s="2">
        <v>0</v>
      </c>
      <c r="W69" s="2">
        <v>0</v>
      </c>
      <c r="X69" s="2">
        <v>0</v>
      </c>
      <c r="Y69" s="2">
        <v>0</v>
      </c>
      <c r="Z69" s="2">
        <v>0</v>
      </c>
      <c r="AA69" s="2">
        <v>0</v>
      </c>
      <c r="AB69" s="2">
        <v>0</v>
      </c>
      <c r="AC69" s="2">
        <v>0</v>
      </c>
      <c r="AD69" s="2">
        <v>0</v>
      </c>
      <c r="AE69" s="2">
        <v>1</v>
      </c>
      <c r="AF69" s="2" t="s">
        <v>126</v>
      </c>
      <c r="AG69" s="2">
        <v>0</v>
      </c>
      <c r="AH69" s="2">
        <v>1</v>
      </c>
      <c r="AI69" s="2">
        <v>1</v>
      </c>
      <c r="AJ69" s="2">
        <v>1</v>
      </c>
      <c r="AK69" s="2">
        <v>0</v>
      </c>
      <c r="AO69" s="2">
        <v>0</v>
      </c>
      <c r="AT69" s="2">
        <v>0</v>
      </c>
      <c r="AU69" s="2" t="s">
        <v>180</v>
      </c>
    </row>
    <row r="70" spans="1:47">
      <c r="A70" s="2">
        <v>69</v>
      </c>
      <c r="B70" s="5">
        <v>45447</v>
      </c>
      <c r="C70" s="5">
        <v>45457</v>
      </c>
      <c r="D70" s="2">
        <f>C70-B70</f>
        <v>10</v>
      </c>
      <c r="E70" s="2">
        <v>53</v>
      </c>
      <c r="F70" s="2">
        <v>1</v>
      </c>
      <c r="G70" s="2">
        <v>2</v>
      </c>
      <c r="H70" s="2">
        <v>0</v>
      </c>
      <c r="I70" s="2">
        <v>0</v>
      </c>
      <c r="J70" s="2">
        <v>0</v>
      </c>
      <c r="K70" s="2">
        <v>0</v>
      </c>
      <c r="L70" s="2">
        <v>0</v>
      </c>
      <c r="M70" s="2">
        <v>0</v>
      </c>
      <c r="N70" s="2">
        <v>0</v>
      </c>
      <c r="P70" t="s">
        <v>179</v>
      </c>
      <c r="Q70" s="2">
        <v>0</v>
      </c>
      <c r="R70" s="2">
        <v>1</v>
      </c>
      <c r="S70" s="5">
        <v>45447</v>
      </c>
      <c r="T70" s="5">
        <v>45447</v>
      </c>
      <c r="U70" s="28">
        <f t="shared" si="2"/>
        <v>0</v>
      </c>
      <c r="V70" s="2">
        <v>0</v>
      </c>
      <c r="W70" s="2">
        <v>0</v>
      </c>
      <c r="X70" s="2">
        <v>0</v>
      </c>
      <c r="Y70" s="2">
        <v>0</v>
      </c>
      <c r="Z70" s="2">
        <v>0</v>
      </c>
      <c r="AA70" s="2">
        <v>0</v>
      </c>
      <c r="AB70" s="2">
        <v>0</v>
      </c>
      <c r="AC70" s="2">
        <v>0</v>
      </c>
      <c r="AD70" s="2">
        <v>0</v>
      </c>
      <c r="AE70" s="2">
        <v>1</v>
      </c>
      <c r="AF70" s="2" t="s">
        <v>68</v>
      </c>
      <c r="AG70" s="2">
        <v>0</v>
      </c>
      <c r="AH70" s="2">
        <v>0</v>
      </c>
      <c r="AI70" s="2">
        <v>1</v>
      </c>
      <c r="AJ70" s="2">
        <v>1</v>
      </c>
      <c r="AK70" s="2">
        <v>0</v>
      </c>
      <c r="AO70" s="2">
        <v>0</v>
      </c>
      <c r="AT70" s="2">
        <v>0</v>
      </c>
      <c r="AU70" s="2" t="s">
        <v>183</v>
      </c>
    </row>
    <row r="71" spans="1:47">
      <c r="A71" s="2">
        <v>70</v>
      </c>
      <c r="B71" s="5">
        <v>45449</v>
      </c>
      <c r="C71" s="5">
        <v>45477</v>
      </c>
      <c r="D71" s="2">
        <f>C71-B71</f>
        <v>28</v>
      </c>
      <c r="E71" s="2">
        <v>73</v>
      </c>
      <c r="F71" s="2">
        <v>2</v>
      </c>
      <c r="G71" s="2">
        <v>2</v>
      </c>
      <c r="H71" s="2">
        <v>0</v>
      </c>
      <c r="I71" s="2">
        <v>0</v>
      </c>
      <c r="J71" s="2">
        <v>0</v>
      </c>
      <c r="K71" s="2">
        <v>0</v>
      </c>
      <c r="L71" s="2">
        <v>0</v>
      </c>
      <c r="M71" s="2">
        <v>0</v>
      </c>
      <c r="N71" s="2">
        <v>0</v>
      </c>
      <c r="P71" t="s">
        <v>184</v>
      </c>
      <c r="Q71" s="2">
        <v>0</v>
      </c>
      <c r="R71" s="2">
        <v>1</v>
      </c>
      <c r="S71" s="5">
        <v>45449</v>
      </c>
      <c r="T71" s="5">
        <v>45449</v>
      </c>
      <c r="U71" s="28">
        <f t="shared" si="2"/>
        <v>0</v>
      </c>
      <c r="V71" s="2">
        <v>1</v>
      </c>
      <c r="W71" s="2">
        <v>0</v>
      </c>
      <c r="X71" s="2">
        <v>0</v>
      </c>
      <c r="Y71" s="2">
        <v>0</v>
      </c>
      <c r="Z71" s="2">
        <v>0</v>
      </c>
      <c r="AA71" s="2">
        <v>0</v>
      </c>
      <c r="AB71" s="2">
        <v>0</v>
      </c>
      <c r="AC71" s="2">
        <v>0</v>
      </c>
      <c r="AD71" s="2">
        <v>1</v>
      </c>
      <c r="AE71" s="2">
        <v>1</v>
      </c>
      <c r="AF71" s="2" t="s">
        <v>91</v>
      </c>
      <c r="AG71" s="2">
        <v>0</v>
      </c>
      <c r="AH71" s="2">
        <v>0</v>
      </c>
      <c r="AI71" s="2">
        <v>1</v>
      </c>
      <c r="AJ71" s="2">
        <v>0</v>
      </c>
      <c r="AK71" s="2">
        <v>1</v>
      </c>
      <c r="AL71" s="5">
        <v>45453</v>
      </c>
      <c r="AM71" s="2">
        <v>0</v>
      </c>
      <c r="AN71" s="2">
        <v>1</v>
      </c>
      <c r="AO71" s="2">
        <v>0</v>
      </c>
      <c r="AT71" s="2">
        <v>1</v>
      </c>
      <c r="AU71" s="2" t="s">
        <v>185</v>
      </c>
    </row>
    <row r="72" spans="1:47">
      <c r="A72" s="2">
        <v>71</v>
      </c>
      <c r="B72" s="5">
        <v>45449</v>
      </c>
      <c r="C72" s="5">
        <v>45457</v>
      </c>
      <c r="D72" s="2">
        <f>C72-B72</f>
        <v>8</v>
      </c>
      <c r="E72" s="2">
        <v>69</v>
      </c>
      <c r="F72" s="2">
        <v>1</v>
      </c>
      <c r="G72" s="2">
        <v>2</v>
      </c>
      <c r="H72" s="2">
        <v>1</v>
      </c>
      <c r="I72" s="2">
        <v>0</v>
      </c>
      <c r="J72" s="2">
        <v>0</v>
      </c>
      <c r="K72" s="2">
        <v>0</v>
      </c>
      <c r="L72" s="2">
        <v>0</v>
      </c>
      <c r="M72" s="2">
        <v>0</v>
      </c>
      <c r="N72" s="2">
        <v>1</v>
      </c>
      <c r="O72" s="2" t="s">
        <v>70</v>
      </c>
      <c r="P72" t="s">
        <v>186</v>
      </c>
      <c r="Q72" s="2">
        <v>0</v>
      </c>
      <c r="R72" s="2">
        <v>1</v>
      </c>
      <c r="S72" s="5">
        <v>45449</v>
      </c>
      <c r="T72" s="5">
        <v>45449</v>
      </c>
      <c r="U72" s="28">
        <f t="shared" si="2"/>
        <v>0</v>
      </c>
      <c r="V72" s="2">
        <v>0</v>
      </c>
      <c r="W72" s="2">
        <v>0</v>
      </c>
      <c r="X72" s="2">
        <v>0</v>
      </c>
      <c r="Y72" s="2">
        <v>0</v>
      </c>
      <c r="Z72" s="2">
        <v>0</v>
      </c>
      <c r="AA72" s="2">
        <v>0</v>
      </c>
      <c r="AB72" s="2">
        <v>0</v>
      </c>
      <c r="AC72" s="2">
        <v>0</v>
      </c>
      <c r="AD72" s="2">
        <v>0</v>
      </c>
      <c r="AE72" s="2">
        <v>1</v>
      </c>
      <c r="AF72" s="2" t="s">
        <v>187</v>
      </c>
      <c r="AG72" s="2">
        <v>0</v>
      </c>
      <c r="AH72" s="11">
        <v>1</v>
      </c>
      <c r="AI72" s="2">
        <v>0</v>
      </c>
      <c r="AJ72" s="2">
        <v>1</v>
      </c>
      <c r="AK72" s="2">
        <v>0</v>
      </c>
      <c r="AO72" s="2">
        <v>0</v>
      </c>
      <c r="AT72" s="2">
        <v>0</v>
      </c>
      <c r="AU72" s="2" t="s">
        <v>188</v>
      </c>
    </row>
    <row r="73" spans="1:47">
      <c r="A73" s="2">
        <v>72</v>
      </c>
      <c r="B73" s="5">
        <v>45453</v>
      </c>
      <c r="C73" s="5">
        <v>45457</v>
      </c>
      <c r="D73" s="2">
        <f>C73-B73</f>
        <v>4</v>
      </c>
      <c r="E73" s="2">
        <v>63</v>
      </c>
      <c r="F73" s="2">
        <v>2</v>
      </c>
      <c r="G73" s="2">
        <v>2</v>
      </c>
      <c r="H73" s="2">
        <v>0</v>
      </c>
      <c r="I73" s="2">
        <v>0</v>
      </c>
      <c r="J73" s="2">
        <v>0</v>
      </c>
      <c r="K73" s="2">
        <v>0</v>
      </c>
      <c r="L73" s="2">
        <v>0</v>
      </c>
      <c r="M73" s="2">
        <v>0</v>
      </c>
      <c r="N73" s="2">
        <v>0</v>
      </c>
      <c r="P73" t="s">
        <v>179</v>
      </c>
      <c r="Q73" s="2">
        <v>0</v>
      </c>
      <c r="R73" s="2">
        <v>1</v>
      </c>
      <c r="S73" s="5">
        <v>45453</v>
      </c>
      <c r="T73" s="5">
        <v>45453</v>
      </c>
      <c r="U73" s="28">
        <f t="shared" si="2"/>
        <v>0</v>
      </c>
      <c r="V73" s="2">
        <v>0</v>
      </c>
      <c r="W73" s="2">
        <v>0</v>
      </c>
      <c r="X73" s="2">
        <v>0</v>
      </c>
      <c r="Y73" s="2">
        <v>0</v>
      </c>
      <c r="Z73" s="2">
        <v>0</v>
      </c>
      <c r="AA73" s="2">
        <v>0</v>
      </c>
      <c r="AB73" s="2">
        <v>0</v>
      </c>
      <c r="AC73" s="2">
        <v>0</v>
      </c>
      <c r="AD73" s="2">
        <v>0</v>
      </c>
      <c r="AE73" s="2">
        <v>1</v>
      </c>
      <c r="AF73" s="2" t="s">
        <v>68</v>
      </c>
      <c r="AG73" s="2">
        <v>0</v>
      </c>
      <c r="AH73" s="2">
        <v>0</v>
      </c>
      <c r="AI73" s="2">
        <v>1</v>
      </c>
      <c r="AJ73" s="2">
        <v>1</v>
      </c>
      <c r="AK73" s="2">
        <v>0</v>
      </c>
      <c r="AO73" s="2">
        <v>0</v>
      </c>
      <c r="AT73" s="2">
        <v>0</v>
      </c>
      <c r="AU73" s="2" t="s">
        <v>189</v>
      </c>
    </row>
    <row r="74" spans="1:47">
      <c r="A74" s="2">
        <v>73</v>
      </c>
      <c r="B74" s="5">
        <v>45454</v>
      </c>
      <c r="C74" s="5">
        <v>45464</v>
      </c>
      <c r="D74" s="2">
        <f t="shared" ref="D74:D132" si="4">C74-B74</f>
        <v>10</v>
      </c>
      <c r="E74" s="2">
        <v>76</v>
      </c>
      <c r="F74" s="2">
        <v>2</v>
      </c>
      <c r="G74" s="2">
        <v>2</v>
      </c>
      <c r="H74" s="2">
        <v>0</v>
      </c>
      <c r="I74" s="2">
        <v>0</v>
      </c>
      <c r="J74" s="2">
        <v>0</v>
      </c>
      <c r="K74" s="2">
        <v>0</v>
      </c>
      <c r="L74" s="2">
        <v>0</v>
      </c>
      <c r="M74" s="2">
        <v>0</v>
      </c>
      <c r="N74" s="2">
        <v>0</v>
      </c>
      <c r="P74" t="s">
        <v>179</v>
      </c>
      <c r="Q74" s="2">
        <v>0</v>
      </c>
      <c r="R74" s="2">
        <v>1</v>
      </c>
      <c r="S74" s="5">
        <v>45454</v>
      </c>
      <c r="T74" s="5">
        <v>45454</v>
      </c>
      <c r="U74" s="28">
        <f t="shared" si="2"/>
        <v>0</v>
      </c>
      <c r="V74" s="2">
        <v>0</v>
      </c>
      <c r="W74" s="2">
        <v>0</v>
      </c>
      <c r="X74" s="2">
        <v>0</v>
      </c>
      <c r="Y74" s="2">
        <v>0</v>
      </c>
      <c r="Z74" s="2">
        <v>0</v>
      </c>
      <c r="AA74" s="2">
        <v>0</v>
      </c>
      <c r="AB74" s="2">
        <v>0</v>
      </c>
      <c r="AC74" s="2">
        <v>0</v>
      </c>
      <c r="AD74" s="2">
        <v>0</v>
      </c>
      <c r="AE74" s="2">
        <v>1</v>
      </c>
      <c r="AF74" s="2" t="s">
        <v>190</v>
      </c>
      <c r="AG74" s="2">
        <v>0</v>
      </c>
      <c r="AH74" s="2">
        <v>0</v>
      </c>
      <c r="AI74" s="2">
        <v>1</v>
      </c>
      <c r="AJ74" s="2">
        <v>1</v>
      </c>
      <c r="AK74" s="11">
        <v>1</v>
      </c>
      <c r="AL74" s="5">
        <v>45455</v>
      </c>
      <c r="AM74" s="2">
        <v>0</v>
      </c>
      <c r="AN74" s="2">
        <v>0</v>
      </c>
      <c r="AO74" s="2">
        <v>0</v>
      </c>
      <c r="AT74" s="2">
        <v>0</v>
      </c>
      <c r="AU74" s="2" t="s">
        <v>191</v>
      </c>
    </row>
    <row r="75" spans="1:47">
      <c r="A75" s="2">
        <v>74</v>
      </c>
      <c r="B75" s="5">
        <v>45454</v>
      </c>
      <c r="C75" s="5">
        <v>45463</v>
      </c>
      <c r="D75" s="2">
        <f t="shared" si="4"/>
        <v>9</v>
      </c>
      <c r="E75" s="2">
        <v>80</v>
      </c>
      <c r="F75" s="2">
        <v>1</v>
      </c>
      <c r="G75" s="2">
        <v>3</v>
      </c>
      <c r="H75" s="2">
        <v>1</v>
      </c>
      <c r="I75" s="2">
        <v>0</v>
      </c>
      <c r="J75" s="2">
        <v>0</v>
      </c>
      <c r="K75" s="2">
        <v>0</v>
      </c>
      <c r="L75" s="2">
        <v>1</v>
      </c>
      <c r="M75" s="2">
        <v>0</v>
      </c>
      <c r="N75" s="2">
        <v>1</v>
      </c>
      <c r="O75" s="2" t="s">
        <v>192</v>
      </c>
      <c r="P75" t="s">
        <v>186</v>
      </c>
      <c r="Q75" s="2">
        <v>0</v>
      </c>
      <c r="R75" s="2">
        <v>1</v>
      </c>
      <c r="S75" s="5">
        <v>45454</v>
      </c>
      <c r="T75" s="5">
        <v>45454</v>
      </c>
      <c r="U75" s="28">
        <f t="shared" si="2"/>
        <v>0</v>
      </c>
      <c r="V75" s="2">
        <v>1</v>
      </c>
      <c r="W75" s="2">
        <v>0</v>
      </c>
      <c r="X75" s="2">
        <v>0</v>
      </c>
      <c r="Y75" s="2">
        <v>1</v>
      </c>
      <c r="Z75" s="2">
        <v>0</v>
      </c>
      <c r="AA75" s="2">
        <v>0</v>
      </c>
      <c r="AB75" s="2">
        <v>0</v>
      </c>
      <c r="AC75" s="2">
        <v>0</v>
      </c>
      <c r="AD75" s="2">
        <v>0</v>
      </c>
      <c r="AE75" s="2">
        <v>1</v>
      </c>
      <c r="AF75" s="2" t="s">
        <v>91</v>
      </c>
      <c r="AG75" s="2">
        <v>0</v>
      </c>
      <c r="AH75" s="2">
        <v>0</v>
      </c>
      <c r="AI75" s="2">
        <v>1</v>
      </c>
      <c r="AJ75" s="2">
        <v>1</v>
      </c>
      <c r="AK75" s="2">
        <v>1</v>
      </c>
      <c r="AL75" s="5">
        <v>45457</v>
      </c>
      <c r="AM75" s="2">
        <v>0</v>
      </c>
      <c r="AN75" s="2">
        <v>1</v>
      </c>
      <c r="AO75" s="2">
        <v>0</v>
      </c>
      <c r="AT75" s="2">
        <v>0</v>
      </c>
      <c r="AU75" s="2" t="s">
        <v>193</v>
      </c>
    </row>
    <row r="76" spans="1:47">
      <c r="A76" s="2">
        <v>75</v>
      </c>
      <c r="B76" s="5">
        <v>45455</v>
      </c>
      <c r="C76" s="5">
        <v>45463</v>
      </c>
      <c r="D76" s="2">
        <f t="shared" si="4"/>
        <v>8</v>
      </c>
      <c r="E76" s="2">
        <v>81</v>
      </c>
      <c r="F76" s="2">
        <v>1</v>
      </c>
      <c r="G76" s="2">
        <v>3</v>
      </c>
      <c r="H76" s="2">
        <v>0</v>
      </c>
      <c r="I76" s="2">
        <v>0</v>
      </c>
      <c r="J76" s="2">
        <v>0</v>
      </c>
      <c r="K76" s="2">
        <v>0</v>
      </c>
      <c r="L76" s="2">
        <v>0</v>
      </c>
      <c r="M76" s="2">
        <v>0</v>
      </c>
      <c r="N76" s="2">
        <v>0</v>
      </c>
      <c r="P76" t="s">
        <v>179</v>
      </c>
      <c r="Q76" s="2">
        <v>0</v>
      </c>
      <c r="R76" s="2">
        <v>1</v>
      </c>
      <c r="S76" s="5">
        <v>45455</v>
      </c>
      <c r="T76" s="5">
        <v>45455</v>
      </c>
      <c r="U76" s="28">
        <f t="shared" si="2"/>
        <v>0</v>
      </c>
      <c r="V76" s="2">
        <v>0</v>
      </c>
      <c r="W76" s="2">
        <v>0</v>
      </c>
      <c r="X76" s="2">
        <v>0</v>
      </c>
      <c r="Y76" s="2">
        <v>0</v>
      </c>
      <c r="Z76" s="2">
        <v>0</v>
      </c>
      <c r="AA76" s="2">
        <v>0</v>
      </c>
      <c r="AB76" s="2">
        <v>0</v>
      </c>
      <c r="AC76" s="2">
        <v>0</v>
      </c>
      <c r="AD76" s="2">
        <v>0</v>
      </c>
      <c r="AE76" s="2">
        <v>1</v>
      </c>
      <c r="AF76" s="2" t="s">
        <v>68</v>
      </c>
      <c r="AG76" s="2">
        <v>0</v>
      </c>
      <c r="AH76" s="2">
        <v>0</v>
      </c>
      <c r="AI76" s="2">
        <v>1</v>
      </c>
      <c r="AJ76" s="2">
        <v>1</v>
      </c>
      <c r="AK76" s="11">
        <v>1</v>
      </c>
      <c r="AL76" s="5">
        <v>45456</v>
      </c>
      <c r="AM76" s="2">
        <v>0</v>
      </c>
      <c r="AN76" s="2">
        <v>0</v>
      </c>
      <c r="AO76" s="2">
        <v>0</v>
      </c>
      <c r="AT76" s="2">
        <v>1</v>
      </c>
      <c r="AU76" s="2" t="s">
        <v>194</v>
      </c>
    </row>
    <row r="77" spans="1:47">
      <c r="A77" s="2">
        <v>76</v>
      </c>
      <c r="B77" s="5">
        <v>45457</v>
      </c>
      <c r="C77" s="5">
        <v>45468</v>
      </c>
      <c r="D77" s="2">
        <f t="shared" si="4"/>
        <v>11</v>
      </c>
      <c r="E77" s="2">
        <v>59</v>
      </c>
      <c r="F77" s="2">
        <v>1</v>
      </c>
      <c r="G77" s="2">
        <v>3</v>
      </c>
      <c r="H77" s="2">
        <v>0</v>
      </c>
      <c r="I77" s="2">
        <v>0</v>
      </c>
      <c r="J77" s="2">
        <v>0</v>
      </c>
      <c r="K77" s="2">
        <v>0</v>
      </c>
      <c r="L77" s="2">
        <v>0</v>
      </c>
      <c r="M77" s="2">
        <v>0</v>
      </c>
      <c r="N77" s="2">
        <v>0</v>
      </c>
      <c r="P77" t="s">
        <v>179</v>
      </c>
      <c r="Q77" s="2">
        <v>1</v>
      </c>
      <c r="R77" s="2">
        <v>3</v>
      </c>
      <c r="S77" s="5">
        <v>45457</v>
      </c>
      <c r="T77" s="5">
        <v>45460</v>
      </c>
      <c r="U77" s="28">
        <f t="shared" si="2"/>
        <v>3</v>
      </c>
      <c r="V77" s="2">
        <v>1</v>
      </c>
      <c r="W77" s="2">
        <v>1</v>
      </c>
      <c r="X77" s="2">
        <v>1</v>
      </c>
      <c r="Y77" s="2">
        <v>0</v>
      </c>
      <c r="Z77" s="2">
        <v>0</v>
      </c>
      <c r="AA77" s="2">
        <v>0</v>
      </c>
      <c r="AB77" s="2">
        <v>0</v>
      </c>
      <c r="AC77" s="2">
        <v>0</v>
      </c>
      <c r="AD77" s="2">
        <v>0</v>
      </c>
      <c r="AE77" s="2">
        <v>1</v>
      </c>
      <c r="AF77" s="2" t="s">
        <v>55</v>
      </c>
      <c r="AG77" s="2">
        <v>1</v>
      </c>
      <c r="AH77" s="2">
        <v>1</v>
      </c>
      <c r="AI77" s="2">
        <v>1</v>
      </c>
      <c r="AJ77" s="2">
        <v>1</v>
      </c>
      <c r="AK77" s="2">
        <v>1</v>
      </c>
      <c r="AL77" s="5">
        <v>45461</v>
      </c>
      <c r="AM77" s="2">
        <v>0</v>
      </c>
      <c r="AN77" s="2">
        <v>0</v>
      </c>
      <c r="AO77" s="2">
        <v>1</v>
      </c>
      <c r="AP77" s="5">
        <v>45463</v>
      </c>
      <c r="AQ77" s="2">
        <v>0</v>
      </c>
      <c r="AR77" s="2">
        <v>0</v>
      </c>
      <c r="AS77" s="2">
        <v>0</v>
      </c>
      <c r="AT77" s="2">
        <v>0</v>
      </c>
    </row>
    <row r="78" spans="1:47">
      <c r="A78" s="2">
        <v>77</v>
      </c>
      <c r="B78" s="5">
        <v>45460</v>
      </c>
      <c r="C78" s="5">
        <v>45475</v>
      </c>
      <c r="D78" s="2">
        <f t="shared" si="4"/>
        <v>15</v>
      </c>
      <c r="E78" s="2">
        <v>69</v>
      </c>
      <c r="F78" s="2">
        <v>2</v>
      </c>
      <c r="G78" s="2">
        <v>2</v>
      </c>
      <c r="H78" s="2">
        <v>1</v>
      </c>
      <c r="I78" s="2">
        <v>0</v>
      </c>
      <c r="J78" s="2">
        <v>0</v>
      </c>
      <c r="K78" s="2">
        <v>1</v>
      </c>
      <c r="L78" s="2">
        <v>0</v>
      </c>
      <c r="M78" s="2">
        <v>0</v>
      </c>
      <c r="N78" s="2">
        <v>0</v>
      </c>
      <c r="P78" t="s">
        <v>195</v>
      </c>
      <c r="Q78" s="2">
        <v>0</v>
      </c>
      <c r="R78" s="2">
        <v>1</v>
      </c>
      <c r="S78" s="5">
        <v>45460</v>
      </c>
      <c r="T78" s="5">
        <v>45460</v>
      </c>
      <c r="U78" s="28">
        <f t="shared" si="2"/>
        <v>0</v>
      </c>
      <c r="V78" s="2">
        <v>0</v>
      </c>
      <c r="W78" s="2">
        <v>0</v>
      </c>
      <c r="X78" s="2">
        <v>0</v>
      </c>
      <c r="Y78" s="2">
        <v>0</v>
      </c>
      <c r="Z78" s="2">
        <v>0</v>
      </c>
      <c r="AA78" s="2">
        <v>0</v>
      </c>
      <c r="AB78" s="2">
        <v>0</v>
      </c>
      <c r="AC78" s="2">
        <v>0</v>
      </c>
      <c r="AD78" s="2">
        <v>0</v>
      </c>
      <c r="AE78" s="2">
        <v>1</v>
      </c>
      <c r="AF78" s="2" t="s">
        <v>196</v>
      </c>
      <c r="AG78" s="2">
        <v>0</v>
      </c>
      <c r="AH78" s="2">
        <v>1</v>
      </c>
      <c r="AI78" s="2">
        <v>1</v>
      </c>
      <c r="AJ78" s="2">
        <v>1</v>
      </c>
      <c r="AK78" s="2">
        <v>0</v>
      </c>
      <c r="AO78" s="2">
        <v>1</v>
      </c>
      <c r="AP78" s="5">
        <v>45462</v>
      </c>
      <c r="AQ78" s="2">
        <v>0</v>
      </c>
      <c r="AR78" s="2">
        <v>0</v>
      </c>
      <c r="AS78" s="2">
        <v>0</v>
      </c>
      <c r="AT78" s="2">
        <v>0</v>
      </c>
      <c r="AU78" s="2" t="s">
        <v>197</v>
      </c>
    </row>
    <row r="79" spans="1:47">
      <c r="A79" s="2">
        <v>78</v>
      </c>
      <c r="B79" s="5">
        <v>45463</v>
      </c>
      <c r="C79" s="5">
        <v>45466</v>
      </c>
      <c r="D79" s="2">
        <f t="shared" si="4"/>
        <v>3</v>
      </c>
      <c r="E79" s="2">
        <v>77</v>
      </c>
      <c r="F79" s="2">
        <v>2</v>
      </c>
      <c r="G79" s="2">
        <v>3</v>
      </c>
      <c r="H79" s="2">
        <v>0</v>
      </c>
      <c r="I79" s="2">
        <v>0</v>
      </c>
      <c r="J79" s="2">
        <v>0</v>
      </c>
      <c r="K79" s="2">
        <v>0</v>
      </c>
      <c r="L79" s="2">
        <v>0</v>
      </c>
      <c r="M79" s="2">
        <v>0</v>
      </c>
      <c r="N79" s="2">
        <v>0</v>
      </c>
      <c r="P79" t="s">
        <v>179</v>
      </c>
      <c r="Q79" s="2">
        <v>0</v>
      </c>
      <c r="R79" s="2">
        <v>1</v>
      </c>
      <c r="S79" s="5">
        <v>45463</v>
      </c>
      <c r="T79" s="5">
        <v>45463</v>
      </c>
      <c r="U79" s="28">
        <f t="shared" si="2"/>
        <v>0</v>
      </c>
      <c r="V79" s="2">
        <v>0</v>
      </c>
      <c r="W79" s="2">
        <v>0</v>
      </c>
      <c r="X79" s="2">
        <v>0</v>
      </c>
      <c r="Y79" s="2">
        <v>0</v>
      </c>
      <c r="Z79" s="2">
        <v>0</v>
      </c>
      <c r="AA79" s="2">
        <v>0</v>
      </c>
      <c r="AB79" s="2">
        <v>0</v>
      </c>
      <c r="AC79" s="2">
        <v>0</v>
      </c>
      <c r="AD79" s="2">
        <v>0</v>
      </c>
      <c r="AE79" s="2">
        <v>0</v>
      </c>
      <c r="AG79" s="2">
        <v>0</v>
      </c>
      <c r="AH79" s="2">
        <v>1</v>
      </c>
      <c r="AI79" s="2">
        <v>1</v>
      </c>
      <c r="AJ79" s="2">
        <v>1</v>
      </c>
      <c r="AK79" s="2">
        <v>0</v>
      </c>
      <c r="AO79" s="2">
        <v>0</v>
      </c>
      <c r="AT79" s="2">
        <v>0</v>
      </c>
      <c r="AU79" s="2" t="s">
        <v>200</v>
      </c>
    </row>
    <row r="80" spans="1:47">
      <c r="A80" s="8">
        <v>79</v>
      </c>
      <c r="B80" s="5">
        <v>45464</v>
      </c>
      <c r="C80" s="6">
        <v>45470</v>
      </c>
      <c r="D80" s="2">
        <f t="shared" si="4"/>
        <v>6</v>
      </c>
      <c r="E80" s="2">
        <v>58</v>
      </c>
      <c r="F80" s="2">
        <v>2</v>
      </c>
      <c r="G80" s="2">
        <v>2</v>
      </c>
      <c r="H80" s="2">
        <v>0</v>
      </c>
      <c r="I80" s="2">
        <v>0</v>
      </c>
      <c r="J80" s="2">
        <v>0</v>
      </c>
      <c r="K80" s="2">
        <v>0</v>
      </c>
      <c r="L80" s="2">
        <v>0</v>
      </c>
      <c r="M80" s="2">
        <v>0</v>
      </c>
      <c r="N80" s="2">
        <v>1</v>
      </c>
      <c r="O80" s="2" t="s">
        <v>201</v>
      </c>
      <c r="P80" t="s">
        <v>179</v>
      </c>
      <c r="Q80" s="2">
        <v>0</v>
      </c>
      <c r="R80" s="2">
        <v>1</v>
      </c>
      <c r="S80" s="5">
        <v>45464</v>
      </c>
      <c r="T80" s="5">
        <v>45464</v>
      </c>
      <c r="U80" s="28">
        <f t="shared" si="2"/>
        <v>0</v>
      </c>
      <c r="V80" s="2">
        <v>0</v>
      </c>
      <c r="W80" s="2">
        <v>0</v>
      </c>
      <c r="X80" s="2">
        <v>0</v>
      </c>
      <c r="Y80" s="2">
        <v>0</v>
      </c>
      <c r="Z80" s="2">
        <v>0</v>
      </c>
      <c r="AA80" s="2">
        <v>0</v>
      </c>
      <c r="AB80" s="2">
        <v>0</v>
      </c>
      <c r="AC80" s="2">
        <v>0</v>
      </c>
      <c r="AD80" s="2">
        <v>0</v>
      </c>
      <c r="AE80" s="11">
        <v>1</v>
      </c>
      <c r="AF80" s="2" t="s">
        <v>117</v>
      </c>
      <c r="AG80" s="2">
        <v>0</v>
      </c>
      <c r="AH80" s="2">
        <v>0</v>
      </c>
      <c r="AI80" s="2">
        <v>1</v>
      </c>
      <c r="AJ80" s="2">
        <v>0</v>
      </c>
      <c r="AK80" s="2">
        <v>1</v>
      </c>
      <c r="AL80" s="5">
        <v>45467</v>
      </c>
      <c r="AM80" s="2">
        <v>0</v>
      </c>
      <c r="AN80" s="2">
        <v>0</v>
      </c>
      <c r="AO80" s="2">
        <v>0</v>
      </c>
      <c r="AT80" s="2">
        <v>0</v>
      </c>
      <c r="AU80" s="2" t="s">
        <v>202</v>
      </c>
    </row>
    <row r="81" spans="1:47">
      <c r="A81" s="2">
        <v>80</v>
      </c>
      <c r="B81" s="5">
        <v>45471</v>
      </c>
      <c r="C81" s="5">
        <v>45485</v>
      </c>
      <c r="D81" s="2">
        <f t="shared" si="4"/>
        <v>14</v>
      </c>
      <c r="E81" s="2">
        <v>68</v>
      </c>
      <c r="F81" s="2">
        <v>2</v>
      </c>
      <c r="G81" s="2">
        <v>2</v>
      </c>
      <c r="H81" s="2">
        <v>1</v>
      </c>
      <c r="I81" s="2">
        <v>0</v>
      </c>
      <c r="J81" s="2">
        <v>0</v>
      </c>
      <c r="K81" s="2">
        <v>0</v>
      </c>
      <c r="L81" s="2">
        <v>0</v>
      </c>
      <c r="M81" s="2">
        <v>0</v>
      </c>
      <c r="N81" s="2">
        <v>1</v>
      </c>
      <c r="O81" s="2" t="s">
        <v>70</v>
      </c>
      <c r="P81" t="s">
        <v>179</v>
      </c>
      <c r="Q81" s="2">
        <v>0</v>
      </c>
      <c r="R81" s="2">
        <v>1</v>
      </c>
      <c r="S81" s="5">
        <v>45471</v>
      </c>
      <c r="T81" s="5">
        <v>45471</v>
      </c>
      <c r="U81" s="28">
        <f t="shared" si="2"/>
        <v>0</v>
      </c>
      <c r="V81" s="2">
        <v>0</v>
      </c>
      <c r="W81" s="2">
        <v>0</v>
      </c>
      <c r="X81" s="2">
        <v>0</v>
      </c>
      <c r="Y81" s="2">
        <v>0</v>
      </c>
      <c r="Z81" s="2">
        <v>0</v>
      </c>
      <c r="AA81" s="2">
        <v>0</v>
      </c>
      <c r="AB81" s="2">
        <v>0</v>
      </c>
      <c r="AC81" s="2">
        <v>0</v>
      </c>
      <c r="AD81" s="2">
        <v>0</v>
      </c>
      <c r="AE81" s="2">
        <v>1</v>
      </c>
      <c r="AF81" s="2" t="s">
        <v>55</v>
      </c>
      <c r="AG81" s="2">
        <v>0</v>
      </c>
      <c r="AH81" s="2">
        <v>0</v>
      </c>
      <c r="AI81" s="2">
        <v>1</v>
      </c>
      <c r="AJ81" s="2">
        <v>1</v>
      </c>
      <c r="AK81" s="11">
        <v>1</v>
      </c>
      <c r="AL81" s="5">
        <v>45476</v>
      </c>
      <c r="AM81" s="2">
        <v>0</v>
      </c>
      <c r="AN81" s="2">
        <v>1</v>
      </c>
      <c r="AO81" s="2">
        <v>0</v>
      </c>
      <c r="AT81" s="2">
        <v>0</v>
      </c>
      <c r="AU81" s="2" t="s">
        <v>205</v>
      </c>
    </row>
    <row r="82" spans="1:47">
      <c r="A82" s="2">
        <v>81</v>
      </c>
      <c r="B82" s="5">
        <v>45414</v>
      </c>
      <c r="C82" s="5">
        <v>45421</v>
      </c>
      <c r="D82" s="2">
        <f t="shared" si="4"/>
        <v>7</v>
      </c>
      <c r="E82" s="2">
        <v>84</v>
      </c>
      <c r="F82" s="2">
        <v>1</v>
      </c>
      <c r="G82" s="2">
        <v>3</v>
      </c>
      <c r="H82" s="2">
        <v>0</v>
      </c>
      <c r="I82" s="2">
        <v>0</v>
      </c>
      <c r="J82" s="2">
        <v>0</v>
      </c>
      <c r="K82" s="2">
        <v>0</v>
      </c>
      <c r="L82" s="2">
        <v>0</v>
      </c>
      <c r="M82" s="2">
        <v>0</v>
      </c>
      <c r="N82" s="2">
        <v>0</v>
      </c>
      <c r="P82" t="s">
        <v>179</v>
      </c>
      <c r="Q82" s="2">
        <v>0</v>
      </c>
      <c r="R82" s="2">
        <v>1</v>
      </c>
      <c r="S82" s="5">
        <v>45414</v>
      </c>
      <c r="T82" s="5">
        <v>45414</v>
      </c>
      <c r="U82" s="28">
        <f t="shared" si="2"/>
        <v>0</v>
      </c>
      <c r="V82" s="2">
        <v>0</v>
      </c>
      <c r="W82" s="2">
        <v>0</v>
      </c>
      <c r="X82" s="2">
        <v>0</v>
      </c>
      <c r="Y82" s="2">
        <v>0</v>
      </c>
      <c r="Z82" s="2">
        <v>0</v>
      </c>
      <c r="AA82" s="2">
        <v>0</v>
      </c>
      <c r="AB82" s="2">
        <v>0</v>
      </c>
      <c r="AC82" s="2">
        <v>0</v>
      </c>
      <c r="AD82" s="2">
        <v>0</v>
      </c>
      <c r="AE82" s="2">
        <v>1</v>
      </c>
      <c r="AF82" s="2" t="s">
        <v>68</v>
      </c>
      <c r="AG82" s="2">
        <v>0</v>
      </c>
      <c r="AH82" s="2">
        <v>0</v>
      </c>
      <c r="AI82" s="2">
        <v>1</v>
      </c>
      <c r="AJ82" s="2">
        <v>1</v>
      </c>
      <c r="AK82" s="2">
        <v>0</v>
      </c>
      <c r="AO82" s="2">
        <v>0</v>
      </c>
      <c r="AT82" s="2">
        <v>0</v>
      </c>
      <c r="AU82" s="2" t="s">
        <v>206</v>
      </c>
    </row>
    <row r="83" spans="1:47">
      <c r="A83" s="2">
        <v>82</v>
      </c>
      <c r="B83" s="5">
        <v>45411</v>
      </c>
      <c r="C83" s="5">
        <v>45432</v>
      </c>
      <c r="D83" s="2">
        <f t="shared" si="4"/>
        <v>21</v>
      </c>
      <c r="E83" s="2">
        <v>72</v>
      </c>
      <c r="F83" s="2">
        <v>2</v>
      </c>
      <c r="G83" s="2">
        <v>2</v>
      </c>
      <c r="H83" s="2">
        <v>0</v>
      </c>
      <c r="I83" s="2">
        <v>0</v>
      </c>
      <c r="J83" s="2">
        <v>0</v>
      </c>
      <c r="K83" s="2">
        <v>0</v>
      </c>
      <c r="L83" s="2">
        <v>0</v>
      </c>
      <c r="M83" s="2">
        <v>0</v>
      </c>
      <c r="N83" s="2">
        <v>0</v>
      </c>
      <c r="P83" t="s">
        <v>179</v>
      </c>
      <c r="Q83" s="2">
        <v>0</v>
      </c>
      <c r="R83" s="2">
        <v>1</v>
      </c>
      <c r="S83" s="5">
        <v>45417</v>
      </c>
      <c r="T83" s="5">
        <v>38112</v>
      </c>
      <c r="U83" s="28">
        <f t="shared" si="2"/>
        <v>-7305</v>
      </c>
      <c r="V83" s="2">
        <v>0</v>
      </c>
      <c r="W83" s="2">
        <v>0</v>
      </c>
      <c r="X83" s="2">
        <v>0</v>
      </c>
      <c r="Y83" s="2">
        <v>0</v>
      </c>
      <c r="Z83" s="2">
        <v>0</v>
      </c>
      <c r="AA83" s="2">
        <v>0</v>
      </c>
      <c r="AB83" s="2">
        <v>0</v>
      </c>
      <c r="AC83" s="2">
        <v>0</v>
      </c>
      <c r="AD83" s="2">
        <v>0</v>
      </c>
      <c r="AE83" s="2">
        <v>1</v>
      </c>
      <c r="AF83" s="2" t="s">
        <v>91</v>
      </c>
      <c r="AG83" s="2">
        <v>0</v>
      </c>
      <c r="AH83" s="2">
        <v>1</v>
      </c>
      <c r="AI83" s="2">
        <v>1</v>
      </c>
      <c r="AJ83" s="2">
        <v>1</v>
      </c>
      <c r="AK83" s="11">
        <v>1</v>
      </c>
      <c r="AL83" s="5">
        <v>45419</v>
      </c>
      <c r="AM83" s="2">
        <v>0</v>
      </c>
      <c r="AN83" s="2">
        <v>1</v>
      </c>
      <c r="AO83" s="2">
        <v>0</v>
      </c>
      <c r="AT83" s="2">
        <v>0</v>
      </c>
      <c r="AU83" s="2" t="s">
        <v>207</v>
      </c>
    </row>
    <row r="84" spans="1:47">
      <c r="A84" s="2">
        <v>83</v>
      </c>
      <c r="B84" s="5">
        <v>45418</v>
      </c>
      <c r="C84" s="5">
        <v>45421</v>
      </c>
      <c r="D84" s="2">
        <f t="shared" si="4"/>
        <v>3</v>
      </c>
      <c r="E84" s="2">
        <v>72</v>
      </c>
      <c r="F84" s="2">
        <v>2</v>
      </c>
      <c r="G84" s="2">
        <v>5</v>
      </c>
      <c r="H84" s="2">
        <v>0</v>
      </c>
      <c r="I84" s="2">
        <v>0</v>
      </c>
      <c r="J84" s="2">
        <v>0</v>
      </c>
      <c r="K84" s="2">
        <v>0</v>
      </c>
      <c r="L84" s="2">
        <v>0</v>
      </c>
      <c r="M84" s="2">
        <v>0</v>
      </c>
      <c r="N84" s="2">
        <v>0</v>
      </c>
      <c r="P84" t="s">
        <v>179</v>
      </c>
      <c r="Q84" s="2">
        <v>0</v>
      </c>
      <c r="R84" s="2">
        <v>1</v>
      </c>
      <c r="S84" s="5">
        <v>45418</v>
      </c>
      <c r="T84" s="5">
        <v>45418</v>
      </c>
      <c r="U84" s="28">
        <f t="shared" si="2"/>
        <v>0</v>
      </c>
      <c r="V84" s="2">
        <v>0</v>
      </c>
      <c r="W84" s="2">
        <v>0</v>
      </c>
      <c r="X84" s="2">
        <v>0</v>
      </c>
      <c r="Y84" s="2">
        <v>0</v>
      </c>
      <c r="Z84" s="2">
        <v>0</v>
      </c>
      <c r="AA84" s="2">
        <v>0</v>
      </c>
      <c r="AB84" s="2">
        <v>0</v>
      </c>
      <c r="AC84" s="2">
        <v>0</v>
      </c>
      <c r="AD84" s="2">
        <v>0</v>
      </c>
      <c r="AE84" s="2">
        <v>1</v>
      </c>
      <c r="AF84" s="2" t="s">
        <v>91</v>
      </c>
      <c r="AG84" s="2">
        <v>0</v>
      </c>
      <c r="AH84" s="2">
        <v>0</v>
      </c>
      <c r="AI84" s="2">
        <v>1</v>
      </c>
      <c r="AJ84" s="2">
        <v>1</v>
      </c>
      <c r="AK84" s="2">
        <v>0</v>
      </c>
      <c r="AO84" s="2">
        <v>0</v>
      </c>
      <c r="AT84" s="2">
        <v>0</v>
      </c>
      <c r="AU84" s="2" t="s">
        <v>206</v>
      </c>
    </row>
    <row r="85" spans="1:47">
      <c r="A85" s="2">
        <v>84</v>
      </c>
      <c r="B85" s="5">
        <v>45418</v>
      </c>
      <c r="C85" s="5">
        <v>45422</v>
      </c>
      <c r="D85" s="2">
        <f t="shared" si="4"/>
        <v>4</v>
      </c>
      <c r="E85" s="2">
        <v>42</v>
      </c>
      <c r="F85" s="2">
        <v>1</v>
      </c>
      <c r="G85" s="2">
        <v>2</v>
      </c>
      <c r="H85" s="2">
        <v>0</v>
      </c>
      <c r="I85" s="2">
        <v>0</v>
      </c>
      <c r="J85" s="2">
        <v>0</v>
      </c>
      <c r="K85" s="2">
        <v>0</v>
      </c>
      <c r="L85" s="2">
        <v>0</v>
      </c>
      <c r="M85" s="2">
        <v>0</v>
      </c>
      <c r="N85" s="2">
        <v>0</v>
      </c>
      <c r="P85" t="s">
        <v>179</v>
      </c>
      <c r="Q85" s="2">
        <v>0</v>
      </c>
      <c r="R85" s="2">
        <v>1</v>
      </c>
      <c r="S85" s="5">
        <v>45418</v>
      </c>
      <c r="T85" s="5">
        <v>45418</v>
      </c>
      <c r="U85" s="28">
        <f t="shared" si="2"/>
        <v>0</v>
      </c>
      <c r="V85" s="2">
        <v>0</v>
      </c>
      <c r="W85" s="2">
        <v>0</v>
      </c>
      <c r="X85" s="2">
        <v>0</v>
      </c>
      <c r="Y85" s="2">
        <v>0</v>
      </c>
      <c r="Z85" s="2">
        <v>0</v>
      </c>
      <c r="AA85" s="2">
        <v>0</v>
      </c>
      <c r="AB85" s="2">
        <v>0</v>
      </c>
      <c r="AC85" s="2">
        <v>0</v>
      </c>
      <c r="AD85" s="2">
        <v>0</v>
      </c>
      <c r="AE85" s="2">
        <v>1</v>
      </c>
      <c r="AF85" s="2" t="s">
        <v>68</v>
      </c>
      <c r="AG85" s="2">
        <v>0</v>
      </c>
      <c r="AH85" s="2">
        <v>0</v>
      </c>
      <c r="AI85" s="2">
        <v>1</v>
      </c>
      <c r="AJ85" s="2">
        <v>1</v>
      </c>
      <c r="AK85" s="2">
        <v>0</v>
      </c>
      <c r="AO85" s="2">
        <v>0</v>
      </c>
      <c r="AT85" s="2">
        <v>0</v>
      </c>
      <c r="AU85" s="2" t="s">
        <v>206</v>
      </c>
    </row>
    <row r="86" spans="1:47">
      <c r="A86" s="2">
        <v>85</v>
      </c>
      <c r="B86" s="5">
        <v>45419</v>
      </c>
      <c r="C86" s="5">
        <v>45436</v>
      </c>
      <c r="D86" s="2">
        <f t="shared" si="4"/>
        <v>17</v>
      </c>
      <c r="E86" s="2">
        <v>57</v>
      </c>
      <c r="F86" s="2">
        <v>1</v>
      </c>
      <c r="G86" s="2">
        <v>2</v>
      </c>
      <c r="H86" s="2">
        <v>0</v>
      </c>
      <c r="I86" s="2">
        <v>0</v>
      </c>
      <c r="J86" s="2">
        <v>0</v>
      </c>
      <c r="K86" s="2">
        <v>0</v>
      </c>
      <c r="L86" s="2">
        <v>0</v>
      </c>
      <c r="M86" s="2">
        <v>0</v>
      </c>
      <c r="N86" s="2">
        <v>0</v>
      </c>
      <c r="P86" t="s">
        <v>208</v>
      </c>
      <c r="Q86" s="2">
        <v>0</v>
      </c>
      <c r="R86" s="2">
        <v>1</v>
      </c>
      <c r="S86" s="5">
        <v>45419</v>
      </c>
      <c r="T86" s="5">
        <v>45419</v>
      </c>
      <c r="U86" s="28">
        <f t="shared" si="2"/>
        <v>0</v>
      </c>
      <c r="V86" s="2">
        <v>0</v>
      </c>
      <c r="W86" s="2">
        <v>0</v>
      </c>
      <c r="X86" s="2">
        <v>0</v>
      </c>
      <c r="Y86" s="2">
        <v>0</v>
      </c>
      <c r="Z86" s="2">
        <v>0</v>
      </c>
      <c r="AA86" s="2">
        <v>0</v>
      </c>
      <c r="AB86" s="2">
        <v>0</v>
      </c>
      <c r="AC86" s="2">
        <v>0</v>
      </c>
      <c r="AD86" s="2">
        <v>0</v>
      </c>
      <c r="AE86" s="2">
        <v>1</v>
      </c>
      <c r="AF86" s="2" t="s">
        <v>209</v>
      </c>
      <c r="AG86" s="11">
        <v>1</v>
      </c>
      <c r="AH86" s="2">
        <v>1</v>
      </c>
      <c r="AI86" s="2">
        <v>0</v>
      </c>
      <c r="AJ86" s="2">
        <v>0</v>
      </c>
      <c r="AK86" s="2">
        <v>1</v>
      </c>
      <c r="AL86" s="5">
        <v>45432</v>
      </c>
      <c r="AM86" s="2">
        <v>0</v>
      </c>
      <c r="AN86" s="2">
        <v>0</v>
      </c>
      <c r="AO86" s="2">
        <v>0</v>
      </c>
      <c r="AT86" s="2">
        <v>0</v>
      </c>
      <c r="AU86" s="2" t="s">
        <v>210</v>
      </c>
    </row>
    <row r="87" spans="1:47">
      <c r="A87" s="2">
        <v>86</v>
      </c>
      <c r="B87" s="5">
        <v>45421</v>
      </c>
      <c r="C87" s="5">
        <v>45443</v>
      </c>
      <c r="D87" s="2">
        <f t="shared" si="4"/>
        <v>22</v>
      </c>
      <c r="E87" s="2">
        <v>57</v>
      </c>
      <c r="F87" s="2">
        <v>2</v>
      </c>
      <c r="G87" s="2">
        <v>2</v>
      </c>
      <c r="H87" s="2">
        <v>0</v>
      </c>
      <c r="I87" s="2">
        <v>0</v>
      </c>
      <c r="J87" s="2">
        <v>0</v>
      </c>
      <c r="K87" s="2">
        <v>0</v>
      </c>
      <c r="L87" s="2">
        <v>0</v>
      </c>
      <c r="M87" s="2">
        <v>0</v>
      </c>
      <c r="N87" s="2">
        <v>0</v>
      </c>
      <c r="P87" t="s">
        <v>179</v>
      </c>
      <c r="Q87" s="2">
        <v>0</v>
      </c>
      <c r="R87" s="2">
        <v>1</v>
      </c>
      <c r="S87" s="5">
        <v>45421</v>
      </c>
      <c r="T87" s="5">
        <v>45421</v>
      </c>
      <c r="U87" s="28">
        <f t="shared" si="2"/>
        <v>0</v>
      </c>
      <c r="V87" s="2">
        <v>0</v>
      </c>
      <c r="W87" s="2">
        <v>0</v>
      </c>
      <c r="X87" s="2">
        <v>0</v>
      </c>
      <c r="Y87" s="2">
        <v>0</v>
      </c>
      <c r="Z87" s="2">
        <v>0</v>
      </c>
      <c r="AA87" s="2">
        <v>0</v>
      </c>
      <c r="AB87" s="2">
        <v>0</v>
      </c>
      <c r="AC87" s="2">
        <v>0</v>
      </c>
      <c r="AD87" s="2">
        <v>0</v>
      </c>
      <c r="AE87" s="2">
        <v>1</v>
      </c>
      <c r="AF87" s="2" t="s">
        <v>91</v>
      </c>
      <c r="AG87" s="2">
        <v>0</v>
      </c>
      <c r="AH87" s="2">
        <v>1</v>
      </c>
      <c r="AI87" s="2">
        <v>0</v>
      </c>
      <c r="AJ87" s="2">
        <v>1</v>
      </c>
      <c r="AK87" s="2">
        <v>1</v>
      </c>
      <c r="AL87" s="5">
        <v>45427</v>
      </c>
      <c r="AM87" s="2">
        <v>0</v>
      </c>
      <c r="AN87" s="2">
        <v>0</v>
      </c>
      <c r="AO87" s="2">
        <v>0</v>
      </c>
      <c r="AT87" s="2">
        <v>1</v>
      </c>
      <c r="AU87" s="2" t="s">
        <v>206</v>
      </c>
    </row>
    <row r="88" spans="1:47">
      <c r="A88" s="2">
        <v>87</v>
      </c>
      <c r="B88" s="5">
        <v>45421</v>
      </c>
      <c r="C88" s="5">
        <v>45425</v>
      </c>
      <c r="D88" s="2">
        <f t="shared" si="4"/>
        <v>4</v>
      </c>
      <c r="E88" s="2">
        <v>74</v>
      </c>
      <c r="F88" s="2">
        <v>1</v>
      </c>
      <c r="G88" s="2">
        <v>2</v>
      </c>
      <c r="H88" s="2">
        <v>0</v>
      </c>
      <c r="I88" s="2">
        <v>0</v>
      </c>
      <c r="J88" s="2">
        <v>0</v>
      </c>
      <c r="K88" s="2">
        <v>0</v>
      </c>
      <c r="L88" s="2">
        <v>0</v>
      </c>
      <c r="M88" s="2">
        <v>0</v>
      </c>
      <c r="N88" s="2">
        <v>0</v>
      </c>
      <c r="P88" t="s">
        <v>179</v>
      </c>
      <c r="Q88" s="2">
        <v>0</v>
      </c>
      <c r="R88" s="2">
        <v>1</v>
      </c>
      <c r="S88" s="5">
        <v>45421</v>
      </c>
      <c r="T88" s="5">
        <v>45421</v>
      </c>
      <c r="U88" s="28">
        <f t="shared" si="2"/>
        <v>0</v>
      </c>
      <c r="V88" s="2">
        <v>0</v>
      </c>
      <c r="W88" s="2">
        <v>0</v>
      </c>
      <c r="X88" s="2">
        <v>0</v>
      </c>
      <c r="Y88" s="2">
        <v>0</v>
      </c>
      <c r="Z88" s="2">
        <v>0</v>
      </c>
      <c r="AA88" s="2">
        <v>0</v>
      </c>
      <c r="AB88" s="2">
        <v>0</v>
      </c>
      <c r="AC88" s="2">
        <v>0</v>
      </c>
      <c r="AD88" s="2">
        <v>0</v>
      </c>
      <c r="AE88" s="2">
        <v>0</v>
      </c>
      <c r="AG88" s="2">
        <v>0</v>
      </c>
      <c r="AH88" s="2">
        <v>0</v>
      </c>
      <c r="AI88" s="2">
        <v>1</v>
      </c>
      <c r="AJ88" s="2">
        <v>1</v>
      </c>
      <c r="AK88" s="2">
        <v>0</v>
      </c>
      <c r="AO88" s="2">
        <v>0</v>
      </c>
      <c r="AT88" s="2">
        <v>0</v>
      </c>
      <c r="AU88" s="2" t="s">
        <v>206</v>
      </c>
    </row>
    <row r="89" spans="1:47">
      <c r="A89" s="2">
        <v>88</v>
      </c>
      <c r="B89" s="5">
        <v>45423</v>
      </c>
      <c r="C89" s="5">
        <v>45427</v>
      </c>
      <c r="D89" s="2">
        <f t="shared" si="4"/>
        <v>4</v>
      </c>
      <c r="E89" s="2">
        <v>90</v>
      </c>
      <c r="F89" s="2">
        <v>2</v>
      </c>
      <c r="G89" s="2">
        <v>2</v>
      </c>
      <c r="H89" s="2">
        <v>1</v>
      </c>
      <c r="I89" s="2">
        <v>0</v>
      </c>
      <c r="J89" s="2">
        <v>1</v>
      </c>
      <c r="K89" s="2">
        <v>0</v>
      </c>
      <c r="L89" s="2">
        <v>0</v>
      </c>
      <c r="M89" s="2">
        <v>0</v>
      </c>
      <c r="N89" s="2">
        <v>1</v>
      </c>
      <c r="O89" s="2" t="s">
        <v>211</v>
      </c>
      <c r="P89" t="s">
        <v>179</v>
      </c>
      <c r="Q89" s="2">
        <v>0</v>
      </c>
      <c r="R89" s="2">
        <v>1</v>
      </c>
      <c r="S89" s="5">
        <v>45423</v>
      </c>
      <c r="T89" s="5">
        <v>45423</v>
      </c>
      <c r="U89" s="28">
        <f t="shared" si="2"/>
        <v>0</v>
      </c>
      <c r="V89" s="2">
        <v>0</v>
      </c>
      <c r="W89" s="2">
        <v>0</v>
      </c>
      <c r="X89" s="2">
        <v>0</v>
      </c>
      <c r="Y89" s="2">
        <v>0</v>
      </c>
      <c r="Z89" s="2">
        <v>0</v>
      </c>
      <c r="AA89" s="2">
        <v>0</v>
      </c>
      <c r="AB89" s="2">
        <v>0</v>
      </c>
      <c r="AC89" s="2">
        <v>0</v>
      </c>
      <c r="AD89" s="2">
        <v>0</v>
      </c>
      <c r="AE89" s="2">
        <v>0</v>
      </c>
      <c r="AG89" s="2">
        <v>0</v>
      </c>
      <c r="AH89" s="2">
        <v>0</v>
      </c>
      <c r="AI89" s="2">
        <v>1</v>
      </c>
      <c r="AJ89" s="2">
        <v>1</v>
      </c>
      <c r="AK89" s="11">
        <v>1</v>
      </c>
      <c r="AL89" s="5">
        <v>45427</v>
      </c>
      <c r="AM89" s="2">
        <v>0</v>
      </c>
      <c r="AN89" s="2">
        <v>1</v>
      </c>
      <c r="AO89" s="2">
        <v>0</v>
      </c>
      <c r="AT89" s="2">
        <v>0</v>
      </c>
      <c r="AU89" s="2" t="s">
        <v>212</v>
      </c>
    </row>
    <row r="90" spans="1:47">
      <c r="A90" s="2">
        <v>89</v>
      </c>
      <c r="B90" s="5">
        <v>45423</v>
      </c>
      <c r="C90" s="5">
        <v>45426</v>
      </c>
      <c r="D90" s="2">
        <f t="shared" si="4"/>
        <v>3</v>
      </c>
      <c r="E90" s="2">
        <v>83</v>
      </c>
      <c r="F90" s="2">
        <v>1</v>
      </c>
      <c r="G90" s="2">
        <v>2</v>
      </c>
      <c r="H90" s="2">
        <v>1</v>
      </c>
      <c r="I90" s="2">
        <v>0</v>
      </c>
      <c r="J90" s="2">
        <v>0</v>
      </c>
      <c r="K90" s="2">
        <v>0</v>
      </c>
      <c r="L90" s="2">
        <v>0</v>
      </c>
      <c r="M90" s="2">
        <v>0</v>
      </c>
      <c r="N90" s="2">
        <v>1</v>
      </c>
      <c r="O90" s="2" t="s">
        <v>192</v>
      </c>
      <c r="P90" t="s">
        <v>179</v>
      </c>
      <c r="Q90" s="2">
        <v>0</v>
      </c>
      <c r="R90" s="2">
        <v>1</v>
      </c>
      <c r="S90" s="5">
        <v>45423</v>
      </c>
      <c r="T90" s="5">
        <v>45423</v>
      </c>
      <c r="U90" s="28">
        <f t="shared" si="2"/>
        <v>0</v>
      </c>
      <c r="V90" s="2">
        <v>0</v>
      </c>
      <c r="W90" s="2">
        <v>0</v>
      </c>
      <c r="X90" s="2">
        <v>0</v>
      </c>
      <c r="Y90" s="2">
        <v>0</v>
      </c>
      <c r="Z90" s="2">
        <v>0</v>
      </c>
      <c r="AA90" s="2">
        <v>0</v>
      </c>
      <c r="AB90" s="2">
        <v>0</v>
      </c>
      <c r="AC90" s="2">
        <v>0</v>
      </c>
      <c r="AD90" s="2">
        <v>0</v>
      </c>
      <c r="AE90" s="2">
        <v>1</v>
      </c>
      <c r="AF90" s="2" t="s">
        <v>91</v>
      </c>
      <c r="AG90" s="2">
        <v>0</v>
      </c>
      <c r="AH90" s="2">
        <v>0</v>
      </c>
      <c r="AI90" s="2">
        <v>1</v>
      </c>
      <c r="AJ90" s="2">
        <v>1</v>
      </c>
      <c r="AK90" s="2">
        <v>1</v>
      </c>
      <c r="AL90" s="5">
        <v>45426</v>
      </c>
      <c r="AM90" s="2">
        <v>0</v>
      </c>
      <c r="AN90" s="2">
        <v>0</v>
      </c>
      <c r="AO90" s="2">
        <v>0</v>
      </c>
      <c r="AT90" s="2">
        <v>0</v>
      </c>
      <c r="AU90" s="2" t="s">
        <v>206</v>
      </c>
    </row>
    <row r="91" spans="1:47">
      <c r="A91" s="2">
        <v>90</v>
      </c>
      <c r="B91" s="5">
        <v>45425</v>
      </c>
      <c r="C91" s="5">
        <v>45436</v>
      </c>
      <c r="D91" s="2">
        <f t="shared" si="4"/>
        <v>11</v>
      </c>
      <c r="E91" s="2">
        <v>62</v>
      </c>
      <c r="F91" s="2">
        <v>2</v>
      </c>
      <c r="G91" s="2">
        <v>2</v>
      </c>
      <c r="H91" s="2">
        <v>0</v>
      </c>
      <c r="I91" s="2">
        <v>0</v>
      </c>
      <c r="J91" s="2">
        <v>0</v>
      </c>
      <c r="K91" s="2">
        <v>0</v>
      </c>
      <c r="L91" s="2">
        <v>0</v>
      </c>
      <c r="M91" s="2">
        <v>0</v>
      </c>
      <c r="N91" s="2">
        <v>0</v>
      </c>
      <c r="P91" t="s">
        <v>179</v>
      </c>
      <c r="Q91" s="2">
        <v>0</v>
      </c>
      <c r="R91" s="2">
        <v>1</v>
      </c>
      <c r="S91" s="5">
        <v>45425</v>
      </c>
      <c r="T91" s="5">
        <v>45425</v>
      </c>
      <c r="U91" s="28">
        <f t="shared" si="2"/>
        <v>0</v>
      </c>
      <c r="V91" s="2">
        <v>0</v>
      </c>
      <c r="W91" s="2">
        <v>0</v>
      </c>
      <c r="X91" s="2">
        <v>0</v>
      </c>
      <c r="Y91" s="2">
        <v>0</v>
      </c>
      <c r="Z91" s="2">
        <v>0</v>
      </c>
      <c r="AA91" s="2">
        <v>0</v>
      </c>
      <c r="AB91" s="2">
        <v>0</v>
      </c>
      <c r="AC91" s="2">
        <v>0</v>
      </c>
      <c r="AD91" s="2">
        <v>0</v>
      </c>
      <c r="AE91" s="2">
        <v>1</v>
      </c>
      <c r="AF91" s="2" t="s">
        <v>91</v>
      </c>
      <c r="AG91" s="2">
        <v>0</v>
      </c>
      <c r="AH91" s="2">
        <v>0</v>
      </c>
      <c r="AI91" s="2">
        <v>1</v>
      </c>
      <c r="AJ91" s="2">
        <v>1</v>
      </c>
      <c r="AK91" s="2">
        <v>0</v>
      </c>
      <c r="AO91" s="2">
        <v>0</v>
      </c>
      <c r="AT91" s="2">
        <v>0</v>
      </c>
      <c r="AU91" s="2" t="s">
        <v>206</v>
      </c>
    </row>
    <row r="92" spans="1:47">
      <c r="A92" s="2">
        <v>91</v>
      </c>
      <c r="B92" s="5">
        <v>45425</v>
      </c>
      <c r="C92" s="5">
        <v>45430</v>
      </c>
      <c r="D92" s="2">
        <f t="shared" si="4"/>
        <v>5</v>
      </c>
      <c r="E92" s="2">
        <v>94</v>
      </c>
      <c r="F92" s="2">
        <v>2</v>
      </c>
      <c r="G92" s="2">
        <v>2</v>
      </c>
      <c r="H92" s="2">
        <v>0</v>
      </c>
      <c r="I92" s="2">
        <v>0</v>
      </c>
      <c r="J92" s="2">
        <v>0</v>
      </c>
      <c r="K92" s="2">
        <v>0</v>
      </c>
      <c r="L92" s="2">
        <v>0</v>
      </c>
      <c r="M92" s="2">
        <v>0</v>
      </c>
      <c r="N92" s="2">
        <v>0</v>
      </c>
      <c r="P92" t="s">
        <v>179</v>
      </c>
      <c r="Q92" s="2">
        <v>0</v>
      </c>
      <c r="R92" s="2">
        <v>1</v>
      </c>
      <c r="S92" s="5">
        <v>45425</v>
      </c>
      <c r="T92" s="5">
        <v>45425</v>
      </c>
      <c r="U92" s="28">
        <f t="shared" si="2"/>
        <v>0</v>
      </c>
      <c r="V92" s="2">
        <v>0</v>
      </c>
      <c r="W92" s="2">
        <v>0</v>
      </c>
      <c r="X92" s="2">
        <v>0</v>
      </c>
      <c r="Y92" s="2">
        <v>0</v>
      </c>
      <c r="Z92" s="2">
        <v>0</v>
      </c>
      <c r="AA92" s="2">
        <v>0</v>
      </c>
      <c r="AB92" s="2">
        <v>0</v>
      </c>
      <c r="AC92" s="2">
        <v>0</v>
      </c>
      <c r="AD92" s="2">
        <v>0</v>
      </c>
      <c r="AE92" s="2">
        <v>1</v>
      </c>
      <c r="AF92" s="2" t="s">
        <v>117</v>
      </c>
      <c r="AG92" s="2">
        <v>0</v>
      </c>
      <c r="AH92" s="2">
        <v>0</v>
      </c>
      <c r="AI92" s="2">
        <v>1</v>
      </c>
      <c r="AJ92" s="2">
        <v>1</v>
      </c>
      <c r="AK92" s="11">
        <v>1</v>
      </c>
      <c r="AL92" s="5">
        <v>45426</v>
      </c>
      <c r="AM92" s="2">
        <v>0</v>
      </c>
      <c r="AN92" s="2">
        <v>0</v>
      </c>
      <c r="AO92" s="2">
        <v>0</v>
      </c>
      <c r="AT92" s="2">
        <v>0</v>
      </c>
      <c r="AU92" s="2" t="s">
        <v>206</v>
      </c>
    </row>
    <row r="93" spans="1:47">
      <c r="A93" s="2">
        <v>92</v>
      </c>
      <c r="B93" s="5">
        <v>45427</v>
      </c>
      <c r="C93" s="5">
        <v>45430</v>
      </c>
      <c r="D93" s="2">
        <f t="shared" si="4"/>
        <v>3</v>
      </c>
      <c r="E93" s="2">
        <v>79</v>
      </c>
      <c r="F93" s="2">
        <v>1</v>
      </c>
      <c r="G93" s="2">
        <v>4</v>
      </c>
      <c r="H93" s="2">
        <v>1</v>
      </c>
      <c r="I93" s="2">
        <v>0</v>
      </c>
      <c r="J93" s="2">
        <v>0</v>
      </c>
      <c r="K93" s="2">
        <v>0</v>
      </c>
      <c r="L93" s="2">
        <v>0</v>
      </c>
      <c r="M93" s="2">
        <v>0</v>
      </c>
      <c r="N93" s="2">
        <v>1</v>
      </c>
      <c r="O93" s="2" t="s">
        <v>213</v>
      </c>
      <c r="P93" t="s">
        <v>195</v>
      </c>
      <c r="Q93" s="2">
        <v>0</v>
      </c>
      <c r="R93" s="2">
        <v>1</v>
      </c>
      <c r="S93" s="5">
        <v>45427</v>
      </c>
      <c r="T93" s="5">
        <v>45427</v>
      </c>
      <c r="U93" s="28">
        <f t="shared" si="2"/>
        <v>0</v>
      </c>
      <c r="V93" s="2">
        <v>0</v>
      </c>
      <c r="W93" s="2">
        <v>0</v>
      </c>
      <c r="X93" s="2">
        <v>0</v>
      </c>
      <c r="Y93" s="2">
        <v>0</v>
      </c>
      <c r="Z93" s="2">
        <v>0</v>
      </c>
      <c r="AA93" s="2">
        <v>0</v>
      </c>
      <c r="AB93" s="2">
        <v>0</v>
      </c>
      <c r="AC93" s="2">
        <v>0</v>
      </c>
      <c r="AD93" s="2">
        <v>0</v>
      </c>
      <c r="AE93" s="2">
        <v>1</v>
      </c>
      <c r="AF93" s="2" t="s">
        <v>214</v>
      </c>
      <c r="AG93" s="2">
        <v>0</v>
      </c>
      <c r="AH93" s="2">
        <v>0</v>
      </c>
      <c r="AI93" s="2">
        <v>1</v>
      </c>
      <c r="AJ93" s="2">
        <v>1</v>
      </c>
      <c r="AK93" s="2">
        <v>1</v>
      </c>
      <c r="AL93" s="5">
        <v>45429</v>
      </c>
      <c r="AM93" s="2">
        <v>0</v>
      </c>
      <c r="AN93" s="2">
        <v>0</v>
      </c>
      <c r="AO93" s="2">
        <v>0</v>
      </c>
      <c r="AT93" s="2">
        <v>0</v>
      </c>
      <c r="AU93" s="2" t="s">
        <v>206</v>
      </c>
    </row>
    <row r="94" spans="1:47">
      <c r="A94" s="2">
        <v>93</v>
      </c>
      <c r="B94" s="5">
        <v>45430</v>
      </c>
      <c r="C94" s="5">
        <v>45439</v>
      </c>
      <c r="D94" s="2">
        <f t="shared" si="4"/>
        <v>9</v>
      </c>
      <c r="E94" s="2">
        <v>45</v>
      </c>
      <c r="F94" s="2">
        <v>2</v>
      </c>
      <c r="G94" s="2">
        <v>2</v>
      </c>
      <c r="H94" s="2">
        <v>0</v>
      </c>
      <c r="I94" s="2">
        <v>0</v>
      </c>
      <c r="J94" s="2">
        <v>0</v>
      </c>
      <c r="K94" s="2">
        <v>0</v>
      </c>
      <c r="L94" s="2">
        <v>0</v>
      </c>
      <c r="M94" s="2">
        <v>0</v>
      </c>
      <c r="N94" s="2">
        <v>0</v>
      </c>
      <c r="P94" t="s">
        <v>215</v>
      </c>
      <c r="Q94" s="2">
        <v>0</v>
      </c>
      <c r="R94" s="2">
        <v>1</v>
      </c>
      <c r="S94" s="5">
        <v>45430</v>
      </c>
      <c r="T94" s="5">
        <v>45430</v>
      </c>
      <c r="U94" s="28">
        <f t="shared" si="2"/>
        <v>0</v>
      </c>
      <c r="V94" s="2">
        <v>0</v>
      </c>
      <c r="W94" s="2">
        <v>0</v>
      </c>
      <c r="X94" s="2">
        <v>0</v>
      </c>
      <c r="Y94" s="2">
        <v>0</v>
      </c>
      <c r="Z94" s="2">
        <v>0</v>
      </c>
      <c r="AA94" s="2">
        <v>0</v>
      </c>
      <c r="AB94" s="2">
        <v>0</v>
      </c>
      <c r="AC94" s="2">
        <v>0</v>
      </c>
      <c r="AD94" s="2">
        <v>0</v>
      </c>
      <c r="AE94" s="2">
        <v>1</v>
      </c>
      <c r="AF94" s="2" t="s">
        <v>91</v>
      </c>
      <c r="AG94" s="2">
        <v>0</v>
      </c>
      <c r="AH94" s="2">
        <v>0</v>
      </c>
      <c r="AI94" s="2">
        <v>1</v>
      </c>
      <c r="AJ94" s="2">
        <v>1</v>
      </c>
      <c r="AK94" s="2">
        <v>0</v>
      </c>
      <c r="AO94" s="2">
        <v>0</v>
      </c>
      <c r="AT94" s="2">
        <v>0</v>
      </c>
      <c r="AU94" s="2" t="s">
        <v>206</v>
      </c>
    </row>
    <row r="95" spans="1:47">
      <c r="A95" s="2">
        <v>94</v>
      </c>
      <c r="B95" s="5">
        <v>45433</v>
      </c>
      <c r="C95" s="5">
        <v>45440</v>
      </c>
      <c r="D95" s="2">
        <f t="shared" si="4"/>
        <v>7</v>
      </c>
      <c r="E95" s="2">
        <v>75</v>
      </c>
      <c r="F95" s="2">
        <v>1</v>
      </c>
      <c r="G95" s="2">
        <v>2</v>
      </c>
      <c r="H95" s="2">
        <v>0</v>
      </c>
      <c r="I95" s="2">
        <v>0</v>
      </c>
      <c r="J95" s="2">
        <v>0</v>
      </c>
      <c r="K95" s="2">
        <v>0</v>
      </c>
      <c r="L95" s="2">
        <v>0</v>
      </c>
      <c r="M95" s="2">
        <v>0</v>
      </c>
      <c r="N95" s="2">
        <v>0</v>
      </c>
      <c r="P95" t="s">
        <v>179</v>
      </c>
      <c r="Q95" s="2">
        <v>0</v>
      </c>
      <c r="R95" s="2">
        <v>1</v>
      </c>
      <c r="S95" s="5">
        <v>45433</v>
      </c>
      <c r="T95" s="5">
        <v>45433</v>
      </c>
      <c r="U95" s="28">
        <f t="shared" si="2"/>
        <v>0</v>
      </c>
      <c r="V95" s="2">
        <v>0</v>
      </c>
      <c r="W95" s="2">
        <v>0</v>
      </c>
      <c r="X95" s="2">
        <v>0</v>
      </c>
      <c r="Y95" s="2">
        <v>0</v>
      </c>
      <c r="Z95" s="2">
        <v>0</v>
      </c>
      <c r="AA95" s="2">
        <v>0</v>
      </c>
      <c r="AB95" s="2">
        <v>0</v>
      </c>
      <c r="AC95" s="2">
        <v>0</v>
      </c>
      <c r="AD95" s="2">
        <v>0</v>
      </c>
      <c r="AE95" s="2">
        <v>1</v>
      </c>
      <c r="AF95" s="2" t="s">
        <v>117</v>
      </c>
      <c r="AG95" s="2">
        <v>0</v>
      </c>
      <c r="AH95" s="2">
        <v>0</v>
      </c>
      <c r="AI95" s="2">
        <v>1</v>
      </c>
      <c r="AJ95" s="2">
        <v>1</v>
      </c>
      <c r="AK95" s="11">
        <v>1</v>
      </c>
      <c r="AL95" s="5">
        <v>45440</v>
      </c>
      <c r="AM95" s="2">
        <v>0</v>
      </c>
      <c r="AN95" s="2">
        <v>0</v>
      </c>
      <c r="AO95" s="2">
        <v>0</v>
      </c>
      <c r="AT95" s="2">
        <v>0</v>
      </c>
      <c r="AU95" s="2" t="s">
        <v>206</v>
      </c>
    </row>
    <row r="96" spans="1:47">
      <c r="A96" s="8">
        <v>95</v>
      </c>
      <c r="B96" s="5">
        <v>45434</v>
      </c>
      <c r="C96" s="6">
        <v>45439</v>
      </c>
      <c r="D96" s="2">
        <f t="shared" si="4"/>
        <v>5</v>
      </c>
      <c r="E96" s="2">
        <v>90</v>
      </c>
      <c r="F96" s="2">
        <v>1</v>
      </c>
      <c r="G96" s="2">
        <v>2</v>
      </c>
      <c r="H96" s="2">
        <v>1</v>
      </c>
      <c r="I96" s="2">
        <v>0</v>
      </c>
      <c r="J96" s="2">
        <v>0</v>
      </c>
      <c r="K96" s="2">
        <v>0</v>
      </c>
      <c r="L96" s="2">
        <v>0</v>
      </c>
      <c r="M96" s="2">
        <v>0</v>
      </c>
      <c r="N96" s="2">
        <v>1</v>
      </c>
      <c r="O96" s="2" t="s">
        <v>216</v>
      </c>
      <c r="P96" t="s">
        <v>179</v>
      </c>
      <c r="Q96" s="2">
        <v>1</v>
      </c>
      <c r="R96" s="2">
        <v>2</v>
      </c>
      <c r="S96" s="5">
        <v>45434</v>
      </c>
      <c r="T96" s="5">
        <v>45434</v>
      </c>
      <c r="U96" s="28">
        <f t="shared" si="2"/>
        <v>0</v>
      </c>
      <c r="V96" s="2">
        <v>0</v>
      </c>
      <c r="W96" s="2">
        <v>0</v>
      </c>
      <c r="X96" s="2">
        <v>0</v>
      </c>
      <c r="Y96" s="2">
        <v>0</v>
      </c>
      <c r="Z96" s="2">
        <v>0</v>
      </c>
      <c r="AA96" s="2">
        <v>0</v>
      </c>
      <c r="AB96" s="2">
        <v>0</v>
      </c>
      <c r="AC96" s="2">
        <v>0</v>
      </c>
      <c r="AD96" s="2">
        <v>0</v>
      </c>
      <c r="AE96" s="2">
        <v>1</v>
      </c>
      <c r="AF96" s="2" t="s">
        <v>217</v>
      </c>
      <c r="AG96" s="2">
        <v>0</v>
      </c>
      <c r="AH96" s="2">
        <v>0</v>
      </c>
      <c r="AI96" s="2">
        <v>1</v>
      </c>
      <c r="AJ96" s="2">
        <v>1</v>
      </c>
      <c r="AK96" s="11">
        <v>1</v>
      </c>
      <c r="AL96" s="5">
        <v>45436</v>
      </c>
      <c r="AM96" s="2">
        <v>0</v>
      </c>
      <c r="AN96" s="2">
        <v>0</v>
      </c>
      <c r="AO96" s="2">
        <v>0</v>
      </c>
      <c r="AT96" s="2">
        <v>0</v>
      </c>
      <c r="AU96" s="2" t="s">
        <v>206</v>
      </c>
    </row>
    <row r="97" spans="1:47">
      <c r="A97" s="8">
        <v>96</v>
      </c>
      <c r="B97" s="5">
        <v>45435</v>
      </c>
      <c r="C97" s="6">
        <v>45444</v>
      </c>
      <c r="D97" s="2">
        <f t="shared" si="4"/>
        <v>9</v>
      </c>
      <c r="E97" s="2">
        <v>88</v>
      </c>
      <c r="F97" s="2">
        <v>1</v>
      </c>
      <c r="G97" s="2">
        <v>3</v>
      </c>
      <c r="H97" s="2">
        <v>0</v>
      </c>
      <c r="I97" s="2">
        <v>0</v>
      </c>
      <c r="J97" s="2">
        <v>0</v>
      </c>
      <c r="K97" s="2">
        <v>0</v>
      </c>
      <c r="L97" s="2">
        <v>0</v>
      </c>
      <c r="M97" s="2">
        <v>0</v>
      </c>
      <c r="N97" s="2">
        <v>0</v>
      </c>
      <c r="P97" t="s">
        <v>186</v>
      </c>
      <c r="Q97" s="2">
        <v>0</v>
      </c>
      <c r="R97" s="2">
        <v>1</v>
      </c>
      <c r="S97" s="5">
        <v>45436</v>
      </c>
      <c r="T97" s="5">
        <v>45436</v>
      </c>
      <c r="U97" s="28">
        <f t="shared" si="2"/>
        <v>0</v>
      </c>
      <c r="V97" s="2">
        <v>0</v>
      </c>
      <c r="W97" s="2">
        <v>0</v>
      </c>
      <c r="X97" s="2">
        <v>0</v>
      </c>
      <c r="Y97" s="2">
        <v>0</v>
      </c>
      <c r="Z97" s="2">
        <v>0</v>
      </c>
      <c r="AA97" s="2">
        <v>0</v>
      </c>
      <c r="AB97" s="2">
        <v>0</v>
      </c>
      <c r="AC97" s="2">
        <v>0</v>
      </c>
      <c r="AD97" s="2">
        <v>0</v>
      </c>
      <c r="AE97" s="2">
        <v>1</v>
      </c>
      <c r="AF97" s="2" t="s">
        <v>68</v>
      </c>
      <c r="AG97" s="2">
        <v>0</v>
      </c>
      <c r="AH97" s="2">
        <v>0</v>
      </c>
      <c r="AI97" s="2">
        <v>1</v>
      </c>
      <c r="AJ97" s="2">
        <v>1</v>
      </c>
      <c r="AK97" s="2">
        <v>0</v>
      </c>
      <c r="AO97" s="2">
        <v>0</v>
      </c>
      <c r="AT97" s="2">
        <v>0</v>
      </c>
      <c r="AU97" s="2" t="s">
        <v>206</v>
      </c>
    </row>
    <row r="98" spans="1:47">
      <c r="A98" s="2">
        <v>97</v>
      </c>
      <c r="B98" s="5">
        <v>45438</v>
      </c>
      <c r="C98" s="5">
        <v>45442</v>
      </c>
      <c r="D98" s="2">
        <f t="shared" si="4"/>
        <v>4</v>
      </c>
      <c r="E98" s="2">
        <v>96</v>
      </c>
      <c r="F98" s="2">
        <v>2</v>
      </c>
      <c r="G98" s="2">
        <v>2</v>
      </c>
      <c r="H98" s="2">
        <v>0</v>
      </c>
      <c r="I98" s="2">
        <v>0</v>
      </c>
      <c r="J98" s="2">
        <v>0</v>
      </c>
      <c r="K98" s="2">
        <v>0</v>
      </c>
      <c r="L98" s="2">
        <v>0</v>
      </c>
      <c r="M98" s="2">
        <v>0</v>
      </c>
      <c r="N98" s="2">
        <v>0</v>
      </c>
      <c r="P98" t="s">
        <v>208</v>
      </c>
      <c r="Q98" s="2">
        <v>0</v>
      </c>
      <c r="R98" s="2">
        <v>1</v>
      </c>
      <c r="S98" s="5">
        <v>45438</v>
      </c>
      <c r="T98" s="5">
        <v>45438</v>
      </c>
      <c r="U98" s="28">
        <f t="shared" si="2"/>
        <v>0</v>
      </c>
      <c r="V98" s="2">
        <v>0</v>
      </c>
      <c r="W98" s="2">
        <v>0</v>
      </c>
      <c r="X98" s="2">
        <v>0</v>
      </c>
      <c r="Y98" s="2">
        <v>0</v>
      </c>
      <c r="Z98" s="2">
        <v>0</v>
      </c>
      <c r="AA98" s="2">
        <v>0</v>
      </c>
      <c r="AB98" s="2">
        <v>0</v>
      </c>
      <c r="AC98" s="2">
        <v>0</v>
      </c>
      <c r="AD98" s="2">
        <v>0</v>
      </c>
      <c r="AE98" s="2">
        <v>1</v>
      </c>
      <c r="AF98" s="2" t="s">
        <v>91</v>
      </c>
      <c r="AG98" s="2">
        <v>0</v>
      </c>
      <c r="AH98" s="2">
        <v>0</v>
      </c>
      <c r="AI98" s="2">
        <v>1</v>
      </c>
      <c r="AJ98" s="2">
        <v>1</v>
      </c>
      <c r="AK98" s="2">
        <v>0</v>
      </c>
      <c r="AO98" s="2">
        <v>0</v>
      </c>
      <c r="AT98" s="2">
        <v>0</v>
      </c>
      <c r="AU98" s="2" t="s">
        <v>206</v>
      </c>
    </row>
    <row r="99" spans="1:47">
      <c r="A99" s="2">
        <v>98</v>
      </c>
      <c r="B99" s="5">
        <v>45439</v>
      </c>
      <c r="C99" s="5">
        <v>45445</v>
      </c>
      <c r="D99" s="2">
        <f t="shared" si="4"/>
        <v>6</v>
      </c>
      <c r="E99" s="2">
        <v>75</v>
      </c>
      <c r="F99" s="2">
        <v>2</v>
      </c>
      <c r="G99" s="2">
        <v>3</v>
      </c>
      <c r="H99" s="2">
        <v>1</v>
      </c>
      <c r="I99" s="2">
        <v>0</v>
      </c>
      <c r="J99" s="2">
        <v>0</v>
      </c>
      <c r="K99" s="2">
        <v>0</v>
      </c>
      <c r="L99" s="2">
        <v>0</v>
      </c>
      <c r="M99" s="2">
        <v>0</v>
      </c>
      <c r="N99" s="2">
        <v>1</v>
      </c>
      <c r="O99" s="2" t="s">
        <v>218</v>
      </c>
      <c r="P99" t="s">
        <v>179</v>
      </c>
      <c r="Q99" s="2">
        <v>0</v>
      </c>
      <c r="R99" s="2">
        <v>1</v>
      </c>
      <c r="S99" s="5">
        <v>45439</v>
      </c>
      <c r="T99" s="5">
        <v>45439</v>
      </c>
      <c r="U99" s="28">
        <f t="shared" si="2"/>
        <v>0</v>
      </c>
      <c r="V99" s="2">
        <v>0</v>
      </c>
      <c r="W99" s="2">
        <v>0</v>
      </c>
      <c r="X99" s="2">
        <v>0</v>
      </c>
      <c r="Y99" s="2">
        <v>0</v>
      </c>
      <c r="Z99" s="2">
        <v>0</v>
      </c>
      <c r="AA99" s="2">
        <v>0</v>
      </c>
      <c r="AB99" s="2">
        <v>0</v>
      </c>
      <c r="AC99" s="2">
        <v>0</v>
      </c>
      <c r="AD99" s="2">
        <v>0</v>
      </c>
      <c r="AE99" s="2">
        <v>1</v>
      </c>
      <c r="AF99" s="2" t="s">
        <v>91</v>
      </c>
      <c r="AG99" s="2">
        <v>0</v>
      </c>
      <c r="AH99" s="2">
        <v>0</v>
      </c>
      <c r="AI99" s="2">
        <v>1</v>
      </c>
      <c r="AJ99" s="2">
        <v>1</v>
      </c>
      <c r="AK99" s="11">
        <v>1</v>
      </c>
      <c r="AL99" s="5">
        <v>45440</v>
      </c>
      <c r="AM99" s="2">
        <v>0</v>
      </c>
      <c r="AN99" s="2">
        <v>1</v>
      </c>
      <c r="AO99" s="2">
        <v>0</v>
      </c>
      <c r="AT99" s="2">
        <v>1</v>
      </c>
      <c r="AU99" s="2" t="s">
        <v>219</v>
      </c>
    </row>
    <row r="100" spans="1:47">
      <c r="A100" s="2">
        <v>99</v>
      </c>
      <c r="B100" s="5">
        <v>45439</v>
      </c>
      <c r="C100" s="5">
        <v>45453</v>
      </c>
      <c r="D100" s="2">
        <f t="shared" si="4"/>
        <v>14</v>
      </c>
      <c r="E100" s="2">
        <v>72</v>
      </c>
      <c r="F100" s="2">
        <v>1</v>
      </c>
      <c r="G100" s="2">
        <v>2</v>
      </c>
      <c r="H100" s="2">
        <v>0</v>
      </c>
      <c r="I100" s="2">
        <v>0</v>
      </c>
      <c r="J100" s="2">
        <v>0</v>
      </c>
      <c r="K100" s="2">
        <v>0</v>
      </c>
      <c r="L100" s="2">
        <v>0</v>
      </c>
      <c r="M100" s="2">
        <v>0</v>
      </c>
      <c r="N100" s="2">
        <v>0</v>
      </c>
      <c r="P100" t="s">
        <v>195</v>
      </c>
      <c r="Q100" s="2">
        <v>0</v>
      </c>
      <c r="R100" s="2">
        <v>1</v>
      </c>
      <c r="S100" s="5">
        <v>45439</v>
      </c>
      <c r="T100" s="5">
        <v>45439</v>
      </c>
      <c r="U100" s="28">
        <f t="shared" si="2"/>
        <v>0</v>
      </c>
      <c r="V100" s="2">
        <v>0</v>
      </c>
      <c r="W100" s="2">
        <v>0</v>
      </c>
      <c r="X100" s="2">
        <v>0</v>
      </c>
      <c r="Y100" s="2">
        <v>0</v>
      </c>
      <c r="Z100" s="2">
        <v>0</v>
      </c>
      <c r="AA100" s="2">
        <v>0</v>
      </c>
      <c r="AB100" s="2">
        <v>0</v>
      </c>
      <c r="AC100" s="2">
        <v>0</v>
      </c>
      <c r="AD100" s="2">
        <v>0</v>
      </c>
      <c r="AE100" s="2">
        <v>1</v>
      </c>
      <c r="AF100" s="2" t="s">
        <v>91</v>
      </c>
      <c r="AG100" s="2">
        <v>0</v>
      </c>
      <c r="AH100" s="2">
        <v>0</v>
      </c>
      <c r="AI100" s="2">
        <v>1</v>
      </c>
      <c r="AJ100" s="2">
        <v>1</v>
      </c>
      <c r="AK100" s="2">
        <v>0</v>
      </c>
      <c r="AO100" s="2">
        <v>0</v>
      </c>
      <c r="AT100" s="2">
        <v>0</v>
      </c>
      <c r="AU100" s="2" t="s">
        <v>206</v>
      </c>
    </row>
    <row r="101" spans="1:47">
      <c r="A101" s="2">
        <v>100</v>
      </c>
      <c r="B101" s="5">
        <v>45442</v>
      </c>
      <c r="C101" s="5">
        <v>45443</v>
      </c>
      <c r="D101" s="2">
        <f t="shared" si="4"/>
        <v>1</v>
      </c>
      <c r="E101" s="2">
        <v>39</v>
      </c>
      <c r="F101" s="2">
        <v>1</v>
      </c>
      <c r="G101" s="2">
        <v>3</v>
      </c>
      <c r="H101" s="2">
        <v>0</v>
      </c>
      <c r="I101" s="2">
        <v>0</v>
      </c>
      <c r="J101" s="2">
        <v>0</v>
      </c>
      <c r="K101" s="2">
        <v>0</v>
      </c>
      <c r="L101" s="2">
        <v>0</v>
      </c>
      <c r="M101" s="2">
        <v>0</v>
      </c>
      <c r="N101" s="2">
        <v>0</v>
      </c>
      <c r="P101" t="s">
        <v>179</v>
      </c>
      <c r="Q101" s="2">
        <v>0</v>
      </c>
      <c r="R101" s="2">
        <v>1</v>
      </c>
      <c r="S101" s="5">
        <v>45442</v>
      </c>
      <c r="T101" s="5">
        <v>45442</v>
      </c>
      <c r="U101" s="28">
        <f t="shared" si="2"/>
        <v>0</v>
      </c>
      <c r="V101" s="2">
        <v>0</v>
      </c>
      <c r="W101" s="2">
        <v>0</v>
      </c>
      <c r="X101" s="2">
        <v>0</v>
      </c>
      <c r="Y101" s="2">
        <v>0</v>
      </c>
      <c r="Z101" s="2">
        <v>0</v>
      </c>
      <c r="AA101" s="2">
        <v>0</v>
      </c>
      <c r="AB101" s="2">
        <v>0</v>
      </c>
      <c r="AC101" s="2">
        <v>0</v>
      </c>
      <c r="AD101" s="2">
        <v>0</v>
      </c>
      <c r="AE101" s="2">
        <v>1</v>
      </c>
      <c r="AF101" s="2" t="s">
        <v>117</v>
      </c>
      <c r="AG101" s="2">
        <v>0</v>
      </c>
      <c r="AH101" s="2">
        <v>0</v>
      </c>
      <c r="AI101" s="2">
        <v>1</v>
      </c>
      <c r="AJ101" s="2">
        <v>1</v>
      </c>
      <c r="AK101" s="2">
        <v>0</v>
      </c>
      <c r="AO101" s="2">
        <v>0</v>
      </c>
      <c r="AT101" s="2">
        <v>0</v>
      </c>
      <c r="AU101" s="2" t="s">
        <v>206</v>
      </c>
    </row>
    <row r="102" spans="1:47">
      <c r="A102" s="2">
        <v>101</v>
      </c>
      <c r="B102" s="5">
        <v>45384</v>
      </c>
      <c r="C102" s="5">
        <v>45392</v>
      </c>
      <c r="D102" s="2">
        <f t="shared" si="4"/>
        <v>8</v>
      </c>
      <c r="E102" s="2">
        <v>90</v>
      </c>
      <c r="F102" s="2">
        <v>2</v>
      </c>
      <c r="G102" s="2">
        <v>2</v>
      </c>
      <c r="H102" s="2">
        <v>1</v>
      </c>
      <c r="I102" s="2">
        <v>0</v>
      </c>
      <c r="J102" s="2">
        <v>0</v>
      </c>
      <c r="K102" s="2">
        <v>1</v>
      </c>
      <c r="L102" s="2">
        <v>0</v>
      </c>
      <c r="M102" s="2">
        <v>0</v>
      </c>
      <c r="N102" s="2">
        <v>1</v>
      </c>
      <c r="O102" s="2" t="s">
        <v>220</v>
      </c>
      <c r="P102" t="s">
        <v>179</v>
      </c>
      <c r="Q102" s="2">
        <v>0</v>
      </c>
      <c r="R102" s="2">
        <v>1</v>
      </c>
      <c r="S102" s="5">
        <v>45384</v>
      </c>
      <c r="T102" s="5">
        <v>45384</v>
      </c>
      <c r="U102" s="28">
        <f t="shared" si="2"/>
        <v>0</v>
      </c>
      <c r="V102" s="2">
        <v>0</v>
      </c>
      <c r="W102" s="2">
        <v>0</v>
      </c>
      <c r="X102" s="2">
        <v>0</v>
      </c>
      <c r="Y102" s="2">
        <v>0</v>
      </c>
      <c r="Z102" s="2">
        <v>0</v>
      </c>
      <c r="AA102" s="2">
        <v>0</v>
      </c>
      <c r="AB102" s="2">
        <v>0</v>
      </c>
      <c r="AC102" s="2">
        <v>0</v>
      </c>
      <c r="AD102" s="2">
        <v>0</v>
      </c>
      <c r="AE102" s="2">
        <v>1</v>
      </c>
      <c r="AF102" s="2" t="s">
        <v>187</v>
      </c>
      <c r="AG102" s="2">
        <v>0</v>
      </c>
      <c r="AH102" s="2">
        <v>0</v>
      </c>
      <c r="AI102" s="2">
        <v>1</v>
      </c>
      <c r="AJ102" s="2">
        <v>1</v>
      </c>
      <c r="AK102" s="2">
        <v>0</v>
      </c>
      <c r="AO102" s="2">
        <v>0</v>
      </c>
      <c r="AT102" s="2">
        <v>0</v>
      </c>
      <c r="AU102" s="2" t="s">
        <v>206</v>
      </c>
    </row>
    <row r="103" spans="1:47">
      <c r="A103" s="2">
        <v>102</v>
      </c>
      <c r="B103" s="5">
        <v>45385</v>
      </c>
      <c r="C103" s="5">
        <v>45389</v>
      </c>
      <c r="D103" s="2">
        <f t="shared" si="4"/>
        <v>4</v>
      </c>
      <c r="E103" s="2">
        <v>92</v>
      </c>
      <c r="F103" s="2">
        <v>2</v>
      </c>
      <c r="G103" s="2">
        <v>2</v>
      </c>
      <c r="H103" s="2">
        <v>0</v>
      </c>
      <c r="I103" s="2">
        <v>0</v>
      </c>
      <c r="J103" s="2">
        <v>0</v>
      </c>
      <c r="K103" s="2">
        <v>0</v>
      </c>
      <c r="L103" s="2">
        <v>0</v>
      </c>
      <c r="M103" s="2">
        <v>0</v>
      </c>
      <c r="N103" s="2">
        <v>0</v>
      </c>
      <c r="P103" t="s">
        <v>179</v>
      </c>
      <c r="Q103" s="2">
        <v>0</v>
      </c>
      <c r="R103" s="2">
        <v>1</v>
      </c>
      <c r="S103" s="5">
        <v>45385</v>
      </c>
      <c r="T103" s="5">
        <v>45385</v>
      </c>
      <c r="U103" s="28">
        <f t="shared" si="2"/>
        <v>0</v>
      </c>
      <c r="V103" s="2">
        <v>0</v>
      </c>
      <c r="W103" s="2">
        <v>0</v>
      </c>
      <c r="X103" s="2">
        <v>0</v>
      </c>
      <c r="Y103" s="2">
        <v>0</v>
      </c>
      <c r="Z103" s="2">
        <v>0</v>
      </c>
      <c r="AA103" s="2">
        <v>0</v>
      </c>
      <c r="AB103" s="2">
        <v>0</v>
      </c>
      <c r="AC103" s="2">
        <v>0</v>
      </c>
      <c r="AD103" s="2">
        <v>0</v>
      </c>
      <c r="AE103" s="2">
        <v>1</v>
      </c>
      <c r="AF103" s="2" t="s">
        <v>68</v>
      </c>
      <c r="AG103" s="2">
        <v>0</v>
      </c>
      <c r="AH103" s="2">
        <v>0</v>
      </c>
      <c r="AI103" s="2">
        <v>1</v>
      </c>
      <c r="AJ103" s="2">
        <v>1</v>
      </c>
      <c r="AK103" s="2">
        <v>0</v>
      </c>
      <c r="AO103" s="2">
        <v>0</v>
      </c>
      <c r="AT103" s="2">
        <v>0</v>
      </c>
      <c r="AU103" s="2" t="s">
        <v>206</v>
      </c>
    </row>
    <row r="104" spans="1:47">
      <c r="A104" s="8">
        <v>103</v>
      </c>
      <c r="B104" s="5">
        <v>45390</v>
      </c>
      <c r="C104" s="6">
        <v>45488</v>
      </c>
      <c r="D104" s="11">
        <f t="shared" si="4"/>
        <v>98</v>
      </c>
      <c r="E104" s="2">
        <v>51</v>
      </c>
      <c r="F104" s="2">
        <v>1</v>
      </c>
      <c r="G104" s="2">
        <v>2</v>
      </c>
      <c r="H104" s="2">
        <v>1</v>
      </c>
      <c r="I104" s="2">
        <v>0</v>
      </c>
      <c r="J104" s="2">
        <v>0</v>
      </c>
      <c r="K104" s="2">
        <v>0</v>
      </c>
      <c r="L104" s="2">
        <v>1</v>
      </c>
      <c r="M104" s="2">
        <v>0</v>
      </c>
      <c r="N104" s="2">
        <v>1</v>
      </c>
      <c r="O104" s="2" t="s">
        <v>72</v>
      </c>
      <c r="P104" t="s">
        <v>179</v>
      </c>
      <c r="Q104" s="2">
        <v>0</v>
      </c>
      <c r="R104" s="2">
        <v>1</v>
      </c>
      <c r="S104" s="5">
        <v>45390</v>
      </c>
      <c r="T104" s="5">
        <v>45390</v>
      </c>
      <c r="U104" s="28">
        <f t="shared" si="2"/>
        <v>0</v>
      </c>
      <c r="V104" s="2">
        <v>1</v>
      </c>
      <c r="W104" s="2">
        <v>0</v>
      </c>
      <c r="X104" s="2">
        <v>0</v>
      </c>
      <c r="Y104" s="2">
        <v>1</v>
      </c>
      <c r="Z104" s="2">
        <v>0</v>
      </c>
      <c r="AA104" s="2">
        <v>0</v>
      </c>
      <c r="AB104" s="2">
        <v>0</v>
      </c>
      <c r="AC104" s="2">
        <v>0</v>
      </c>
      <c r="AD104" s="2">
        <v>0</v>
      </c>
      <c r="AE104" s="2">
        <v>1</v>
      </c>
      <c r="AF104" s="2" t="s">
        <v>55</v>
      </c>
      <c r="AG104" s="2">
        <v>0</v>
      </c>
      <c r="AH104" s="2">
        <v>0</v>
      </c>
      <c r="AI104" s="2">
        <v>1</v>
      </c>
      <c r="AJ104" s="2">
        <v>1</v>
      </c>
      <c r="AK104" s="11">
        <v>1</v>
      </c>
      <c r="AL104" s="5">
        <v>45391</v>
      </c>
      <c r="AM104" s="2">
        <v>0</v>
      </c>
      <c r="AN104" s="2">
        <v>0</v>
      </c>
      <c r="AO104" s="2">
        <v>0</v>
      </c>
      <c r="AT104" s="2">
        <v>1</v>
      </c>
      <c r="AU104" s="2" t="s">
        <v>221</v>
      </c>
    </row>
    <row r="105" spans="1:47">
      <c r="A105" s="2">
        <v>104</v>
      </c>
      <c r="B105" s="5">
        <v>45392</v>
      </c>
      <c r="C105" s="5">
        <v>45394</v>
      </c>
      <c r="D105" s="2">
        <f t="shared" si="4"/>
        <v>2</v>
      </c>
      <c r="E105" s="2">
        <v>32</v>
      </c>
      <c r="F105" s="2">
        <v>1</v>
      </c>
      <c r="G105" s="2">
        <v>2</v>
      </c>
      <c r="H105" s="2">
        <v>0</v>
      </c>
      <c r="I105" s="2">
        <v>0</v>
      </c>
      <c r="J105" s="2">
        <v>0</v>
      </c>
      <c r="K105" s="2">
        <v>0</v>
      </c>
      <c r="L105" s="2">
        <v>0</v>
      </c>
      <c r="M105" s="2">
        <v>0</v>
      </c>
      <c r="N105" s="2">
        <v>0</v>
      </c>
      <c r="P105" t="s">
        <v>179</v>
      </c>
      <c r="Q105" s="2">
        <v>0</v>
      </c>
      <c r="R105" s="2">
        <v>1</v>
      </c>
      <c r="S105" s="5">
        <v>45392</v>
      </c>
      <c r="T105" s="5">
        <v>45392</v>
      </c>
      <c r="U105" s="28">
        <f t="shared" si="2"/>
        <v>0</v>
      </c>
      <c r="V105" s="2">
        <v>0</v>
      </c>
      <c r="W105" s="2">
        <v>0</v>
      </c>
      <c r="X105" s="2">
        <v>0</v>
      </c>
      <c r="Y105" s="2">
        <v>0</v>
      </c>
      <c r="Z105" s="2">
        <v>0</v>
      </c>
      <c r="AA105" s="2">
        <v>0</v>
      </c>
      <c r="AB105" s="2">
        <v>0</v>
      </c>
      <c r="AC105" s="2">
        <v>0</v>
      </c>
      <c r="AD105" s="2">
        <v>0</v>
      </c>
      <c r="AE105" s="2">
        <v>0</v>
      </c>
      <c r="AG105" s="2">
        <v>0</v>
      </c>
      <c r="AH105" s="2">
        <v>0</v>
      </c>
      <c r="AI105" s="2">
        <v>1</v>
      </c>
      <c r="AJ105" s="2">
        <v>1</v>
      </c>
      <c r="AK105" s="2">
        <v>0</v>
      </c>
      <c r="AO105" s="2">
        <v>0</v>
      </c>
      <c r="AT105" s="2">
        <v>0</v>
      </c>
      <c r="AU105" s="2" t="s">
        <v>206</v>
      </c>
    </row>
    <row r="106" spans="1:47">
      <c r="A106" s="2">
        <v>105</v>
      </c>
      <c r="B106" s="5">
        <v>45395</v>
      </c>
      <c r="C106" s="5">
        <v>45401</v>
      </c>
      <c r="D106" s="2">
        <f t="shared" si="4"/>
        <v>6</v>
      </c>
      <c r="E106" s="2">
        <v>81</v>
      </c>
      <c r="F106" s="2">
        <v>2</v>
      </c>
      <c r="G106" s="2">
        <v>2</v>
      </c>
      <c r="H106" s="2">
        <v>0</v>
      </c>
      <c r="I106" s="2">
        <v>0</v>
      </c>
      <c r="J106" s="2">
        <v>0</v>
      </c>
      <c r="K106" s="2">
        <v>0</v>
      </c>
      <c r="L106" s="2">
        <v>0</v>
      </c>
      <c r="M106" s="2">
        <v>0</v>
      </c>
      <c r="N106" s="2">
        <v>1</v>
      </c>
      <c r="O106" s="2" t="s">
        <v>70</v>
      </c>
      <c r="P106" t="s">
        <v>179</v>
      </c>
      <c r="Q106" s="2">
        <v>0</v>
      </c>
      <c r="R106" s="2">
        <v>1</v>
      </c>
      <c r="S106" s="5">
        <v>45395</v>
      </c>
      <c r="T106" s="5">
        <v>45395</v>
      </c>
      <c r="U106" s="28">
        <f t="shared" si="2"/>
        <v>0</v>
      </c>
      <c r="V106" s="2">
        <v>1</v>
      </c>
      <c r="W106" s="2">
        <v>0</v>
      </c>
      <c r="X106" s="2">
        <v>0</v>
      </c>
      <c r="Y106" s="2">
        <v>0</v>
      </c>
      <c r="Z106" s="2">
        <v>0</v>
      </c>
      <c r="AA106" s="2">
        <v>0</v>
      </c>
      <c r="AB106" s="2">
        <v>0</v>
      </c>
      <c r="AC106" s="2">
        <v>1</v>
      </c>
      <c r="AD106" s="2">
        <v>0</v>
      </c>
      <c r="AE106" s="2">
        <v>1</v>
      </c>
      <c r="AF106" s="2" t="s">
        <v>91</v>
      </c>
      <c r="AG106" s="2">
        <v>0</v>
      </c>
      <c r="AH106" s="2">
        <v>0</v>
      </c>
      <c r="AI106" s="2">
        <v>1</v>
      </c>
      <c r="AJ106" s="2">
        <v>1</v>
      </c>
      <c r="AK106" s="2">
        <v>1</v>
      </c>
      <c r="AL106" s="5">
        <v>45399</v>
      </c>
      <c r="AM106" s="2">
        <v>0</v>
      </c>
      <c r="AN106" s="2">
        <v>0</v>
      </c>
      <c r="AO106" s="2">
        <v>0</v>
      </c>
      <c r="AT106" s="2">
        <v>0</v>
      </c>
      <c r="AU106" s="2" t="s">
        <v>223</v>
      </c>
    </row>
    <row r="107" spans="1:47">
      <c r="A107" s="2">
        <v>106</v>
      </c>
      <c r="B107" s="5">
        <v>45396</v>
      </c>
      <c r="C107" s="5">
        <v>45412</v>
      </c>
      <c r="D107" s="2">
        <f t="shared" si="4"/>
        <v>16</v>
      </c>
      <c r="E107" s="2">
        <v>66</v>
      </c>
      <c r="F107" s="2">
        <v>1</v>
      </c>
      <c r="G107" s="2">
        <v>2</v>
      </c>
      <c r="H107" s="2">
        <v>0</v>
      </c>
      <c r="I107" s="2">
        <v>0</v>
      </c>
      <c r="J107" s="2">
        <v>0</v>
      </c>
      <c r="K107" s="2">
        <v>0</v>
      </c>
      <c r="L107" s="2">
        <v>0</v>
      </c>
      <c r="M107" s="2">
        <v>0</v>
      </c>
      <c r="N107" s="2">
        <v>0</v>
      </c>
      <c r="P107" t="s">
        <v>215</v>
      </c>
      <c r="Q107" s="2">
        <v>1</v>
      </c>
      <c r="R107" s="2">
        <v>2</v>
      </c>
      <c r="S107" s="5">
        <v>45396</v>
      </c>
      <c r="T107" s="5">
        <v>45397</v>
      </c>
      <c r="U107" s="28">
        <f t="shared" si="2"/>
        <v>1</v>
      </c>
      <c r="V107" s="2">
        <v>0</v>
      </c>
      <c r="W107" s="2">
        <v>0</v>
      </c>
      <c r="X107" s="2">
        <v>0</v>
      </c>
      <c r="Y107" s="2">
        <v>0</v>
      </c>
      <c r="Z107" s="2">
        <v>0</v>
      </c>
      <c r="AA107" s="2">
        <v>0</v>
      </c>
      <c r="AB107" s="2">
        <v>0</v>
      </c>
      <c r="AC107" s="2">
        <v>0</v>
      </c>
      <c r="AD107" s="2">
        <v>0</v>
      </c>
      <c r="AE107" s="2">
        <v>1</v>
      </c>
      <c r="AF107" s="2" t="s">
        <v>91</v>
      </c>
      <c r="AG107" s="2">
        <v>0</v>
      </c>
      <c r="AH107" s="2">
        <v>1</v>
      </c>
      <c r="AI107" s="2">
        <v>1</v>
      </c>
      <c r="AJ107" s="2">
        <v>1</v>
      </c>
      <c r="AK107" s="2">
        <v>1</v>
      </c>
      <c r="AL107" s="5">
        <v>45401</v>
      </c>
      <c r="AM107" s="2">
        <v>0</v>
      </c>
      <c r="AN107" s="2">
        <v>0</v>
      </c>
      <c r="AO107" s="2">
        <v>0</v>
      </c>
      <c r="AT107" s="2">
        <v>0</v>
      </c>
      <c r="AU107" s="2" t="s">
        <v>206</v>
      </c>
    </row>
    <row r="108" spans="1:47">
      <c r="A108" s="2">
        <v>107</v>
      </c>
      <c r="B108" s="5">
        <v>45398</v>
      </c>
      <c r="C108" s="5">
        <v>45401</v>
      </c>
      <c r="D108" s="2">
        <f t="shared" si="4"/>
        <v>3</v>
      </c>
      <c r="E108" s="2">
        <v>79</v>
      </c>
      <c r="F108" s="2">
        <v>1</v>
      </c>
      <c r="G108" s="2">
        <v>2</v>
      </c>
      <c r="H108" s="2">
        <v>1</v>
      </c>
      <c r="I108" s="2">
        <v>0</v>
      </c>
      <c r="J108" s="2">
        <v>1</v>
      </c>
      <c r="K108" s="2">
        <v>0</v>
      </c>
      <c r="L108" s="2">
        <v>0</v>
      </c>
      <c r="M108" s="2">
        <v>0</v>
      </c>
      <c r="N108" s="2">
        <v>1</v>
      </c>
      <c r="O108" s="2" t="s">
        <v>224</v>
      </c>
      <c r="P108" t="s">
        <v>179</v>
      </c>
      <c r="Q108" s="2">
        <v>0</v>
      </c>
      <c r="R108" s="2">
        <v>1</v>
      </c>
      <c r="S108" s="5">
        <v>45398</v>
      </c>
      <c r="T108" s="5">
        <v>45398</v>
      </c>
      <c r="U108" s="28">
        <f t="shared" si="2"/>
        <v>0</v>
      </c>
      <c r="V108" s="2">
        <v>0</v>
      </c>
      <c r="W108" s="2">
        <v>0</v>
      </c>
      <c r="X108" s="2">
        <v>0</v>
      </c>
      <c r="Y108" s="2">
        <v>0</v>
      </c>
      <c r="Z108" s="2">
        <v>0</v>
      </c>
      <c r="AA108" s="2">
        <v>0</v>
      </c>
      <c r="AB108" s="2">
        <v>0</v>
      </c>
      <c r="AC108" s="2">
        <v>0</v>
      </c>
      <c r="AD108" s="2">
        <v>0</v>
      </c>
      <c r="AE108" s="2">
        <v>1</v>
      </c>
      <c r="AF108" s="2" t="s">
        <v>117</v>
      </c>
      <c r="AG108" s="2">
        <v>0</v>
      </c>
      <c r="AH108" s="2">
        <v>0</v>
      </c>
      <c r="AI108" s="2">
        <v>1</v>
      </c>
      <c r="AJ108" s="2">
        <v>1</v>
      </c>
      <c r="AK108" s="11">
        <v>1</v>
      </c>
      <c r="AL108" s="5">
        <v>45400</v>
      </c>
      <c r="AM108" s="2">
        <v>0</v>
      </c>
      <c r="AN108" s="2">
        <v>0</v>
      </c>
      <c r="AO108" s="2">
        <v>0</v>
      </c>
      <c r="AT108" s="2">
        <v>0</v>
      </c>
      <c r="AU108" s="2" t="s">
        <v>206</v>
      </c>
    </row>
    <row r="109" spans="1:47">
      <c r="A109" s="2">
        <v>108</v>
      </c>
      <c r="B109" s="5">
        <v>45398</v>
      </c>
      <c r="C109" s="5">
        <v>45412</v>
      </c>
      <c r="D109" s="2">
        <f t="shared" si="4"/>
        <v>14</v>
      </c>
      <c r="E109" s="2">
        <v>78</v>
      </c>
      <c r="F109" s="2">
        <v>2</v>
      </c>
      <c r="G109" s="2">
        <v>2</v>
      </c>
      <c r="H109" s="2">
        <v>1</v>
      </c>
      <c r="I109" s="2">
        <v>0</v>
      </c>
      <c r="J109" s="2">
        <v>1</v>
      </c>
      <c r="K109" s="2">
        <v>0</v>
      </c>
      <c r="L109" s="2">
        <v>0</v>
      </c>
      <c r="M109" s="2">
        <v>0</v>
      </c>
      <c r="N109" s="2">
        <v>1</v>
      </c>
      <c r="O109" s="2" t="s">
        <v>225</v>
      </c>
      <c r="P109" t="s">
        <v>179</v>
      </c>
      <c r="Q109" s="2">
        <v>1</v>
      </c>
      <c r="R109" s="2">
        <v>4</v>
      </c>
      <c r="S109" s="5">
        <v>45398</v>
      </c>
      <c r="T109" s="5">
        <v>45404</v>
      </c>
      <c r="U109" s="28">
        <f t="shared" si="2"/>
        <v>6</v>
      </c>
      <c r="V109" s="2">
        <v>0</v>
      </c>
      <c r="W109" s="2">
        <v>0</v>
      </c>
      <c r="X109" s="2">
        <v>0</v>
      </c>
      <c r="Y109" s="2">
        <v>0</v>
      </c>
      <c r="Z109" s="2">
        <v>0</v>
      </c>
      <c r="AA109" s="2">
        <v>0</v>
      </c>
      <c r="AB109" s="2">
        <v>0</v>
      </c>
      <c r="AC109" s="2">
        <v>0</v>
      </c>
      <c r="AD109" s="2">
        <v>0</v>
      </c>
      <c r="AE109" s="2">
        <v>1</v>
      </c>
      <c r="AF109" s="2" t="s">
        <v>91</v>
      </c>
      <c r="AG109" s="2">
        <v>1</v>
      </c>
      <c r="AH109" s="2">
        <v>1</v>
      </c>
      <c r="AI109" s="2">
        <v>1</v>
      </c>
      <c r="AJ109" s="2">
        <v>1</v>
      </c>
      <c r="AK109" s="2">
        <v>1</v>
      </c>
      <c r="AL109" s="5">
        <v>45399</v>
      </c>
      <c r="AM109" s="2">
        <v>0</v>
      </c>
      <c r="AN109" s="2">
        <v>1</v>
      </c>
      <c r="AO109" s="2">
        <v>1</v>
      </c>
      <c r="AP109" s="5">
        <v>45404</v>
      </c>
      <c r="AQ109" s="2">
        <v>1</v>
      </c>
      <c r="AR109" s="2">
        <v>1</v>
      </c>
      <c r="AS109" s="2">
        <v>0</v>
      </c>
      <c r="AT109" s="2">
        <v>0</v>
      </c>
      <c r="AU109" s="2" t="s">
        <v>226</v>
      </c>
    </row>
    <row r="110" spans="1:47">
      <c r="A110" s="2">
        <v>109</v>
      </c>
      <c r="B110" s="5">
        <v>45365</v>
      </c>
      <c r="C110" s="5">
        <v>45420</v>
      </c>
      <c r="D110" s="2">
        <f t="shared" si="4"/>
        <v>55</v>
      </c>
      <c r="E110" s="2">
        <v>38</v>
      </c>
      <c r="F110" s="2">
        <v>1</v>
      </c>
      <c r="G110" s="2">
        <v>2</v>
      </c>
      <c r="H110" s="2">
        <v>0</v>
      </c>
      <c r="I110" s="2">
        <v>0</v>
      </c>
      <c r="J110" s="2">
        <v>0</v>
      </c>
      <c r="K110" s="2">
        <v>0</v>
      </c>
      <c r="L110" s="2">
        <v>0</v>
      </c>
      <c r="M110" s="2">
        <v>0</v>
      </c>
      <c r="N110" s="2">
        <v>0</v>
      </c>
      <c r="P110" t="s">
        <v>179</v>
      </c>
      <c r="Q110" s="2">
        <v>0</v>
      </c>
      <c r="R110" s="2">
        <v>1</v>
      </c>
      <c r="S110" s="5">
        <v>45400</v>
      </c>
      <c r="T110" s="5">
        <v>45400</v>
      </c>
      <c r="U110" s="28">
        <f t="shared" si="2"/>
        <v>0</v>
      </c>
      <c r="V110" s="2">
        <v>0</v>
      </c>
      <c r="W110" s="2">
        <v>0</v>
      </c>
      <c r="X110" s="2">
        <v>0</v>
      </c>
      <c r="Y110" s="2">
        <v>0</v>
      </c>
      <c r="Z110" s="2">
        <v>0</v>
      </c>
      <c r="AA110" s="2">
        <v>0</v>
      </c>
      <c r="AB110" s="2">
        <v>0</v>
      </c>
      <c r="AC110" s="2">
        <v>0</v>
      </c>
      <c r="AD110" s="2">
        <v>0</v>
      </c>
      <c r="AE110" s="2">
        <v>1</v>
      </c>
      <c r="AF110" s="2" t="s">
        <v>91</v>
      </c>
      <c r="AG110" s="2">
        <v>0</v>
      </c>
      <c r="AH110" s="2">
        <v>1</v>
      </c>
      <c r="AI110" s="2">
        <v>1</v>
      </c>
      <c r="AJ110" s="2">
        <v>1</v>
      </c>
      <c r="AK110" s="2">
        <v>0</v>
      </c>
      <c r="AO110" s="2">
        <v>0</v>
      </c>
      <c r="AT110" s="2">
        <v>1</v>
      </c>
      <c r="AU110" s="2" t="s">
        <v>227</v>
      </c>
    </row>
    <row r="111" spans="1:47">
      <c r="A111" s="8">
        <v>110</v>
      </c>
      <c r="B111" s="5">
        <v>45402</v>
      </c>
      <c r="C111" s="6">
        <v>45408</v>
      </c>
      <c r="D111" s="2">
        <f t="shared" si="4"/>
        <v>6</v>
      </c>
      <c r="E111" s="2">
        <v>86</v>
      </c>
      <c r="F111" s="2">
        <v>2</v>
      </c>
      <c r="G111" s="2">
        <v>2</v>
      </c>
      <c r="H111" s="2">
        <v>0</v>
      </c>
      <c r="I111" s="2">
        <v>0</v>
      </c>
      <c r="J111" s="2">
        <v>0</v>
      </c>
      <c r="K111" s="2">
        <v>0</v>
      </c>
      <c r="L111" s="2">
        <v>0</v>
      </c>
      <c r="M111" s="2">
        <v>0</v>
      </c>
      <c r="N111" s="2">
        <v>0</v>
      </c>
      <c r="P111" t="s">
        <v>195</v>
      </c>
      <c r="Q111" s="2">
        <v>0</v>
      </c>
      <c r="R111" s="2">
        <v>1</v>
      </c>
      <c r="S111" s="5">
        <v>45402</v>
      </c>
      <c r="T111" s="5">
        <v>45402</v>
      </c>
      <c r="U111" s="28">
        <f t="shared" si="2"/>
        <v>0</v>
      </c>
      <c r="V111" s="2">
        <v>0</v>
      </c>
      <c r="W111" s="2">
        <v>0</v>
      </c>
      <c r="X111" s="2">
        <v>0</v>
      </c>
      <c r="Y111" s="2">
        <v>0</v>
      </c>
      <c r="Z111" s="2">
        <v>0</v>
      </c>
      <c r="AA111" s="2">
        <v>0</v>
      </c>
      <c r="AB111" s="2">
        <v>0</v>
      </c>
      <c r="AC111" s="2">
        <v>0</v>
      </c>
      <c r="AD111" s="2">
        <v>0</v>
      </c>
      <c r="AE111" s="2">
        <v>1</v>
      </c>
      <c r="AF111" s="2" t="s">
        <v>91</v>
      </c>
      <c r="AG111" s="2">
        <v>0</v>
      </c>
      <c r="AH111" s="2">
        <v>1</v>
      </c>
      <c r="AI111" s="2">
        <v>1</v>
      </c>
      <c r="AJ111" s="2">
        <v>1</v>
      </c>
      <c r="AK111" s="2">
        <v>0</v>
      </c>
      <c r="AO111" s="2">
        <v>0</v>
      </c>
      <c r="AT111" s="2">
        <v>0</v>
      </c>
      <c r="AU111" s="2" t="s">
        <v>206</v>
      </c>
    </row>
    <row r="112" spans="1:47">
      <c r="A112" s="2">
        <v>111</v>
      </c>
      <c r="B112" s="5">
        <v>45405</v>
      </c>
      <c r="C112" s="5">
        <v>45413</v>
      </c>
      <c r="D112" s="2">
        <f t="shared" si="4"/>
        <v>8</v>
      </c>
      <c r="E112" s="2">
        <v>58</v>
      </c>
      <c r="F112" s="2">
        <v>2</v>
      </c>
      <c r="G112" s="2">
        <v>2</v>
      </c>
      <c r="H112" s="2">
        <v>1</v>
      </c>
      <c r="I112" s="2">
        <v>0</v>
      </c>
      <c r="J112" s="2">
        <v>0</v>
      </c>
      <c r="K112" s="2">
        <v>0</v>
      </c>
      <c r="L112" s="2">
        <v>0</v>
      </c>
      <c r="M112" s="2">
        <v>0</v>
      </c>
      <c r="N112" s="2">
        <v>1</v>
      </c>
      <c r="O112" s="2" t="s">
        <v>166</v>
      </c>
      <c r="P112" t="s">
        <v>215</v>
      </c>
      <c r="Q112" s="2">
        <v>0</v>
      </c>
      <c r="R112" s="2">
        <v>1</v>
      </c>
      <c r="S112" s="5">
        <v>45405</v>
      </c>
      <c r="T112" s="5">
        <v>45405</v>
      </c>
      <c r="U112" s="28">
        <f t="shared" si="2"/>
        <v>0</v>
      </c>
      <c r="V112" s="2">
        <v>0</v>
      </c>
      <c r="W112" s="2">
        <v>0</v>
      </c>
      <c r="X112" s="2">
        <v>0</v>
      </c>
      <c r="Y112" s="2">
        <v>0</v>
      </c>
      <c r="Z112" s="2">
        <v>0</v>
      </c>
      <c r="AA112" s="2">
        <v>0</v>
      </c>
      <c r="AB112" s="2">
        <v>0</v>
      </c>
      <c r="AC112" s="2">
        <v>0</v>
      </c>
      <c r="AD112" s="2">
        <v>0</v>
      </c>
      <c r="AE112" s="2">
        <v>1</v>
      </c>
      <c r="AF112" s="2" t="s">
        <v>91</v>
      </c>
      <c r="AG112" s="2">
        <v>0</v>
      </c>
      <c r="AH112" s="2">
        <v>0</v>
      </c>
      <c r="AI112" s="2">
        <v>1</v>
      </c>
      <c r="AJ112" s="2">
        <v>1</v>
      </c>
      <c r="AK112" s="2">
        <v>0</v>
      </c>
      <c r="AO112" s="2">
        <v>0</v>
      </c>
      <c r="AT112" s="2">
        <v>0</v>
      </c>
      <c r="AU112" s="2" t="s">
        <v>206</v>
      </c>
    </row>
    <row r="113" spans="1:47">
      <c r="A113" s="2">
        <v>112</v>
      </c>
      <c r="B113" s="5">
        <v>45406</v>
      </c>
      <c r="C113" s="5">
        <v>45412</v>
      </c>
      <c r="D113" s="2">
        <f t="shared" si="4"/>
        <v>6</v>
      </c>
      <c r="E113" s="2">
        <v>28</v>
      </c>
      <c r="F113" s="2">
        <v>1</v>
      </c>
      <c r="G113" s="2">
        <v>2</v>
      </c>
      <c r="H113" s="2">
        <v>0</v>
      </c>
      <c r="I113" s="2">
        <v>0</v>
      </c>
      <c r="J113" s="2">
        <v>0</v>
      </c>
      <c r="K113" s="2">
        <v>0</v>
      </c>
      <c r="L113" s="2">
        <v>0</v>
      </c>
      <c r="M113" s="2">
        <v>0</v>
      </c>
      <c r="N113" s="2">
        <v>0</v>
      </c>
      <c r="P113" t="s">
        <v>208</v>
      </c>
      <c r="Q113" s="2">
        <v>0</v>
      </c>
      <c r="R113" s="2">
        <v>1</v>
      </c>
      <c r="S113" s="5">
        <v>45406</v>
      </c>
      <c r="T113" s="5">
        <v>45406</v>
      </c>
      <c r="U113" s="28">
        <f t="shared" si="2"/>
        <v>0</v>
      </c>
      <c r="V113" s="2">
        <v>0</v>
      </c>
      <c r="W113" s="2">
        <v>0</v>
      </c>
      <c r="X113" s="2">
        <v>0</v>
      </c>
      <c r="Y113" s="2">
        <v>0</v>
      </c>
      <c r="Z113" s="2">
        <v>0</v>
      </c>
      <c r="AA113" s="2">
        <v>0</v>
      </c>
      <c r="AB113" s="2">
        <v>0</v>
      </c>
      <c r="AC113" s="2">
        <v>0</v>
      </c>
      <c r="AD113" s="2">
        <v>0</v>
      </c>
      <c r="AE113" s="2">
        <v>1</v>
      </c>
      <c r="AF113" s="2" t="s">
        <v>91</v>
      </c>
      <c r="AG113" s="2">
        <v>0</v>
      </c>
      <c r="AH113" s="2">
        <v>0</v>
      </c>
      <c r="AI113" s="2">
        <v>1</v>
      </c>
      <c r="AJ113" s="2">
        <v>1</v>
      </c>
      <c r="AK113" s="2">
        <v>0</v>
      </c>
      <c r="AO113" s="2">
        <v>0</v>
      </c>
      <c r="AT113" s="2">
        <v>0</v>
      </c>
      <c r="AU113" s="2" t="s">
        <v>206</v>
      </c>
    </row>
    <row r="114" spans="1:47">
      <c r="A114" s="2">
        <v>113</v>
      </c>
      <c r="B114" s="5">
        <v>45407</v>
      </c>
      <c r="C114" s="5">
        <v>45431</v>
      </c>
      <c r="D114" s="2">
        <f t="shared" si="4"/>
        <v>24</v>
      </c>
      <c r="E114" s="2">
        <v>89</v>
      </c>
      <c r="F114" s="2">
        <v>2</v>
      </c>
      <c r="G114" s="2">
        <v>3</v>
      </c>
      <c r="H114" s="2">
        <v>0</v>
      </c>
      <c r="I114" s="2">
        <v>0</v>
      </c>
      <c r="J114" s="2">
        <v>0</v>
      </c>
      <c r="K114" s="2">
        <v>0</v>
      </c>
      <c r="L114" s="2">
        <v>0</v>
      </c>
      <c r="M114" s="2">
        <v>0</v>
      </c>
      <c r="N114" s="2">
        <v>0</v>
      </c>
      <c r="P114" t="s">
        <v>195</v>
      </c>
      <c r="Q114" s="2">
        <v>0</v>
      </c>
      <c r="R114" s="2">
        <v>1</v>
      </c>
      <c r="S114" s="5">
        <v>45407</v>
      </c>
      <c r="T114" s="5">
        <v>45407</v>
      </c>
      <c r="U114" s="28">
        <f t="shared" si="2"/>
        <v>0</v>
      </c>
      <c r="V114" s="2">
        <v>0</v>
      </c>
      <c r="W114" s="2">
        <v>0</v>
      </c>
      <c r="X114" s="2">
        <v>0</v>
      </c>
      <c r="Y114" s="2">
        <v>0</v>
      </c>
      <c r="Z114" s="2">
        <v>0</v>
      </c>
      <c r="AA114" s="2">
        <v>0</v>
      </c>
      <c r="AB114" s="2">
        <v>0</v>
      </c>
      <c r="AC114" s="2">
        <v>0</v>
      </c>
      <c r="AD114" s="2">
        <v>0</v>
      </c>
      <c r="AE114" s="2">
        <v>1</v>
      </c>
      <c r="AF114" s="2" t="s">
        <v>217</v>
      </c>
      <c r="AG114" s="2">
        <v>0</v>
      </c>
      <c r="AH114" s="2">
        <v>0</v>
      </c>
      <c r="AI114" s="2">
        <v>1</v>
      </c>
      <c r="AJ114" s="2">
        <v>1</v>
      </c>
      <c r="AK114" s="11">
        <v>1</v>
      </c>
      <c r="AL114" s="5">
        <v>45419</v>
      </c>
      <c r="AM114" s="2">
        <v>0</v>
      </c>
      <c r="AN114" s="2">
        <v>1</v>
      </c>
      <c r="AO114" s="2">
        <v>0</v>
      </c>
      <c r="AT114" s="2">
        <v>0</v>
      </c>
      <c r="AU114" s="2" t="s">
        <v>228</v>
      </c>
    </row>
    <row r="115" spans="1:47">
      <c r="A115" s="8">
        <v>114</v>
      </c>
      <c r="B115" s="5">
        <v>45408</v>
      </c>
      <c r="C115" s="6">
        <v>45429</v>
      </c>
      <c r="D115" s="2">
        <f t="shared" si="4"/>
        <v>21</v>
      </c>
      <c r="E115" s="2">
        <v>88</v>
      </c>
      <c r="F115" s="2">
        <v>2</v>
      </c>
      <c r="G115" s="2">
        <v>2</v>
      </c>
      <c r="H115" s="2">
        <v>1</v>
      </c>
      <c r="I115" s="2">
        <v>0</v>
      </c>
      <c r="J115" s="2">
        <v>0</v>
      </c>
      <c r="K115" s="2">
        <v>1</v>
      </c>
      <c r="L115" s="2">
        <v>0</v>
      </c>
      <c r="M115" s="2">
        <v>0</v>
      </c>
      <c r="N115" s="2">
        <v>1</v>
      </c>
      <c r="O115" s="2" t="s">
        <v>181</v>
      </c>
      <c r="P115" t="s">
        <v>179</v>
      </c>
      <c r="Q115" s="2">
        <v>0</v>
      </c>
      <c r="R115" s="2">
        <v>1</v>
      </c>
      <c r="S115" s="5">
        <v>45408</v>
      </c>
      <c r="T115" s="5">
        <v>45408</v>
      </c>
      <c r="U115" s="28">
        <f t="shared" si="2"/>
        <v>0</v>
      </c>
      <c r="V115" s="2">
        <v>0</v>
      </c>
      <c r="W115" s="2">
        <v>0</v>
      </c>
      <c r="X115" s="2">
        <v>0</v>
      </c>
      <c r="Y115" s="2">
        <v>0</v>
      </c>
      <c r="Z115" s="2">
        <v>0</v>
      </c>
      <c r="AA115" s="2">
        <v>0</v>
      </c>
      <c r="AB115" s="2">
        <v>0</v>
      </c>
      <c r="AC115" s="2">
        <v>0</v>
      </c>
      <c r="AD115" s="2">
        <v>0</v>
      </c>
      <c r="AE115" s="2">
        <v>1</v>
      </c>
      <c r="AF115" s="2" t="s">
        <v>229</v>
      </c>
      <c r="AG115" s="2">
        <v>0</v>
      </c>
      <c r="AH115" s="2">
        <v>0</v>
      </c>
      <c r="AI115" s="2">
        <v>1</v>
      </c>
      <c r="AJ115" s="2">
        <v>0</v>
      </c>
      <c r="AK115" s="2">
        <v>1</v>
      </c>
      <c r="AL115" s="5">
        <v>45419</v>
      </c>
      <c r="AM115" s="2">
        <v>0</v>
      </c>
      <c r="AN115" s="2">
        <v>1</v>
      </c>
      <c r="AO115" s="2">
        <v>0</v>
      </c>
      <c r="AT115" s="2">
        <v>0</v>
      </c>
      <c r="AU115" s="2" t="s">
        <v>206</v>
      </c>
    </row>
    <row r="116" spans="1:47">
      <c r="A116" s="2">
        <v>115</v>
      </c>
      <c r="B116" s="5">
        <v>45409</v>
      </c>
      <c r="C116" s="5">
        <v>45413</v>
      </c>
      <c r="D116" s="2">
        <f t="shared" si="4"/>
        <v>4</v>
      </c>
      <c r="E116" s="2">
        <v>43</v>
      </c>
      <c r="F116" s="2">
        <v>2</v>
      </c>
      <c r="G116" s="2">
        <v>2</v>
      </c>
      <c r="H116" s="2">
        <v>1</v>
      </c>
      <c r="I116" s="2">
        <v>0</v>
      </c>
      <c r="J116" s="2">
        <v>0</v>
      </c>
      <c r="K116" s="2">
        <v>0</v>
      </c>
      <c r="L116" s="2">
        <v>0</v>
      </c>
      <c r="M116" s="2">
        <v>0</v>
      </c>
      <c r="N116" s="2">
        <v>1</v>
      </c>
      <c r="O116" s="2" t="s">
        <v>230</v>
      </c>
      <c r="P116" t="s">
        <v>208</v>
      </c>
      <c r="Q116" s="2">
        <v>0</v>
      </c>
      <c r="R116" s="2">
        <v>1</v>
      </c>
      <c r="S116" s="5">
        <v>45409</v>
      </c>
      <c r="T116" s="5">
        <v>45409</v>
      </c>
      <c r="U116" s="28">
        <f t="shared" si="2"/>
        <v>0</v>
      </c>
      <c r="V116" s="2">
        <v>0</v>
      </c>
      <c r="W116" s="2">
        <v>0</v>
      </c>
      <c r="X116" s="2">
        <v>0</v>
      </c>
      <c r="Y116" s="2">
        <v>0</v>
      </c>
      <c r="Z116" s="2">
        <v>0</v>
      </c>
      <c r="AA116" s="2">
        <v>0</v>
      </c>
      <c r="AB116" s="2">
        <v>0</v>
      </c>
      <c r="AC116" s="2">
        <v>0</v>
      </c>
      <c r="AD116" s="2">
        <v>0</v>
      </c>
      <c r="AE116" s="2">
        <v>1</v>
      </c>
      <c r="AF116" s="2" t="s">
        <v>91</v>
      </c>
      <c r="AG116" s="2">
        <v>0</v>
      </c>
      <c r="AH116" s="2">
        <v>0</v>
      </c>
      <c r="AI116" s="2">
        <v>1</v>
      </c>
      <c r="AJ116" s="2">
        <v>1</v>
      </c>
      <c r="AK116" s="2">
        <v>1</v>
      </c>
      <c r="AL116" s="5">
        <v>45411</v>
      </c>
      <c r="AM116" s="2">
        <v>0</v>
      </c>
      <c r="AN116" s="2">
        <v>0</v>
      </c>
      <c r="AO116" s="2">
        <v>0</v>
      </c>
      <c r="AT116" s="2">
        <v>0</v>
      </c>
      <c r="AU116" s="2" t="s">
        <v>206</v>
      </c>
    </row>
    <row r="117" spans="1:47">
      <c r="A117" s="2">
        <v>116</v>
      </c>
      <c r="B117" s="5">
        <v>45412</v>
      </c>
      <c r="C117" s="5">
        <v>45419</v>
      </c>
      <c r="D117" s="2">
        <f t="shared" si="4"/>
        <v>7</v>
      </c>
      <c r="E117" s="2">
        <v>92</v>
      </c>
      <c r="F117" s="2">
        <v>1</v>
      </c>
      <c r="G117" s="2">
        <v>2</v>
      </c>
      <c r="H117" s="2">
        <v>0</v>
      </c>
      <c r="I117" s="2">
        <v>0</v>
      </c>
      <c r="J117" s="2">
        <v>0</v>
      </c>
      <c r="K117" s="2">
        <v>0</v>
      </c>
      <c r="L117" s="2">
        <v>0</v>
      </c>
      <c r="M117" s="2">
        <v>0</v>
      </c>
      <c r="N117" s="2">
        <v>0</v>
      </c>
      <c r="P117" t="s">
        <v>208</v>
      </c>
      <c r="Q117" s="2">
        <v>0</v>
      </c>
      <c r="R117" s="2">
        <v>1</v>
      </c>
      <c r="S117" s="5">
        <v>45412</v>
      </c>
      <c r="T117" s="5">
        <v>45412</v>
      </c>
      <c r="U117" s="28">
        <f t="shared" si="2"/>
        <v>0</v>
      </c>
      <c r="V117" s="2">
        <v>0</v>
      </c>
      <c r="W117" s="2">
        <v>0</v>
      </c>
      <c r="X117" s="2">
        <v>0</v>
      </c>
      <c r="Y117" s="2">
        <v>0</v>
      </c>
      <c r="Z117" s="2">
        <v>0</v>
      </c>
      <c r="AA117" s="2">
        <v>0</v>
      </c>
      <c r="AB117" s="2">
        <v>0</v>
      </c>
      <c r="AC117" s="2">
        <v>0</v>
      </c>
      <c r="AD117" s="2">
        <v>0</v>
      </c>
      <c r="AE117" s="2">
        <v>1</v>
      </c>
      <c r="AF117" s="2" t="s">
        <v>68</v>
      </c>
      <c r="AG117" s="2">
        <v>0</v>
      </c>
      <c r="AH117" s="2">
        <v>0</v>
      </c>
      <c r="AI117" s="2">
        <v>1</v>
      </c>
      <c r="AJ117" s="2">
        <v>1</v>
      </c>
      <c r="AK117" s="2">
        <v>0</v>
      </c>
      <c r="AO117" s="2">
        <v>0</v>
      </c>
      <c r="AT117" s="2">
        <v>0</v>
      </c>
      <c r="AU117" s="2" t="s">
        <v>231</v>
      </c>
    </row>
    <row r="118" spans="1:47">
      <c r="A118" s="2">
        <v>117</v>
      </c>
      <c r="B118" s="5">
        <v>45352</v>
      </c>
      <c r="C118" s="5">
        <v>45359</v>
      </c>
      <c r="D118" s="2">
        <f t="shared" si="4"/>
        <v>7</v>
      </c>
      <c r="E118" s="2">
        <v>82</v>
      </c>
      <c r="F118" s="2">
        <v>2</v>
      </c>
      <c r="G118" s="2">
        <v>2</v>
      </c>
      <c r="H118" s="2">
        <v>0</v>
      </c>
      <c r="I118" s="2">
        <v>0</v>
      </c>
      <c r="J118" s="2">
        <v>0</v>
      </c>
      <c r="K118" s="2">
        <v>0</v>
      </c>
      <c r="L118" s="2">
        <v>0</v>
      </c>
      <c r="M118" s="2">
        <v>0</v>
      </c>
      <c r="N118" s="2">
        <v>0</v>
      </c>
      <c r="P118" t="s">
        <v>208</v>
      </c>
      <c r="Q118" s="2">
        <v>0</v>
      </c>
      <c r="R118" s="2">
        <v>1</v>
      </c>
      <c r="S118" s="5">
        <v>45352</v>
      </c>
      <c r="T118" s="5">
        <v>45352</v>
      </c>
      <c r="U118" s="28">
        <f t="shared" si="2"/>
        <v>0</v>
      </c>
      <c r="V118" s="2">
        <v>0</v>
      </c>
      <c r="W118" s="2">
        <v>0</v>
      </c>
      <c r="X118" s="2">
        <v>0</v>
      </c>
      <c r="Y118" s="2">
        <v>0</v>
      </c>
      <c r="Z118" s="2">
        <v>0</v>
      </c>
      <c r="AA118" s="2">
        <v>0</v>
      </c>
      <c r="AB118" s="2">
        <v>0</v>
      </c>
      <c r="AC118" s="2">
        <v>0</v>
      </c>
      <c r="AD118" s="2">
        <v>0</v>
      </c>
      <c r="AE118" s="2">
        <v>1</v>
      </c>
      <c r="AF118" s="2" t="s">
        <v>117</v>
      </c>
      <c r="AG118" s="2">
        <v>0</v>
      </c>
      <c r="AH118" s="2">
        <v>0</v>
      </c>
      <c r="AI118" s="2">
        <v>1</v>
      </c>
      <c r="AJ118" s="2">
        <v>1</v>
      </c>
      <c r="AK118" s="2">
        <v>0</v>
      </c>
      <c r="AO118" s="2">
        <v>0</v>
      </c>
      <c r="AT118" s="2">
        <v>0</v>
      </c>
      <c r="AU118" s="2" t="s">
        <v>231</v>
      </c>
    </row>
    <row r="119" spans="1:47">
      <c r="A119" s="2">
        <v>118</v>
      </c>
      <c r="B119" s="5">
        <v>45353</v>
      </c>
      <c r="C119" s="5">
        <v>45360</v>
      </c>
      <c r="D119" s="2">
        <f t="shared" si="4"/>
        <v>7</v>
      </c>
      <c r="E119" s="2">
        <v>44</v>
      </c>
      <c r="F119" s="2">
        <v>2</v>
      </c>
      <c r="G119" s="2">
        <v>3</v>
      </c>
      <c r="H119" s="2">
        <v>1</v>
      </c>
      <c r="I119" s="2">
        <v>0</v>
      </c>
      <c r="J119" s="2">
        <v>0</v>
      </c>
      <c r="K119" s="2">
        <v>0</v>
      </c>
      <c r="L119" s="2">
        <v>1</v>
      </c>
      <c r="M119" s="2">
        <v>0</v>
      </c>
      <c r="N119" s="2">
        <v>0</v>
      </c>
      <c r="P119" t="s">
        <v>195</v>
      </c>
      <c r="Q119" s="2">
        <v>0</v>
      </c>
      <c r="R119" s="2">
        <v>1</v>
      </c>
      <c r="S119" s="5">
        <v>45353</v>
      </c>
      <c r="T119" s="5">
        <v>45353</v>
      </c>
      <c r="U119" s="28">
        <f t="shared" si="2"/>
        <v>0</v>
      </c>
      <c r="V119" s="2">
        <v>0</v>
      </c>
      <c r="W119" s="2">
        <v>0</v>
      </c>
      <c r="X119" s="2">
        <v>0</v>
      </c>
      <c r="Y119" s="2">
        <v>0</v>
      </c>
      <c r="Z119" s="2">
        <v>0</v>
      </c>
      <c r="AA119" s="2">
        <v>0</v>
      </c>
      <c r="AB119" s="2">
        <v>0</v>
      </c>
      <c r="AC119" s="2">
        <v>0</v>
      </c>
      <c r="AD119" s="2">
        <v>0</v>
      </c>
      <c r="AE119" s="2">
        <v>1</v>
      </c>
      <c r="AF119" s="2" t="s">
        <v>91</v>
      </c>
      <c r="AG119" s="2">
        <v>0</v>
      </c>
      <c r="AH119" s="2">
        <v>1</v>
      </c>
      <c r="AI119" s="2">
        <v>1</v>
      </c>
      <c r="AJ119" s="2">
        <v>1</v>
      </c>
      <c r="AK119" s="2">
        <v>0</v>
      </c>
      <c r="AO119" s="2">
        <v>0</v>
      </c>
      <c r="AT119" s="2">
        <v>0</v>
      </c>
      <c r="AU119" s="2" t="s">
        <v>232</v>
      </c>
    </row>
    <row r="120" spans="1:47">
      <c r="A120" s="2">
        <v>119</v>
      </c>
      <c r="B120" s="5">
        <v>45354</v>
      </c>
      <c r="C120" s="5">
        <v>45365</v>
      </c>
      <c r="D120" s="2">
        <f t="shared" si="4"/>
        <v>11</v>
      </c>
      <c r="E120" s="2">
        <v>65</v>
      </c>
      <c r="F120" s="2">
        <v>1</v>
      </c>
      <c r="G120" s="2">
        <v>2</v>
      </c>
      <c r="H120" s="2">
        <v>0</v>
      </c>
      <c r="I120" s="2">
        <v>0</v>
      </c>
      <c r="J120" s="2">
        <v>0</v>
      </c>
      <c r="K120" s="2">
        <v>0</v>
      </c>
      <c r="L120" s="2">
        <v>0</v>
      </c>
      <c r="M120" s="2">
        <v>0</v>
      </c>
      <c r="N120" s="2">
        <v>0</v>
      </c>
      <c r="P120" t="s">
        <v>179</v>
      </c>
      <c r="Q120" s="2">
        <v>0</v>
      </c>
      <c r="R120" s="2">
        <v>1</v>
      </c>
      <c r="S120" s="5">
        <v>45354</v>
      </c>
      <c r="T120" s="5">
        <v>45354</v>
      </c>
      <c r="U120" s="28">
        <f t="shared" si="2"/>
        <v>0</v>
      </c>
      <c r="V120" s="2">
        <v>0</v>
      </c>
      <c r="W120" s="2">
        <v>0</v>
      </c>
      <c r="X120" s="2">
        <v>0</v>
      </c>
      <c r="Y120" s="2">
        <v>0</v>
      </c>
      <c r="Z120" s="2">
        <v>0</v>
      </c>
      <c r="AA120" s="2">
        <v>0</v>
      </c>
      <c r="AB120" s="2">
        <v>0</v>
      </c>
      <c r="AC120" s="2">
        <v>0</v>
      </c>
      <c r="AD120" s="2">
        <v>0</v>
      </c>
      <c r="AE120" s="2">
        <v>1</v>
      </c>
      <c r="AF120" s="2" t="s">
        <v>233</v>
      </c>
      <c r="AG120" s="2">
        <v>0</v>
      </c>
      <c r="AH120" s="2">
        <v>0</v>
      </c>
      <c r="AI120" s="2">
        <v>1</v>
      </c>
      <c r="AJ120" s="2">
        <v>1</v>
      </c>
      <c r="AK120" s="2">
        <v>1</v>
      </c>
      <c r="AL120" s="5">
        <v>45357</v>
      </c>
      <c r="AM120" s="2">
        <v>0</v>
      </c>
      <c r="AN120" s="2">
        <v>0</v>
      </c>
      <c r="AO120" s="2">
        <v>0</v>
      </c>
      <c r="AT120" s="2">
        <v>0</v>
      </c>
      <c r="AU120" s="2" t="s">
        <v>206</v>
      </c>
    </row>
    <row r="121" spans="1:47">
      <c r="A121" s="2">
        <v>120</v>
      </c>
      <c r="B121" s="5">
        <v>45354</v>
      </c>
      <c r="C121" s="5">
        <v>45358</v>
      </c>
      <c r="D121" s="2">
        <f t="shared" si="4"/>
        <v>4</v>
      </c>
      <c r="E121" s="2">
        <v>77</v>
      </c>
      <c r="F121" s="2">
        <v>2</v>
      </c>
      <c r="G121" s="2">
        <v>3</v>
      </c>
      <c r="H121" s="2">
        <v>0</v>
      </c>
      <c r="I121" s="2">
        <v>0</v>
      </c>
      <c r="J121" s="2">
        <v>0</v>
      </c>
      <c r="K121" s="2">
        <v>0</v>
      </c>
      <c r="L121" s="2">
        <v>0</v>
      </c>
      <c r="M121" s="2">
        <v>0</v>
      </c>
      <c r="N121" s="2">
        <v>0</v>
      </c>
      <c r="P121" t="s">
        <v>208</v>
      </c>
      <c r="Q121" s="2">
        <v>0</v>
      </c>
      <c r="R121" s="2">
        <v>1</v>
      </c>
      <c r="S121" s="5">
        <v>45354</v>
      </c>
      <c r="T121" s="5">
        <v>45354</v>
      </c>
      <c r="U121" s="28">
        <f t="shared" si="2"/>
        <v>0</v>
      </c>
      <c r="V121" s="2">
        <v>0</v>
      </c>
      <c r="W121" s="2">
        <v>0</v>
      </c>
      <c r="X121" s="2">
        <v>0</v>
      </c>
      <c r="Y121" s="2">
        <v>0</v>
      </c>
      <c r="Z121" s="2">
        <v>0</v>
      </c>
      <c r="AA121" s="2">
        <v>0</v>
      </c>
      <c r="AB121" s="2">
        <v>0</v>
      </c>
      <c r="AC121" s="2">
        <v>0</v>
      </c>
      <c r="AD121" s="2">
        <v>0</v>
      </c>
      <c r="AE121" s="2">
        <v>1</v>
      </c>
      <c r="AF121" s="2" t="s">
        <v>91</v>
      </c>
      <c r="AG121" s="2">
        <v>0</v>
      </c>
      <c r="AH121" s="2">
        <v>1</v>
      </c>
      <c r="AI121" s="2">
        <v>1</v>
      </c>
      <c r="AJ121" s="2">
        <v>1</v>
      </c>
      <c r="AK121" s="2">
        <v>1</v>
      </c>
      <c r="AL121" s="5">
        <v>45357</v>
      </c>
      <c r="AM121" s="2">
        <v>0</v>
      </c>
      <c r="AN121" s="2">
        <v>0</v>
      </c>
      <c r="AO121" s="2">
        <v>0</v>
      </c>
      <c r="AT121" s="2">
        <v>0</v>
      </c>
      <c r="AU121" s="2" t="s">
        <v>206</v>
      </c>
    </row>
    <row r="122" spans="1:47">
      <c r="A122" s="2">
        <v>121</v>
      </c>
      <c r="B122" s="5">
        <v>45356</v>
      </c>
      <c r="C122" s="5">
        <v>45363</v>
      </c>
      <c r="D122" s="2">
        <f t="shared" si="4"/>
        <v>7</v>
      </c>
      <c r="E122" s="2">
        <v>70</v>
      </c>
      <c r="F122" s="2">
        <v>1</v>
      </c>
      <c r="G122" s="2">
        <v>2</v>
      </c>
      <c r="H122" s="2">
        <v>0</v>
      </c>
      <c r="I122" s="2">
        <v>0</v>
      </c>
      <c r="J122" s="2">
        <v>0</v>
      </c>
      <c r="K122" s="2">
        <v>0</v>
      </c>
      <c r="L122" s="2">
        <v>0</v>
      </c>
      <c r="M122" s="2">
        <v>0</v>
      </c>
      <c r="N122" s="2">
        <v>0</v>
      </c>
      <c r="P122" t="s">
        <v>179</v>
      </c>
      <c r="Q122" s="2">
        <v>0</v>
      </c>
      <c r="R122" s="2">
        <v>1</v>
      </c>
      <c r="S122" s="5">
        <v>45356</v>
      </c>
      <c r="T122" s="5">
        <v>45356</v>
      </c>
      <c r="U122" s="28">
        <f t="shared" si="2"/>
        <v>0</v>
      </c>
      <c r="V122" s="2">
        <v>0</v>
      </c>
      <c r="W122" s="2">
        <v>0</v>
      </c>
      <c r="X122" s="2">
        <v>0</v>
      </c>
      <c r="Y122" s="2">
        <v>0</v>
      </c>
      <c r="Z122" s="2">
        <v>0</v>
      </c>
      <c r="AA122" s="2">
        <v>0</v>
      </c>
      <c r="AB122" s="2">
        <v>0</v>
      </c>
      <c r="AC122" s="2">
        <v>0</v>
      </c>
      <c r="AD122" s="2">
        <v>0</v>
      </c>
      <c r="AE122" s="2">
        <v>1</v>
      </c>
      <c r="AF122" s="2" t="s">
        <v>68</v>
      </c>
      <c r="AG122" s="2">
        <v>0</v>
      </c>
      <c r="AH122" s="2">
        <v>0</v>
      </c>
      <c r="AI122" s="2">
        <v>1</v>
      </c>
      <c r="AJ122" s="2">
        <v>1</v>
      </c>
      <c r="AK122" s="2">
        <v>1</v>
      </c>
      <c r="AL122" s="5">
        <v>45362</v>
      </c>
      <c r="AM122" s="2">
        <v>0</v>
      </c>
      <c r="AN122" s="2">
        <v>1</v>
      </c>
      <c r="AO122" s="2">
        <v>0</v>
      </c>
      <c r="AT122" s="2">
        <v>0</v>
      </c>
      <c r="AU122" s="2" t="s">
        <v>234</v>
      </c>
    </row>
    <row r="123" spans="1:47">
      <c r="A123" s="2">
        <v>122</v>
      </c>
      <c r="B123" s="5">
        <v>45357</v>
      </c>
      <c r="C123" s="5">
        <v>45360</v>
      </c>
      <c r="D123" s="2">
        <f t="shared" si="4"/>
        <v>3</v>
      </c>
      <c r="E123" s="2">
        <v>70</v>
      </c>
      <c r="F123" s="2">
        <v>1</v>
      </c>
      <c r="G123" s="2">
        <v>3</v>
      </c>
      <c r="H123" s="2">
        <v>0</v>
      </c>
      <c r="I123" s="2">
        <v>0</v>
      </c>
      <c r="J123" s="2">
        <v>0</v>
      </c>
      <c r="K123" s="2">
        <v>0</v>
      </c>
      <c r="L123" s="2">
        <v>0</v>
      </c>
      <c r="M123" s="2">
        <v>0</v>
      </c>
      <c r="N123" s="2">
        <v>0</v>
      </c>
      <c r="P123" t="s">
        <v>195</v>
      </c>
      <c r="Q123" s="2">
        <v>0</v>
      </c>
      <c r="R123" s="2">
        <v>1</v>
      </c>
      <c r="S123" s="5">
        <v>45357</v>
      </c>
      <c r="T123" s="5">
        <v>45357</v>
      </c>
      <c r="U123" s="28">
        <f t="shared" si="2"/>
        <v>0</v>
      </c>
      <c r="V123" s="2">
        <v>0</v>
      </c>
      <c r="W123" s="2">
        <v>0</v>
      </c>
      <c r="X123" s="2">
        <v>0</v>
      </c>
      <c r="Y123" s="2">
        <v>0</v>
      </c>
      <c r="Z123" s="2">
        <v>0</v>
      </c>
      <c r="AA123" s="2">
        <v>0</v>
      </c>
      <c r="AB123" s="2">
        <v>0</v>
      </c>
      <c r="AC123" s="2">
        <v>0</v>
      </c>
      <c r="AD123" s="2">
        <v>0</v>
      </c>
      <c r="AE123" s="2">
        <v>1</v>
      </c>
      <c r="AF123" s="2" t="s">
        <v>117</v>
      </c>
      <c r="AG123" s="2">
        <v>0</v>
      </c>
      <c r="AH123" s="2">
        <v>0</v>
      </c>
      <c r="AI123" s="2">
        <v>1</v>
      </c>
      <c r="AJ123" s="2">
        <v>1</v>
      </c>
      <c r="AK123" s="2">
        <v>0</v>
      </c>
      <c r="AO123" s="2">
        <v>0</v>
      </c>
      <c r="AT123" s="2">
        <v>0</v>
      </c>
      <c r="AU123" s="2" t="s">
        <v>235</v>
      </c>
    </row>
    <row r="124" spans="1:47">
      <c r="A124" s="2">
        <v>123</v>
      </c>
      <c r="B124" s="5">
        <v>45359</v>
      </c>
      <c r="C124" s="5">
        <v>45362</v>
      </c>
      <c r="D124" s="2">
        <f t="shared" si="4"/>
        <v>3</v>
      </c>
      <c r="E124" s="2">
        <v>75</v>
      </c>
      <c r="F124" s="2">
        <v>1</v>
      </c>
      <c r="G124" s="2">
        <v>3</v>
      </c>
      <c r="H124" s="2">
        <v>1</v>
      </c>
      <c r="I124" s="2">
        <v>0</v>
      </c>
      <c r="J124" s="2">
        <v>0</v>
      </c>
      <c r="K124" s="2">
        <v>0</v>
      </c>
      <c r="L124" s="2">
        <v>0</v>
      </c>
      <c r="M124" s="2">
        <v>0</v>
      </c>
      <c r="N124" s="2">
        <v>1</v>
      </c>
      <c r="O124" s="2" t="s">
        <v>70</v>
      </c>
      <c r="P124" t="s">
        <v>195</v>
      </c>
      <c r="Q124" s="2">
        <v>0</v>
      </c>
      <c r="R124" s="2">
        <v>1</v>
      </c>
      <c r="S124" s="5">
        <v>45359</v>
      </c>
      <c r="T124" s="5">
        <v>45359</v>
      </c>
      <c r="U124" s="28">
        <f t="shared" si="2"/>
        <v>0</v>
      </c>
      <c r="V124" s="2">
        <v>0</v>
      </c>
      <c r="W124" s="2">
        <v>0</v>
      </c>
      <c r="X124" s="2">
        <v>0</v>
      </c>
      <c r="Y124" s="2">
        <v>0</v>
      </c>
      <c r="Z124" s="2">
        <v>0</v>
      </c>
      <c r="AA124" s="2">
        <v>0</v>
      </c>
      <c r="AB124" s="2">
        <v>0</v>
      </c>
      <c r="AC124" s="2">
        <v>0</v>
      </c>
      <c r="AD124" s="2">
        <v>0</v>
      </c>
      <c r="AE124" s="2">
        <v>1</v>
      </c>
      <c r="AF124" s="2" t="s">
        <v>117</v>
      </c>
      <c r="AG124" s="2">
        <v>0</v>
      </c>
      <c r="AH124" s="2">
        <v>0</v>
      </c>
      <c r="AI124" s="2">
        <v>1</v>
      </c>
      <c r="AJ124" s="2">
        <v>1</v>
      </c>
      <c r="AK124" s="11">
        <v>1</v>
      </c>
      <c r="AL124" s="5">
        <v>45361</v>
      </c>
      <c r="AM124" s="2">
        <v>0</v>
      </c>
      <c r="AN124" s="2">
        <v>1</v>
      </c>
      <c r="AO124" s="2">
        <v>0</v>
      </c>
      <c r="AT124" s="2">
        <v>0</v>
      </c>
      <c r="AU124" s="2" t="s">
        <v>236</v>
      </c>
    </row>
    <row r="125" spans="1:47">
      <c r="A125" s="2">
        <v>124</v>
      </c>
      <c r="B125" s="5">
        <v>45359</v>
      </c>
      <c r="C125" s="5">
        <v>45362</v>
      </c>
      <c r="D125" s="2">
        <f t="shared" si="4"/>
        <v>3</v>
      </c>
      <c r="E125" s="2">
        <v>60</v>
      </c>
      <c r="F125" s="2">
        <v>2</v>
      </c>
      <c r="G125" s="2">
        <v>3</v>
      </c>
      <c r="H125" s="2">
        <v>0</v>
      </c>
      <c r="I125" s="2">
        <v>0</v>
      </c>
      <c r="J125" s="2">
        <v>0</v>
      </c>
      <c r="K125" s="2">
        <v>0</v>
      </c>
      <c r="L125" s="2">
        <v>0</v>
      </c>
      <c r="M125" s="2">
        <v>0</v>
      </c>
      <c r="N125" s="2">
        <v>0</v>
      </c>
      <c r="P125" t="s">
        <v>195</v>
      </c>
      <c r="Q125" s="2">
        <v>0</v>
      </c>
      <c r="R125" s="2">
        <v>1</v>
      </c>
      <c r="S125" s="5">
        <v>45359</v>
      </c>
      <c r="T125" s="5">
        <v>45359</v>
      </c>
      <c r="U125" s="28">
        <f t="shared" si="2"/>
        <v>0</v>
      </c>
      <c r="V125" s="2">
        <v>0</v>
      </c>
      <c r="W125" s="2">
        <v>0</v>
      </c>
      <c r="X125" s="2">
        <v>0</v>
      </c>
      <c r="Y125" s="2">
        <v>0</v>
      </c>
      <c r="Z125" s="2">
        <v>0</v>
      </c>
      <c r="AA125" s="2">
        <v>0</v>
      </c>
      <c r="AB125" s="2">
        <v>0</v>
      </c>
      <c r="AC125" s="2">
        <v>0</v>
      </c>
      <c r="AD125" s="2">
        <v>0</v>
      </c>
      <c r="AE125" s="2">
        <v>1</v>
      </c>
      <c r="AF125" s="2" t="s">
        <v>117</v>
      </c>
      <c r="AG125" s="2">
        <v>0</v>
      </c>
      <c r="AH125" s="2">
        <v>0</v>
      </c>
      <c r="AI125" s="2">
        <v>1</v>
      </c>
      <c r="AJ125" s="2">
        <v>1</v>
      </c>
      <c r="AK125" s="2">
        <v>0</v>
      </c>
      <c r="AO125" s="2">
        <v>0</v>
      </c>
      <c r="AT125" s="2">
        <v>0</v>
      </c>
      <c r="AU125" s="2" t="s">
        <v>206</v>
      </c>
    </row>
    <row r="126" spans="1:47">
      <c r="A126" s="2">
        <v>125</v>
      </c>
      <c r="B126" s="5">
        <v>45361</v>
      </c>
      <c r="C126" s="5">
        <v>45373</v>
      </c>
      <c r="D126" s="2">
        <f t="shared" si="4"/>
        <v>12</v>
      </c>
      <c r="E126" s="2">
        <v>71</v>
      </c>
      <c r="F126" s="2">
        <v>1</v>
      </c>
      <c r="G126" s="2">
        <v>2</v>
      </c>
      <c r="H126" s="2">
        <v>1</v>
      </c>
      <c r="I126" s="2">
        <v>0</v>
      </c>
      <c r="J126" s="2">
        <v>0</v>
      </c>
      <c r="K126" s="2">
        <v>0</v>
      </c>
      <c r="L126" s="2">
        <v>1</v>
      </c>
      <c r="M126" s="2">
        <v>0</v>
      </c>
      <c r="N126" s="2">
        <v>0</v>
      </c>
      <c r="P126" t="s">
        <v>179</v>
      </c>
      <c r="Q126" s="2">
        <v>0</v>
      </c>
      <c r="R126" s="2">
        <v>1</v>
      </c>
      <c r="S126" s="5">
        <v>45361</v>
      </c>
      <c r="T126" s="5">
        <v>45361</v>
      </c>
      <c r="U126" s="28">
        <f t="shared" si="2"/>
        <v>0</v>
      </c>
      <c r="V126" s="2">
        <v>1</v>
      </c>
      <c r="W126" s="2">
        <v>0</v>
      </c>
      <c r="X126" s="2">
        <v>0</v>
      </c>
      <c r="Y126" s="2">
        <v>1</v>
      </c>
      <c r="Z126" s="2">
        <v>0</v>
      </c>
      <c r="AA126" s="2">
        <v>0</v>
      </c>
      <c r="AB126" s="2">
        <v>0</v>
      </c>
      <c r="AC126" s="2">
        <v>0</v>
      </c>
      <c r="AD126" s="2">
        <v>0</v>
      </c>
      <c r="AE126" s="2">
        <v>1</v>
      </c>
      <c r="AF126" s="2" t="s">
        <v>237</v>
      </c>
      <c r="AG126" s="2">
        <v>0</v>
      </c>
      <c r="AH126" s="2">
        <v>1</v>
      </c>
      <c r="AI126" s="2">
        <v>1</v>
      </c>
      <c r="AJ126" s="2">
        <v>1</v>
      </c>
      <c r="AK126" s="2">
        <v>1</v>
      </c>
      <c r="AL126" s="5">
        <v>45362</v>
      </c>
      <c r="AM126" s="2">
        <v>0</v>
      </c>
      <c r="AN126" s="2">
        <v>0</v>
      </c>
      <c r="AO126" s="2">
        <v>0</v>
      </c>
      <c r="AT126" s="2">
        <v>0</v>
      </c>
      <c r="AU126" s="2" t="s">
        <v>238</v>
      </c>
    </row>
    <row r="127" spans="1:47">
      <c r="A127" s="2">
        <v>126</v>
      </c>
      <c r="B127" s="5">
        <v>45362</v>
      </c>
      <c r="C127" s="5">
        <v>45367</v>
      </c>
      <c r="D127" s="2">
        <f t="shared" si="4"/>
        <v>5</v>
      </c>
      <c r="E127" s="2">
        <v>80</v>
      </c>
      <c r="F127" s="2">
        <v>2</v>
      </c>
      <c r="G127" s="2">
        <v>2</v>
      </c>
      <c r="H127" s="2">
        <v>1</v>
      </c>
      <c r="I127" s="2">
        <v>0</v>
      </c>
      <c r="J127" s="2">
        <v>0</v>
      </c>
      <c r="K127" s="2">
        <v>0</v>
      </c>
      <c r="L127" s="2">
        <v>0</v>
      </c>
      <c r="M127" s="2">
        <v>0</v>
      </c>
      <c r="N127" s="2">
        <v>1</v>
      </c>
      <c r="O127" s="2" t="s">
        <v>70</v>
      </c>
      <c r="P127" t="s">
        <v>195</v>
      </c>
      <c r="Q127" s="2">
        <v>0</v>
      </c>
      <c r="R127" s="2">
        <v>1</v>
      </c>
      <c r="S127" s="5">
        <v>45362</v>
      </c>
      <c r="T127" s="5">
        <v>45362</v>
      </c>
      <c r="U127" s="28">
        <f t="shared" si="2"/>
        <v>0</v>
      </c>
      <c r="V127" s="2">
        <v>0</v>
      </c>
      <c r="W127" s="2">
        <v>0</v>
      </c>
      <c r="X127" s="2">
        <v>0</v>
      </c>
      <c r="Y127" s="2">
        <v>0</v>
      </c>
      <c r="Z127" s="2">
        <v>0</v>
      </c>
      <c r="AA127" s="2">
        <v>0</v>
      </c>
      <c r="AB127" s="2">
        <v>0</v>
      </c>
      <c r="AC127" s="2">
        <v>0</v>
      </c>
      <c r="AD127" s="2">
        <v>0</v>
      </c>
      <c r="AE127" s="2">
        <v>1</v>
      </c>
      <c r="AF127" s="2" t="s">
        <v>239</v>
      </c>
      <c r="AG127" s="2">
        <v>0</v>
      </c>
      <c r="AH127" s="2">
        <v>1</v>
      </c>
      <c r="AI127" s="2">
        <v>1</v>
      </c>
      <c r="AJ127" s="2">
        <v>0</v>
      </c>
      <c r="AK127" s="2">
        <v>1</v>
      </c>
      <c r="AL127" s="5">
        <v>45366</v>
      </c>
      <c r="AM127" s="2">
        <v>0</v>
      </c>
      <c r="AN127" s="2">
        <v>0</v>
      </c>
      <c r="AO127" s="2">
        <v>0</v>
      </c>
      <c r="AT127" s="2">
        <v>0</v>
      </c>
      <c r="AU127" s="2" t="s">
        <v>206</v>
      </c>
    </row>
    <row r="128" spans="1:47">
      <c r="A128" s="2">
        <v>127</v>
      </c>
      <c r="B128" s="5">
        <v>45362</v>
      </c>
      <c r="C128" s="5">
        <v>45370</v>
      </c>
      <c r="D128" s="2">
        <f t="shared" si="4"/>
        <v>8</v>
      </c>
      <c r="E128" s="2">
        <v>61</v>
      </c>
      <c r="F128" s="2">
        <v>1</v>
      </c>
      <c r="G128" s="2">
        <v>3</v>
      </c>
      <c r="H128" s="2">
        <v>0</v>
      </c>
      <c r="I128" s="2">
        <v>0</v>
      </c>
      <c r="J128" s="2">
        <v>0</v>
      </c>
      <c r="K128" s="2">
        <v>0</v>
      </c>
      <c r="L128" s="2">
        <v>0</v>
      </c>
      <c r="M128" s="2">
        <v>0</v>
      </c>
      <c r="N128" s="2">
        <v>0</v>
      </c>
      <c r="P128" t="s">
        <v>195</v>
      </c>
      <c r="Q128" s="2">
        <v>0</v>
      </c>
      <c r="R128" s="2">
        <v>1</v>
      </c>
      <c r="S128" s="5">
        <v>45362</v>
      </c>
      <c r="T128" s="5">
        <v>45362</v>
      </c>
      <c r="U128" s="28">
        <f t="shared" si="2"/>
        <v>0</v>
      </c>
      <c r="V128" s="2">
        <v>0</v>
      </c>
      <c r="W128" s="2">
        <v>0</v>
      </c>
      <c r="X128" s="2">
        <v>0</v>
      </c>
      <c r="Y128" s="2">
        <v>0</v>
      </c>
      <c r="Z128" s="2">
        <v>0</v>
      </c>
      <c r="AA128" s="2">
        <v>0</v>
      </c>
      <c r="AB128" s="2">
        <v>0</v>
      </c>
      <c r="AC128" s="2">
        <v>0</v>
      </c>
      <c r="AD128" s="2">
        <v>0</v>
      </c>
      <c r="AE128" s="2">
        <v>1</v>
      </c>
      <c r="AF128" s="2" t="s">
        <v>217</v>
      </c>
      <c r="AG128" s="2">
        <v>0</v>
      </c>
      <c r="AH128" s="2">
        <v>1</v>
      </c>
      <c r="AI128" s="2">
        <v>1</v>
      </c>
      <c r="AJ128" s="2">
        <v>1</v>
      </c>
      <c r="AK128" s="2">
        <v>1</v>
      </c>
      <c r="AL128" s="5">
        <v>45364</v>
      </c>
      <c r="AM128" s="2">
        <v>0</v>
      </c>
      <c r="AN128" s="2">
        <v>0</v>
      </c>
      <c r="AO128" s="2">
        <v>0</v>
      </c>
      <c r="AT128" s="2">
        <v>0</v>
      </c>
      <c r="AU128" s="2" t="s">
        <v>206</v>
      </c>
    </row>
    <row r="129" spans="1:47">
      <c r="A129" s="2">
        <v>128</v>
      </c>
      <c r="B129" s="5">
        <v>45365</v>
      </c>
      <c r="C129" s="5">
        <v>45377</v>
      </c>
      <c r="D129" s="2">
        <f t="shared" si="4"/>
        <v>12</v>
      </c>
      <c r="E129" s="2">
        <v>54</v>
      </c>
      <c r="F129" s="2">
        <v>1</v>
      </c>
      <c r="G129" s="2">
        <v>2</v>
      </c>
      <c r="H129" s="2">
        <v>1</v>
      </c>
      <c r="I129" s="2">
        <v>0</v>
      </c>
      <c r="J129" s="2">
        <v>0</v>
      </c>
      <c r="K129" s="2">
        <v>0</v>
      </c>
      <c r="L129" s="2">
        <v>1</v>
      </c>
      <c r="M129" s="2">
        <v>0</v>
      </c>
      <c r="N129" s="2">
        <v>0</v>
      </c>
      <c r="P129" t="s">
        <v>179</v>
      </c>
      <c r="Q129" s="2">
        <v>0</v>
      </c>
      <c r="R129" s="2">
        <v>1</v>
      </c>
      <c r="S129" s="5">
        <v>45365</v>
      </c>
      <c r="T129" s="5">
        <v>45365</v>
      </c>
      <c r="U129" s="28">
        <f t="shared" si="2"/>
        <v>0</v>
      </c>
      <c r="V129" s="2">
        <v>1</v>
      </c>
      <c r="W129" s="2">
        <v>0</v>
      </c>
      <c r="X129" s="2">
        <v>0</v>
      </c>
      <c r="Y129" s="2">
        <v>1</v>
      </c>
      <c r="Z129" s="2">
        <v>0</v>
      </c>
      <c r="AA129" s="2">
        <v>0</v>
      </c>
      <c r="AB129" s="2">
        <v>0</v>
      </c>
      <c r="AC129" s="2">
        <v>0</v>
      </c>
      <c r="AD129" s="2">
        <v>0</v>
      </c>
      <c r="AE129" s="2">
        <v>1</v>
      </c>
      <c r="AF129" s="2" t="s">
        <v>240</v>
      </c>
      <c r="AG129" s="2">
        <v>0</v>
      </c>
      <c r="AH129" s="2">
        <v>1</v>
      </c>
      <c r="AI129" s="2">
        <v>1</v>
      </c>
      <c r="AJ129" s="2">
        <v>1</v>
      </c>
      <c r="AK129" s="2">
        <v>1</v>
      </c>
      <c r="AL129" s="5">
        <v>45370</v>
      </c>
      <c r="AM129" s="2">
        <v>0</v>
      </c>
      <c r="AN129" s="2">
        <v>0</v>
      </c>
      <c r="AO129" s="2">
        <v>0</v>
      </c>
      <c r="AT129" s="2">
        <v>0</v>
      </c>
      <c r="AU129" s="2" t="s">
        <v>241</v>
      </c>
    </row>
    <row r="130" spans="1:47">
      <c r="A130" s="2">
        <v>129</v>
      </c>
      <c r="B130" s="5">
        <v>45365</v>
      </c>
      <c r="C130" s="5">
        <v>45378</v>
      </c>
      <c r="D130" s="2">
        <f t="shared" si="4"/>
        <v>13</v>
      </c>
      <c r="E130" s="2">
        <v>74</v>
      </c>
      <c r="F130" s="2">
        <v>1</v>
      </c>
      <c r="G130" s="2">
        <v>2</v>
      </c>
      <c r="H130" s="2">
        <v>0</v>
      </c>
      <c r="I130" s="2">
        <v>0</v>
      </c>
      <c r="J130" s="2">
        <v>0</v>
      </c>
      <c r="K130" s="2">
        <v>0</v>
      </c>
      <c r="L130" s="2">
        <v>0</v>
      </c>
      <c r="M130" s="2">
        <v>0</v>
      </c>
      <c r="N130" s="2">
        <v>0</v>
      </c>
      <c r="P130" t="s">
        <v>179</v>
      </c>
      <c r="Q130" s="2">
        <v>0</v>
      </c>
      <c r="R130" s="2">
        <v>1</v>
      </c>
      <c r="S130" s="5">
        <v>45365</v>
      </c>
      <c r="T130" s="5">
        <v>45365</v>
      </c>
      <c r="U130" s="28">
        <f t="shared" si="2"/>
        <v>0</v>
      </c>
      <c r="V130" s="2">
        <v>0</v>
      </c>
      <c r="W130" s="2">
        <v>0</v>
      </c>
      <c r="X130" s="2">
        <v>0</v>
      </c>
      <c r="Y130" s="2">
        <v>0</v>
      </c>
      <c r="Z130" s="2">
        <v>0</v>
      </c>
      <c r="AA130" s="2">
        <v>0</v>
      </c>
      <c r="AB130" s="2">
        <v>0</v>
      </c>
      <c r="AC130" s="2">
        <v>0</v>
      </c>
      <c r="AD130" s="2">
        <v>0</v>
      </c>
      <c r="AE130" s="2">
        <v>1</v>
      </c>
      <c r="AF130" s="2" t="s">
        <v>68</v>
      </c>
      <c r="AG130" s="2">
        <v>0</v>
      </c>
      <c r="AH130" s="2">
        <v>0</v>
      </c>
      <c r="AI130" s="2">
        <v>1</v>
      </c>
      <c r="AJ130" s="2">
        <v>0</v>
      </c>
      <c r="AK130" s="2">
        <v>0</v>
      </c>
      <c r="AO130" s="2">
        <v>0</v>
      </c>
      <c r="AT130" s="2">
        <v>0</v>
      </c>
      <c r="AU130" s="2" t="s">
        <v>206</v>
      </c>
    </row>
    <row r="131" spans="1:47">
      <c r="A131" s="2">
        <v>130</v>
      </c>
      <c r="B131" s="5">
        <v>45367</v>
      </c>
      <c r="C131" s="5">
        <v>45370</v>
      </c>
      <c r="D131" s="2">
        <f t="shared" si="4"/>
        <v>3</v>
      </c>
      <c r="E131" s="2">
        <v>53</v>
      </c>
      <c r="F131" s="2">
        <v>1</v>
      </c>
      <c r="G131" s="2">
        <v>5</v>
      </c>
      <c r="H131" s="2">
        <v>0</v>
      </c>
      <c r="I131" s="2">
        <v>0</v>
      </c>
      <c r="J131" s="2">
        <v>0</v>
      </c>
      <c r="K131" s="2">
        <v>0</v>
      </c>
      <c r="L131" s="2">
        <v>0</v>
      </c>
      <c r="M131" s="2">
        <v>0</v>
      </c>
      <c r="N131" s="2">
        <v>0</v>
      </c>
      <c r="P131" t="s">
        <v>179</v>
      </c>
      <c r="Q131" s="2">
        <v>0</v>
      </c>
      <c r="R131" s="2">
        <v>1</v>
      </c>
      <c r="S131" s="5">
        <v>45367</v>
      </c>
      <c r="T131" s="5">
        <v>45367</v>
      </c>
      <c r="U131" s="28">
        <f t="shared" ref="U131:U135" si="5">T131-S131</f>
        <v>0</v>
      </c>
      <c r="V131" s="2">
        <v>0</v>
      </c>
      <c r="W131" s="2">
        <v>0</v>
      </c>
      <c r="X131" s="2">
        <v>0</v>
      </c>
      <c r="Y131" s="2">
        <v>0</v>
      </c>
      <c r="Z131" s="2">
        <v>0</v>
      </c>
      <c r="AA131" s="2">
        <v>0</v>
      </c>
      <c r="AB131" s="2">
        <v>0</v>
      </c>
      <c r="AC131" s="2">
        <v>0</v>
      </c>
      <c r="AD131" s="2">
        <v>0</v>
      </c>
      <c r="AE131" s="2">
        <v>1</v>
      </c>
      <c r="AF131" s="2" t="s">
        <v>117</v>
      </c>
      <c r="AG131" s="2">
        <v>0</v>
      </c>
      <c r="AH131" s="2">
        <v>0</v>
      </c>
      <c r="AI131" s="2">
        <v>1</v>
      </c>
      <c r="AJ131" s="2">
        <v>1</v>
      </c>
      <c r="AK131" s="2">
        <v>0</v>
      </c>
      <c r="AO131" s="2">
        <v>0</v>
      </c>
      <c r="AT131" s="2">
        <v>0</v>
      </c>
      <c r="AU131" s="2" t="s">
        <v>206</v>
      </c>
    </row>
    <row r="132" spans="1:47">
      <c r="A132" s="2">
        <v>131</v>
      </c>
      <c r="B132" s="5">
        <v>45368</v>
      </c>
      <c r="C132" s="5">
        <v>45376</v>
      </c>
      <c r="D132" s="2">
        <f t="shared" si="4"/>
        <v>8</v>
      </c>
      <c r="E132" s="2">
        <v>23</v>
      </c>
      <c r="F132" s="2">
        <v>2</v>
      </c>
      <c r="G132" s="2">
        <v>2</v>
      </c>
      <c r="H132" s="2">
        <v>0</v>
      </c>
      <c r="I132" s="2">
        <v>0</v>
      </c>
      <c r="J132" s="2">
        <v>0</v>
      </c>
      <c r="K132" s="2">
        <v>0</v>
      </c>
      <c r="L132" s="2">
        <v>0</v>
      </c>
      <c r="M132" s="2">
        <v>0</v>
      </c>
      <c r="N132" s="2">
        <v>0</v>
      </c>
      <c r="P132" t="s">
        <v>179</v>
      </c>
      <c r="Q132" s="2">
        <v>0</v>
      </c>
      <c r="R132" s="2">
        <v>1</v>
      </c>
      <c r="S132" s="5">
        <v>45368</v>
      </c>
      <c r="T132" s="5">
        <v>45368</v>
      </c>
      <c r="U132" s="28">
        <f t="shared" si="5"/>
        <v>0</v>
      </c>
      <c r="V132" s="2">
        <v>0</v>
      </c>
      <c r="W132" s="2">
        <v>0</v>
      </c>
      <c r="X132" s="2">
        <v>0</v>
      </c>
      <c r="Y132" s="2">
        <v>0</v>
      </c>
      <c r="Z132" s="2">
        <v>0</v>
      </c>
      <c r="AA132" s="2">
        <v>0</v>
      </c>
      <c r="AB132" s="2">
        <v>0</v>
      </c>
      <c r="AC132" s="2">
        <v>0</v>
      </c>
      <c r="AD132" s="2">
        <v>0</v>
      </c>
      <c r="AE132" s="2">
        <v>1</v>
      </c>
      <c r="AF132" s="2" t="s">
        <v>91</v>
      </c>
      <c r="AG132" s="2">
        <v>0</v>
      </c>
      <c r="AH132" s="2">
        <v>1</v>
      </c>
      <c r="AI132" s="2">
        <v>0</v>
      </c>
      <c r="AJ132" s="2">
        <v>1</v>
      </c>
      <c r="AK132" s="11">
        <v>1</v>
      </c>
      <c r="AL132" s="5">
        <v>45373</v>
      </c>
      <c r="AM132" s="2">
        <v>0</v>
      </c>
      <c r="AN132" s="2">
        <v>0</v>
      </c>
      <c r="AO132" s="2">
        <v>0</v>
      </c>
      <c r="AT132" s="2">
        <v>0</v>
      </c>
      <c r="AU132" s="2" t="s">
        <v>206</v>
      </c>
    </row>
    <row r="133" spans="1:47">
      <c r="A133" s="2">
        <v>132</v>
      </c>
      <c r="B133" s="5">
        <v>45363</v>
      </c>
      <c r="C133" s="5">
        <v>45401</v>
      </c>
      <c r="D133" s="2">
        <f t="shared" ref="D133:D135" si="6">C133-B133</f>
        <v>38</v>
      </c>
      <c r="E133" s="2">
        <v>41</v>
      </c>
      <c r="F133" s="2">
        <v>1</v>
      </c>
      <c r="G133" s="2">
        <v>3</v>
      </c>
      <c r="H133" s="2">
        <v>1</v>
      </c>
      <c r="I133" s="2">
        <v>0</v>
      </c>
      <c r="J133" s="2">
        <v>0</v>
      </c>
      <c r="K133" s="2">
        <v>0</v>
      </c>
      <c r="L133" s="2">
        <v>1</v>
      </c>
      <c r="M133" s="2">
        <v>0</v>
      </c>
      <c r="N133" s="2">
        <v>0</v>
      </c>
      <c r="P133" t="s">
        <v>179</v>
      </c>
      <c r="Q133" s="2">
        <v>0</v>
      </c>
      <c r="R133" s="2">
        <v>1</v>
      </c>
      <c r="S133" s="5">
        <v>45370</v>
      </c>
      <c r="T133" s="5">
        <v>45370</v>
      </c>
      <c r="U133" s="28">
        <f t="shared" si="5"/>
        <v>0</v>
      </c>
      <c r="V133" s="2">
        <v>1</v>
      </c>
      <c r="W133" s="2">
        <v>0</v>
      </c>
      <c r="X133" s="2">
        <v>0</v>
      </c>
      <c r="Y133" s="2">
        <v>1</v>
      </c>
      <c r="Z133" s="2">
        <v>0</v>
      </c>
      <c r="AA133" s="2">
        <v>0</v>
      </c>
      <c r="AB133" s="2">
        <v>0</v>
      </c>
      <c r="AC133" s="2">
        <v>0</v>
      </c>
      <c r="AD133" s="2">
        <v>0</v>
      </c>
      <c r="AE133" s="2">
        <v>1</v>
      </c>
      <c r="AF133" s="2" t="s">
        <v>91</v>
      </c>
      <c r="AG133" s="2">
        <v>1</v>
      </c>
      <c r="AH133" s="2">
        <v>1</v>
      </c>
      <c r="AI133" s="2">
        <v>1</v>
      </c>
      <c r="AJ133" s="2">
        <v>1</v>
      </c>
      <c r="AK133" s="2">
        <v>1</v>
      </c>
      <c r="AL133" s="5">
        <v>45372</v>
      </c>
      <c r="AM133" s="2">
        <v>0</v>
      </c>
      <c r="AN133" s="2">
        <v>0</v>
      </c>
      <c r="AO133" s="2">
        <v>0</v>
      </c>
      <c r="AT133" s="2">
        <v>0</v>
      </c>
      <c r="AU133" s="2" t="s">
        <v>242</v>
      </c>
    </row>
    <row r="134" spans="1:47">
      <c r="A134" s="2">
        <v>133</v>
      </c>
      <c r="B134" s="5">
        <v>45372</v>
      </c>
      <c r="C134" s="5">
        <v>45377</v>
      </c>
      <c r="D134" s="2">
        <f t="shared" si="6"/>
        <v>5</v>
      </c>
      <c r="E134" s="2">
        <v>73</v>
      </c>
      <c r="F134" s="2">
        <v>2</v>
      </c>
      <c r="G134" s="2">
        <v>2</v>
      </c>
      <c r="H134" s="2">
        <v>1</v>
      </c>
      <c r="I134" s="2">
        <v>0</v>
      </c>
      <c r="J134" s="2">
        <v>0</v>
      </c>
      <c r="K134" s="2">
        <v>0</v>
      </c>
      <c r="L134" s="2">
        <v>1</v>
      </c>
      <c r="M134" s="2">
        <v>0</v>
      </c>
      <c r="N134" s="2">
        <v>0</v>
      </c>
      <c r="P134" t="s">
        <v>195</v>
      </c>
      <c r="Q134" s="2">
        <v>0</v>
      </c>
      <c r="R134" s="2">
        <v>1</v>
      </c>
      <c r="S134" s="5">
        <v>45372</v>
      </c>
      <c r="T134" s="5">
        <v>45372</v>
      </c>
      <c r="U134" s="28">
        <f t="shared" si="5"/>
        <v>0</v>
      </c>
      <c r="V134" s="2">
        <v>0</v>
      </c>
      <c r="W134" s="2">
        <v>0</v>
      </c>
      <c r="X134" s="2">
        <v>0</v>
      </c>
      <c r="Y134" s="2">
        <v>0</v>
      </c>
      <c r="Z134" s="2">
        <v>0</v>
      </c>
      <c r="AA134" s="2">
        <v>0</v>
      </c>
      <c r="AB134" s="2">
        <v>0</v>
      </c>
      <c r="AC134" s="2">
        <v>0</v>
      </c>
      <c r="AD134" s="2">
        <v>0</v>
      </c>
      <c r="AE134" s="2">
        <v>1</v>
      </c>
      <c r="AF134" s="2" t="s">
        <v>68</v>
      </c>
      <c r="AG134" s="2">
        <v>0</v>
      </c>
      <c r="AH134" s="2">
        <v>1</v>
      </c>
      <c r="AI134" s="2">
        <v>1</v>
      </c>
      <c r="AJ134" s="2">
        <v>1</v>
      </c>
      <c r="AK134" s="2">
        <v>0</v>
      </c>
      <c r="AO134" s="2">
        <v>0</v>
      </c>
      <c r="AT134" s="2">
        <v>0</v>
      </c>
      <c r="AU134" s="2" t="s">
        <v>243</v>
      </c>
    </row>
    <row r="135" spans="1:47">
      <c r="A135" s="2">
        <v>134</v>
      </c>
      <c r="B135" s="5">
        <v>45378</v>
      </c>
      <c r="C135" s="5">
        <v>45387</v>
      </c>
      <c r="D135" s="2">
        <f t="shared" si="6"/>
        <v>9</v>
      </c>
      <c r="E135" s="2">
        <v>59</v>
      </c>
      <c r="F135" s="2">
        <v>2</v>
      </c>
      <c r="G135" s="2">
        <v>2</v>
      </c>
      <c r="H135" s="2">
        <v>0</v>
      </c>
      <c r="I135" s="2">
        <v>0</v>
      </c>
      <c r="J135" s="2">
        <v>0</v>
      </c>
      <c r="K135" s="2">
        <v>0</v>
      </c>
      <c r="L135" s="2">
        <v>0</v>
      </c>
      <c r="M135" s="2">
        <v>0</v>
      </c>
      <c r="N135" s="2">
        <v>0</v>
      </c>
      <c r="P135" t="s">
        <v>179</v>
      </c>
      <c r="Q135" s="2">
        <v>0</v>
      </c>
      <c r="R135" s="2">
        <v>1</v>
      </c>
      <c r="S135" s="5">
        <v>45378</v>
      </c>
      <c r="T135" s="5">
        <v>45378</v>
      </c>
      <c r="U135" s="28">
        <f t="shared" si="5"/>
        <v>0</v>
      </c>
      <c r="V135" s="2">
        <v>0</v>
      </c>
      <c r="W135" s="2">
        <v>0</v>
      </c>
      <c r="X135" s="2">
        <v>0</v>
      </c>
      <c r="Y135" s="2">
        <v>0</v>
      </c>
      <c r="Z135" s="2">
        <v>0</v>
      </c>
      <c r="AA135" s="2">
        <v>0</v>
      </c>
      <c r="AB135" s="2">
        <v>0</v>
      </c>
      <c r="AC135" s="2">
        <v>0</v>
      </c>
      <c r="AD135" s="2">
        <v>0</v>
      </c>
      <c r="AE135" s="2">
        <v>1</v>
      </c>
      <c r="AF135" s="2" t="s">
        <v>117</v>
      </c>
      <c r="AG135" s="2">
        <v>0</v>
      </c>
      <c r="AH135" s="2">
        <v>1</v>
      </c>
      <c r="AI135" s="2">
        <v>1</v>
      </c>
      <c r="AJ135" s="2">
        <v>1</v>
      </c>
      <c r="AK135" s="2">
        <v>0</v>
      </c>
      <c r="AO135" s="2">
        <v>0</v>
      </c>
      <c r="AT135" s="2">
        <v>0</v>
      </c>
      <c r="AU135" s="2" t="s">
        <v>206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F8B25-9409-4767-B1B4-FE362D360A22}">
  <dimension ref="A1:BH161"/>
  <sheetViews>
    <sheetView workbookViewId="0">
      <pane xSplit="2" ySplit="1" topLeftCell="C118" activePane="bottomRight" state="frozen"/>
      <selection pane="bottomRight" activeCell="F15" sqref="F15"/>
      <selection pane="bottomLeft"/>
      <selection pane="topRight"/>
    </sheetView>
  </sheetViews>
  <sheetFormatPr defaultRowHeight="15"/>
  <cols>
    <col min="1" max="1" width="7.42578125" style="2" customWidth="1"/>
    <col min="2" max="2" width="14.42578125" style="2" customWidth="1"/>
    <col min="3" max="3" width="12.140625" style="2" customWidth="1"/>
    <col min="4" max="4" width="12.5703125" style="2" customWidth="1"/>
    <col min="5" max="8" width="9.140625" style="2"/>
    <col min="9" max="12" width="13.140625" style="2" customWidth="1"/>
    <col min="13" max="15" width="15.140625" style="2" customWidth="1"/>
    <col min="16" max="16" width="19.5703125" style="2" customWidth="1"/>
    <col min="17" max="17" width="40.42578125" style="2" customWidth="1"/>
    <col min="18" max="19" width="10.85546875" style="2" customWidth="1"/>
    <col min="20" max="20" width="12.7109375" style="2" customWidth="1"/>
    <col min="21" max="21" width="10.85546875" style="2" customWidth="1"/>
    <col min="22" max="22" width="11.42578125" style="2" customWidth="1"/>
    <col min="23" max="23" width="12.140625" style="2" customWidth="1"/>
    <col min="24" max="26" width="12.42578125" style="2" customWidth="1"/>
    <col min="27" max="36" width="17.42578125" style="2" customWidth="1"/>
    <col min="37" max="37" width="12.7109375" style="2" customWidth="1"/>
    <col min="38" max="38" width="14.42578125" style="2" customWidth="1"/>
    <col min="39" max="39" width="12.7109375" style="2" customWidth="1"/>
    <col min="40" max="43" width="18.7109375" style="2" customWidth="1"/>
    <col min="44" max="44" width="17" style="2" customWidth="1"/>
    <col min="45" max="46" width="12.140625" style="2" customWidth="1"/>
    <col min="47" max="47" width="13.28515625" style="2" customWidth="1"/>
    <col min="48" max="48" width="17.28515625" style="2" customWidth="1"/>
    <col min="49" max="49" width="9.42578125" style="2" customWidth="1"/>
    <col min="50" max="50" width="9.140625" style="2"/>
    <col min="51" max="51" width="11.28515625" style="2" customWidth="1"/>
    <col min="52" max="52" width="13.85546875" style="2" customWidth="1"/>
    <col min="53" max="53" width="16.42578125" style="2" customWidth="1"/>
    <col min="54" max="54" width="15.5703125" style="2" customWidth="1"/>
    <col min="55" max="55" width="19.7109375" style="2" customWidth="1"/>
    <col min="56" max="57" width="17.28515625" style="2" customWidth="1"/>
    <col min="58" max="59" width="13" style="2" customWidth="1"/>
    <col min="60" max="60" width="67.7109375" style="2" customWidth="1"/>
    <col min="61" max="16384" width="9.140625" style="2"/>
  </cols>
  <sheetData>
    <row r="1" spans="1:59" s="1" customFormat="1" ht="63.75" customHeight="1">
      <c r="A1" s="1" t="s">
        <v>0</v>
      </c>
      <c r="B1" s="3" t="s">
        <v>1</v>
      </c>
      <c r="C1" s="3" t="s">
        <v>2</v>
      </c>
      <c r="D1" s="3" t="s">
        <v>3</v>
      </c>
      <c r="E1" s="3" t="s">
        <v>4</v>
      </c>
      <c r="F1" s="3" t="s">
        <v>5</v>
      </c>
      <c r="G1" s="3" t="s">
        <v>6</v>
      </c>
      <c r="H1" s="1" t="s">
        <v>7</v>
      </c>
      <c r="I1" s="1" t="s">
        <v>8</v>
      </c>
      <c r="J1" s="1" t="s">
        <v>9</v>
      </c>
      <c r="K1" s="1" t="s">
        <v>10</v>
      </c>
      <c r="L1" s="1" t="s">
        <v>11</v>
      </c>
      <c r="M1" s="1" t="s">
        <v>12</v>
      </c>
      <c r="N1" s="1" t="s">
        <v>13</v>
      </c>
      <c r="O1" s="1" t="s">
        <v>14</v>
      </c>
      <c r="P1" s="4" t="s">
        <v>15</v>
      </c>
      <c r="Q1" s="1" t="s">
        <v>276</v>
      </c>
      <c r="R1" s="1" t="s">
        <v>277</v>
      </c>
      <c r="S1" s="1" t="s">
        <v>278</v>
      </c>
      <c r="T1" s="1" t="s">
        <v>279</v>
      </c>
      <c r="U1" s="1" t="s">
        <v>16</v>
      </c>
      <c r="V1" s="1" t="s">
        <v>17</v>
      </c>
      <c r="W1" s="1" t="s">
        <v>18</v>
      </c>
      <c r="X1" s="1" t="s">
        <v>19</v>
      </c>
      <c r="Y1" s="1" t="s">
        <v>244</v>
      </c>
      <c r="Z1" s="1" t="s">
        <v>20</v>
      </c>
      <c r="AA1" s="1" t="s">
        <v>21</v>
      </c>
      <c r="AB1" s="1" t="s">
        <v>22</v>
      </c>
      <c r="AC1" s="1" t="s">
        <v>23</v>
      </c>
      <c r="AD1" s="1" t="s">
        <v>24</v>
      </c>
      <c r="AE1" s="1" t="s">
        <v>25</v>
      </c>
      <c r="AF1" s="1" t="s">
        <v>26</v>
      </c>
      <c r="AG1" s="1" t="s">
        <v>27</v>
      </c>
      <c r="AH1" s="1" t="s">
        <v>28</v>
      </c>
      <c r="AI1" s="4" t="s">
        <v>29</v>
      </c>
      <c r="AJ1" s="1" t="s">
        <v>30</v>
      </c>
      <c r="AK1" s="1" t="s">
        <v>31</v>
      </c>
      <c r="AL1" s="1" t="s">
        <v>32</v>
      </c>
      <c r="AM1" s="1" t="s">
        <v>33</v>
      </c>
      <c r="AN1" s="1" t="s">
        <v>280</v>
      </c>
      <c r="AO1" s="1" t="s">
        <v>281</v>
      </c>
      <c r="AP1" s="1" t="s">
        <v>282</v>
      </c>
      <c r="AQ1" s="1" t="s">
        <v>34</v>
      </c>
      <c r="AR1" s="4" t="s">
        <v>35</v>
      </c>
      <c r="AS1" s="4" t="s">
        <v>36</v>
      </c>
      <c r="AT1" s="1" t="s">
        <v>37</v>
      </c>
      <c r="AU1" s="1" t="s">
        <v>38</v>
      </c>
      <c r="AV1" s="1" t="s">
        <v>283</v>
      </c>
      <c r="AW1" s="3" t="s">
        <v>39</v>
      </c>
      <c r="AX1" s="3" t="s">
        <v>40</v>
      </c>
      <c r="AY1" s="1" t="s">
        <v>41</v>
      </c>
      <c r="AZ1" s="1" t="s">
        <v>42</v>
      </c>
      <c r="BA1" s="1" t="s">
        <v>43</v>
      </c>
      <c r="BB1" s="1" t="s">
        <v>284</v>
      </c>
      <c r="BC1" s="1" t="s">
        <v>285</v>
      </c>
      <c r="BD1" s="1" t="s">
        <v>286</v>
      </c>
      <c r="BE1" s="1" t="s">
        <v>44</v>
      </c>
      <c r="BF1" s="1" t="s">
        <v>287</v>
      </c>
      <c r="BG1" s="1" t="s">
        <v>45</v>
      </c>
    </row>
    <row r="2" spans="1:59">
      <c r="A2" s="2">
        <v>1</v>
      </c>
      <c r="B2" s="5">
        <v>45442</v>
      </c>
      <c r="C2" s="5">
        <v>45462</v>
      </c>
      <c r="D2" s="2">
        <f>C2-B2</f>
        <v>20</v>
      </c>
      <c r="E2" s="2">
        <v>85</v>
      </c>
      <c r="F2" s="2">
        <v>1</v>
      </c>
      <c r="G2" s="2">
        <v>2</v>
      </c>
      <c r="H2" s="2">
        <v>1</v>
      </c>
      <c r="I2" s="2">
        <v>0</v>
      </c>
      <c r="J2" s="2">
        <v>1</v>
      </c>
      <c r="K2" s="2">
        <v>1</v>
      </c>
      <c r="L2" s="2">
        <v>0</v>
      </c>
      <c r="M2" s="2">
        <v>0</v>
      </c>
      <c r="N2" s="2">
        <v>1</v>
      </c>
      <c r="O2" s="2" t="s">
        <v>46</v>
      </c>
      <c r="P2" t="s">
        <v>47</v>
      </c>
      <c r="Q2" s="2">
        <v>1</v>
      </c>
      <c r="R2" s="2">
        <v>0</v>
      </c>
      <c r="S2" s="2">
        <v>0</v>
      </c>
      <c r="T2" s="2">
        <v>0</v>
      </c>
      <c r="U2" s="2">
        <v>1</v>
      </c>
      <c r="V2" s="2">
        <v>11</v>
      </c>
      <c r="W2" s="5">
        <v>45442</v>
      </c>
      <c r="X2" s="5">
        <v>45455</v>
      </c>
      <c r="Y2" s="28">
        <f>X2-W2</f>
        <v>13</v>
      </c>
      <c r="Z2" s="2">
        <v>0</v>
      </c>
      <c r="AA2" s="2">
        <v>0</v>
      </c>
      <c r="AB2" s="2">
        <v>0</v>
      </c>
      <c r="AC2" s="2">
        <v>0</v>
      </c>
      <c r="AD2" s="2">
        <v>0</v>
      </c>
      <c r="AE2" s="2">
        <v>0</v>
      </c>
      <c r="AF2" s="2">
        <v>0</v>
      </c>
      <c r="AG2" s="2">
        <v>0</v>
      </c>
      <c r="AH2" s="2">
        <v>0</v>
      </c>
      <c r="AI2" s="2">
        <v>1</v>
      </c>
      <c r="AJ2" s="2" t="s">
        <v>48</v>
      </c>
      <c r="AK2" s="2">
        <v>1</v>
      </c>
      <c r="AL2" s="2">
        <v>0</v>
      </c>
      <c r="AM2" s="2">
        <v>1</v>
      </c>
      <c r="AN2" s="2">
        <f>COUNTIFS(AL2,"1",AM2,"1")</f>
        <v>0</v>
      </c>
      <c r="AO2" s="2">
        <f>COUNTIFS(AL2,"1",AM2,"0")</f>
        <v>0</v>
      </c>
      <c r="AP2" s="2">
        <f>COUNTIFS(AL2,"0",AM2,"1")</f>
        <v>1</v>
      </c>
      <c r="AQ2" s="2">
        <v>1</v>
      </c>
      <c r="AR2" s="2">
        <v>1</v>
      </c>
      <c r="AS2" s="5">
        <v>45443</v>
      </c>
      <c r="AT2" s="2">
        <v>0</v>
      </c>
      <c r="AU2" s="11">
        <v>0</v>
      </c>
      <c r="AV2" s="2">
        <f>AS2-B2</f>
        <v>1</v>
      </c>
      <c r="AW2" s="2">
        <v>1</v>
      </c>
      <c r="AX2" s="5">
        <v>45446</v>
      </c>
      <c r="AY2" s="2">
        <v>0</v>
      </c>
      <c r="AZ2" s="2">
        <v>0</v>
      </c>
      <c r="BA2" s="2">
        <v>0</v>
      </c>
      <c r="BB2" s="2">
        <v>0</v>
      </c>
      <c r="BC2" s="2">
        <v>1</v>
      </c>
      <c r="BD2" s="2">
        <v>1</v>
      </c>
      <c r="BE2" s="2">
        <v>0</v>
      </c>
      <c r="BF2" s="2">
        <f>COUNTIFS(AR2, "1",AW2, "1")</f>
        <v>1</v>
      </c>
      <c r="BG2" s="2" t="s">
        <v>49</v>
      </c>
    </row>
    <row r="3" spans="1:59">
      <c r="A3" s="2">
        <v>2</v>
      </c>
      <c r="B3" s="5">
        <v>45446</v>
      </c>
      <c r="E3" s="2">
        <v>78</v>
      </c>
      <c r="F3" s="2">
        <v>1</v>
      </c>
      <c r="G3" s="2">
        <v>3</v>
      </c>
      <c r="H3" s="2">
        <v>0</v>
      </c>
      <c r="I3" s="2">
        <v>0</v>
      </c>
      <c r="J3" s="2">
        <v>0</v>
      </c>
      <c r="K3" s="2">
        <v>0</v>
      </c>
      <c r="L3" s="2">
        <v>0</v>
      </c>
      <c r="M3" s="2">
        <v>0</v>
      </c>
      <c r="N3" s="2">
        <v>0</v>
      </c>
      <c r="P3" t="s">
        <v>47</v>
      </c>
      <c r="Q3" s="2">
        <v>1</v>
      </c>
      <c r="R3" s="2">
        <v>0</v>
      </c>
      <c r="S3" s="2">
        <v>0</v>
      </c>
      <c r="T3" s="2">
        <v>0</v>
      </c>
      <c r="U3" s="2">
        <v>1</v>
      </c>
      <c r="V3" s="2">
        <v>6</v>
      </c>
      <c r="W3" s="5">
        <v>45446</v>
      </c>
      <c r="X3" s="5">
        <v>45450</v>
      </c>
      <c r="Y3" s="28">
        <f t="shared" ref="Y3:Y59" si="0">X3-W3</f>
        <v>4</v>
      </c>
      <c r="Z3" s="2">
        <v>1</v>
      </c>
      <c r="AA3" s="2">
        <v>1</v>
      </c>
      <c r="AB3" s="2">
        <v>0</v>
      </c>
      <c r="AC3" s="2">
        <v>0</v>
      </c>
      <c r="AD3" s="2">
        <v>0</v>
      </c>
      <c r="AE3" s="2">
        <v>0</v>
      </c>
      <c r="AF3" s="2">
        <v>0</v>
      </c>
      <c r="AG3" s="2">
        <v>0</v>
      </c>
      <c r="AH3" s="2">
        <v>0</v>
      </c>
      <c r="AI3" s="2">
        <v>1</v>
      </c>
      <c r="AJ3" s="2" t="s">
        <v>48</v>
      </c>
      <c r="AK3" s="2">
        <v>1</v>
      </c>
      <c r="AL3" s="2">
        <v>1</v>
      </c>
      <c r="AM3" s="2">
        <v>1</v>
      </c>
      <c r="AN3" s="2">
        <f t="shared" ref="AN3:AN66" si="1">COUNTIFS(AL3,"1",AM3,"1")</f>
        <v>1</v>
      </c>
      <c r="AO3" s="2">
        <f t="shared" ref="AO3:AO66" si="2">COUNTIFS(AL3,"1",AM3,"0")</f>
        <v>0</v>
      </c>
      <c r="AP3" s="2">
        <f t="shared" ref="AP3:AP66" si="3">COUNTIFS(AL3,"0",AM3,"1")</f>
        <v>0</v>
      </c>
      <c r="AQ3" s="2">
        <v>1</v>
      </c>
      <c r="AR3" s="2">
        <v>1</v>
      </c>
      <c r="AS3" s="5">
        <v>45448</v>
      </c>
      <c r="AT3" s="2">
        <v>0</v>
      </c>
      <c r="AU3" s="2">
        <v>0</v>
      </c>
      <c r="AV3" s="2">
        <f t="shared" ref="AV3:AV66" si="4">AS3-B3</f>
        <v>2</v>
      </c>
      <c r="AW3" s="2">
        <v>0</v>
      </c>
      <c r="BA3" s="2">
        <v>0</v>
      </c>
      <c r="BB3" s="2">
        <v>0</v>
      </c>
      <c r="BC3" s="2">
        <v>1</v>
      </c>
      <c r="BD3" s="2">
        <f>SUM(I3:K3)</f>
        <v>0</v>
      </c>
      <c r="BE3" s="2">
        <v>1</v>
      </c>
      <c r="BF3" s="2">
        <f t="shared" ref="BF3:BF66" si="5">COUNTIFS(AR3, "1",AW3, "1")</f>
        <v>0</v>
      </c>
      <c r="BG3" s="2" t="s">
        <v>50</v>
      </c>
    </row>
    <row r="4" spans="1:59">
      <c r="A4" s="8">
        <v>3</v>
      </c>
      <c r="B4" s="5">
        <v>45448</v>
      </c>
      <c r="C4" s="6">
        <v>45465</v>
      </c>
      <c r="D4" s="2">
        <f t="shared" ref="D4:D56" si="6">C4-B4</f>
        <v>17</v>
      </c>
      <c r="E4" s="2">
        <v>62</v>
      </c>
      <c r="F4" s="2">
        <v>1</v>
      </c>
      <c r="G4" s="2">
        <v>2</v>
      </c>
      <c r="H4" s="2">
        <v>1</v>
      </c>
      <c r="I4" s="2">
        <v>0</v>
      </c>
      <c r="J4" s="2">
        <v>0</v>
      </c>
      <c r="K4" s="2">
        <v>0</v>
      </c>
      <c r="L4" s="2">
        <v>0</v>
      </c>
      <c r="M4" s="2">
        <v>0</v>
      </c>
      <c r="N4" s="2">
        <v>1</v>
      </c>
      <c r="O4" s="2" t="s">
        <v>51</v>
      </c>
      <c r="P4" t="s">
        <v>52</v>
      </c>
      <c r="Q4" s="2">
        <v>1</v>
      </c>
      <c r="R4" s="2">
        <v>0</v>
      </c>
      <c r="S4" s="2">
        <v>0</v>
      </c>
      <c r="T4" s="2">
        <v>0</v>
      </c>
      <c r="U4" s="2">
        <v>1</v>
      </c>
      <c r="V4" s="2">
        <v>5</v>
      </c>
      <c r="W4" s="5">
        <v>45448</v>
      </c>
      <c r="X4" s="5">
        <v>45454</v>
      </c>
      <c r="Y4" s="28">
        <f t="shared" si="0"/>
        <v>6</v>
      </c>
      <c r="Z4" s="2">
        <v>0</v>
      </c>
      <c r="AA4" s="2">
        <v>0</v>
      </c>
      <c r="AB4" s="2">
        <v>0</v>
      </c>
      <c r="AC4" s="2">
        <v>0</v>
      </c>
      <c r="AD4" s="2">
        <v>0</v>
      </c>
      <c r="AE4" s="2">
        <v>0</v>
      </c>
      <c r="AF4" s="2">
        <v>0</v>
      </c>
      <c r="AG4" s="2">
        <v>0</v>
      </c>
      <c r="AH4" s="2">
        <v>1</v>
      </c>
      <c r="AI4" s="2">
        <v>1</v>
      </c>
      <c r="AJ4" s="2" t="s">
        <v>53</v>
      </c>
      <c r="AK4" s="2">
        <v>0</v>
      </c>
      <c r="AL4" s="2">
        <v>1</v>
      </c>
      <c r="AM4" s="2">
        <v>0</v>
      </c>
      <c r="AN4" s="2">
        <f t="shared" si="1"/>
        <v>0</v>
      </c>
      <c r="AO4" s="2">
        <f t="shared" si="2"/>
        <v>1</v>
      </c>
      <c r="AP4" s="2">
        <f t="shared" si="3"/>
        <v>0</v>
      </c>
      <c r="AQ4" s="2">
        <v>1</v>
      </c>
      <c r="AR4" s="2">
        <v>1</v>
      </c>
      <c r="AS4" s="5">
        <v>45448</v>
      </c>
      <c r="AT4" s="2">
        <v>0</v>
      </c>
      <c r="AU4" s="2">
        <v>0</v>
      </c>
      <c r="AV4" s="2">
        <f t="shared" si="4"/>
        <v>0</v>
      </c>
      <c r="AW4" s="2">
        <v>1</v>
      </c>
      <c r="AX4" s="5">
        <v>45455</v>
      </c>
      <c r="AY4" s="2">
        <v>0</v>
      </c>
      <c r="AZ4" s="2">
        <v>1</v>
      </c>
      <c r="BA4" s="2">
        <v>0</v>
      </c>
      <c r="BB4" s="2">
        <v>0</v>
      </c>
      <c r="BC4" s="2">
        <v>1</v>
      </c>
      <c r="BD4" s="2">
        <f t="shared" ref="BD3:BD66" si="7">SUM(I4:K4)</f>
        <v>0</v>
      </c>
      <c r="BE4" s="2">
        <v>1</v>
      </c>
      <c r="BF4" s="2">
        <f t="shared" si="5"/>
        <v>1</v>
      </c>
      <c r="BG4" s="2" t="s">
        <v>54</v>
      </c>
    </row>
    <row r="5" spans="1:59">
      <c r="A5" s="2">
        <v>4</v>
      </c>
      <c r="B5" s="5">
        <v>45449</v>
      </c>
      <c r="C5" s="5">
        <v>45455</v>
      </c>
      <c r="D5" s="2">
        <f t="shared" si="6"/>
        <v>6</v>
      </c>
      <c r="E5" s="2">
        <v>77</v>
      </c>
      <c r="F5" s="2">
        <v>1</v>
      </c>
      <c r="G5" s="2">
        <v>2</v>
      </c>
      <c r="H5" s="2">
        <v>0</v>
      </c>
      <c r="I5" s="2">
        <v>0</v>
      </c>
      <c r="J5" s="2">
        <v>0</v>
      </c>
      <c r="K5" s="2">
        <v>0</v>
      </c>
      <c r="L5" s="2">
        <v>0</v>
      </c>
      <c r="M5" s="2">
        <v>0</v>
      </c>
      <c r="N5" s="2">
        <v>0</v>
      </c>
      <c r="P5" t="s">
        <v>52</v>
      </c>
      <c r="Q5" s="2">
        <v>1</v>
      </c>
      <c r="R5" s="2">
        <v>0</v>
      </c>
      <c r="S5" s="2">
        <v>0</v>
      </c>
      <c r="T5" s="2">
        <v>0</v>
      </c>
      <c r="U5" s="2">
        <v>1</v>
      </c>
      <c r="V5" s="2">
        <v>2</v>
      </c>
      <c r="W5" s="5">
        <v>45449</v>
      </c>
      <c r="X5" s="5">
        <v>45450</v>
      </c>
      <c r="Y5" s="28">
        <f t="shared" si="0"/>
        <v>1</v>
      </c>
      <c r="Z5" s="2">
        <v>1</v>
      </c>
      <c r="AA5" s="2">
        <v>0</v>
      </c>
      <c r="AB5" s="2">
        <v>0</v>
      </c>
      <c r="AC5" s="2">
        <v>0</v>
      </c>
      <c r="AD5" s="2">
        <v>0</v>
      </c>
      <c r="AE5" s="2">
        <v>0</v>
      </c>
      <c r="AF5" s="2">
        <v>0</v>
      </c>
      <c r="AG5" s="2">
        <v>1</v>
      </c>
      <c r="AH5" s="2">
        <v>1</v>
      </c>
      <c r="AI5" s="2">
        <v>1</v>
      </c>
      <c r="AJ5" s="2" t="s">
        <v>55</v>
      </c>
      <c r="AK5" s="2">
        <v>0</v>
      </c>
      <c r="AL5" s="2">
        <v>1</v>
      </c>
      <c r="AM5" s="2">
        <v>1</v>
      </c>
      <c r="AN5" s="2">
        <f t="shared" si="1"/>
        <v>1</v>
      </c>
      <c r="AO5" s="2">
        <f t="shared" si="2"/>
        <v>0</v>
      </c>
      <c r="AP5" s="2">
        <f t="shared" si="3"/>
        <v>0</v>
      </c>
      <c r="AQ5" s="2">
        <v>1</v>
      </c>
      <c r="AR5" s="2">
        <v>1</v>
      </c>
      <c r="AS5" s="5">
        <v>45450</v>
      </c>
      <c r="AT5" s="2">
        <v>0</v>
      </c>
      <c r="AU5" s="2">
        <v>0</v>
      </c>
      <c r="AV5" s="2">
        <f t="shared" si="4"/>
        <v>1</v>
      </c>
      <c r="AW5" s="2">
        <v>1</v>
      </c>
      <c r="AX5" s="5">
        <v>45453</v>
      </c>
      <c r="AY5" s="2">
        <v>0</v>
      </c>
      <c r="AZ5" s="2">
        <v>0</v>
      </c>
      <c r="BA5" s="2">
        <v>0</v>
      </c>
      <c r="BB5" s="2">
        <v>0</v>
      </c>
      <c r="BC5" s="2">
        <v>1</v>
      </c>
      <c r="BD5" s="2">
        <f t="shared" si="7"/>
        <v>0</v>
      </c>
      <c r="BE5" s="2">
        <v>0</v>
      </c>
      <c r="BF5" s="2">
        <f t="shared" si="5"/>
        <v>1</v>
      </c>
      <c r="BG5" s="2" t="s">
        <v>56</v>
      </c>
    </row>
    <row r="6" spans="1:59">
      <c r="A6" s="8">
        <v>5</v>
      </c>
      <c r="B6" s="5">
        <v>45453</v>
      </c>
      <c r="C6" s="6">
        <v>45456</v>
      </c>
      <c r="D6" s="2">
        <f t="shared" si="6"/>
        <v>3</v>
      </c>
      <c r="E6" s="2">
        <v>71</v>
      </c>
      <c r="F6" s="2">
        <v>1</v>
      </c>
      <c r="G6" s="2">
        <v>2</v>
      </c>
      <c r="H6" s="2">
        <v>1</v>
      </c>
      <c r="I6" s="2">
        <v>0</v>
      </c>
      <c r="J6" s="2">
        <v>0</v>
      </c>
      <c r="K6" s="2">
        <v>0</v>
      </c>
      <c r="L6" s="2">
        <v>1</v>
      </c>
      <c r="M6" s="2">
        <v>1</v>
      </c>
      <c r="N6" s="2">
        <v>1</v>
      </c>
      <c r="O6" s="2" t="s">
        <v>57</v>
      </c>
      <c r="P6" t="s">
        <v>52</v>
      </c>
      <c r="Q6" s="2">
        <v>1</v>
      </c>
      <c r="R6" s="2">
        <v>0</v>
      </c>
      <c r="S6" s="2">
        <v>0</v>
      </c>
      <c r="T6" s="2">
        <v>0</v>
      </c>
      <c r="U6" s="2">
        <v>1</v>
      </c>
      <c r="V6" s="2">
        <v>2</v>
      </c>
      <c r="W6" s="5">
        <v>45453</v>
      </c>
      <c r="X6" s="5">
        <v>45454</v>
      </c>
      <c r="Y6" s="28">
        <f t="shared" si="0"/>
        <v>1</v>
      </c>
      <c r="Z6" s="2">
        <v>1</v>
      </c>
      <c r="AA6" s="2">
        <v>0</v>
      </c>
      <c r="AB6" s="2">
        <v>0</v>
      </c>
      <c r="AC6" s="2">
        <v>0</v>
      </c>
      <c r="AD6" s="2">
        <v>1</v>
      </c>
      <c r="AE6" s="2">
        <v>0</v>
      </c>
      <c r="AF6" s="2">
        <v>0</v>
      </c>
      <c r="AG6" s="2">
        <v>0</v>
      </c>
      <c r="AH6" s="2">
        <v>0</v>
      </c>
      <c r="AI6" s="2">
        <v>1</v>
      </c>
      <c r="AJ6" s="2" t="s">
        <v>58</v>
      </c>
      <c r="AK6" s="2">
        <v>1</v>
      </c>
      <c r="AL6" s="2">
        <v>1</v>
      </c>
      <c r="AM6" s="2">
        <v>1</v>
      </c>
      <c r="AN6" s="2">
        <f t="shared" si="1"/>
        <v>1</v>
      </c>
      <c r="AO6" s="2">
        <f t="shared" si="2"/>
        <v>0</v>
      </c>
      <c r="AP6" s="2">
        <f t="shared" si="3"/>
        <v>0</v>
      </c>
      <c r="AQ6" s="2">
        <v>0</v>
      </c>
      <c r="AR6" s="2">
        <v>1</v>
      </c>
      <c r="AS6" s="5">
        <v>45454</v>
      </c>
      <c r="AT6" s="2">
        <v>1</v>
      </c>
      <c r="AU6" s="2">
        <v>1</v>
      </c>
      <c r="AV6" s="2">
        <f t="shared" si="4"/>
        <v>1</v>
      </c>
      <c r="AW6" s="2">
        <v>0</v>
      </c>
      <c r="BA6" s="2">
        <v>0</v>
      </c>
      <c r="BB6" s="2">
        <v>1</v>
      </c>
      <c r="BC6" s="2">
        <v>1</v>
      </c>
      <c r="BD6" s="2">
        <f t="shared" si="7"/>
        <v>0</v>
      </c>
      <c r="BE6" s="2">
        <v>1</v>
      </c>
      <c r="BF6" s="2">
        <f t="shared" si="5"/>
        <v>0</v>
      </c>
      <c r="BG6" s="2" t="s">
        <v>59</v>
      </c>
    </row>
    <row r="7" spans="1:59">
      <c r="A7" s="8">
        <v>6</v>
      </c>
      <c r="B7" s="5">
        <v>45454</v>
      </c>
      <c r="C7" s="6">
        <v>45465</v>
      </c>
      <c r="D7" s="2">
        <f t="shared" si="6"/>
        <v>11</v>
      </c>
      <c r="E7" s="2">
        <v>81</v>
      </c>
      <c r="F7" s="2">
        <v>1</v>
      </c>
      <c r="G7" s="2">
        <v>2</v>
      </c>
      <c r="H7" s="2">
        <v>1</v>
      </c>
      <c r="I7" s="2">
        <v>0</v>
      </c>
      <c r="J7" s="2">
        <v>0</v>
      </c>
      <c r="K7" s="2">
        <v>0</v>
      </c>
      <c r="L7" s="2">
        <v>0</v>
      </c>
      <c r="M7" s="2">
        <v>0</v>
      </c>
      <c r="N7" s="2">
        <v>1</v>
      </c>
      <c r="O7" s="2" t="s">
        <v>60</v>
      </c>
      <c r="P7" t="s">
        <v>52</v>
      </c>
      <c r="Q7" s="2">
        <v>1</v>
      </c>
      <c r="R7" s="2">
        <v>0</v>
      </c>
      <c r="S7" s="2">
        <v>0</v>
      </c>
      <c r="T7" s="2">
        <v>0</v>
      </c>
      <c r="U7" s="2">
        <v>1</v>
      </c>
      <c r="V7" s="2">
        <v>4</v>
      </c>
      <c r="W7" s="5">
        <v>45454</v>
      </c>
      <c r="X7" s="5">
        <v>45458</v>
      </c>
      <c r="Y7" s="28">
        <f t="shared" si="0"/>
        <v>4</v>
      </c>
      <c r="Z7" s="2">
        <v>1</v>
      </c>
      <c r="AA7" s="2">
        <v>0</v>
      </c>
      <c r="AB7" s="2">
        <v>1</v>
      </c>
      <c r="AC7" s="2">
        <v>0</v>
      </c>
      <c r="AD7" s="2">
        <v>0</v>
      </c>
      <c r="AE7" s="2">
        <v>1</v>
      </c>
      <c r="AF7" s="2">
        <v>0</v>
      </c>
      <c r="AG7" s="2">
        <v>0</v>
      </c>
      <c r="AH7" s="2">
        <v>0</v>
      </c>
      <c r="AI7" s="2">
        <v>1</v>
      </c>
      <c r="AJ7" s="2" t="s">
        <v>61</v>
      </c>
      <c r="AK7" s="2">
        <v>0</v>
      </c>
      <c r="AL7" s="2">
        <v>1</v>
      </c>
      <c r="AM7" s="2">
        <v>1</v>
      </c>
      <c r="AN7" s="2">
        <f t="shared" si="1"/>
        <v>1</v>
      </c>
      <c r="AO7" s="2">
        <f t="shared" si="2"/>
        <v>0</v>
      </c>
      <c r="AP7" s="2">
        <f t="shared" si="3"/>
        <v>0</v>
      </c>
      <c r="AQ7" s="2">
        <v>0</v>
      </c>
      <c r="AR7" s="2">
        <v>1</v>
      </c>
      <c r="AS7" s="5">
        <v>45455</v>
      </c>
      <c r="AT7" s="2">
        <v>0</v>
      </c>
      <c r="AU7" s="2">
        <v>0</v>
      </c>
      <c r="AV7" s="2">
        <f t="shared" si="4"/>
        <v>1</v>
      </c>
      <c r="AW7" s="2">
        <v>0</v>
      </c>
      <c r="BA7" s="2">
        <v>0</v>
      </c>
      <c r="BB7" s="2">
        <v>0</v>
      </c>
      <c r="BC7" s="2">
        <v>1</v>
      </c>
      <c r="BD7" s="2">
        <f t="shared" si="7"/>
        <v>0</v>
      </c>
      <c r="BE7" s="2">
        <v>1</v>
      </c>
      <c r="BF7" s="2">
        <f t="shared" si="5"/>
        <v>0</v>
      </c>
      <c r="BG7" s="2" t="s">
        <v>62</v>
      </c>
    </row>
    <row r="8" spans="1:59">
      <c r="A8" s="8">
        <v>7</v>
      </c>
      <c r="B8" s="5">
        <v>45453</v>
      </c>
      <c r="C8" s="6">
        <v>45485</v>
      </c>
      <c r="D8" s="2">
        <f t="shared" si="6"/>
        <v>32</v>
      </c>
      <c r="E8" s="2">
        <v>45</v>
      </c>
      <c r="F8" s="2">
        <v>2</v>
      </c>
      <c r="G8" s="2">
        <v>2</v>
      </c>
      <c r="H8" s="2">
        <v>0</v>
      </c>
      <c r="I8" s="2">
        <v>0</v>
      </c>
      <c r="J8" s="2">
        <v>0</v>
      </c>
      <c r="K8" s="2">
        <v>0</v>
      </c>
      <c r="L8" s="2">
        <v>0</v>
      </c>
      <c r="M8" s="2">
        <v>0</v>
      </c>
      <c r="N8" s="2">
        <v>0</v>
      </c>
      <c r="P8" t="s">
        <v>52</v>
      </c>
      <c r="Q8" s="2">
        <v>1</v>
      </c>
      <c r="R8" s="2">
        <v>0</v>
      </c>
      <c r="S8" s="2">
        <v>0</v>
      </c>
      <c r="T8" s="2">
        <v>0</v>
      </c>
      <c r="U8" s="2">
        <v>0</v>
      </c>
      <c r="V8" s="2">
        <v>1</v>
      </c>
      <c r="W8" s="5">
        <v>45455</v>
      </c>
      <c r="X8" s="5">
        <v>45455</v>
      </c>
      <c r="Y8" s="28">
        <f t="shared" si="0"/>
        <v>0</v>
      </c>
      <c r="Z8" s="2">
        <v>0</v>
      </c>
      <c r="AA8" s="2">
        <v>0</v>
      </c>
      <c r="AB8" s="2">
        <v>0</v>
      </c>
      <c r="AC8" s="2">
        <v>0</v>
      </c>
      <c r="AD8" s="2">
        <v>0</v>
      </c>
      <c r="AE8" s="2">
        <v>0</v>
      </c>
      <c r="AF8" s="2">
        <v>0</v>
      </c>
      <c r="AG8" s="2">
        <v>0</v>
      </c>
      <c r="AH8" s="2">
        <v>0</v>
      </c>
      <c r="AI8" s="2">
        <v>1</v>
      </c>
      <c r="AJ8" s="2" t="s">
        <v>55</v>
      </c>
      <c r="AK8" s="2">
        <v>1</v>
      </c>
      <c r="AL8" s="2">
        <v>0</v>
      </c>
      <c r="AM8" s="2">
        <v>1</v>
      </c>
      <c r="AN8" s="2">
        <f t="shared" si="1"/>
        <v>0</v>
      </c>
      <c r="AO8" s="2">
        <f t="shared" si="2"/>
        <v>0</v>
      </c>
      <c r="AP8" s="2">
        <f t="shared" si="3"/>
        <v>1</v>
      </c>
      <c r="AQ8" s="2">
        <v>1</v>
      </c>
      <c r="AR8" s="2">
        <v>1</v>
      </c>
      <c r="AS8" s="5">
        <v>45457</v>
      </c>
      <c r="AT8" s="2">
        <v>0</v>
      </c>
      <c r="AU8" s="2">
        <v>0</v>
      </c>
      <c r="AV8" s="2">
        <f t="shared" si="4"/>
        <v>4</v>
      </c>
      <c r="AW8" s="2">
        <v>0</v>
      </c>
      <c r="BA8" s="2">
        <v>0</v>
      </c>
      <c r="BB8" s="2">
        <v>0</v>
      </c>
      <c r="BC8" s="2">
        <f t="shared" ref="BC8:BC63" si="8">SUM(I8:K8)</f>
        <v>0</v>
      </c>
      <c r="BD8" s="2">
        <f t="shared" si="7"/>
        <v>0</v>
      </c>
      <c r="BE8" s="2">
        <v>1</v>
      </c>
      <c r="BF8" s="2">
        <f t="shared" si="5"/>
        <v>0</v>
      </c>
      <c r="BG8" s="2" t="s">
        <v>62</v>
      </c>
    </row>
    <row r="9" spans="1:59">
      <c r="A9" s="2">
        <v>8</v>
      </c>
      <c r="B9" s="5">
        <v>45456</v>
      </c>
      <c r="C9" s="5">
        <v>45466</v>
      </c>
      <c r="D9" s="2">
        <f t="shared" si="6"/>
        <v>10</v>
      </c>
      <c r="E9" s="2">
        <v>60</v>
      </c>
      <c r="F9" s="2">
        <v>1</v>
      </c>
      <c r="G9" s="2">
        <v>3</v>
      </c>
      <c r="H9" s="2">
        <v>1</v>
      </c>
      <c r="I9" s="2">
        <v>0</v>
      </c>
      <c r="J9" s="2">
        <v>0</v>
      </c>
      <c r="K9" s="2">
        <v>0</v>
      </c>
      <c r="L9" s="2">
        <v>0</v>
      </c>
      <c r="M9" s="2">
        <v>0</v>
      </c>
      <c r="N9" s="2">
        <v>1</v>
      </c>
      <c r="O9" s="2" t="s">
        <v>63</v>
      </c>
      <c r="P9" t="s">
        <v>52</v>
      </c>
      <c r="Q9" s="2">
        <v>1</v>
      </c>
      <c r="R9" s="2">
        <v>0</v>
      </c>
      <c r="S9" s="2">
        <v>0</v>
      </c>
      <c r="T9" s="2">
        <v>0</v>
      </c>
      <c r="U9" s="2">
        <v>1</v>
      </c>
      <c r="V9" s="2">
        <v>2</v>
      </c>
      <c r="W9" s="5">
        <v>45456</v>
      </c>
      <c r="X9" s="5">
        <v>45457</v>
      </c>
      <c r="Y9" s="28">
        <f t="shared" si="0"/>
        <v>1</v>
      </c>
      <c r="Z9" s="2">
        <v>1</v>
      </c>
      <c r="AA9" s="2">
        <v>0</v>
      </c>
      <c r="AB9" s="2">
        <v>0</v>
      </c>
      <c r="AC9" s="2">
        <v>0</v>
      </c>
      <c r="AD9" s="2">
        <v>1</v>
      </c>
      <c r="AE9" s="2">
        <v>0</v>
      </c>
      <c r="AF9" s="2">
        <v>0</v>
      </c>
      <c r="AG9" s="2">
        <v>0</v>
      </c>
      <c r="AH9" s="2">
        <v>0</v>
      </c>
      <c r="AI9" s="2">
        <v>1</v>
      </c>
      <c r="AJ9" s="2" t="s">
        <v>55</v>
      </c>
      <c r="AK9" s="2">
        <v>1</v>
      </c>
      <c r="AL9" s="2">
        <v>1</v>
      </c>
      <c r="AM9" s="2">
        <v>1</v>
      </c>
      <c r="AN9" s="2">
        <f t="shared" si="1"/>
        <v>1</v>
      </c>
      <c r="AO9" s="2">
        <f t="shared" si="2"/>
        <v>0</v>
      </c>
      <c r="AP9" s="2">
        <f t="shared" si="3"/>
        <v>0</v>
      </c>
      <c r="AQ9" s="2">
        <v>1</v>
      </c>
      <c r="AR9" s="2">
        <v>1</v>
      </c>
      <c r="AS9" s="5">
        <v>45457</v>
      </c>
      <c r="AT9" s="2">
        <v>0</v>
      </c>
      <c r="AU9" s="2">
        <v>0</v>
      </c>
      <c r="AV9" s="2">
        <f t="shared" si="4"/>
        <v>1</v>
      </c>
      <c r="AW9" s="2">
        <v>0</v>
      </c>
      <c r="BA9" s="2">
        <v>0</v>
      </c>
      <c r="BB9" s="2">
        <v>0</v>
      </c>
      <c r="BC9" s="2">
        <v>1</v>
      </c>
      <c r="BD9" s="2">
        <f t="shared" si="7"/>
        <v>0</v>
      </c>
      <c r="BE9" s="2">
        <v>0</v>
      </c>
      <c r="BF9" s="2">
        <f t="shared" si="5"/>
        <v>0</v>
      </c>
    </row>
    <row r="10" spans="1:59">
      <c r="A10" s="2">
        <v>9</v>
      </c>
      <c r="B10" s="5">
        <v>45458</v>
      </c>
      <c r="C10" s="5">
        <v>45470</v>
      </c>
      <c r="D10" s="2">
        <f t="shared" si="6"/>
        <v>12</v>
      </c>
      <c r="E10" s="2">
        <v>64</v>
      </c>
      <c r="F10" s="2">
        <v>2</v>
      </c>
      <c r="G10" s="2">
        <v>2</v>
      </c>
      <c r="H10" s="2">
        <v>1</v>
      </c>
      <c r="I10" s="2">
        <v>0</v>
      </c>
      <c r="J10" s="2">
        <v>0</v>
      </c>
      <c r="K10" s="2">
        <v>0</v>
      </c>
      <c r="L10" s="2">
        <v>1</v>
      </c>
      <c r="M10" s="2">
        <v>0</v>
      </c>
      <c r="N10" s="2">
        <v>0</v>
      </c>
      <c r="P10" t="s">
        <v>52</v>
      </c>
      <c r="Q10" s="2">
        <v>1</v>
      </c>
      <c r="R10" s="2">
        <v>0</v>
      </c>
      <c r="S10" s="2">
        <v>0</v>
      </c>
      <c r="T10" s="2">
        <v>0</v>
      </c>
      <c r="U10" s="2">
        <v>1</v>
      </c>
      <c r="V10" s="2">
        <v>2</v>
      </c>
      <c r="W10" s="5">
        <v>45463</v>
      </c>
      <c r="X10" s="5">
        <v>45464</v>
      </c>
      <c r="Y10" s="28">
        <f t="shared" si="0"/>
        <v>1</v>
      </c>
      <c r="Z10" s="2">
        <v>1</v>
      </c>
      <c r="AA10" s="2">
        <v>0</v>
      </c>
      <c r="AB10" s="2">
        <v>1</v>
      </c>
      <c r="AC10" s="2">
        <v>0</v>
      </c>
      <c r="AD10" s="2">
        <v>0</v>
      </c>
      <c r="AE10" s="2">
        <v>0</v>
      </c>
      <c r="AF10" s="2">
        <v>0</v>
      </c>
      <c r="AG10" s="2">
        <v>0</v>
      </c>
      <c r="AH10" s="2">
        <v>0</v>
      </c>
      <c r="AI10" s="2">
        <v>1</v>
      </c>
      <c r="AJ10" s="2" t="s">
        <v>55</v>
      </c>
      <c r="AK10" s="2">
        <v>1</v>
      </c>
      <c r="AL10" s="2">
        <v>1</v>
      </c>
      <c r="AM10" s="2">
        <v>1</v>
      </c>
      <c r="AN10" s="2">
        <f t="shared" si="1"/>
        <v>1</v>
      </c>
      <c r="AO10" s="2">
        <f t="shared" si="2"/>
        <v>0</v>
      </c>
      <c r="AP10" s="2">
        <f t="shared" si="3"/>
        <v>0</v>
      </c>
      <c r="AQ10" s="2">
        <v>1</v>
      </c>
      <c r="AR10" s="2">
        <v>1</v>
      </c>
      <c r="AS10" s="5">
        <v>45467</v>
      </c>
      <c r="AT10" s="2">
        <v>0</v>
      </c>
      <c r="AU10" s="2">
        <v>0</v>
      </c>
      <c r="AV10" s="2">
        <f t="shared" si="4"/>
        <v>9</v>
      </c>
      <c r="AW10" s="2">
        <v>0</v>
      </c>
      <c r="BA10" s="2">
        <v>0</v>
      </c>
      <c r="BB10" s="2">
        <v>0</v>
      </c>
      <c r="BC10" s="2">
        <v>1</v>
      </c>
      <c r="BD10" s="2">
        <f t="shared" si="7"/>
        <v>0</v>
      </c>
      <c r="BE10" s="2">
        <v>0</v>
      </c>
      <c r="BF10" s="2">
        <f t="shared" si="5"/>
        <v>0</v>
      </c>
      <c r="BG10" s="2" t="s">
        <v>64</v>
      </c>
    </row>
    <row r="11" spans="1:59">
      <c r="A11" s="7">
        <v>10</v>
      </c>
      <c r="B11" s="5">
        <v>45468</v>
      </c>
      <c r="C11" s="5">
        <v>45475</v>
      </c>
      <c r="D11" s="2">
        <f t="shared" si="6"/>
        <v>7</v>
      </c>
      <c r="E11" s="2">
        <v>46</v>
      </c>
      <c r="F11" s="2">
        <v>1</v>
      </c>
      <c r="G11" s="2">
        <v>2</v>
      </c>
      <c r="H11" s="2">
        <v>1</v>
      </c>
      <c r="I11" s="2">
        <v>1</v>
      </c>
      <c r="J11" s="2">
        <v>0</v>
      </c>
      <c r="K11" s="2">
        <v>0</v>
      </c>
      <c r="L11" s="2">
        <v>1</v>
      </c>
      <c r="M11" s="2">
        <v>1</v>
      </c>
      <c r="N11" s="2">
        <v>1</v>
      </c>
      <c r="O11" s="2" t="s">
        <v>65</v>
      </c>
      <c r="P11" t="s">
        <v>47</v>
      </c>
      <c r="Q11" s="2">
        <v>1</v>
      </c>
      <c r="R11" s="2">
        <v>0</v>
      </c>
      <c r="S11" s="2">
        <v>0</v>
      </c>
      <c r="T11" s="2">
        <v>0</v>
      </c>
      <c r="U11" s="2">
        <v>1</v>
      </c>
      <c r="V11" s="2">
        <v>5</v>
      </c>
      <c r="W11" s="5">
        <v>45468</v>
      </c>
      <c r="X11" s="5">
        <v>45473</v>
      </c>
      <c r="Y11" s="28">
        <f t="shared" si="0"/>
        <v>5</v>
      </c>
      <c r="Z11" s="2">
        <v>1</v>
      </c>
      <c r="AA11" s="2">
        <v>1</v>
      </c>
      <c r="AB11" s="2">
        <v>1</v>
      </c>
      <c r="AC11" s="2">
        <v>0</v>
      </c>
      <c r="AD11" s="2">
        <v>1</v>
      </c>
      <c r="AE11" s="2">
        <v>0</v>
      </c>
      <c r="AF11" s="2">
        <v>0</v>
      </c>
      <c r="AG11" s="2">
        <v>0</v>
      </c>
      <c r="AH11" s="2">
        <v>0</v>
      </c>
      <c r="AI11" s="2">
        <v>1</v>
      </c>
      <c r="AJ11" s="2" t="s">
        <v>48</v>
      </c>
      <c r="AK11" s="2">
        <v>1</v>
      </c>
      <c r="AL11" s="2">
        <v>1</v>
      </c>
      <c r="AM11" s="2">
        <v>1</v>
      </c>
      <c r="AN11" s="2">
        <f t="shared" si="1"/>
        <v>1</v>
      </c>
      <c r="AO11" s="2">
        <f t="shared" si="2"/>
        <v>0</v>
      </c>
      <c r="AP11" s="2">
        <f t="shared" si="3"/>
        <v>0</v>
      </c>
      <c r="AQ11" s="2">
        <v>1</v>
      </c>
      <c r="AR11" s="2">
        <v>1</v>
      </c>
      <c r="AS11" s="5">
        <v>45468</v>
      </c>
      <c r="AT11" s="2">
        <v>1</v>
      </c>
      <c r="AU11" s="2">
        <v>1</v>
      </c>
      <c r="AV11" s="2">
        <f t="shared" si="4"/>
        <v>0</v>
      </c>
      <c r="AW11" s="2">
        <v>0</v>
      </c>
      <c r="BA11" s="2">
        <v>0</v>
      </c>
      <c r="BB11" s="2">
        <v>1</v>
      </c>
      <c r="BC11" s="2">
        <f t="shared" si="8"/>
        <v>1</v>
      </c>
      <c r="BD11" s="2">
        <f t="shared" si="7"/>
        <v>1</v>
      </c>
      <c r="BE11" s="2">
        <v>0</v>
      </c>
      <c r="BF11" s="2">
        <f t="shared" si="5"/>
        <v>0</v>
      </c>
      <c r="BG11" s="2" t="s">
        <v>66</v>
      </c>
    </row>
    <row r="12" spans="1:59">
      <c r="A12" s="2">
        <v>11</v>
      </c>
      <c r="B12" s="5">
        <v>45470</v>
      </c>
      <c r="C12" s="5">
        <v>45501</v>
      </c>
      <c r="D12" s="2">
        <f t="shared" si="6"/>
        <v>31</v>
      </c>
      <c r="E12" s="2">
        <v>74</v>
      </c>
      <c r="F12" s="2">
        <v>1</v>
      </c>
      <c r="G12" s="2">
        <v>2</v>
      </c>
      <c r="H12" s="2">
        <v>1</v>
      </c>
      <c r="I12" s="2">
        <v>0</v>
      </c>
      <c r="J12" s="2">
        <v>0</v>
      </c>
      <c r="K12" s="2">
        <v>0</v>
      </c>
      <c r="L12" s="2">
        <v>0</v>
      </c>
      <c r="M12" s="2">
        <v>0</v>
      </c>
      <c r="N12" s="2">
        <v>1</v>
      </c>
      <c r="O12" s="2" t="s">
        <v>67</v>
      </c>
      <c r="P12" t="s">
        <v>52</v>
      </c>
      <c r="Q12" s="2">
        <v>1</v>
      </c>
      <c r="R12" s="2">
        <v>0</v>
      </c>
      <c r="S12" s="2">
        <v>0</v>
      </c>
      <c r="T12" s="2">
        <v>0</v>
      </c>
      <c r="U12" s="2">
        <v>0</v>
      </c>
      <c r="V12" s="2">
        <v>1</v>
      </c>
      <c r="W12" s="5">
        <v>45470</v>
      </c>
      <c r="X12" s="5">
        <v>45470</v>
      </c>
      <c r="Y12" s="28">
        <f t="shared" si="0"/>
        <v>0</v>
      </c>
      <c r="Z12" s="2">
        <v>1</v>
      </c>
      <c r="AA12" s="2">
        <v>0</v>
      </c>
      <c r="AB12" s="2">
        <v>1</v>
      </c>
      <c r="AC12" s="2">
        <v>0</v>
      </c>
      <c r="AD12" s="2">
        <v>0</v>
      </c>
      <c r="AE12" s="2">
        <v>0</v>
      </c>
      <c r="AF12" s="2">
        <v>1</v>
      </c>
      <c r="AG12" s="2">
        <v>0</v>
      </c>
      <c r="AH12" s="2">
        <v>0</v>
      </c>
      <c r="AI12" s="2">
        <v>1</v>
      </c>
      <c r="AJ12" s="2" t="s">
        <v>68</v>
      </c>
      <c r="AK12" s="2">
        <v>0</v>
      </c>
      <c r="AL12" s="2">
        <v>1</v>
      </c>
      <c r="AM12" s="2">
        <v>1</v>
      </c>
      <c r="AN12" s="2">
        <f t="shared" si="1"/>
        <v>1</v>
      </c>
      <c r="AO12" s="2">
        <f t="shared" si="2"/>
        <v>0</v>
      </c>
      <c r="AP12" s="2">
        <f t="shared" si="3"/>
        <v>0</v>
      </c>
      <c r="AQ12" s="2">
        <v>0</v>
      </c>
      <c r="AR12" s="2">
        <v>1</v>
      </c>
      <c r="AS12" s="5">
        <v>45471</v>
      </c>
      <c r="AT12" s="2">
        <v>0</v>
      </c>
      <c r="AU12" s="2">
        <v>1</v>
      </c>
      <c r="AV12" s="2">
        <f t="shared" si="4"/>
        <v>1</v>
      </c>
      <c r="AW12" s="2">
        <v>0</v>
      </c>
      <c r="BA12" s="2">
        <v>0</v>
      </c>
      <c r="BB12" s="2">
        <v>0</v>
      </c>
      <c r="BC12" s="2">
        <v>1</v>
      </c>
      <c r="BD12" s="2">
        <f t="shared" si="7"/>
        <v>0</v>
      </c>
      <c r="BE12" s="2">
        <v>1</v>
      </c>
      <c r="BF12" s="2">
        <f t="shared" si="5"/>
        <v>0</v>
      </c>
      <c r="BG12" s="2" t="s">
        <v>69</v>
      </c>
    </row>
    <row r="13" spans="1:59">
      <c r="A13" s="2">
        <v>12</v>
      </c>
      <c r="B13" s="5">
        <v>45413</v>
      </c>
      <c r="C13" s="5">
        <v>45423</v>
      </c>
      <c r="D13" s="2">
        <f t="shared" si="6"/>
        <v>10</v>
      </c>
      <c r="E13" s="2">
        <v>70</v>
      </c>
      <c r="F13" s="2">
        <v>1</v>
      </c>
      <c r="G13" s="2">
        <v>5</v>
      </c>
      <c r="H13" s="2">
        <v>1</v>
      </c>
      <c r="I13" s="2">
        <v>0</v>
      </c>
      <c r="J13" s="2">
        <v>0</v>
      </c>
      <c r="K13" s="2">
        <v>0</v>
      </c>
      <c r="L13" s="2">
        <v>1</v>
      </c>
      <c r="M13" s="2">
        <v>0</v>
      </c>
      <c r="N13" s="2">
        <v>1</v>
      </c>
      <c r="O13" s="2" t="s">
        <v>70</v>
      </c>
      <c r="P13" t="s">
        <v>52</v>
      </c>
      <c r="Q13" s="2">
        <v>1</v>
      </c>
      <c r="R13" s="2">
        <v>0</v>
      </c>
      <c r="S13" s="2">
        <v>0</v>
      </c>
      <c r="T13" s="2">
        <v>0</v>
      </c>
      <c r="U13" s="2">
        <v>1</v>
      </c>
      <c r="V13" s="2">
        <v>2</v>
      </c>
      <c r="W13" s="5">
        <v>45413</v>
      </c>
      <c r="X13" s="5">
        <v>45415</v>
      </c>
      <c r="Y13" s="28">
        <f t="shared" si="0"/>
        <v>2</v>
      </c>
      <c r="Z13" s="2">
        <v>1</v>
      </c>
      <c r="AA13" s="2">
        <v>0</v>
      </c>
      <c r="AB13" s="2">
        <v>0</v>
      </c>
      <c r="AC13" s="2">
        <v>1</v>
      </c>
      <c r="AD13" s="2">
        <v>0</v>
      </c>
      <c r="AE13" s="2">
        <v>0</v>
      </c>
      <c r="AF13" s="2">
        <v>0</v>
      </c>
      <c r="AG13" s="2">
        <v>0</v>
      </c>
      <c r="AH13" s="2">
        <v>0</v>
      </c>
      <c r="AI13" s="2">
        <v>1</v>
      </c>
      <c r="AJ13" s="2" t="s">
        <v>55</v>
      </c>
      <c r="AK13" s="2">
        <v>1</v>
      </c>
      <c r="AL13" s="2">
        <v>1</v>
      </c>
      <c r="AM13" s="2">
        <v>1</v>
      </c>
      <c r="AN13" s="2">
        <f t="shared" si="1"/>
        <v>1</v>
      </c>
      <c r="AO13" s="2">
        <f t="shared" si="2"/>
        <v>0</v>
      </c>
      <c r="AP13" s="2">
        <f t="shared" si="3"/>
        <v>0</v>
      </c>
      <c r="AQ13" s="2">
        <v>1</v>
      </c>
      <c r="AR13" s="2">
        <v>1</v>
      </c>
      <c r="AS13" s="5">
        <v>45419</v>
      </c>
      <c r="AT13" s="2">
        <v>0</v>
      </c>
      <c r="AU13" s="2">
        <v>1</v>
      </c>
      <c r="AV13" s="2">
        <f t="shared" si="4"/>
        <v>6</v>
      </c>
      <c r="AW13" s="2">
        <v>0</v>
      </c>
      <c r="BA13" s="2">
        <v>0</v>
      </c>
      <c r="BB13" s="2">
        <v>0</v>
      </c>
      <c r="BC13" s="2">
        <v>1</v>
      </c>
      <c r="BD13" s="2">
        <f t="shared" si="7"/>
        <v>0</v>
      </c>
      <c r="BE13" s="2">
        <v>0</v>
      </c>
      <c r="BF13" s="2">
        <f t="shared" si="5"/>
        <v>0</v>
      </c>
      <c r="BG13" s="2" t="s">
        <v>71</v>
      </c>
    </row>
    <row r="14" spans="1:59">
      <c r="A14" s="2">
        <v>13</v>
      </c>
      <c r="B14" s="5">
        <v>45414</v>
      </c>
      <c r="C14" s="5">
        <v>45436</v>
      </c>
      <c r="D14" s="2">
        <f t="shared" si="6"/>
        <v>22</v>
      </c>
      <c r="E14" s="2">
        <v>91</v>
      </c>
      <c r="F14" s="2">
        <v>2</v>
      </c>
      <c r="G14" s="2">
        <v>2</v>
      </c>
      <c r="H14" s="2">
        <v>1</v>
      </c>
      <c r="I14" s="2">
        <v>0</v>
      </c>
      <c r="J14" s="2">
        <v>0</v>
      </c>
      <c r="K14" s="2">
        <v>0</v>
      </c>
      <c r="L14" s="2">
        <v>0</v>
      </c>
      <c r="M14" s="2">
        <v>0</v>
      </c>
      <c r="N14" s="2">
        <v>1</v>
      </c>
      <c r="O14" s="2" t="s">
        <v>72</v>
      </c>
      <c r="P14" t="s">
        <v>52</v>
      </c>
      <c r="Q14" s="2">
        <v>1</v>
      </c>
      <c r="R14" s="2">
        <v>0</v>
      </c>
      <c r="S14" s="2">
        <v>0</v>
      </c>
      <c r="T14" s="2">
        <v>0</v>
      </c>
      <c r="U14" s="2">
        <v>1</v>
      </c>
      <c r="V14" s="2">
        <v>2</v>
      </c>
      <c r="W14" s="5">
        <v>45414</v>
      </c>
      <c r="X14" s="5">
        <v>45415</v>
      </c>
      <c r="Y14" s="28">
        <f t="shared" si="0"/>
        <v>1</v>
      </c>
      <c r="Z14" s="2">
        <v>1</v>
      </c>
      <c r="AA14" s="2">
        <v>0</v>
      </c>
      <c r="AB14" s="2">
        <v>0</v>
      </c>
      <c r="AC14" s="2">
        <v>0</v>
      </c>
      <c r="AD14" s="2">
        <v>1</v>
      </c>
      <c r="AE14" s="2">
        <v>0</v>
      </c>
      <c r="AF14" s="2">
        <v>0</v>
      </c>
      <c r="AG14" s="2">
        <v>0</v>
      </c>
      <c r="AH14" s="2">
        <v>0</v>
      </c>
      <c r="AI14" s="2">
        <v>1</v>
      </c>
      <c r="AJ14" s="2" t="s">
        <v>55</v>
      </c>
      <c r="AK14" s="11">
        <v>1</v>
      </c>
      <c r="AL14" s="2">
        <v>1</v>
      </c>
      <c r="AM14" s="2">
        <v>1</v>
      </c>
      <c r="AN14" s="2">
        <f t="shared" si="1"/>
        <v>1</v>
      </c>
      <c r="AO14" s="2">
        <f t="shared" si="2"/>
        <v>0</v>
      </c>
      <c r="AP14" s="2">
        <f t="shared" si="3"/>
        <v>0</v>
      </c>
      <c r="AQ14" s="2">
        <v>1</v>
      </c>
      <c r="AR14" s="2">
        <v>1</v>
      </c>
      <c r="AS14" s="5">
        <v>45418</v>
      </c>
      <c r="AT14" s="2">
        <v>0</v>
      </c>
      <c r="AU14" s="2">
        <v>0</v>
      </c>
      <c r="AV14" s="2">
        <f t="shared" si="4"/>
        <v>4</v>
      </c>
      <c r="AW14" s="2">
        <v>0</v>
      </c>
      <c r="BA14" s="2">
        <v>0</v>
      </c>
      <c r="BB14" s="2">
        <v>0</v>
      </c>
      <c r="BC14" s="2">
        <v>1</v>
      </c>
      <c r="BD14" s="2">
        <f t="shared" si="7"/>
        <v>0</v>
      </c>
      <c r="BE14" s="2">
        <v>0</v>
      </c>
      <c r="BF14" s="2">
        <f t="shared" si="5"/>
        <v>0</v>
      </c>
      <c r="BG14" s="2" t="s">
        <v>73</v>
      </c>
    </row>
    <row r="15" spans="1:59">
      <c r="A15" s="2">
        <v>14</v>
      </c>
      <c r="B15" s="5">
        <v>45419</v>
      </c>
      <c r="C15" s="5">
        <v>45433</v>
      </c>
      <c r="D15" s="2">
        <f t="shared" si="6"/>
        <v>14</v>
      </c>
      <c r="E15" s="2">
        <v>71</v>
      </c>
      <c r="F15" s="2">
        <v>2</v>
      </c>
      <c r="G15" s="2">
        <v>2</v>
      </c>
      <c r="H15" s="2">
        <v>1</v>
      </c>
      <c r="I15" s="2">
        <v>0</v>
      </c>
      <c r="J15" s="2">
        <v>0</v>
      </c>
      <c r="K15" s="2">
        <v>0</v>
      </c>
      <c r="L15" s="2">
        <v>1</v>
      </c>
      <c r="M15" s="2">
        <v>0</v>
      </c>
      <c r="N15" s="2">
        <v>0</v>
      </c>
      <c r="P15" t="s">
        <v>52</v>
      </c>
      <c r="Q15" s="2">
        <v>1</v>
      </c>
      <c r="R15" s="2">
        <v>0</v>
      </c>
      <c r="S15" s="2">
        <v>0</v>
      </c>
      <c r="T15" s="2">
        <v>0</v>
      </c>
      <c r="U15" s="2">
        <v>1</v>
      </c>
      <c r="V15" s="2">
        <v>3</v>
      </c>
      <c r="W15" s="5">
        <v>45419</v>
      </c>
      <c r="X15" s="5">
        <v>45422</v>
      </c>
      <c r="Y15" s="28">
        <f t="shared" si="0"/>
        <v>3</v>
      </c>
      <c r="Z15" s="2">
        <v>1</v>
      </c>
      <c r="AA15" s="2">
        <v>0</v>
      </c>
      <c r="AB15" s="2">
        <v>1</v>
      </c>
      <c r="AC15" s="2">
        <v>1</v>
      </c>
      <c r="AD15" s="2">
        <v>0</v>
      </c>
      <c r="AE15" s="2">
        <v>0</v>
      </c>
      <c r="AF15" s="2">
        <v>0</v>
      </c>
      <c r="AG15" s="2">
        <v>0</v>
      </c>
      <c r="AH15" s="2">
        <v>0</v>
      </c>
      <c r="AI15" s="2">
        <v>1</v>
      </c>
      <c r="AJ15" s="2" t="s">
        <v>55</v>
      </c>
      <c r="AK15" s="2">
        <v>1</v>
      </c>
      <c r="AL15" s="2">
        <v>1</v>
      </c>
      <c r="AM15" s="2">
        <v>0</v>
      </c>
      <c r="AN15" s="2">
        <f t="shared" si="1"/>
        <v>0</v>
      </c>
      <c r="AO15" s="2">
        <f t="shared" si="2"/>
        <v>1</v>
      </c>
      <c r="AP15" s="2">
        <f t="shared" si="3"/>
        <v>0</v>
      </c>
      <c r="AQ15" s="2">
        <v>1</v>
      </c>
      <c r="AR15" s="2">
        <v>1</v>
      </c>
      <c r="AS15" s="5">
        <v>45420</v>
      </c>
      <c r="AT15" s="2">
        <v>0</v>
      </c>
      <c r="AU15" s="2">
        <v>0</v>
      </c>
      <c r="AV15" s="2">
        <f t="shared" si="4"/>
        <v>1</v>
      </c>
      <c r="AW15" s="2">
        <v>0</v>
      </c>
      <c r="BA15" s="2">
        <v>0</v>
      </c>
      <c r="BB15" s="2">
        <v>0</v>
      </c>
      <c r="BC15" s="2">
        <v>1</v>
      </c>
      <c r="BD15" s="2">
        <f t="shared" si="7"/>
        <v>0</v>
      </c>
      <c r="BE15" s="2">
        <v>0</v>
      </c>
      <c r="BF15" s="2">
        <f t="shared" si="5"/>
        <v>0</v>
      </c>
      <c r="BG15" s="2" t="s">
        <v>75</v>
      </c>
    </row>
    <row r="16" spans="1:59">
      <c r="A16" s="2">
        <v>15</v>
      </c>
      <c r="B16" s="5">
        <v>45420</v>
      </c>
      <c r="C16" s="5">
        <v>45432</v>
      </c>
      <c r="D16" s="2">
        <f t="shared" si="6"/>
        <v>12</v>
      </c>
      <c r="E16" s="2">
        <v>77</v>
      </c>
      <c r="F16" s="2">
        <v>1</v>
      </c>
      <c r="G16" s="2">
        <v>2</v>
      </c>
      <c r="H16" s="2">
        <v>1</v>
      </c>
      <c r="I16" s="2">
        <v>0</v>
      </c>
      <c r="J16" s="2">
        <v>0</v>
      </c>
      <c r="K16" s="2">
        <v>0</v>
      </c>
      <c r="L16" s="2">
        <v>0</v>
      </c>
      <c r="M16" s="2">
        <v>0</v>
      </c>
      <c r="N16" s="2">
        <v>1</v>
      </c>
      <c r="O16" s="10" t="s">
        <v>76</v>
      </c>
      <c r="P16" t="s">
        <v>52</v>
      </c>
      <c r="Q16" s="2">
        <v>1</v>
      </c>
      <c r="R16" s="2">
        <v>0</v>
      </c>
      <c r="S16" s="2">
        <v>0</v>
      </c>
      <c r="T16" s="2">
        <v>0</v>
      </c>
      <c r="U16" s="2">
        <v>0</v>
      </c>
      <c r="V16" s="2">
        <v>1</v>
      </c>
      <c r="W16" s="5">
        <v>45420</v>
      </c>
      <c r="X16" s="5">
        <v>45420</v>
      </c>
      <c r="Y16" s="28">
        <f t="shared" si="0"/>
        <v>0</v>
      </c>
      <c r="Z16" s="2">
        <v>1</v>
      </c>
      <c r="AA16" s="2">
        <v>0</v>
      </c>
      <c r="AB16" s="2">
        <v>0</v>
      </c>
      <c r="AC16" s="2">
        <v>0</v>
      </c>
      <c r="AD16" s="2">
        <v>1</v>
      </c>
      <c r="AE16" s="2">
        <v>0</v>
      </c>
      <c r="AF16" s="2">
        <v>0</v>
      </c>
      <c r="AG16" s="2">
        <v>1</v>
      </c>
      <c r="AH16" s="2">
        <v>0</v>
      </c>
      <c r="AI16" s="2">
        <v>1</v>
      </c>
      <c r="AJ16" s="2" t="s">
        <v>55</v>
      </c>
      <c r="AK16" s="2">
        <v>1</v>
      </c>
      <c r="AL16" s="2">
        <v>1</v>
      </c>
      <c r="AM16" s="2">
        <v>1</v>
      </c>
      <c r="AN16" s="2">
        <f t="shared" si="1"/>
        <v>1</v>
      </c>
      <c r="AO16" s="2">
        <f t="shared" si="2"/>
        <v>0</v>
      </c>
      <c r="AP16" s="2">
        <f t="shared" si="3"/>
        <v>0</v>
      </c>
      <c r="AQ16" s="2">
        <v>1</v>
      </c>
      <c r="AR16" s="2">
        <v>1</v>
      </c>
      <c r="AS16" s="5">
        <v>45421</v>
      </c>
      <c r="AT16" s="2">
        <v>0</v>
      </c>
      <c r="AU16" s="2">
        <v>0</v>
      </c>
      <c r="AV16" s="2">
        <f t="shared" si="4"/>
        <v>1</v>
      </c>
      <c r="AW16" s="2">
        <v>1</v>
      </c>
      <c r="AX16" s="5">
        <v>45425</v>
      </c>
      <c r="AY16" s="2">
        <v>0</v>
      </c>
      <c r="AZ16" s="2">
        <v>0</v>
      </c>
      <c r="BA16" s="2">
        <v>0</v>
      </c>
      <c r="BB16" s="2">
        <v>0</v>
      </c>
      <c r="BC16" s="2">
        <v>1</v>
      </c>
      <c r="BD16" s="2">
        <f t="shared" si="7"/>
        <v>0</v>
      </c>
      <c r="BE16" s="2">
        <v>0</v>
      </c>
      <c r="BF16" s="2">
        <f t="shared" si="5"/>
        <v>1</v>
      </c>
      <c r="BG16" s="2" t="s">
        <v>77</v>
      </c>
    </row>
    <row r="17" spans="1:59">
      <c r="A17" s="8">
        <v>16</v>
      </c>
      <c r="B17" s="5">
        <v>45420</v>
      </c>
      <c r="C17" s="6">
        <v>45435</v>
      </c>
      <c r="D17" s="2">
        <f t="shared" si="6"/>
        <v>15</v>
      </c>
      <c r="E17" s="2">
        <v>83</v>
      </c>
      <c r="F17" s="2">
        <v>2</v>
      </c>
      <c r="G17" s="2">
        <v>2</v>
      </c>
      <c r="H17" s="2">
        <v>1</v>
      </c>
      <c r="I17" s="2">
        <v>0</v>
      </c>
      <c r="J17" s="2">
        <v>0</v>
      </c>
      <c r="K17" s="2">
        <v>0</v>
      </c>
      <c r="L17" s="2">
        <v>0</v>
      </c>
      <c r="M17" s="2">
        <v>0</v>
      </c>
      <c r="N17" s="2">
        <v>1</v>
      </c>
      <c r="O17" s="2" t="s">
        <v>78</v>
      </c>
      <c r="P17" t="s">
        <v>52</v>
      </c>
      <c r="Q17" s="2">
        <v>1</v>
      </c>
      <c r="R17" s="2">
        <v>0</v>
      </c>
      <c r="S17" s="2">
        <v>0</v>
      </c>
      <c r="T17" s="2">
        <v>0</v>
      </c>
      <c r="U17" s="2">
        <v>1</v>
      </c>
      <c r="V17" s="2">
        <v>3</v>
      </c>
      <c r="W17" s="5">
        <v>45429</v>
      </c>
      <c r="X17" s="5">
        <v>45431</v>
      </c>
      <c r="Y17" s="28">
        <f t="shared" si="0"/>
        <v>2</v>
      </c>
      <c r="Z17" s="2">
        <v>0</v>
      </c>
      <c r="AA17" s="2">
        <v>0</v>
      </c>
      <c r="AB17" s="2">
        <v>0</v>
      </c>
      <c r="AC17" s="2">
        <v>0</v>
      </c>
      <c r="AD17" s="2">
        <v>0</v>
      </c>
      <c r="AE17" s="2">
        <v>0</v>
      </c>
      <c r="AF17" s="2">
        <v>0</v>
      </c>
      <c r="AG17" s="2">
        <v>0</v>
      </c>
      <c r="AH17" s="2">
        <v>0</v>
      </c>
      <c r="AI17" s="2">
        <v>1</v>
      </c>
      <c r="AJ17" s="2" t="s">
        <v>79</v>
      </c>
      <c r="AK17" s="2">
        <v>1</v>
      </c>
      <c r="AL17" s="2">
        <v>1</v>
      </c>
      <c r="AM17" s="2">
        <v>1</v>
      </c>
      <c r="AN17" s="2">
        <f t="shared" si="1"/>
        <v>1</v>
      </c>
      <c r="AO17" s="2">
        <f t="shared" si="2"/>
        <v>0</v>
      </c>
      <c r="AP17" s="2">
        <f t="shared" si="3"/>
        <v>0</v>
      </c>
      <c r="AQ17" s="2">
        <v>1</v>
      </c>
      <c r="AR17" s="2">
        <v>1</v>
      </c>
      <c r="AS17" s="5">
        <v>45432</v>
      </c>
      <c r="AT17" s="2">
        <v>0</v>
      </c>
      <c r="AU17" s="2">
        <v>0</v>
      </c>
      <c r="AV17" s="2">
        <f t="shared" si="4"/>
        <v>12</v>
      </c>
      <c r="AW17" s="2">
        <v>0</v>
      </c>
      <c r="BA17" s="2">
        <v>0</v>
      </c>
      <c r="BB17" s="2">
        <v>0</v>
      </c>
      <c r="BC17" s="2">
        <v>1</v>
      </c>
      <c r="BD17" s="2">
        <f t="shared" si="7"/>
        <v>0</v>
      </c>
      <c r="BE17" s="2">
        <v>1</v>
      </c>
      <c r="BF17" s="2">
        <f t="shared" si="5"/>
        <v>0</v>
      </c>
      <c r="BG17" s="2" t="s">
        <v>80</v>
      </c>
    </row>
    <row r="18" spans="1:59">
      <c r="A18" s="2">
        <v>17</v>
      </c>
      <c r="B18" s="5">
        <v>45438</v>
      </c>
      <c r="C18" s="5">
        <v>45458</v>
      </c>
      <c r="D18" s="2">
        <f t="shared" si="6"/>
        <v>20</v>
      </c>
      <c r="E18" s="2">
        <v>59</v>
      </c>
      <c r="F18" s="2">
        <v>1</v>
      </c>
      <c r="G18" s="2">
        <v>3</v>
      </c>
      <c r="H18" s="2">
        <v>1</v>
      </c>
      <c r="I18" s="2">
        <v>0</v>
      </c>
      <c r="J18" s="2">
        <v>0</v>
      </c>
      <c r="K18" s="2">
        <v>0</v>
      </c>
      <c r="L18" s="2">
        <v>0</v>
      </c>
      <c r="M18" s="2">
        <v>0</v>
      </c>
      <c r="N18" s="2">
        <v>1</v>
      </c>
      <c r="O18" s="2" t="s">
        <v>81</v>
      </c>
      <c r="P18" t="s">
        <v>52</v>
      </c>
      <c r="Q18" s="2">
        <v>1</v>
      </c>
      <c r="R18" s="2">
        <v>0</v>
      </c>
      <c r="S18" s="2">
        <v>0</v>
      </c>
      <c r="T18" s="2">
        <v>0</v>
      </c>
      <c r="U18" s="2">
        <v>1</v>
      </c>
      <c r="V18" s="2">
        <v>2</v>
      </c>
      <c r="W18" s="5">
        <v>45440</v>
      </c>
      <c r="X18" s="5">
        <v>45441</v>
      </c>
      <c r="Y18" s="28">
        <f t="shared" si="0"/>
        <v>1</v>
      </c>
      <c r="Z18" s="2">
        <v>1</v>
      </c>
      <c r="AA18" s="2">
        <v>0</v>
      </c>
      <c r="AB18" s="2">
        <v>1</v>
      </c>
      <c r="AC18" s="2">
        <v>0</v>
      </c>
      <c r="AD18" s="2">
        <v>0</v>
      </c>
      <c r="AE18" s="2">
        <v>0</v>
      </c>
      <c r="AF18" s="2">
        <v>0</v>
      </c>
      <c r="AG18" s="2">
        <v>0</v>
      </c>
      <c r="AH18" s="2">
        <v>0</v>
      </c>
      <c r="AI18" s="2">
        <v>1</v>
      </c>
      <c r="AJ18" s="2" t="s">
        <v>55</v>
      </c>
      <c r="AK18" s="2">
        <v>1</v>
      </c>
      <c r="AL18" s="2">
        <v>1</v>
      </c>
      <c r="AM18" s="2">
        <v>1</v>
      </c>
      <c r="AN18" s="2">
        <f t="shared" si="1"/>
        <v>1</v>
      </c>
      <c r="AO18" s="2">
        <f t="shared" si="2"/>
        <v>0</v>
      </c>
      <c r="AP18" s="2">
        <f t="shared" si="3"/>
        <v>0</v>
      </c>
      <c r="AQ18" s="2">
        <v>1</v>
      </c>
      <c r="AR18" s="2">
        <v>1</v>
      </c>
      <c r="AS18" s="5">
        <v>45442</v>
      </c>
      <c r="AT18" s="2">
        <v>1</v>
      </c>
      <c r="AU18" s="2">
        <v>0</v>
      </c>
      <c r="AV18" s="2">
        <f t="shared" si="4"/>
        <v>4</v>
      </c>
      <c r="AW18" s="11">
        <v>0</v>
      </c>
      <c r="BA18" s="2">
        <v>0</v>
      </c>
      <c r="BB18" s="2">
        <v>1</v>
      </c>
      <c r="BC18" s="2">
        <v>1</v>
      </c>
      <c r="BD18" s="2">
        <f t="shared" si="7"/>
        <v>0</v>
      </c>
      <c r="BE18" s="2">
        <v>0</v>
      </c>
      <c r="BF18" s="2">
        <f t="shared" si="5"/>
        <v>0</v>
      </c>
      <c r="BG18" s="2" t="s">
        <v>82</v>
      </c>
    </row>
    <row r="19" spans="1:59">
      <c r="A19" s="2">
        <v>18</v>
      </c>
      <c r="B19" s="5">
        <v>45385</v>
      </c>
      <c r="C19" s="5">
        <v>45395</v>
      </c>
      <c r="D19" s="2">
        <f t="shared" si="6"/>
        <v>10</v>
      </c>
      <c r="E19" s="2">
        <v>51</v>
      </c>
      <c r="F19" s="2">
        <v>1</v>
      </c>
      <c r="G19" s="2">
        <v>3</v>
      </c>
      <c r="H19" s="2">
        <v>0</v>
      </c>
      <c r="I19" s="2">
        <v>0</v>
      </c>
      <c r="J19" s="2">
        <v>0</v>
      </c>
      <c r="K19" s="2">
        <v>0</v>
      </c>
      <c r="L19" s="2">
        <v>0</v>
      </c>
      <c r="M19" s="2">
        <v>0</v>
      </c>
      <c r="N19" s="2">
        <v>0</v>
      </c>
      <c r="P19" t="s">
        <v>52</v>
      </c>
      <c r="Q19" s="2">
        <v>1</v>
      </c>
      <c r="R19" s="2">
        <v>0</v>
      </c>
      <c r="S19" s="2">
        <v>0</v>
      </c>
      <c r="T19" s="2">
        <v>0</v>
      </c>
      <c r="U19" s="2">
        <v>1</v>
      </c>
      <c r="V19" s="2">
        <v>3</v>
      </c>
      <c r="W19" s="5">
        <v>45385</v>
      </c>
      <c r="X19" s="5">
        <v>45388</v>
      </c>
      <c r="Y19" s="28">
        <f t="shared" si="0"/>
        <v>3</v>
      </c>
      <c r="Z19" s="2">
        <v>1</v>
      </c>
      <c r="AA19" s="2">
        <v>1</v>
      </c>
      <c r="AB19" s="2">
        <v>0</v>
      </c>
      <c r="AC19" s="2">
        <v>0</v>
      </c>
      <c r="AD19" s="2">
        <v>0</v>
      </c>
      <c r="AE19" s="2">
        <v>0</v>
      </c>
      <c r="AF19" s="2">
        <v>0</v>
      </c>
      <c r="AG19" s="2">
        <v>0</v>
      </c>
      <c r="AH19" s="2">
        <v>0</v>
      </c>
      <c r="AI19" s="2">
        <v>1</v>
      </c>
      <c r="AJ19" s="2" t="s">
        <v>55</v>
      </c>
      <c r="AK19" s="2">
        <v>1</v>
      </c>
      <c r="AL19" s="2">
        <v>1</v>
      </c>
      <c r="AM19" s="2">
        <v>1</v>
      </c>
      <c r="AN19" s="2">
        <f t="shared" si="1"/>
        <v>1</v>
      </c>
      <c r="AO19" s="2">
        <f t="shared" si="2"/>
        <v>0</v>
      </c>
      <c r="AP19" s="2">
        <f t="shared" si="3"/>
        <v>0</v>
      </c>
      <c r="AQ19" s="2">
        <v>1</v>
      </c>
      <c r="AR19" s="2">
        <v>1</v>
      </c>
      <c r="AS19" s="5">
        <v>45387</v>
      </c>
      <c r="AT19" s="2">
        <v>0</v>
      </c>
      <c r="AU19" s="2">
        <v>0</v>
      </c>
      <c r="AV19" s="2">
        <f t="shared" si="4"/>
        <v>2</v>
      </c>
      <c r="AW19" s="2">
        <v>1</v>
      </c>
      <c r="AX19" s="5">
        <v>45391</v>
      </c>
      <c r="AY19" s="2">
        <v>0</v>
      </c>
      <c r="AZ19" s="2">
        <v>0</v>
      </c>
      <c r="BA19" s="2">
        <v>0</v>
      </c>
      <c r="BB19" s="2">
        <v>0</v>
      </c>
      <c r="BC19" s="2">
        <v>1</v>
      </c>
      <c r="BD19" s="2">
        <f t="shared" si="7"/>
        <v>0</v>
      </c>
      <c r="BE19" s="2">
        <v>0</v>
      </c>
      <c r="BF19" s="2">
        <f t="shared" si="5"/>
        <v>1</v>
      </c>
      <c r="BG19" s="2" t="s">
        <v>83</v>
      </c>
    </row>
    <row r="20" spans="1:59">
      <c r="A20" s="8">
        <v>19</v>
      </c>
      <c r="B20" s="5">
        <v>45393</v>
      </c>
      <c r="C20" s="6">
        <v>45398</v>
      </c>
      <c r="D20" s="2">
        <f t="shared" si="6"/>
        <v>5</v>
      </c>
      <c r="E20" s="2">
        <v>65</v>
      </c>
      <c r="F20" s="2">
        <v>2</v>
      </c>
      <c r="G20" s="2">
        <v>2</v>
      </c>
      <c r="H20" s="2">
        <v>1</v>
      </c>
      <c r="I20" s="2">
        <v>0</v>
      </c>
      <c r="J20" s="2">
        <v>0</v>
      </c>
      <c r="K20" s="2">
        <v>0</v>
      </c>
      <c r="L20" s="2">
        <v>0</v>
      </c>
      <c r="M20" s="2">
        <v>0</v>
      </c>
      <c r="N20" s="2">
        <v>1</v>
      </c>
      <c r="O20" s="2" t="s">
        <v>51</v>
      </c>
      <c r="P20" t="s">
        <v>47</v>
      </c>
      <c r="Q20" s="2">
        <v>1</v>
      </c>
      <c r="R20" s="2">
        <v>0</v>
      </c>
      <c r="S20" s="2">
        <v>0</v>
      </c>
      <c r="T20" s="2">
        <v>0</v>
      </c>
      <c r="U20" s="2">
        <v>1</v>
      </c>
      <c r="V20" s="2">
        <v>3</v>
      </c>
      <c r="W20" s="5">
        <v>45393</v>
      </c>
      <c r="X20" s="5">
        <v>45394</v>
      </c>
      <c r="Y20" s="28">
        <f t="shared" si="0"/>
        <v>1</v>
      </c>
      <c r="Z20" s="2">
        <v>0</v>
      </c>
      <c r="AA20" s="2">
        <v>0</v>
      </c>
      <c r="AB20" s="2">
        <v>0</v>
      </c>
      <c r="AC20" s="2">
        <v>0</v>
      </c>
      <c r="AD20" s="2">
        <v>0</v>
      </c>
      <c r="AE20" s="2">
        <v>0</v>
      </c>
      <c r="AF20" s="2">
        <v>0</v>
      </c>
      <c r="AG20" s="2">
        <v>0</v>
      </c>
      <c r="AH20" s="2">
        <v>1</v>
      </c>
      <c r="AI20" s="2">
        <v>1</v>
      </c>
      <c r="AJ20" s="2" t="s">
        <v>48</v>
      </c>
      <c r="AK20" s="2">
        <v>1</v>
      </c>
      <c r="AL20" s="2">
        <v>0</v>
      </c>
      <c r="AM20" s="2">
        <v>1</v>
      </c>
      <c r="AN20" s="2">
        <f t="shared" si="1"/>
        <v>0</v>
      </c>
      <c r="AO20" s="2">
        <f t="shared" si="2"/>
        <v>0</v>
      </c>
      <c r="AP20" s="2">
        <f t="shared" si="3"/>
        <v>1</v>
      </c>
      <c r="AQ20" s="2">
        <v>1</v>
      </c>
      <c r="AR20" s="2">
        <v>1</v>
      </c>
      <c r="AS20" s="5">
        <v>45394</v>
      </c>
      <c r="AT20" s="2">
        <v>0</v>
      </c>
      <c r="AU20" s="2">
        <v>1</v>
      </c>
      <c r="AV20" s="2">
        <f t="shared" si="4"/>
        <v>1</v>
      </c>
      <c r="AW20" s="2">
        <v>0</v>
      </c>
      <c r="BA20" s="2">
        <v>0</v>
      </c>
      <c r="BB20" s="2">
        <v>0</v>
      </c>
      <c r="BC20" s="2">
        <v>1</v>
      </c>
      <c r="BD20" s="2">
        <f t="shared" si="7"/>
        <v>0</v>
      </c>
      <c r="BE20" s="2">
        <v>0</v>
      </c>
      <c r="BF20" s="2">
        <f t="shared" si="5"/>
        <v>0</v>
      </c>
      <c r="BG20" s="2" t="s">
        <v>288</v>
      </c>
    </row>
    <row r="21" spans="1:59">
      <c r="A21" s="2">
        <v>20</v>
      </c>
      <c r="B21" s="5">
        <v>45392</v>
      </c>
      <c r="C21" s="5">
        <v>45401</v>
      </c>
      <c r="D21" s="2">
        <f t="shared" si="6"/>
        <v>9</v>
      </c>
      <c r="E21" s="2">
        <v>85</v>
      </c>
      <c r="F21" s="2">
        <v>1</v>
      </c>
      <c r="G21" s="2">
        <v>2</v>
      </c>
      <c r="H21" s="2">
        <v>0</v>
      </c>
      <c r="I21" s="2">
        <v>0</v>
      </c>
      <c r="J21" s="2">
        <v>0</v>
      </c>
      <c r="K21" s="2">
        <v>0</v>
      </c>
      <c r="L21" s="2">
        <v>0</v>
      </c>
      <c r="M21" s="2">
        <v>0</v>
      </c>
      <c r="N21" s="2">
        <v>0</v>
      </c>
      <c r="P21" t="s">
        <v>52</v>
      </c>
      <c r="Q21" s="2">
        <v>1</v>
      </c>
      <c r="R21" s="2">
        <v>0</v>
      </c>
      <c r="S21" s="2">
        <v>0</v>
      </c>
      <c r="T21" s="2">
        <v>0</v>
      </c>
      <c r="U21" s="2">
        <v>1</v>
      </c>
      <c r="V21" s="2">
        <v>2</v>
      </c>
      <c r="W21" s="5">
        <v>45396</v>
      </c>
      <c r="X21" s="5">
        <v>45396</v>
      </c>
      <c r="Y21" s="28">
        <f t="shared" si="0"/>
        <v>0</v>
      </c>
      <c r="Z21" s="2">
        <v>0</v>
      </c>
      <c r="AA21" s="2">
        <v>0</v>
      </c>
      <c r="AB21" s="2">
        <v>0</v>
      </c>
      <c r="AC21" s="2">
        <v>0</v>
      </c>
      <c r="AD21" s="2">
        <v>0</v>
      </c>
      <c r="AE21" s="2">
        <v>0</v>
      </c>
      <c r="AF21" s="2">
        <v>0</v>
      </c>
      <c r="AG21" s="2">
        <v>0</v>
      </c>
      <c r="AH21" s="2">
        <v>0</v>
      </c>
      <c r="AI21" s="2">
        <v>1</v>
      </c>
      <c r="AJ21" s="2" t="s">
        <v>55</v>
      </c>
      <c r="AK21" s="11">
        <v>1</v>
      </c>
      <c r="AL21" s="2">
        <v>1</v>
      </c>
      <c r="AM21" s="2">
        <v>1</v>
      </c>
      <c r="AN21" s="2">
        <f t="shared" si="1"/>
        <v>1</v>
      </c>
      <c r="AO21" s="2">
        <f t="shared" si="2"/>
        <v>0</v>
      </c>
      <c r="AP21" s="2">
        <f t="shared" si="3"/>
        <v>0</v>
      </c>
      <c r="AQ21" s="2">
        <v>1</v>
      </c>
      <c r="AR21" s="2">
        <v>1</v>
      </c>
      <c r="AS21" s="5">
        <v>45400</v>
      </c>
      <c r="AT21" s="2">
        <v>0</v>
      </c>
      <c r="AU21" s="2">
        <v>0</v>
      </c>
      <c r="AV21" s="2">
        <f t="shared" si="4"/>
        <v>8</v>
      </c>
      <c r="AW21" s="2">
        <v>0</v>
      </c>
      <c r="BA21" s="2">
        <v>0</v>
      </c>
      <c r="BB21" s="2">
        <v>0</v>
      </c>
      <c r="BC21" s="2">
        <v>1</v>
      </c>
      <c r="BD21" s="2">
        <f t="shared" si="7"/>
        <v>0</v>
      </c>
      <c r="BE21" s="2">
        <v>0</v>
      </c>
      <c r="BF21" s="2">
        <f t="shared" si="5"/>
        <v>0</v>
      </c>
      <c r="BG21" s="2" t="s">
        <v>88</v>
      </c>
    </row>
    <row r="22" spans="1:59">
      <c r="A22" s="2">
        <v>21</v>
      </c>
      <c r="B22" s="5">
        <v>45400</v>
      </c>
      <c r="C22" s="5">
        <v>45408</v>
      </c>
      <c r="D22" s="2">
        <f t="shared" si="6"/>
        <v>8</v>
      </c>
      <c r="E22" s="2">
        <v>85</v>
      </c>
      <c r="F22" s="2">
        <v>2</v>
      </c>
      <c r="G22" s="2">
        <v>2</v>
      </c>
      <c r="H22" s="2">
        <v>1</v>
      </c>
      <c r="I22" s="2">
        <v>0</v>
      </c>
      <c r="J22" s="2">
        <v>0</v>
      </c>
      <c r="K22" s="2">
        <v>0</v>
      </c>
      <c r="L22" s="2">
        <v>0</v>
      </c>
      <c r="M22" s="2">
        <v>0</v>
      </c>
      <c r="N22" s="2">
        <v>1</v>
      </c>
      <c r="O22" s="2" t="s">
        <v>70</v>
      </c>
      <c r="P22" t="s">
        <v>52</v>
      </c>
      <c r="Q22" s="2">
        <v>1</v>
      </c>
      <c r="R22" s="2">
        <v>0</v>
      </c>
      <c r="S22" s="2">
        <v>0</v>
      </c>
      <c r="T22" s="2">
        <v>0</v>
      </c>
      <c r="U22" s="2">
        <v>1</v>
      </c>
      <c r="V22" s="2">
        <v>3</v>
      </c>
      <c r="W22" s="5">
        <v>45400</v>
      </c>
      <c r="X22" s="5">
        <v>45402</v>
      </c>
      <c r="Y22" s="28">
        <f t="shared" si="0"/>
        <v>2</v>
      </c>
      <c r="Z22" s="2">
        <v>1</v>
      </c>
      <c r="AA22" s="2">
        <v>0</v>
      </c>
      <c r="AB22" s="2">
        <v>0</v>
      </c>
      <c r="AC22" s="2">
        <v>0</v>
      </c>
      <c r="AD22" s="2">
        <v>1</v>
      </c>
      <c r="AE22" s="2">
        <v>0</v>
      </c>
      <c r="AF22" s="2">
        <v>0</v>
      </c>
      <c r="AG22" s="2">
        <v>0</v>
      </c>
      <c r="AH22" s="2">
        <v>0</v>
      </c>
      <c r="AI22" s="2">
        <v>1</v>
      </c>
      <c r="AJ22" s="2" t="s">
        <v>55</v>
      </c>
      <c r="AK22" s="2">
        <v>1</v>
      </c>
      <c r="AL22" s="2">
        <v>1</v>
      </c>
      <c r="AM22" s="11">
        <v>0</v>
      </c>
      <c r="AN22" s="2">
        <f t="shared" si="1"/>
        <v>0</v>
      </c>
      <c r="AO22" s="2">
        <f t="shared" si="2"/>
        <v>1</v>
      </c>
      <c r="AP22" s="2">
        <f t="shared" si="3"/>
        <v>0</v>
      </c>
      <c r="AQ22" s="2">
        <v>1</v>
      </c>
      <c r="AR22" s="2">
        <v>1</v>
      </c>
      <c r="AS22" s="5">
        <v>45404</v>
      </c>
      <c r="AT22" s="2">
        <v>0</v>
      </c>
      <c r="AU22" s="2">
        <v>1</v>
      </c>
      <c r="AV22" s="2">
        <f t="shared" si="4"/>
        <v>4</v>
      </c>
      <c r="AW22" s="2">
        <v>0</v>
      </c>
      <c r="BA22" s="2">
        <v>0</v>
      </c>
      <c r="BB22" s="2">
        <v>0</v>
      </c>
      <c r="BC22" s="2">
        <v>1</v>
      </c>
      <c r="BD22" s="2">
        <f t="shared" si="7"/>
        <v>0</v>
      </c>
      <c r="BE22" s="2">
        <v>0</v>
      </c>
      <c r="BF22" s="2">
        <f t="shared" si="5"/>
        <v>0</v>
      </c>
      <c r="BG22" s="2" t="s">
        <v>89</v>
      </c>
    </row>
    <row r="23" spans="1:59">
      <c r="A23" s="2">
        <v>22</v>
      </c>
      <c r="B23" s="5">
        <v>45401</v>
      </c>
      <c r="C23" s="5">
        <v>45408</v>
      </c>
      <c r="D23" s="2">
        <f t="shared" si="6"/>
        <v>7</v>
      </c>
      <c r="E23" s="2">
        <v>79</v>
      </c>
      <c r="F23" s="2">
        <v>1</v>
      </c>
      <c r="G23" s="2">
        <v>2</v>
      </c>
      <c r="H23" s="2">
        <v>1</v>
      </c>
      <c r="I23" s="2">
        <v>0</v>
      </c>
      <c r="J23" s="2">
        <v>0</v>
      </c>
      <c r="K23" s="2">
        <v>1</v>
      </c>
      <c r="L23" s="2">
        <v>0</v>
      </c>
      <c r="M23" s="2">
        <v>0</v>
      </c>
      <c r="N23" s="2">
        <v>1</v>
      </c>
      <c r="O23" s="2" t="s">
        <v>63</v>
      </c>
      <c r="P23" t="s">
        <v>52</v>
      </c>
      <c r="Q23" s="2">
        <v>1</v>
      </c>
      <c r="R23" s="2">
        <v>0</v>
      </c>
      <c r="S23" s="2">
        <v>0</v>
      </c>
      <c r="T23" s="2">
        <v>0</v>
      </c>
      <c r="U23" s="2">
        <v>1</v>
      </c>
      <c r="V23" s="2">
        <v>1</v>
      </c>
      <c r="W23" s="5">
        <v>45401</v>
      </c>
      <c r="X23" s="5">
        <v>45401</v>
      </c>
      <c r="Y23" s="28">
        <f t="shared" si="0"/>
        <v>0</v>
      </c>
      <c r="Z23" s="2">
        <v>0</v>
      </c>
      <c r="AA23" s="2">
        <v>0</v>
      </c>
      <c r="AB23" s="2">
        <v>0</v>
      </c>
      <c r="AC23" s="2">
        <v>0</v>
      </c>
      <c r="AD23" s="2">
        <v>0</v>
      </c>
      <c r="AE23" s="2">
        <v>0</v>
      </c>
      <c r="AF23" s="2">
        <v>0</v>
      </c>
      <c r="AG23" s="2">
        <v>0</v>
      </c>
      <c r="AH23" s="2">
        <v>1</v>
      </c>
      <c r="AI23" s="2">
        <v>1</v>
      </c>
      <c r="AJ23" s="2" t="s">
        <v>55</v>
      </c>
      <c r="AK23" s="2">
        <v>1</v>
      </c>
      <c r="AL23" s="2">
        <v>1</v>
      </c>
      <c r="AM23" s="2">
        <v>1</v>
      </c>
      <c r="AN23" s="2">
        <f t="shared" si="1"/>
        <v>1</v>
      </c>
      <c r="AO23" s="2">
        <f t="shared" si="2"/>
        <v>0</v>
      </c>
      <c r="AP23" s="2">
        <f t="shared" si="3"/>
        <v>0</v>
      </c>
      <c r="AQ23" s="2">
        <v>0</v>
      </c>
      <c r="AR23" s="2">
        <v>1</v>
      </c>
      <c r="AS23" s="5">
        <v>45406</v>
      </c>
      <c r="AT23" s="2">
        <v>0</v>
      </c>
      <c r="AU23" s="2">
        <v>0</v>
      </c>
      <c r="AV23" s="2">
        <f t="shared" si="4"/>
        <v>5</v>
      </c>
      <c r="AW23" s="2">
        <v>1</v>
      </c>
      <c r="AX23" s="5">
        <v>45408</v>
      </c>
      <c r="AY23" s="2">
        <v>0</v>
      </c>
      <c r="AZ23" s="2">
        <v>0</v>
      </c>
      <c r="BA23" s="2">
        <v>0</v>
      </c>
      <c r="BB23" s="2">
        <v>0</v>
      </c>
      <c r="BC23" s="2">
        <f t="shared" si="8"/>
        <v>1</v>
      </c>
      <c r="BD23" s="2">
        <f t="shared" si="7"/>
        <v>1</v>
      </c>
      <c r="BE23" s="2">
        <v>0</v>
      </c>
      <c r="BF23" s="2">
        <f t="shared" si="5"/>
        <v>1</v>
      </c>
      <c r="BG23" s="2" t="s">
        <v>90</v>
      </c>
    </row>
    <row r="24" spans="1:59">
      <c r="A24" s="2">
        <v>23</v>
      </c>
      <c r="B24" s="5">
        <v>45401</v>
      </c>
      <c r="C24" s="5">
        <v>45447</v>
      </c>
      <c r="D24" s="2">
        <f t="shared" si="6"/>
        <v>46</v>
      </c>
      <c r="E24" s="2">
        <v>46</v>
      </c>
      <c r="F24" s="2">
        <v>2</v>
      </c>
      <c r="G24" s="2">
        <v>2</v>
      </c>
      <c r="H24" s="2">
        <v>1</v>
      </c>
      <c r="I24" s="2">
        <v>1</v>
      </c>
      <c r="J24" s="2">
        <v>0</v>
      </c>
      <c r="K24" s="2">
        <v>0</v>
      </c>
      <c r="L24" s="2">
        <v>1</v>
      </c>
      <c r="M24" s="2">
        <v>0</v>
      </c>
      <c r="N24" s="2">
        <v>0</v>
      </c>
      <c r="P24" t="s">
        <v>47</v>
      </c>
      <c r="Q24" s="2">
        <v>1</v>
      </c>
      <c r="R24" s="2">
        <v>0</v>
      </c>
      <c r="S24" s="2">
        <v>0</v>
      </c>
      <c r="T24" s="2">
        <v>0</v>
      </c>
      <c r="U24" s="2">
        <v>1</v>
      </c>
      <c r="V24" s="2">
        <v>3</v>
      </c>
      <c r="W24" s="5">
        <v>45401</v>
      </c>
      <c r="X24" s="5">
        <v>45404</v>
      </c>
      <c r="Y24" s="28">
        <f t="shared" si="0"/>
        <v>3</v>
      </c>
      <c r="Z24" s="2">
        <v>1</v>
      </c>
      <c r="AA24" s="2">
        <v>0</v>
      </c>
      <c r="AB24" s="2">
        <v>0</v>
      </c>
      <c r="AC24" s="2">
        <v>1</v>
      </c>
      <c r="AD24" s="2">
        <v>0</v>
      </c>
      <c r="AE24" s="2">
        <v>0</v>
      </c>
      <c r="AF24" s="2">
        <v>0</v>
      </c>
      <c r="AG24" s="2">
        <v>0</v>
      </c>
      <c r="AH24" s="2">
        <v>0</v>
      </c>
      <c r="AI24" s="2">
        <v>1</v>
      </c>
      <c r="AJ24" s="2" t="s">
        <v>91</v>
      </c>
      <c r="AK24" s="2">
        <v>1</v>
      </c>
      <c r="AL24" s="2">
        <v>0</v>
      </c>
      <c r="AM24" s="2">
        <v>1</v>
      </c>
      <c r="AN24" s="2">
        <f t="shared" si="1"/>
        <v>0</v>
      </c>
      <c r="AO24" s="2">
        <f t="shared" si="2"/>
        <v>0</v>
      </c>
      <c r="AP24" s="2">
        <f t="shared" si="3"/>
        <v>1</v>
      </c>
      <c r="AQ24" s="2">
        <v>1</v>
      </c>
      <c r="AR24" s="2">
        <v>1</v>
      </c>
      <c r="AS24" s="5">
        <v>45406</v>
      </c>
      <c r="AT24" s="2">
        <v>0</v>
      </c>
      <c r="AU24" s="2">
        <v>0</v>
      </c>
      <c r="AV24" s="2">
        <f t="shared" si="4"/>
        <v>5</v>
      </c>
      <c r="AW24" s="2">
        <v>1</v>
      </c>
      <c r="AX24" s="5">
        <v>45408</v>
      </c>
      <c r="AY24" s="2">
        <v>0</v>
      </c>
      <c r="AZ24" s="2">
        <v>0</v>
      </c>
      <c r="BA24" s="2">
        <v>0</v>
      </c>
      <c r="BB24" s="2">
        <v>0</v>
      </c>
      <c r="BC24" s="2">
        <f t="shared" si="8"/>
        <v>1</v>
      </c>
      <c r="BD24" s="2">
        <f t="shared" si="7"/>
        <v>1</v>
      </c>
      <c r="BE24" s="2">
        <v>0</v>
      </c>
      <c r="BF24" s="2">
        <f t="shared" si="5"/>
        <v>1</v>
      </c>
      <c r="BG24" s="2" t="s">
        <v>92</v>
      </c>
    </row>
    <row r="25" spans="1:59">
      <c r="A25" s="2">
        <v>24</v>
      </c>
      <c r="B25" s="5">
        <v>45402</v>
      </c>
      <c r="C25" s="5">
        <v>45412</v>
      </c>
      <c r="D25" s="2">
        <f t="shared" si="6"/>
        <v>10</v>
      </c>
      <c r="E25" s="2">
        <v>87</v>
      </c>
      <c r="F25" s="2">
        <v>2</v>
      </c>
      <c r="G25" s="2">
        <v>2</v>
      </c>
      <c r="H25" s="2">
        <v>1</v>
      </c>
      <c r="I25" s="2">
        <v>0</v>
      </c>
      <c r="J25" s="2">
        <v>0</v>
      </c>
      <c r="K25" s="2">
        <v>0</v>
      </c>
      <c r="L25" s="2">
        <v>0</v>
      </c>
      <c r="M25" s="2">
        <v>0</v>
      </c>
      <c r="N25" s="2">
        <v>1</v>
      </c>
      <c r="O25" s="2" t="s">
        <v>93</v>
      </c>
      <c r="P25" t="s">
        <v>52</v>
      </c>
      <c r="Q25" s="2">
        <v>1</v>
      </c>
      <c r="R25" s="2">
        <v>0</v>
      </c>
      <c r="S25" s="2">
        <v>0</v>
      </c>
      <c r="T25" s="2">
        <v>0</v>
      </c>
      <c r="U25" s="2">
        <v>1</v>
      </c>
      <c r="V25" s="2">
        <v>2</v>
      </c>
      <c r="W25" s="5">
        <v>45402</v>
      </c>
      <c r="X25" s="5">
        <v>45403</v>
      </c>
      <c r="Y25" s="28">
        <f t="shared" si="0"/>
        <v>1</v>
      </c>
      <c r="Z25" s="2">
        <v>0</v>
      </c>
      <c r="AA25" s="2">
        <v>0</v>
      </c>
      <c r="AB25" s="2">
        <v>0</v>
      </c>
      <c r="AC25" s="2">
        <v>0</v>
      </c>
      <c r="AD25" s="2">
        <v>0</v>
      </c>
      <c r="AE25" s="2">
        <v>0</v>
      </c>
      <c r="AF25" s="2">
        <v>0</v>
      </c>
      <c r="AG25" s="2">
        <v>0</v>
      </c>
      <c r="AH25" s="2">
        <v>0</v>
      </c>
      <c r="AI25" s="2">
        <v>1</v>
      </c>
      <c r="AJ25" s="2" t="s">
        <v>55</v>
      </c>
      <c r="AK25" s="11">
        <v>1</v>
      </c>
      <c r="AL25" s="2">
        <v>1</v>
      </c>
      <c r="AM25" s="2">
        <v>1</v>
      </c>
      <c r="AN25" s="2">
        <f t="shared" si="1"/>
        <v>1</v>
      </c>
      <c r="AO25" s="2">
        <f t="shared" si="2"/>
        <v>0</v>
      </c>
      <c r="AP25" s="2">
        <f t="shared" si="3"/>
        <v>0</v>
      </c>
      <c r="AQ25" s="2">
        <v>1</v>
      </c>
      <c r="AR25" s="2">
        <v>1</v>
      </c>
      <c r="AS25" s="5">
        <v>45406</v>
      </c>
      <c r="AT25" s="2">
        <v>0</v>
      </c>
      <c r="AU25" s="2">
        <v>0</v>
      </c>
      <c r="AV25" s="2">
        <f t="shared" si="4"/>
        <v>4</v>
      </c>
      <c r="AW25" s="2">
        <v>1</v>
      </c>
      <c r="AX25" s="5">
        <v>45411</v>
      </c>
      <c r="AY25" s="2">
        <v>0</v>
      </c>
      <c r="AZ25" s="2">
        <v>0</v>
      </c>
      <c r="BA25" s="2">
        <v>1</v>
      </c>
      <c r="BB25" s="2">
        <v>0</v>
      </c>
      <c r="BC25" s="2">
        <v>1</v>
      </c>
      <c r="BD25" s="2">
        <f t="shared" si="7"/>
        <v>0</v>
      </c>
      <c r="BE25" s="2">
        <v>0</v>
      </c>
      <c r="BF25" s="2">
        <f t="shared" si="5"/>
        <v>1</v>
      </c>
      <c r="BG25" s="2" t="s">
        <v>94</v>
      </c>
    </row>
    <row r="26" spans="1:59">
      <c r="A26" s="2">
        <v>25</v>
      </c>
      <c r="B26" s="5">
        <v>45405</v>
      </c>
      <c r="C26" s="5">
        <v>45423</v>
      </c>
      <c r="D26" s="2">
        <f t="shared" si="6"/>
        <v>18</v>
      </c>
      <c r="E26" s="2">
        <v>66</v>
      </c>
      <c r="F26" s="2">
        <v>1</v>
      </c>
      <c r="G26" s="2">
        <v>2</v>
      </c>
      <c r="H26" s="2">
        <v>1</v>
      </c>
      <c r="I26" s="2">
        <v>0</v>
      </c>
      <c r="J26" s="2">
        <v>0</v>
      </c>
      <c r="K26" s="2">
        <v>0</v>
      </c>
      <c r="L26" s="2">
        <v>0</v>
      </c>
      <c r="M26" s="2">
        <v>0</v>
      </c>
      <c r="N26" s="2">
        <v>1</v>
      </c>
      <c r="O26" s="2" t="s">
        <v>63</v>
      </c>
      <c r="P26" t="s">
        <v>52</v>
      </c>
      <c r="Q26" s="2">
        <v>1</v>
      </c>
      <c r="R26" s="2">
        <v>0</v>
      </c>
      <c r="S26" s="2">
        <v>0</v>
      </c>
      <c r="T26" s="2">
        <v>0</v>
      </c>
      <c r="U26" s="2">
        <v>1</v>
      </c>
      <c r="V26" s="2">
        <v>4</v>
      </c>
      <c r="W26" s="5">
        <v>45405</v>
      </c>
      <c r="X26" s="5">
        <v>45408</v>
      </c>
      <c r="Y26" s="28">
        <f t="shared" si="0"/>
        <v>3</v>
      </c>
      <c r="Z26" s="2">
        <v>1</v>
      </c>
      <c r="AA26" s="2">
        <v>1</v>
      </c>
      <c r="AB26" s="2">
        <v>0</v>
      </c>
      <c r="AC26" s="2">
        <v>0</v>
      </c>
      <c r="AD26" s="2">
        <v>1</v>
      </c>
      <c r="AE26" s="2">
        <v>0</v>
      </c>
      <c r="AF26" s="2">
        <v>0</v>
      </c>
      <c r="AG26" s="2">
        <v>0</v>
      </c>
      <c r="AH26" s="2">
        <v>0</v>
      </c>
      <c r="AI26" s="2">
        <v>1</v>
      </c>
      <c r="AJ26" s="2" t="s">
        <v>55</v>
      </c>
      <c r="AK26" s="11">
        <v>1</v>
      </c>
      <c r="AL26" s="2">
        <v>0</v>
      </c>
      <c r="AM26" s="2">
        <v>1</v>
      </c>
      <c r="AN26" s="2">
        <f t="shared" si="1"/>
        <v>0</v>
      </c>
      <c r="AO26" s="2">
        <f t="shared" si="2"/>
        <v>0</v>
      </c>
      <c r="AP26" s="2">
        <f t="shared" si="3"/>
        <v>1</v>
      </c>
      <c r="AQ26" s="2">
        <v>0</v>
      </c>
      <c r="AR26" s="2">
        <v>1</v>
      </c>
      <c r="AS26" s="5">
        <v>45411</v>
      </c>
      <c r="AT26" s="2">
        <v>0</v>
      </c>
      <c r="AU26" s="2">
        <v>0</v>
      </c>
      <c r="AV26" s="2">
        <f t="shared" si="4"/>
        <v>6</v>
      </c>
      <c r="AW26" s="2">
        <v>0</v>
      </c>
      <c r="BA26" s="2">
        <v>0</v>
      </c>
      <c r="BB26" s="2">
        <v>0</v>
      </c>
      <c r="BC26" s="2">
        <f t="shared" si="8"/>
        <v>0</v>
      </c>
      <c r="BD26" s="2">
        <f t="shared" si="7"/>
        <v>0</v>
      </c>
      <c r="BE26" s="2">
        <v>1</v>
      </c>
      <c r="BF26" s="2">
        <f t="shared" si="5"/>
        <v>0</v>
      </c>
      <c r="BG26" s="2" t="s">
        <v>95</v>
      </c>
    </row>
    <row r="27" spans="1:59">
      <c r="A27" s="2">
        <v>26</v>
      </c>
      <c r="B27" s="5">
        <v>45406</v>
      </c>
      <c r="C27" s="5">
        <v>45424</v>
      </c>
      <c r="D27" s="2">
        <f t="shared" si="6"/>
        <v>18</v>
      </c>
      <c r="E27" s="2">
        <v>59</v>
      </c>
      <c r="F27" s="2">
        <v>2</v>
      </c>
      <c r="G27" s="2">
        <v>2</v>
      </c>
      <c r="H27" s="2">
        <v>1</v>
      </c>
      <c r="I27" s="2">
        <v>0</v>
      </c>
      <c r="J27" s="2">
        <v>0</v>
      </c>
      <c r="K27" s="2">
        <v>0</v>
      </c>
      <c r="L27" s="2">
        <v>1</v>
      </c>
      <c r="M27" s="2">
        <v>0</v>
      </c>
      <c r="N27" s="2">
        <v>1</v>
      </c>
      <c r="O27" s="2" t="s">
        <v>70</v>
      </c>
      <c r="P27" t="s">
        <v>52</v>
      </c>
      <c r="Q27" s="2">
        <v>1</v>
      </c>
      <c r="R27" s="2">
        <v>0</v>
      </c>
      <c r="S27" s="2">
        <v>0</v>
      </c>
      <c r="T27" s="2">
        <v>0</v>
      </c>
      <c r="U27" s="2">
        <v>1</v>
      </c>
      <c r="V27" s="2">
        <v>3</v>
      </c>
      <c r="W27" s="5">
        <v>45406</v>
      </c>
      <c r="X27" s="5">
        <v>45409</v>
      </c>
      <c r="Y27" s="28">
        <f t="shared" si="0"/>
        <v>3</v>
      </c>
      <c r="Z27" s="2">
        <v>1</v>
      </c>
      <c r="AA27" s="2">
        <v>0</v>
      </c>
      <c r="AB27" s="2">
        <v>0</v>
      </c>
      <c r="AC27" s="2">
        <v>1</v>
      </c>
      <c r="AD27" s="2">
        <v>0</v>
      </c>
      <c r="AE27" s="2">
        <v>0</v>
      </c>
      <c r="AF27" s="2">
        <v>0</v>
      </c>
      <c r="AG27" s="2">
        <v>0</v>
      </c>
      <c r="AH27" s="2">
        <v>0</v>
      </c>
      <c r="AI27" s="2">
        <v>1</v>
      </c>
      <c r="AJ27" s="2" t="s">
        <v>55</v>
      </c>
      <c r="AK27" s="2">
        <v>1</v>
      </c>
      <c r="AL27" s="2">
        <v>1</v>
      </c>
      <c r="AM27" s="2">
        <v>1</v>
      </c>
      <c r="AN27" s="2">
        <f t="shared" si="1"/>
        <v>1</v>
      </c>
      <c r="AO27" s="2">
        <f t="shared" si="2"/>
        <v>0</v>
      </c>
      <c r="AP27" s="2">
        <f t="shared" si="3"/>
        <v>0</v>
      </c>
      <c r="AQ27" s="2">
        <v>1</v>
      </c>
      <c r="AR27" s="2">
        <v>1</v>
      </c>
      <c r="AS27" s="5">
        <v>45415</v>
      </c>
      <c r="AT27" s="2">
        <v>1</v>
      </c>
      <c r="AU27" s="2">
        <v>0</v>
      </c>
      <c r="AV27" s="2">
        <f t="shared" si="4"/>
        <v>9</v>
      </c>
      <c r="AW27" s="2">
        <v>0</v>
      </c>
      <c r="BA27" s="2">
        <v>0</v>
      </c>
      <c r="BB27" s="2">
        <v>1</v>
      </c>
      <c r="BC27" s="2">
        <v>1</v>
      </c>
      <c r="BD27" s="2">
        <f t="shared" si="7"/>
        <v>0</v>
      </c>
      <c r="BE27" s="2">
        <v>1</v>
      </c>
      <c r="BF27" s="2">
        <f t="shared" si="5"/>
        <v>0</v>
      </c>
      <c r="BG27" s="2" t="s">
        <v>96</v>
      </c>
    </row>
    <row r="28" spans="1:59">
      <c r="A28" s="8">
        <v>27</v>
      </c>
      <c r="B28" s="5">
        <v>45403</v>
      </c>
      <c r="C28" s="6">
        <v>45412</v>
      </c>
      <c r="D28" s="2">
        <f t="shared" si="6"/>
        <v>9</v>
      </c>
      <c r="E28" s="2">
        <v>72</v>
      </c>
      <c r="F28" s="2">
        <v>1</v>
      </c>
      <c r="G28" s="2">
        <v>2</v>
      </c>
      <c r="H28" s="2">
        <v>1</v>
      </c>
      <c r="I28" s="2">
        <v>0</v>
      </c>
      <c r="J28" s="2">
        <v>0</v>
      </c>
      <c r="K28" s="2">
        <v>0</v>
      </c>
      <c r="L28" s="2">
        <v>0</v>
      </c>
      <c r="M28" s="2">
        <v>0</v>
      </c>
      <c r="N28" s="2">
        <v>1</v>
      </c>
      <c r="O28" s="2" t="s">
        <v>97</v>
      </c>
      <c r="P28" t="s">
        <v>52</v>
      </c>
      <c r="Q28" s="2">
        <v>1</v>
      </c>
      <c r="R28" s="2">
        <v>0</v>
      </c>
      <c r="S28" s="2">
        <v>0</v>
      </c>
      <c r="T28" s="2">
        <v>0</v>
      </c>
      <c r="U28" s="2">
        <v>1</v>
      </c>
      <c r="V28" s="2">
        <v>2</v>
      </c>
      <c r="W28" s="5">
        <v>45407</v>
      </c>
      <c r="X28" s="5">
        <v>45409</v>
      </c>
      <c r="Y28" s="28">
        <f t="shared" si="0"/>
        <v>2</v>
      </c>
      <c r="Z28" s="2">
        <v>1</v>
      </c>
      <c r="AA28" s="2">
        <v>1</v>
      </c>
      <c r="AB28" s="2">
        <v>0</v>
      </c>
      <c r="AC28" s="2">
        <v>0</v>
      </c>
      <c r="AD28" s="2">
        <v>0</v>
      </c>
      <c r="AE28" s="2">
        <v>0</v>
      </c>
      <c r="AF28" s="2">
        <v>0</v>
      </c>
      <c r="AG28" s="2">
        <v>0</v>
      </c>
      <c r="AH28" s="2">
        <v>1</v>
      </c>
      <c r="AI28" s="2">
        <v>1</v>
      </c>
      <c r="AJ28" s="2" t="s">
        <v>55</v>
      </c>
      <c r="AK28" s="2">
        <v>1</v>
      </c>
      <c r="AL28" s="2">
        <v>1</v>
      </c>
      <c r="AM28" s="2">
        <v>1</v>
      </c>
      <c r="AN28" s="2">
        <f t="shared" si="1"/>
        <v>1</v>
      </c>
      <c r="AO28" s="2">
        <f t="shared" si="2"/>
        <v>0</v>
      </c>
      <c r="AP28" s="2">
        <f t="shared" si="3"/>
        <v>0</v>
      </c>
      <c r="AQ28" s="2">
        <v>1</v>
      </c>
      <c r="AR28" s="2">
        <v>1</v>
      </c>
      <c r="AS28" s="5">
        <v>45408</v>
      </c>
      <c r="AT28" s="2">
        <v>0</v>
      </c>
      <c r="AU28" s="2">
        <v>0</v>
      </c>
      <c r="AV28" s="2">
        <f t="shared" si="4"/>
        <v>5</v>
      </c>
      <c r="AW28" s="2">
        <v>0</v>
      </c>
      <c r="BA28" s="2">
        <v>0</v>
      </c>
      <c r="BB28" s="2">
        <v>0</v>
      </c>
      <c r="BC28" s="2">
        <v>1</v>
      </c>
      <c r="BD28" s="2">
        <f t="shared" si="7"/>
        <v>0</v>
      </c>
      <c r="BE28" s="2">
        <v>0</v>
      </c>
      <c r="BF28" s="2">
        <f t="shared" si="5"/>
        <v>0</v>
      </c>
      <c r="BG28" s="2" t="s">
        <v>98</v>
      </c>
    </row>
    <row r="29" spans="1:59">
      <c r="A29" s="2">
        <v>28</v>
      </c>
      <c r="B29" s="5">
        <v>45406</v>
      </c>
      <c r="C29" s="5">
        <v>45422</v>
      </c>
      <c r="D29" s="2">
        <f t="shared" si="6"/>
        <v>16</v>
      </c>
      <c r="E29" s="2">
        <v>71</v>
      </c>
      <c r="F29" s="2">
        <v>2</v>
      </c>
      <c r="G29" s="2">
        <v>2</v>
      </c>
      <c r="H29" s="2">
        <v>1</v>
      </c>
      <c r="I29" s="2">
        <v>0</v>
      </c>
      <c r="J29" s="2">
        <v>0</v>
      </c>
      <c r="K29" s="2">
        <v>0</v>
      </c>
      <c r="L29" s="2">
        <v>0</v>
      </c>
      <c r="M29" s="2">
        <v>0</v>
      </c>
      <c r="N29" s="2">
        <v>1</v>
      </c>
      <c r="O29" s="2" t="s">
        <v>99</v>
      </c>
      <c r="P29" t="s">
        <v>52</v>
      </c>
      <c r="Q29" s="2">
        <v>1</v>
      </c>
      <c r="R29" s="2">
        <v>0</v>
      </c>
      <c r="S29" s="2">
        <v>0</v>
      </c>
      <c r="T29" s="2">
        <v>0</v>
      </c>
      <c r="U29" s="2">
        <v>1</v>
      </c>
      <c r="V29" s="2">
        <v>2</v>
      </c>
      <c r="W29" s="5">
        <v>45409</v>
      </c>
      <c r="X29" s="5">
        <v>45410</v>
      </c>
      <c r="Y29" s="28">
        <f t="shared" si="0"/>
        <v>1</v>
      </c>
      <c r="Z29" s="2">
        <v>1</v>
      </c>
      <c r="AA29" s="2">
        <v>1</v>
      </c>
      <c r="AB29" s="2">
        <v>0</v>
      </c>
      <c r="AC29" s="2">
        <v>0</v>
      </c>
      <c r="AD29" s="2">
        <v>1</v>
      </c>
      <c r="AE29" s="2">
        <v>0</v>
      </c>
      <c r="AF29" s="2">
        <v>0</v>
      </c>
      <c r="AG29" s="2">
        <v>0</v>
      </c>
      <c r="AH29" s="2">
        <v>1</v>
      </c>
      <c r="AI29" s="2">
        <v>1</v>
      </c>
      <c r="AJ29" s="2" t="s">
        <v>79</v>
      </c>
      <c r="AK29" s="2">
        <v>1</v>
      </c>
      <c r="AL29" s="2">
        <v>1</v>
      </c>
      <c r="AM29" s="2">
        <v>1</v>
      </c>
      <c r="AN29" s="2">
        <f t="shared" si="1"/>
        <v>1</v>
      </c>
      <c r="AO29" s="2">
        <f t="shared" si="2"/>
        <v>0</v>
      </c>
      <c r="AP29" s="2">
        <f t="shared" si="3"/>
        <v>0</v>
      </c>
      <c r="AQ29" s="2">
        <v>1</v>
      </c>
      <c r="AR29" s="2">
        <v>1</v>
      </c>
      <c r="AS29" s="5">
        <v>45414</v>
      </c>
      <c r="AT29" s="2">
        <v>0</v>
      </c>
      <c r="AU29" s="2">
        <v>0</v>
      </c>
      <c r="AV29" s="2">
        <f t="shared" si="4"/>
        <v>8</v>
      </c>
      <c r="AW29" s="2">
        <v>0</v>
      </c>
      <c r="BA29" s="2">
        <v>0</v>
      </c>
      <c r="BB29" s="2">
        <v>0</v>
      </c>
      <c r="BC29" s="2">
        <v>1</v>
      </c>
      <c r="BD29" s="2">
        <f t="shared" si="7"/>
        <v>0</v>
      </c>
      <c r="BE29" s="2">
        <v>0</v>
      </c>
      <c r="BF29" s="2">
        <f t="shared" si="5"/>
        <v>0</v>
      </c>
      <c r="BG29" s="2" t="s">
        <v>100</v>
      </c>
    </row>
    <row r="30" spans="1:59">
      <c r="A30" s="2">
        <v>29</v>
      </c>
      <c r="B30" s="5">
        <v>45347</v>
      </c>
      <c r="C30" s="5">
        <v>45454</v>
      </c>
      <c r="D30" s="2">
        <f t="shared" si="6"/>
        <v>107</v>
      </c>
      <c r="E30" s="2">
        <v>54</v>
      </c>
      <c r="F30" s="2">
        <v>1</v>
      </c>
      <c r="G30" s="2">
        <v>3</v>
      </c>
      <c r="H30" s="2">
        <v>0</v>
      </c>
      <c r="I30" s="2">
        <v>0</v>
      </c>
      <c r="J30" s="2">
        <v>0</v>
      </c>
      <c r="K30" s="2">
        <v>0</v>
      </c>
      <c r="L30" s="2">
        <v>0</v>
      </c>
      <c r="M30" s="2">
        <v>0</v>
      </c>
      <c r="N30" s="2">
        <v>0</v>
      </c>
      <c r="P30" t="s">
        <v>47</v>
      </c>
      <c r="Q30" s="2">
        <v>1</v>
      </c>
      <c r="R30" s="2">
        <v>0</v>
      </c>
      <c r="S30" s="2">
        <v>0</v>
      </c>
      <c r="T30" s="2">
        <v>0</v>
      </c>
      <c r="U30" s="2">
        <v>1</v>
      </c>
      <c r="V30" s="2">
        <v>4</v>
      </c>
      <c r="W30" s="5">
        <v>45407</v>
      </c>
      <c r="X30" s="5">
        <v>45410</v>
      </c>
      <c r="Y30" s="28">
        <f t="shared" si="0"/>
        <v>3</v>
      </c>
      <c r="Z30" s="2">
        <v>1</v>
      </c>
      <c r="AA30" s="2">
        <v>0</v>
      </c>
      <c r="AB30" s="2">
        <v>1</v>
      </c>
      <c r="AC30" s="2">
        <v>0</v>
      </c>
      <c r="AD30" s="2">
        <v>0</v>
      </c>
      <c r="AE30" s="2">
        <v>0</v>
      </c>
      <c r="AF30" s="2">
        <v>0</v>
      </c>
      <c r="AG30" s="2">
        <v>0</v>
      </c>
      <c r="AH30" s="2">
        <v>0</v>
      </c>
      <c r="AI30" s="2">
        <v>1</v>
      </c>
      <c r="AJ30" s="2" t="s">
        <v>91</v>
      </c>
      <c r="AK30" s="2">
        <v>1</v>
      </c>
      <c r="AL30" s="2">
        <v>1</v>
      </c>
      <c r="AM30" s="2">
        <v>0</v>
      </c>
      <c r="AN30" s="2">
        <f t="shared" si="1"/>
        <v>0</v>
      </c>
      <c r="AO30" s="2">
        <f t="shared" si="2"/>
        <v>1</v>
      </c>
      <c r="AP30" s="2">
        <f t="shared" si="3"/>
        <v>0</v>
      </c>
      <c r="AQ30" s="2">
        <v>1</v>
      </c>
      <c r="AR30" s="2">
        <v>1</v>
      </c>
      <c r="AS30" s="5">
        <v>45411</v>
      </c>
      <c r="AT30" s="2">
        <v>0</v>
      </c>
      <c r="AU30" s="2">
        <v>0</v>
      </c>
      <c r="AV30" s="2">
        <f t="shared" si="4"/>
        <v>64</v>
      </c>
      <c r="AW30" s="2">
        <v>0</v>
      </c>
      <c r="BA30" s="2">
        <v>0</v>
      </c>
      <c r="BB30" s="2">
        <v>0</v>
      </c>
      <c r="BC30" s="2">
        <v>1</v>
      </c>
      <c r="BD30" s="2">
        <f t="shared" si="7"/>
        <v>0</v>
      </c>
      <c r="BE30" s="2">
        <v>1</v>
      </c>
      <c r="BF30" s="2">
        <f t="shared" si="5"/>
        <v>0</v>
      </c>
      <c r="BG30" s="2" t="s">
        <v>101</v>
      </c>
    </row>
    <row r="31" spans="1:59">
      <c r="A31" s="2">
        <v>30</v>
      </c>
      <c r="B31" s="5">
        <v>45351</v>
      </c>
      <c r="C31" s="5">
        <v>45379</v>
      </c>
      <c r="D31" s="2">
        <f t="shared" si="6"/>
        <v>28</v>
      </c>
      <c r="E31" s="2">
        <v>28</v>
      </c>
      <c r="F31" s="2">
        <v>2</v>
      </c>
      <c r="G31" s="2">
        <v>2</v>
      </c>
      <c r="H31" s="2">
        <v>1</v>
      </c>
      <c r="I31" s="2">
        <v>1</v>
      </c>
      <c r="J31" s="2">
        <v>0</v>
      </c>
      <c r="K31" s="2">
        <v>0</v>
      </c>
      <c r="L31" s="2">
        <v>0</v>
      </c>
      <c r="M31" s="2">
        <v>0</v>
      </c>
      <c r="N31" s="2">
        <v>0</v>
      </c>
      <c r="P31" t="s">
        <v>47</v>
      </c>
      <c r="Q31" s="2">
        <v>1</v>
      </c>
      <c r="R31" s="2">
        <v>0</v>
      </c>
      <c r="S31" s="2">
        <v>0</v>
      </c>
      <c r="T31" s="2">
        <v>0</v>
      </c>
      <c r="U31" s="2">
        <v>1</v>
      </c>
      <c r="V31" s="2">
        <v>3</v>
      </c>
      <c r="W31" s="5">
        <v>45351</v>
      </c>
      <c r="X31" s="5">
        <v>45353</v>
      </c>
      <c r="Y31" s="28">
        <f t="shared" si="0"/>
        <v>2</v>
      </c>
      <c r="Z31" s="2">
        <v>1</v>
      </c>
      <c r="AA31" s="2">
        <v>0</v>
      </c>
      <c r="AB31" s="2">
        <v>0</v>
      </c>
      <c r="AC31" s="2">
        <v>0</v>
      </c>
      <c r="AD31" s="2">
        <v>0</v>
      </c>
      <c r="AE31" s="2">
        <v>0</v>
      </c>
      <c r="AF31" s="2">
        <v>1</v>
      </c>
      <c r="AG31" s="2">
        <v>0</v>
      </c>
      <c r="AH31" s="2">
        <v>0</v>
      </c>
      <c r="AI31" s="2">
        <v>1</v>
      </c>
      <c r="AJ31" s="2" t="s">
        <v>91</v>
      </c>
      <c r="AK31" s="2">
        <v>1</v>
      </c>
      <c r="AL31" s="2">
        <v>1</v>
      </c>
      <c r="AM31" s="2">
        <v>0</v>
      </c>
      <c r="AN31" s="2">
        <f t="shared" si="1"/>
        <v>0</v>
      </c>
      <c r="AO31" s="2">
        <f t="shared" si="2"/>
        <v>1</v>
      </c>
      <c r="AP31" s="2">
        <f t="shared" si="3"/>
        <v>0</v>
      </c>
      <c r="AQ31" s="2">
        <v>1</v>
      </c>
      <c r="AR31" s="2">
        <v>1</v>
      </c>
      <c r="AS31" s="5">
        <v>45352</v>
      </c>
      <c r="AT31" s="2">
        <v>0</v>
      </c>
      <c r="AU31" s="2">
        <v>1</v>
      </c>
      <c r="AV31" s="2">
        <f t="shared" si="4"/>
        <v>1</v>
      </c>
      <c r="AW31" s="2">
        <v>1</v>
      </c>
      <c r="AX31" s="5">
        <v>45365</v>
      </c>
      <c r="AY31" s="2">
        <v>0</v>
      </c>
      <c r="AZ31" s="2">
        <v>1</v>
      </c>
      <c r="BA31" s="2">
        <v>0</v>
      </c>
      <c r="BB31" s="2">
        <v>0</v>
      </c>
      <c r="BC31" s="2">
        <f t="shared" si="8"/>
        <v>1</v>
      </c>
      <c r="BD31" s="2">
        <f t="shared" si="7"/>
        <v>1</v>
      </c>
      <c r="BE31" s="2">
        <v>0</v>
      </c>
      <c r="BF31" s="2">
        <f t="shared" si="5"/>
        <v>1</v>
      </c>
      <c r="BG31" s="2" t="s">
        <v>102</v>
      </c>
    </row>
    <row r="32" spans="1:59">
      <c r="A32" s="8">
        <v>31</v>
      </c>
      <c r="B32" s="5">
        <v>45343</v>
      </c>
      <c r="C32" s="6">
        <v>45368</v>
      </c>
      <c r="D32" s="2">
        <f t="shared" si="6"/>
        <v>25</v>
      </c>
      <c r="E32" s="2">
        <v>82</v>
      </c>
      <c r="F32" s="2">
        <v>1</v>
      </c>
      <c r="G32" s="2">
        <v>2</v>
      </c>
      <c r="H32" s="2">
        <v>1</v>
      </c>
      <c r="I32" s="2">
        <v>0</v>
      </c>
      <c r="J32" s="2">
        <v>0</v>
      </c>
      <c r="K32" s="2">
        <v>0</v>
      </c>
      <c r="L32" s="2">
        <v>1</v>
      </c>
      <c r="M32" s="2">
        <v>0</v>
      </c>
      <c r="N32" s="2">
        <v>1</v>
      </c>
      <c r="O32" s="2" t="s">
        <v>103</v>
      </c>
      <c r="P32" t="s">
        <v>52</v>
      </c>
      <c r="Q32" s="2">
        <v>1</v>
      </c>
      <c r="R32" s="2">
        <v>0</v>
      </c>
      <c r="S32" s="2">
        <v>0</v>
      </c>
      <c r="T32" s="2">
        <v>0</v>
      </c>
      <c r="U32" s="2">
        <v>1</v>
      </c>
      <c r="V32" s="2">
        <v>2</v>
      </c>
      <c r="W32" s="5">
        <v>45351</v>
      </c>
      <c r="X32" s="5">
        <v>45352</v>
      </c>
      <c r="Y32" s="28">
        <f t="shared" si="0"/>
        <v>1</v>
      </c>
      <c r="Z32" s="2">
        <v>1</v>
      </c>
      <c r="AA32" s="2">
        <v>0</v>
      </c>
      <c r="AB32" s="2">
        <v>0</v>
      </c>
      <c r="AC32" s="2">
        <v>1</v>
      </c>
      <c r="AD32" s="2">
        <v>0</v>
      </c>
      <c r="AE32" s="2">
        <v>0</v>
      </c>
      <c r="AF32" s="2">
        <v>0</v>
      </c>
      <c r="AG32" s="2">
        <v>1</v>
      </c>
      <c r="AH32" s="2">
        <v>0</v>
      </c>
      <c r="AI32" s="2">
        <v>1</v>
      </c>
      <c r="AJ32" s="2" t="s">
        <v>91</v>
      </c>
      <c r="AK32" s="2">
        <v>1</v>
      </c>
      <c r="AL32" s="2">
        <v>0</v>
      </c>
      <c r="AM32" s="2">
        <v>1</v>
      </c>
      <c r="AN32" s="2">
        <f t="shared" si="1"/>
        <v>0</v>
      </c>
      <c r="AO32" s="2">
        <f t="shared" si="2"/>
        <v>0</v>
      </c>
      <c r="AP32" s="2">
        <f t="shared" si="3"/>
        <v>1</v>
      </c>
      <c r="AQ32" s="2">
        <v>0</v>
      </c>
      <c r="AR32" s="2">
        <v>1</v>
      </c>
      <c r="AS32" s="5">
        <v>45352</v>
      </c>
      <c r="AT32" s="2">
        <v>0</v>
      </c>
      <c r="AU32" s="2">
        <v>1</v>
      </c>
      <c r="AV32" s="2">
        <f t="shared" si="4"/>
        <v>9</v>
      </c>
      <c r="AW32" s="2">
        <v>0</v>
      </c>
      <c r="BA32" s="2">
        <v>0</v>
      </c>
      <c r="BB32" s="2">
        <v>0</v>
      </c>
      <c r="BC32" s="2">
        <v>1</v>
      </c>
      <c r="BD32" s="2">
        <v>1</v>
      </c>
      <c r="BE32" s="2">
        <v>1</v>
      </c>
      <c r="BF32" s="2">
        <f t="shared" si="5"/>
        <v>0</v>
      </c>
      <c r="BG32" s="2" t="s">
        <v>289</v>
      </c>
    </row>
    <row r="33" spans="1:59">
      <c r="A33" s="2">
        <v>32</v>
      </c>
      <c r="B33" s="5">
        <v>45355</v>
      </c>
      <c r="C33" s="5">
        <v>45378</v>
      </c>
      <c r="D33" s="2">
        <f t="shared" si="6"/>
        <v>23</v>
      </c>
      <c r="E33" s="2">
        <v>79</v>
      </c>
      <c r="F33" s="2">
        <v>2</v>
      </c>
      <c r="G33" s="2">
        <v>2</v>
      </c>
      <c r="H33" s="2">
        <v>1</v>
      </c>
      <c r="I33" s="2">
        <v>0</v>
      </c>
      <c r="J33" s="2">
        <v>0</v>
      </c>
      <c r="K33" s="2">
        <v>0</v>
      </c>
      <c r="L33" s="2">
        <v>0</v>
      </c>
      <c r="M33" s="2">
        <v>0</v>
      </c>
      <c r="N33" s="2">
        <v>1</v>
      </c>
      <c r="O33" s="2" t="s">
        <v>106</v>
      </c>
      <c r="P33" t="s">
        <v>47</v>
      </c>
      <c r="Q33" s="2">
        <v>1</v>
      </c>
      <c r="R33" s="2">
        <v>0</v>
      </c>
      <c r="S33" s="2">
        <v>0</v>
      </c>
      <c r="T33" s="2">
        <v>0</v>
      </c>
      <c r="U33" s="2">
        <v>1</v>
      </c>
      <c r="V33" s="2">
        <v>5</v>
      </c>
      <c r="W33" s="5">
        <v>45355</v>
      </c>
      <c r="X33" s="5">
        <v>45359</v>
      </c>
      <c r="Y33" s="28">
        <f t="shared" si="0"/>
        <v>4</v>
      </c>
      <c r="Z33" s="2">
        <v>0</v>
      </c>
      <c r="AA33" s="2">
        <v>0</v>
      </c>
      <c r="AB33" s="2">
        <v>0</v>
      </c>
      <c r="AC33" s="2">
        <v>0</v>
      </c>
      <c r="AD33" s="2">
        <v>0</v>
      </c>
      <c r="AE33" s="2">
        <v>0</v>
      </c>
      <c r="AF33" s="2">
        <v>0</v>
      </c>
      <c r="AG33" s="2">
        <v>0</v>
      </c>
      <c r="AH33" s="2">
        <v>0</v>
      </c>
      <c r="AI33" s="2">
        <v>1</v>
      </c>
      <c r="AJ33" s="2" t="s">
        <v>48</v>
      </c>
      <c r="AK33" s="2">
        <v>1</v>
      </c>
      <c r="AL33" s="2">
        <v>1</v>
      </c>
      <c r="AM33" s="2">
        <v>1</v>
      </c>
      <c r="AN33" s="2">
        <f t="shared" si="1"/>
        <v>1</v>
      </c>
      <c r="AO33" s="2">
        <f t="shared" si="2"/>
        <v>0</v>
      </c>
      <c r="AP33" s="2">
        <f t="shared" si="3"/>
        <v>0</v>
      </c>
      <c r="AQ33" s="2">
        <v>1</v>
      </c>
      <c r="AR33" s="2">
        <v>1</v>
      </c>
      <c r="AS33" s="5">
        <v>45357</v>
      </c>
      <c r="AT33" s="2">
        <v>0</v>
      </c>
      <c r="AU33" s="2">
        <v>0</v>
      </c>
      <c r="AV33" s="2">
        <f t="shared" si="4"/>
        <v>2</v>
      </c>
      <c r="AW33" s="2">
        <v>1</v>
      </c>
      <c r="AX33" s="5">
        <v>45364</v>
      </c>
      <c r="AY33" s="2">
        <v>0</v>
      </c>
      <c r="AZ33" s="2">
        <v>0</v>
      </c>
      <c r="BA33" s="2">
        <v>0</v>
      </c>
      <c r="BB33" s="2">
        <v>0</v>
      </c>
      <c r="BC33" s="2">
        <v>1</v>
      </c>
      <c r="BD33" s="2">
        <f t="shared" si="7"/>
        <v>0</v>
      </c>
      <c r="BE33" s="2">
        <v>0</v>
      </c>
      <c r="BF33" s="2">
        <f t="shared" si="5"/>
        <v>1</v>
      </c>
      <c r="BG33" s="2" t="s">
        <v>107</v>
      </c>
    </row>
    <row r="34" spans="1:59">
      <c r="A34" s="8">
        <v>33</v>
      </c>
      <c r="B34" s="5">
        <v>45356</v>
      </c>
      <c r="C34" s="6">
        <v>45383</v>
      </c>
      <c r="D34" s="2">
        <f t="shared" si="6"/>
        <v>27</v>
      </c>
      <c r="E34" s="2">
        <v>77</v>
      </c>
      <c r="F34" s="2">
        <v>2</v>
      </c>
      <c r="G34" s="2">
        <v>3</v>
      </c>
      <c r="H34" s="2">
        <v>1</v>
      </c>
      <c r="I34" s="2">
        <v>0</v>
      </c>
      <c r="J34" s="2">
        <v>0</v>
      </c>
      <c r="K34" s="2">
        <v>1</v>
      </c>
      <c r="L34" s="2">
        <v>0</v>
      </c>
      <c r="M34" s="2">
        <v>0</v>
      </c>
      <c r="N34" s="2">
        <v>1</v>
      </c>
      <c r="O34" s="2" t="s">
        <v>108</v>
      </c>
      <c r="P34" t="s">
        <v>52</v>
      </c>
      <c r="Q34" s="2">
        <v>1</v>
      </c>
      <c r="R34" s="2">
        <v>0</v>
      </c>
      <c r="S34" s="2">
        <v>0</v>
      </c>
      <c r="T34" s="2">
        <v>0</v>
      </c>
      <c r="U34" s="2">
        <v>1</v>
      </c>
      <c r="V34" s="2">
        <v>3</v>
      </c>
      <c r="W34" s="5">
        <v>45364</v>
      </c>
      <c r="X34" s="5">
        <v>45366</v>
      </c>
      <c r="Y34" s="28">
        <f t="shared" si="0"/>
        <v>2</v>
      </c>
      <c r="Z34" s="2">
        <v>0</v>
      </c>
      <c r="AA34" s="2">
        <v>0</v>
      </c>
      <c r="AB34" s="2">
        <v>0</v>
      </c>
      <c r="AC34" s="2">
        <v>0</v>
      </c>
      <c r="AD34" s="2">
        <v>0</v>
      </c>
      <c r="AE34" s="2">
        <v>0</v>
      </c>
      <c r="AF34" s="2">
        <v>0</v>
      </c>
      <c r="AG34" s="2">
        <v>0</v>
      </c>
      <c r="AH34" s="2">
        <v>0</v>
      </c>
      <c r="AI34" s="2">
        <v>1</v>
      </c>
      <c r="AJ34" s="2" t="s">
        <v>55</v>
      </c>
      <c r="AK34" s="2">
        <v>1</v>
      </c>
      <c r="AL34" s="2">
        <v>0</v>
      </c>
      <c r="AM34" s="2">
        <v>1</v>
      </c>
      <c r="AN34" s="2">
        <f t="shared" si="1"/>
        <v>0</v>
      </c>
      <c r="AO34" s="2">
        <f t="shared" si="2"/>
        <v>0</v>
      </c>
      <c r="AP34" s="2">
        <f t="shared" si="3"/>
        <v>1</v>
      </c>
      <c r="AQ34" s="2">
        <v>1</v>
      </c>
      <c r="AR34" s="2">
        <v>1</v>
      </c>
      <c r="AS34" s="5">
        <v>45365</v>
      </c>
      <c r="AT34" s="2">
        <v>0</v>
      </c>
      <c r="AU34" s="2">
        <v>0</v>
      </c>
      <c r="AV34" s="2">
        <f t="shared" si="4"/>
        <v>9</v>
      </c>
      <c r="AW34" s="2">
        <v>1</v>
      </c>
      <c r="AX34" s="5">
        <v>45366</v>
      </c>
      <c r="AY34" s="2">
        <v>1</v>
      </c>
      <c r="AZ34" s="2">
        <v>0</v>
      </c>
      <c r="BA34" s="2">
        <v>0</v>
      </c>
      <c r="BB34" s="2">
        <v>1</v>
      </c>
      <c r="BC34" s="2">
        <f t="shared" si="8"/>
        <v>1</v>
      </c>
      <c r="BD34" s="2">
        <f t="shared" si="7"/>
        <v>1</v>
      </c>
      <c r="BE34" s="2">
        <v>0</v>
      </c>
      <c r="BF34" s="2">
        <f t="shared" si="5"/>
        <v>1</v>
      </c>
      <c r="BG34" s="2" t="s">
        <v>109</v>
      </c>
    </row>
    <row r="35" spans="1:59">
      <c r="A35" s="2">
        <v>34</v>
      </c>
      <c r="B35" s="5">
        <v>45364</v>
      </c>
      <c r="C35" s="5">
        <v>45377</v>
      </c>
      <c r="D35" s="2">
        <f t="shared" si="6"/>
        <v>13</v>
      </c>
      <c r="E35" s="2">
        <v>95</v>
      </c>
      <c r="F35" s="2">
        <v>2</v>
      </c>
      <c r="G35" s="2">
        <v>4</v>
      </c>
      <c r="H35" s="2">
        <v>0</v>
      </c>
      <c r="I35" s="2">
        <v>0</v>
      </c>
      <c r="J35" s="2">
        <v>0</v>
      </c>
      <c r="K35" s="2">
        <v>0</v>
      </c>
      <c r="L35" s="2">
        <v>0</v>
      </c>
      <c r="M35" s="2">
        <v>0</v>
      </c>
      <c r="N35" s="2">
        <v>0</v>
      </c>
      <c r="P35" t="s">
        <v>52</v>
      </c>
      <c r="Q35" s="2">
        <v>1</v>
      </c>
      <c r="R35" s="2">
        <v>0</v>
      </c>
      <c r="S35" s="2">
        <v>0</v>
      </c>
      <c r="T35" s="2">
        <v>0</v>
      </c>
      <c r="U35" s="2">
        <v>1</v>
      </c>
      <c r="V35" s="2">
        <v>5</v>
      </c>
      <c r="W35" s="5">
        <v>45364</v>
      </c>
      <c r="X35" s="5">
        <v>45368</v>
      </c>
      <c r="Y35" s="28">
        <f t="shared" si="0"/>
        <v>4</v>
      </c>
      <c r="Z35" s="2">
        <v>1</v>
      </c>
      <c r="AA35" s="2">
        <v>0</v>
      </c>
      <c r="AB35" s="2">
        <v>0</v>
      </c>
      <c r="AC35" s="2">
        <v>0</v>
      </c>
      <c r="AD35" s="2">
        <v>0</v>
      </c>
      <c r="AE35" s="2">
        <v>0</v>
      </c>
      <c r="AF35" s="2">
        <v>0</v>
      </c>
      <c r="AG35" s="2">
        <v>0</v>
      </c>
      <c r="AH35" s="2">
        <v>1</v>
      </c>
      <c r="AI35" s="2">
        <v>1</v>
      </c>
      <c r="AJ35" s="2" t="s">
        <v>55</v>
      </c>
      <c r="AK35" s="2">
        <v>1</v>
      </c>
      <c r="AL35" s="2">
        <v>1</v>
      </c>
      <c r="AM35" s="2">
        <v>1</v>
      </c>
      <c r="AN35" s="2">
        <f t="shared" si="1"/>
        <v>1</v>
      </c>
      <c r="AO35" s="2">
        <f t="shared" si="2"/>
        <v>0</v>
      </c>
      <c r="AP35" s="2">
        <f t="shared" si="3"/>
        <v>0</v>
      </c>
      <c r="AQ35" s="2">
        <v>1</v>
      </c>
      <c r="AR35" s="2">
        <v>1</v>
      </c>
      <c r="AS35" s="5">
        <v>45366</v>
      </c>
      <c r="AT35" s="2">
        <v>0</v>
      </c>
      <c r="AU35" s="2">
        <v>0</v>
      </c>
      <c r="AV35" s="2">
        <f t="shared" si="4"/>
        <v>2</v>
      </c>
      <c r="AW35" s="2">
        <v>0</v>
      </c>
      <c r="BA35" s="2">
        <v>0</v>
      </c>
      <c r="BB35" s="2">
        <v>0</v>
      </c>
      <c r="BC35" s="2">
        <v>1</v>
      </c>
      <c r="BD35" s="2">
        <f t="shared" si="7"/>
        <v>0</v>
      </c>
      <c r="BE35" s="2">
        <v>0</v>
      </c>
      <c r="BF35" s="2">
        <f t="shared" si="5"/>
        <v>0</v>
      </c>
      <c r="BG35" s="2" t="s">
        <v>110</v>
      </c>
    </row>
    <row r="36" spans="1:59">
      <c r="A36" s="2">
        <v>35</v>
      </c>
      <c r="B36" s="5">
        <v>45390</v>
      </c>
      <c r="C36" s="5">
        <v>45425</v>
      </c>
      <c r="D36" s="2">
        <f t="shared" si="6"/>
        <v>35</v>
      </c>
      <c r="E36" s="2">
        <v>42</v>
      </c>
      <c r="F36" s="2">
        <v>2</v>
      </c>
      <c r="G36" s="2">
        <v>4</v>
      </c>
      <c r="H36" s="2">
        <v>1</v>
      </c>
      <c r="I36" s="2">
        <v>1</v>
      </c>
      <c r="J36" s="2">
        <v>0</v>
      </c>
      <c r="K36" s="2">
        <v>0</v>
      </c>
      <c r="L36" s="2">
        <v>0</v>
      </c>
      <c r="M36" s="2">
        <v>0</v>
      </c>
      <c r="N36" s="2">
        <v>0</v>
      </c>
      <c r="P36" t="s">
        <v>47</v>
      </c>
      <c r="Q36" s="2">
        <v>1</v>
      </c>
      <c r="R36" s="2">
        <v>0</v>
      </c>
      <c r="S36" s="2">
        <v>0</v>
      </c>
      <c r="T36" s="2">
        <v>0</v>
      </c>
      <c r="U36" s="2">
        <v>1</v>
      </c>
      <c r="V36" s="11">
        <v>5</v>
      </c>
      <c r="W36" s="5">
        <v>45393</v>
      </c>
      <c r="X36" s="5">
        <v>45398</v>
      </c>
      <c r="Y36" s="28">
        <f t="shared" si="0"/>
        <v>5</v>
      </c>
      <c r="Z36" s="2">
        <v>1</v>
      </c>
      <c r="AA36" s="2">
        <v>1</v>
      </c>
      <c r="AB36" s="2">
        <v>1</v>
      </c>
      <c r="AC36" s="2">
        <v>0</v>
      </c>
      <c r="AD36" s="2">
        <v>0</v>
      </c>
      <c r="AE36" s="2">
        <v>0</v>
      </c>
      <c r="AF36" s="2">
        <v>0</v>
      </c>
      <c r="AG36" s="2">
        <v>0</v>
      </c>
      <c r="AH36" s="2">
        <v>0</v>
      </c>
      <c r="AI36" s="2">
        <v>1</v>
      </c>
      <c r="AJ36" s="2" t="s">
        <v>48</v>
      </c>
      <c r="AK36" s="2">
        <v>1</v>
      </c>
      <c r="AL36" s="2">
        <v>1</v>
      </c>
      <c r="AM36" s="2">
        <v>0</v>
      </c>
      <c r="AN36" s="2">
        <f t="shared" si="1"/>
        <v>0</v>
      </c>
      <c r="AO36" s="2">
        <f t="shared" si="2"/>
        <v>1</v>
      </c>
      <c r="AP36" s="2">
        <f t="shared" si="3"/>
        <v>0</v>
      </c>
      <c r="AQ36" s="2">
        <v>1</v>
      </c>
      <c r="AR36" s="2">
        <v>1</v>
      </c>
      <c r="AS36" s="5">
        <v>45397</v>
      </c>
      <c r="AT36" s="2">
        <v>0</v>
      </c>
      <c r="AU36" s="2">
        <v>0</v>
      </c>
      <c r="AV36" s="2">
        <f t="shared" si="4"/>
        <v>7</v>
      </c>
      <c r="AW36" s="2">
        <v>1</v>
      </c>
      <c r="AX36" s="5">
        <v>45397</v>
      </c>
      <c r="AY36" s="2">
        <v>0</v>
      </c>
      <c r="AZ36" s="2">
        <v>0</v>
      </c>
      <c r="BA36" s="2">
        <v>0</v>
      </c>
      <c r="BB36" s="2">
        <v>0</v>
      </c>
      <c r="BC36" s="2">
        <f t="shared" si="8"/>
        <v>1</v>
      </c>
      <c r="BD36" s="2">
        <f t="shared" si="7"/>
        <v>1</v>
      </c>
      <c r="BE36" s="2">
        <v>0</v>
      </c>
      <c r="BF36" s="2">
        <f t="shared" si="5"/>
        <v>1</v>
      </c>
      <c r="BG36" s="2" t="s">
        <v>111</v>
      </c>
    </row>
    <row r="37" spans="1:59">
      <c r="A37" s="8">
        <v>36</v>
      </c>
      <c r="B37" s="5">
        <v>45378</v>
      </c>
      <c r="C37" s="6">
        <v>45380</v>
      </c>
      <c r="D37" s="2">
        <f t="shared" si="6"/>
        <v>2</v>
      </c>
      <c r="E37" s="2">
        <v>64</v>
      </c>
      <c r="F37" s="2">
        <v>2</v>
      </c>
      <c r="G37" s="2">
        <v>2</v>
      </c>
      <c r="H37" s="2">
        <v>1</v>
      </c>
      <c r="I37" s="2">
        <v>0</v>
      </c>
      <c r="J37" s="2">
        <v>0</v>
      </c>
      <c r="K37" s="2">
        <v>0</v>
      </c>
      <c r="L37" s="2">
        <v>0</v>
      </c>
      <c r="M37" s="2">
        <v>0</v>
      </c>
      <c r="N37" s="2">
        <v>1</v>
      </c>
      <c r="O37" s="2" t="s">
        <v>63</v>
      </c>
      <c r="P37" t="s">
        <v>52</v>
      </c>
      <c r="Q37" s="2">
        <v>1</v>
      </c>
      <c r="R37" s="2">
        <v>0</v>
      </c>
      <c r="S37" s="2">
        <v>0</v>
      </c>
      <c r="T37" s="2">
        <v>0</v>
      </c>
      <c r="U37" s="2">
        <v>1</v>
      </c>
      <c r="V37" s="2">
        <v>3</v>
      </c>
      <c r="W37" s="5">
        <v>45378</v>
      </c>
      <c r="X37" s="5">
        <v>45379</v>
      </c>
      <c r="Y37" s="28">
        <f t="shared" si="0"/>
        <v>1</v>
      </c>
      <c r="Z37" s="2">
        <v>0</v>
      </c>
      <c r="AA37" s="2">
        <v>0</v>
      </c>
      <c r="AB37" s="2">
        <v>0</v>
      </c>
      <c r="AC37" s="2">
        <v>0</v>
      </c>
      <c r="AD37" s="2">
        <v>0</v>
      </c>
      <c r="AE37" s="2">
        <v>0</v>
      </c>
      <c r="AF37" s="2">
        <v>0</v>
      </c>
      <c r="AG37" s="2">
        <v>0</v>
      </c>
      <c r="AH37" s="2">
        <v>0</v>
      </c>
      <c r="AI37" s="2">
        <v>1</v>
      </c>
      <c r="AJ37" s="2" t="s">
        <v>55</v>
      </c>
      <c r="AK37" s="2">
        <v>1</v>
      </c>
      <c r="AL37" s="2">
        <v>1</v>
      </c>
      <c r="AM37" s="2">
        <v>1</v>
      </c>
      <c r="AN37" s="2">
        <f t="shared" si="1"/>
        <v>1</v>
      </c>
      <c r="AO37" s="2">
        <f t="shared" si="2"/>
        <v>0</v>
      </c>
      <c r="AP37" s="2">
        <f t="shared" si="3"/>
        <v>0</v>
      </c>
      <c r="AQ37" s="2">
        <v>0</v>
      </c>
      <c r="AR37" s="2">
        <v>1</v>
      </c>
      <c r="AS37" s="5">
        <v>45379</v>
      </c>
      <c r="AT37" s="2">
        <v>1</v>
      </c>
      <c r="AU37" s="2">
        <v>1</v>
      </c>
      <c r="AV37" s="2">
        <f t="shared" si="4"/>
        <v>1</v>
      </c>
      <c r="AW37" s="2">
        <v>0</v>
      </c>
      <c r="BA37" s="2">
        <v>0</v>
      </c>
      <c r="BB37" s="2">
        <v>1</v>
      </c>
      <c r="BC37" s="2">
        <v>1</v>
      </c>
      <c r="BD37" s="2">
        <f t="shared" si="7"/>
        <v>0</v>
      </c>
      <c r="BE37" s="2">
        <v>1</v>
      </c>
      <c r="BF37" s="2">
        <f t="shared" si="5"/>
        <v>0</v>
      </c>
      <c r="BG37" s="2" t="s">
        <v>112</v>
      </c>
    </row>
    <row r="38" spans="1:59">
      <c r="A38" s="2">
        <v>37</v>
      </c>
      <c r="B38" s="5">
        <v>45379</v>
      </c>
      <c r="C38" s="5">
        <v>45390</v>
      </c>
      <c r="D38" s="2">
        <f t="shared" si="6"/>
        <v>11</v>
      </c>
      <c r="E38" s="2">
        <v>87</v>
      </c>
      <c r="F38" s="2">
        <v>2</v>
      </c>
      <c r="G38" s="2">
        <v>2</v>
      </c>
      <c r="H38" s="2">
        <v>1</v>
      </c>
      <c r="I38" s="2">
        <v>0</v>
      </c>
      <c r="J38" s="2">
        <v>0</v>
      </c>
      <c r="K38" s="2">
        <v>1</v>
      </c>
      <c r="L38" s="2">
        <v>0</v>
      </c>
      <c r="M38" s="2">
        <v>0</v>
      </c>
      <c r="N38" s="2">
        <v>0</v>
      </c>
      <c r="O38" s="2" t="s">
        <v>72</v>
      </c>
      <c r="P38" t="s">
        <v>52</v>
      </c>
      <c r="Q38" s="2">
        <v>1</v>
      </c>
      <c r="R38" s="2">
        <v>0</v>
      </c>
      <c r="S38" s="2">
        <v>0</v>
      </c>
      <c r="T38" s="2">
        <v>0</v>
      </c>
      <c r="U38" s="2">
        <v>1</v>
      </c>
      <c r="V38" s="2">
        <v>4</v>
      </c>
      <c r="W38" s="5">
        <v>45379</v>
      </c>
      <c r="X38" s="5">
        <v>45382</v>
      </c>
      <c r="Y38" s="28">
        <f t="shared" si="0"/>
        <v>3</v>
      </c>
      <c r="Z38" s="2">
        <v>0</v>
      </c>
      <c r="AA38" s="2">
        <v>0</v>
      </c>
      <c r="AB38" s="2">
        <v>0</v>
      </c>
      <c r="AC38" s="2">
        <v>0</v>
      </c>
      <c r="AD38" s="2">
        <v>0</v>
      </c>
      <c r="AE38" s="2">
        <v>0</v>
      </c>
      <c r="AF38" s="2">
        <v>0</v>
      </c>
      <c r="AG38" s="2">
        <v>0</v>
      </c>
      <c r="AH38" s="2">
        <v>0</v>
      </c>
      <c r="AI38" s="2">
        <v>1</v>
      </c>
      <c r="AJ38" s="2" t="s">
        <v>79</v>
      </c>
      <c r="AK38" s="2">
        <v>1</v>
      </c>
      <c r="AL38" s="2">
        <v>1</v>
      </c>
      <c r="AM38" s="2">
        <v>0</v>
      </c>
      <c r="AN38" s="2">
        <f t="shared" si="1"/>
        <v>0</v>
      </c>
      <c r="AO38" s="2">
        <f t="shared" si="2"/>
        <v>1</v>
      </c>
      <c r="AP38" s="2">
        <f t="shared" si="3"/>
        <v>0</v>
      </c>
      <c r="AQ38" s="2">
        <v>0</v>
      </c>
      <c r="AR38" s="2">
        <v>1</v>
      </c>
      <c r="AS38" s="5">
        <v>45383</v>
      </c>
      <c r="AT38" s="2">
        <v>0</v>
      </c>
      <c r="AU38" s="2">
        <v>0</v>
      </c>
      <c r="AV38" s="2">
        <f t="shared" si="4"/>
        <v>4</v>
      </c>
      <c r="AW38" s="2">
        <v>0</v>
      </c>
      <c r="BA38" s="2">
        <v>0</v>
      </c>
      <c r="BB38" s="2">
        <v>1</v>
      </c>
      <c r="BC38" s="2">
        <f t="shared" si="8"/>
        <v>1</v>
      </c>
      <c r="BD38" s="2">
        <f t="shared" si="7"/>
        <v>1</v>
      </c>
      <c r="BE38" s="2">
        <v>0</v>
      </c>
      <c r="BF38" s="2">
        <f t="shared" si="5"/>
        <v>0</v>
      </c>
      <c r="BG38" s="2" t="s">
        <v>290</v>
      </c>
    </row>
    <row r="39" spans="1:59" s="13" customFormat="1">
      <c r="A39" s="2">
        <v>38</v>
      </c>
      <c r="B39" s="18">
        <v>45381</v>
      </c>
      <c r="C39" s="18">
        <v>45412</v>
      </c>
      <c r="D39" s="13">
        <f t="shared" si="6"/>
        <v>31</v>
      </c>
      <c r="E39" s="13">
        <v>69</v>
      </c>
      <c r="F39" s="13">
        <v>2</v>
      </c>
      <c r="G39" s="13">
        <v>3</v>
      </c>
      <c r="H39" s="13">
        <v>0</v>
      </c>
      <c r="I39" s="13">
        <v>0</v>
      </c>
      <c r="J39" s="13">
        <v>0</v>
      </c>
      <c r="K39" s="13">
        <v>0</v>
      </c>
      <c r="L39" s="13">
        <v>0</v>
      </c>
      <c r="M39" s="13">
        <v>0</v>
      </c>
      <c r="N39" s="13">
        <v>0</v>
      </c>
      <c r="P39" s="14" t="s">
        <v>47</v>
      </c>
      <c r="Q39" s="13">
        <v>1</v>
      </c>
      <c r="R39" s="13">
        <v>0</v>
      </c>
      <c r="S39" s="13">
        <v>0</v>
      </c>
      <c r="T39" s="13">
        <v>0</v>
      </c>
      <c r="U39" s="13">
        <v>0</v>
      </c>
      <c r="V39" s="13">
        <v>1</v>
      </c>
      <c r="W39" s="18">
        <v>45381</v>
      </c>
      <c r="X39" s="18">
        <v>45381</v>
      </c>
      <c r="Y39" s="31">
        <f t="shared" si="0"/>
        <v>0</v>
      </c>
      <c r="Z39" s="13">
        <v>0</v>
      </c>
      <c r="AA39" s="13">
        <v>0</v>
      </c>
      <c r="AB39" s="13">
        <v>0</v>
      </c>
      <c r="AC39" s="13">
        <v>0</v>
      </c>
      <c r="AD39" s="13">
        <v>0</v>
      </c>
      <c r="AE39" s="13">
        <v>0</v>
      </c>
      <c r="AF39" s="13">
        <v>0</v>
      </c>
      <c r="AG39" s="13">
        <v>0</v>
      </c>
      <c r="AH39" s="13">
        <v>0</v>
      </c>
      <c r="AI39" s="13">
        <v>1</v>
      </c>
      <c r="AJ39" s="13" t="s">
        <v>48</v>
      </c>
      <c r="AK39" s="13">
        <v>1</v>
      </c>
      <c r="AL39" s="13">
        <v>1</v>
      </c>
      <c r="AM39" s="13">
        <v>1</v>
      </c>
      <c r="AN39" s="2">
        <f t="shared" si="1"/>
        <v>1</v>
      </c>
      <c r="AO39" s="2">
        <f t="shared" si="2"/>
        <v>0</v>
      </c>
      <c r="AP39" s="2">
        <f t="shared" si="3"/>
        <v>0</v>
      </c>
      <c r="AQ39" s="13">
        <v>1</v>
      </c>
      <c r="AR39" s="13">
        <v>1</v>
      </c>
      <c r="AS39" s="18">
        <v>45383</v>
      </c>
      <c r="AT39" s="13">
        <v>0</v>
      </c>
      <c r="AU39" s="13">
        <v>1</v>
      </c>
      <c r="AV39" s="2">
        <f t="shared" si="4"/>
        <v>2</v>
      </c>
      <c r="AW39" s="13">
        <v>1</v>
      </c>
      <c r="AX39" s="18">
        <v>45385</v>
      </c>
      <c r="AY39" s="13">
        <v>0</v>
      </c>
      <c r="AZ39" s="13">
        <v>0</v>
      </c>
      <c r="BA39" s="13">
        <v>1</v>
      </c>
      <c r="BB39" s="13">
        <v>0</v>
      </c>
      <c r="BC39" s="2">
        <v>1</v>
      </c>
      <c r="BD39" s="2">
        <f t="shared" si="7"/>
        <v>0</v>
      </c>
      <c r="BE39" s="13">
        <v>0</v>
      </c>
      <c r="BF39" s="2">
        <f t="shared" si="5"/>
        <v>1</v>
      </c>
      <c r="BG39" s="13" t="s">
        <v>115</v>
      </c>
    </row>
    <row r="40" spans="1:59">
      <c r="A40" s="2">
        <v>39</v>
      </c>
      <c r="B40" s="5">
        <v>45443</v>
      </c>
      <c r="C40" s="5">
        <v>45455</v>
      </c>
      <c r="D40" s="2">
        <f t="shared" si="6"/>
        <v>12</v>
      </c>
      <c r="E40" s="2">
        <v>70</v>
      </c>
      <c r="F40" s="2">
        <v>2</v>
      </c>
      <c r="G40" s="2">
        <v>2</v>
      </c>
      <c r="H40" s="2">
        <v>0</v>
      </c>
      <c r="I40" s="2">
        <v>0</v>
      </c>
      <c r="J40" s="2">
        <v>0</v>
      </c>
      <c r="K40" s="2">
        <v>0</v>
      </c>
      <c r="L40" s="2">
        <v>0</v>
      </c>
      <c r="M40" s="2">
        <v>0</v>
      </c>
      <c r="N40" s="2">
        <v>0</v>
      </c>
      <c r="P40" t="s">
        <v>116</v>
      </c>
      <c r="Q40" s="2">
        <v>0</v>
      </c>
      <c r="R40" s="2">
        <v>1</v>
      </c>
      <c r="S40" s="2">
        <v>0</v>
      </c>
      <c r="T40" s="2">
        <v>0</v>
      </c>
      <c r="U40" s="2">
        <v>0</v>
      </c>
      <c r="V40" s="2">
        <v>1</v>
      </c>
      <c r="W40" s="5">
        <v>45444</v>
      </c>
      <c r="X40" s="5">
        <v>45444</v>
      </c>
      <c r="Y40" s="28">
        <f t="shared" si="0"/>
        <v>0</v>
      </c>
      <c r="Z40" s="2">
        <v>1</v>
      </c>
      <c r="AA40" s="2">
        <v>1</v>
      </c>
      <c r="AB40" s="2">
        <v>0</v>
      </c>
      <c r="AC40" s="2">
        <v>0</v>
      </c>
      <c r="AD40" s="2">
        <v>0</v>
      </c>
      <c r="AE40" s="2">
        <v>0</v>
      </c>
      <c r="AF40" s="2">
        <v>0</v>
      </c>
      <c r="AG40" s="2">
        <v>0</v>
      </c>
      <c r="AH40" s="2">
        <v>0</v>
      </c>
      <c r="AI40" s="2">
        <v>1</v>
      </c>
      <c r="AJ40" s="2" t="s">
        <v>117</v>
      </c>
      <c r="AK40" s="2">
        <v>1</v>
      </c>
      <c r="AL40" s="2">
        <v>1</v>
      </c>
      <c r="AM40" s="2">
        <v>1</v>
      </c>
      <c r="AN40" s="2">
        <f t="shared" si="1"/>
        <v>1</v>
      </c>
      <c r="AO40" s="2">
        <f t="shared" si="2"/>
        <v>0</v>
      </c>
      <c r="AP40" s="2">
        <f t="shared" si="3"/>
        <v>0</v>
      </c>
      <c r="AQ40" s="2">
        <v>1</v>
      </c>
      <c r="AR40" s="2">
        <v>1</v>
      </c>
      <c r="AS40" s="5">
        <v>45448</v>
      </c>
      <c r="AT40" s="2">
        <v>0</v>
      </c>
      <c r="AU40" s="2">
        <v>1</v>
      </c>
      <c r="AV40" s="2">
        <f t="shared" si="4"/>
        <v>5</v>
      </c>
      <c r="AW40" s="2">
        <v>0</v>
      </c>
      <c r="BA40" s="2">
        <v>0</v>
      </c>
      <c r="BB40" s="2">
        <v>0</v>
      </c>
      <c r="BC40" s="2">
        <v>1</v>
      </c>
      <c r="BD40" s="2">
        <f t="shared" si="7"/>
        <v>0</v>
      </c>
      <c r="BE40" s="2">
        <v>0</v>
      </c>
      <c r="BF40" s="2">
        <f t="shared" si="5"/>
        <v>0</v>
      </c>
      <c r="BG40" s="2" t="s">
        <v>118</v>
      </c>
    </row>
    <row r="41" spans="1:59">
      <c r="A41" s="2">
        <v>40</v>
      </c>
      <c r="B41" s="5">
        <v>45449</v>
      </c>
      <c r="C41" s="5">
        <v>45453</v>
      </c>
      <c r="D41" s="2">
        <f t="shared" si="6"/>
        <v>4</v>
      </c>
      <c r="E41" s="2">
        <v>78</v>
      </c>
      <c r="F41" s="2">
        <v>2</v>
      </c>
      <c r="G41" s="2">
        <v>2</v>
      </c>
      <c r="H41" s="2">
        <v>1</v>
      </c>
      <c r="I41" s="2">
        <v>0</v>
      </c>
      <c r="J41" s="2">
        <v>0</v>
      </c>
      <c r="K41" s="2">
        <v>0</v>
      </c>
      <c r="L41" s="2">
        <v>1</v>
      </c>
      <c r="M41" s="2">
        <v>0</v>
      </c>
      <c r="N41" s="2">
        <v>0</v>
      </c>
      <c r="P41" t="s">
        <v>119</v>
      </c>
      <c r="Q41" s="2">
        <v>0</v>
      </c>
      <c r="R41" s="2">
        <v>1</v>
      </c>
      <c r="S41" s="2">
        <v>0</v>
      </c>
      <c r="T41" s="2">
        <v>0</v>
      </c>
      <c r="U41" s="2">
        <v>0</v>
      </c>
      <c r="V41" s="2">
        <v>1</v>
      </c>
      <c r="W41" s="5">
        <v>45449</v>
      </c>
      <c r="X41" s="5">
        <v>45449</v>
      </c>
      <c r="Y41" s="28">
        <f t="shared" si="0"/>
        <v>0</v>
      </c>
      <c r="Z41" s="2">
        <v>1</v>
      </c>
      <c r="AA41" s="2">
        <v>0</v>
      </c>
      <c r="AB41" s="2">
        <v>0</v>
      </c>
      <c r="AC41" s="2">
        <v>0</v>
      </c>
      <c r="AD41" s="2">
        <v>0</v>
      </c>
      <c r="AE41" s="2">
        <v>0</v>
      </c>
      <c r="AF41" s="2">
        <v>0</v>
      </c>
      <c r="AG41" s="2">
        <v>0</v>
      </c>
      <c r="AH41" s="2">
        <v>1</v>
      </c>
      <c r="AI41" s="2">
        <v>1</v>
      </c>
      <c r="AJ41" s="2" t="s">
        <v>117</v>
      </c>
      <c r="AK41" s="11">
        <v>0</v>
      </c>
      <c r="AL41" s="2">
        <v>1</v>
      </c>
      <c r="AM41" s="2">
        <v>1</v>
      </c>
      <c r="AN41" s="2">
        <f t="shared" si="1"/>
        <v>1</v>
      </c>
      <c r="AO41" s="2">
        <f t="shared" si="2"/>
        <v>0</v>
      </c>
      <c r="AP41" s="2">
        <f t="shared" si="3"/>
        <v>0</v>
      </c>
      <c r="AQ41" s="11">
        <v>1</v>
      </c>
      <c r="AR41" s="2">
        <v>0</v>
      </c>
      <c r="AW41" s="2">
        <v>0</v>
      </c>
      <c r="BA41" s="2">
        <v>0</v>
      </c>
      <c r="BB41" s="2">
        <v>0</v>
      </c>
      <c r="BC41" s="2">
        <v>1</v>
      </c>
      <c r="BD41" s="2">
        <f t="shared" si="7"/>
        <v>0</v>
      </c>
      <c r="BE41" s="2">
        <v>0</v>
      </c>
      <c r="BF41" s="2">
        <f t="shared" si="5"/>
        <v>0</v>
      </c>
      <c r="BG41" s="2" t="s">
        <v>120</v>
      </c>
    </row>
    <row r="42" spans="1:59">
      <c r="A42" s="2">
        <v>41</v>
      </c>
      <c r="B42" s="5">
        <v>45450</v>
      </c>
      <c r="C42" s="5">
        <v>45456</v>
      </c>
      <c r="D42" s="2">
        <f t="shared" si="6"/>
        <v>6</v>
      </c>
      <c r="E42" s="2">
        <v>71</v>
      </c>
      <c r="F42" s="2">
        <v>1</v>
      </c>
      <c r="G42" s="2">
        <v>2</v>
      </c>
      <c r="H42" s="2">
        <v>1</v>
      </c>
      <c r="I42" s="2">
        <v>0</v>
      </c>
      <c r="J42" s="2">
        <v>1</v>
      </c>
      <c r="K42" s="2">
        <v>0</v>
      </c>
      <c r="L42" s="2">
        <v>0</v>
      </c>
      <c r="M42" s="2">
        <v>0</v>
      </c>
      <c r="N42" s="2">
        <v>0</v>
      </c>
      <c r="P42" t="s">
        <v>121</v>
      </c>
      <c r="Q42" s="2">
        <v>0</v>
      </c>
      <c r="R42" s="2">
        <v>1</v>
      </c>
      <c r="S42" s="2">
        <v>0</v>
      </c>
      <c r="T42" s="2">
        <v>0</v>
      </c>
      <c r="U42" s="2">
        <v>0</v>
      </c>
      <c r="V42" s="2">
        <v>1</v>
      </c>
      <c r="W42" s="5">
        <v>45450</v>
      </c>
      <c r="X42" s="5">
        <v>45450</v>
      </c>
      <c r="Y42" s="28">
        <f t="shared" si="0"/>
        <v>0</v>
      </c>
      <c r="Z42" s="2">
        <v>0</v>
      </c>
      <c r="AA42" s="2">
        <v>0</v>
      </c>
      <c r="AB42" s="2">
        <v>0</v>
      </c>
      <c r="AC42" s="2">
        <v>0</v>
      </c>
      <c r="AD42" s="2">
        <v>0</v>
      </c>
      <c r="AE42" s="2">
        <v>0</v>
      </c>
      <c r="AF42" s="2">
        <v>0</v>
      </c>
      <c r="AG42" s="2">
        <v>0</v>
      </c>
      <c r="AH42" s="2">
        <v>0</v>
      </c>
      <c r="AI42" s="2">
        <v>1</v>
      </c>
      <c r="AJ42" s="2" t="s">
        <v>117</v>
      </c>
      <c r="AK42" s="2">
        <v>1</v>
      </c>
      <c r="AL42" s="2">
        <v>1</v>
      </c>
      <c r="AM42" s="2">
        <v>1</v>
      </c>
      <c r="AN42" s="2">
        <f t="shared" si="1"/>
        <v>1</v>
      </c>
      <c r="AO42" s="2">
        <f t="shared" si="2"/>
        <v>0</v>
      </c>
      <c r="AP42" s="2">
        <f t="shared" si="3"/>
        <v>0</v>
      </c>
      <c r="AQ42" s="2">
        <v>1</v>
      </c>
      <c r="AR42" s="2">
        <v>1</v>
      </c>
      <c r="AS42" s="5">
        <v>45453</v>
      </c>
      <c r="AT42" s="2">
        <v>0</v>
      </c>
      <c r="AU42" s="2">
        <v>0</v>
      </c>
      <c r="AV42" s="2">
        <f t="shared" si="4"/>
        <v>3</v>
      </c>
      <c r="AW42" s="2">
        <v>1</v>
      </c>
      <c r="AX42" s="5">
        <v>45455</v>
      </c>
      <c r="AY42" s="2">
        <v>0</v>
      </c>
      <c r="AZ42" s="2">
        <v>1</v>
      </c>
      <c r="BA42" s="2">
        <v>0</v>
      </c>
      <c r="BB42" s="2">
        <v>0</v>
      </c>
      <c r="BC42" s="2">
        <f t="shared" si="8"/>
        <v>1</v>
      </c>
      <c r="BD42" s="2">
        <f t="shared" si="7"/>
        <v>1</v>
      </c>
      <c r="BE42" s="2">
        <v>0</v>
      </c>
      <c r="BF42" s="2">
        <f t="shared" si="5"/>
        <v>1</v>
      </c>
      <c r="BG42" s="2" t="s">
        <v>122</v>
      </c>
    </row>
    <row r="43" spans="1:59">
      <c r="A43" s="2">
        <v>42</v>
      </c>
      <c r="B43" s="5">
        <v>45455</v>
      </c>
      <c r="C43" s="5">
        <v>45462</v>
      </c>
      <c r="D43" s="2">
        <f t="shared" si="6"/>
        <v>7</v>
      </c>
      <c r="E43" s="2">
        <v>83</v>
      </c>
      <c r="F43" s="2">
        <v>1</v>
      </c>
      <c r="G43" s="2">
        <v>5</v>
      </c>
      <c r="H43" s="2">
        <v>0</v>
      </c>
      <c r="I43" s="2">
        <v>0</v>
      </c>
      <c r="J43" s="2">
        <v>0</v>
      </c>
      <c r="K43" s="2">
        <v>0</v>
      </c>
      <c r="L43" s="2">
        <v>0</v>
      </c>
      <c r="M43" s="2">
        <v>0</v>
      </c>
      <c r="N43" s="2">
        <v>0</v>
      </c>
      <c r="P43" t="s">
        <v>119</v>
      </c>
      <c r="Q43" s="2">
        <v>0</v>
      </c>
      <c r="R43" s="2">
        <v>1</v>
      </c>
      <c r="S43" s="2">
        <v>0</v>
      </c>
      <c r="T43" s="2">
        <v>0</v>
      </c>
      <c r="U43" s="2">
        <v>0</v>
      </c>
      <c r="V43" s="2">
        <v>1</v>
      </c>
      <c r="W43" s="5">
        <v>45455</v>
      </c>
      <c r="X43" s="5">
        <v>45455</v>
      </c>
      <c r="Y43" s="28">
        <f t="shared" si="0"/>
        <v>0</v>
      </c>
      <c r="Z43" s="2">
        <v>1</v>
      </c>
      <c r="AA43" s="2">
        <v>0</v>
      </c>
      <c r="AB43" s="2">
        <v>0</v>
      </c>
      <c r="AC43" s="2">
        <v>0</v>
      </c>
      <c r="AD43" s="2">
        <v>1</v>
      </c>
      <c r="AE43" s="2">
        <v>0</v>
      </c>
      <c r="AF43" s="2">
        <v>0</v>
      </c>
      <c r="AG43" s="2">
        <v>0</v>
      </c>
      <c r="AH43" s="2">
        <v>0</v>
      </c>
      <c r="AI43" s="2">
        <v>1</v>
      </c>
      <c r="AJ43" s="2" t="s">
        <v>117</v>
      </c>
      <c r="AK43" s="2">
        <v>1</v>
      </c>
      <c r="AL43" s="2">
        <v>1</v>
      </c>
      <c r="AM43" s="2">
        <v>1</v>
      </c>
      <c r="AN43" s="2">
        <f t="shared" si="1"/>
        <v>1</v>
      </c>
      <c r="AO43" s="2">
        <f t="shared" si="2"/>
        <v>0</v>
      </c>
      <c r="AP43" s="2">
        <f t="shared" si="3"/>
        <v>0</v>
      </c>
      <c r="AQ43" s="2">
        <v>1</v>
      </c>
      <c r="AR43" s="2">
        <v>1</v>
      </c>
      <c r="AS43" s="5">
        <v>45457</v>
      </c>
      <c r="AT43" s="2">
        <v>1</v>
      </c>
      <c r="AU43" s="2">
        <v>0</v>
      </c>
      <c r="AV43" s="2">
        <f t="shared" si="4"/>
        <v>2</v>
      </c>
      <c r="AW43" s="2">
        <v>0</v>
      </c>
      <c r="AX43" s="5"/>
      <c r="BA43" s="2">
        <v>0</v>
      </c>
      <c r="BB43" s="2">
        <v>1</v>
      </c>
      <c r="BC43" s="2">
        <v>1</v>
      </c>
      <c r="BD43" s="2">
        <f t="shared" si="7"/>
        <v>0</v>
      </c>
      <c r="BE43" s="2">
        <v>0</v>
      </c>
      <c r="BF43" s="2">
        <f t="shared" si="5"/>
        <v>0</v>
      </c>
      <c r="BG43" s="2" t="s">
        <v>123</v>
      </c>
    </row>
    <row r="44" spans="1:59">
      <c r="A44" s="2">
        <v>43</v>
      </c>
      <c r="B44" s="5">
        <v>45460</v>
      </c>
      <c r="C44" s="5">
        <v>45465</v>
      </c>
      <c r="D44" s="2">
        <f t="shared" si="6"/>
        <v>5</v>
      </c>
      <c r="E44" s="2">
        <v>65</v>
      </c>
      <c r="F44" s="2">
        <v>1</v>
      </c>
      <c r="G44" s="2">
        <v>3</v>
      </c>
      <c r="H44" s="2">
        <v>0</v>
      </c>
      <c r="I44" s="2">
        <v>0</v>
      </c>
      <c r="J44" s="2">
        <v>0</v>
      </c>
      <c r="K44" s="2">
        <v>0</v>
      </c>
      <c r="L44" s="2">
        <v>0</v>
      </c>
      <c r="M44" s="2">
        <v>0</v>
      </c>
      <c r="N44" s="2">
        <v>0</v>
      </c>
      <c r="P44" t="s">
        <v>119</v>
      </c>
      <c r="Q44" s="2">
        <v>0</v>
      </c>
      <c r="R44" s="2">
        <v>1</v>
      </c>
      <c r="S44" s="2">
        <v>0</v>
      </c>
      <c r="T44" s="2">
        <v>0</v>
      </c>
      <c r="U44" s="2">
        <v>0</v>
      </c>
      <c r="V44" s="2">
        <v>1</v>
      </c>
      <c r="W44" s="5">
        <v>45460</v>
      </c>
      <c r="X44" s="5">
        <v>45460</v>
      </c>
      <c r="Y44" s="28">
        <f t="shared" si="0"/>
        <v>0</v>
      </c>
      <c r="Z44" s="2">
        <v>1</v>
      </c>
      <c r="AA44" s="2">
        <v>0</v>
      </c>
      <c r="AB44" s="2">
        <v>0</v>
      </c>
      <c r="AC44" s="2">
        <v>0</v>
      </c>
      <c r="AD44" s="2">
        <v>0</v>
      </c>
      <c r="AE44" s="2">
        <v>0</v>
      </c>
      <c r="AF44" s="2">
        <v>1</v>
      </c>
      <c r="AG44" s="2">
        <v>0</v>
      </c>
      <c r="AH44" s="2">
        <v>0</v>
      </c>
      <c r="AI44" s="2">
        <v>1</v>
      </c>
      <c r="AJ44" s="2" t="s">
        <v>117</v>
      </c>
      <c r="AK44" s="11">
        <v>0</v>
      </c>
      <c r="AL44" s="2">
        <v>0</v>
      </c>
      <c r="AM44" s="2">
        <v>1</v>
      </c>
      <c r="AN44" s="2">
        <f t="shared" si="1"/>
        <v>0</v>
      </c>
      <c r="AO44" s="2">
        <f t="shared" si="2"/>
        <v>0</v>
      </c>
      <c r="AP44" s="2">
        <f t="shared" si="3"/>
        <v>1</v>
      </c>
      <c r="AQ44" s="2">
        <v>1</v>
      </c>
      <c r="AR44" s="2">
        <v>1</v>
      </c>
      <c r="AS44" s="5">
        <v>45463</v>
      </c>
      <c r="AT44" s="2">
        <v>0</v>
      </c>
      <c r="AU44" s="2">
        <v>1</v>
      </c>
      <c r="AV44" s="2">
        <f t="shared" si="4"/>
        <v>3</v>
      </c>
      <c r="AW44" s="2">
        <v>0</v>
      </c>
      <c r="BA44" s="2">
        <v>0</v>
      </c>
      <c r="BB44" s="2">
        <v>0</v>
      </c>
      <c r="BC44" s="2">
        <f t="shared" si="8"/>
        <v>0</v>
      </c>
      <c r="BD44" s="2">
        <f t="shared" si="7"/>
        <v>0</v>
      </c>
      <c r="BE44" s="2">
        <v>0</v>
      </c>
      <c r="BF44" s="2">
        <f t="shared" si="5"/>
        <v>0</v>
      </c>
      <c r="BG44" s="2" t="s">
        <v>124</v>
      </c>
    </row>
    <row r="45" spans="1:59">
      <c r="A45" s="2">
        <v>44</v>
      </c>
      <c r="B45" s="5">
        <v>45473</v>
      </c>
      <c r="C45" s="5">
        <v>45483</v>
      </c>
      <c r="D45" s="2">
        <f t="shared" si="6"/>
        <v>10</v>
      </c>
      <c r="E45" s="2">
        <v>55</v>
      </c>
      <c r="F45" s="2">
        <v>2</v>
      </c>
      <c r="G45" s="2">
        <v>2</v>
      </c>
      <c r="H45" s="2">
        <v>1</v>
      </c>
      <c r="I45" s="2">
        <v>0</v>
      </c>
      <c r="J45" s="2">
        <v>0</v>
      </c>
      <c r="K45" s="2">
        <v>0</v>
      </c>
      <c r="L45" s="2">
        <v>1</v>
      </c>
      <c r="M45" s="2">
        <v>0</v>
      </c>
      <c r="N45" s="2">
        <v>0</v>
      </c>
      <c r="P45" t="s">
        <v>125</v>
      </c>
      <c r="Q45" s="2">
        <v>0</v>
      </c>
      <c r="R45" s="2">
        <v>1</v>
      </c>
      <c r="S45" s="2">
        <v>0</v>
      </c>
      <c r="T45" s="2">
        <v>0</v>
      </c>
      <c r="U45" s="2">
        <v>0</v>
      </c>
      <c r="V45" s="2">
        <v>1</v>
      </c>
      <c r="W45" s="5">
        <v>45473</v>
      </c>
      <c r="X45" s="5">
        <v>45473</v>
      </c>
      <c r="Y45" s="28">
        <f t="shared" si="0"/>
        <v>0</v>
      </c>
      <c r="Z45" s="2">
        <v>0</v>
      </c>
      <c r="AA45" s="2">
        <v>0</v>
      </c>
      <c r="AB45" s="2">
        <v>0</v>
      </c>
      <c r="AC45" s="2">
        <v>0</v>
      </c>
      <c r="AD45" s="2">
        <v>0</v>
      </c>
      <c r="AE45" s="2">
        <v>0</v>
      </c>
      <c r="AF45" s="2">
        <v>0</v>
      </c>
      <c r="AG45" s="2">
        <v>0</v>
      </c>
      <c r="AH45" s="2">
        <v>0</v>
      </c>
      <c r="AI45" s="2">
        <v>1</v>
      </c>
      <c r="AJ45" s="2" t="s">
        <v>126</v>
      </c>
      <c r="AK45" s="11">
        <v>0</v>
      </c>
      <c r="AL45" s="2">
        <v>1</v>
      </c>
      <c r="AM45" s="2">
        <v>0</v>
      </c>
      <c r="AN45" s="2">
        <f t="shared" si="1"/>
        <v>0</v>
      </c>
      <c r="AO45" s="2">
        <f t="shared" si="2"/>
        <v>1</v>
      </c>
      <c r="AP45" s="2">
        <f t="shared" si="3"/>
        <v>0</v>
      </c>
      <c r="AQ45" s="2">
        <v>1</v>
      </c>
      <c r="AR45" s="2">
        <v>1</v>
      </c>
      <c r="AS45" s="5">
        <v>45475</v>
      </c>
      <c r="AT45" s="2">
        <v>0</v>
      </c>
      <c r="AU45" s="2">
        <v>0</v>
      </c>
      <c r="AV45" s="2">
        <f t="shared" si="4"/>
        <v>2</v>
      </c>
      <c r="AW45" s="2">
        <v>0</v>
      </c>
      <c r="BA45" s="2">
        <v>0</v>
      </c>
      <c r="BB45" s="2">
        <v>0</v>
      </c>
      <c r="BC45" s="2">
        <v>1</v>
      </c>
      <c r="BD45" s="2">
        <f t="shared" si="7"/>
        <v>0</v>
      </c>
      <c r="BE45" s="2">
        <v>0</v>
      </c>
      <c r="BF45" s="2">
        <f t="shared" si="5"/>
        <v>0</v>
      </c>
      <c r="BG45" s="2" t="s">
        <v>127</v>
      </c>
    </row>
    <row r="46" spans="1:59">
      <c r="A46" s="2">
        <v>45</v>
      </c>
      <c r="B46" s="5">
        <v>45421</v>
      </c>
      <c r="C46" s="5">
        <v>45426</v>
      </c>
      <c r="D46" s="2">
        <f t="shared" si="6"/>
        <v>5</v>
      </c>
      <c r="E46" s="2">
        <v>58</v>
      </c>
      <c r="F46" s="2">
        <v>1</v>
      </c>
      <c r="G46" s="2">
        <v>3</v>
      </c>
      <c r="H46" s="2">
        <v>0</v>
      </c>
      <c r="I46" s="2">
        <v>0</v>
      </c>
      <c r="J46" s="2">
        <v>0</v>
      </c>
      <c r="K46" s="2">
        <v>0</v>
      </c>
      <c r="L46" s="2">
        <v>0</v>
      </c>
      <c r="M46" s="2">
        <v>0</v>
      </c>
      <c r="N46" s="2">
        <v>1</v>
      </c>
      <c r="O46" s="2" t="s">
        <v>128</v>
      </c>
      <c r="P46" t="s">
        <v>116</v>
      </c>
      <c r="Q46" s="2">
        <v>0</v>
      </c>
      <c r="R46" s="2">
        <v>1</v>
      </c>
      <c r="S46" s="2">
        <v>0</v>
      </c>
      <c r="T46" s="2">
        <v>0</v>
      </c>
      <c r="U46" s="2">
        <v>0</v>
      </c>
      <c r="V46" s="2">
        <v>1</v>
      </c>
      <c r="W46" s="5">
        <v>45421</v>
      </c>
      <c r="X46" s="5">
        <v>45421</v>
      </c>
      <c r="Y46" s="28">
        <f t="shared" si="0"/>
        <v>0</v>
      </c>
      <c r="Z46" s="2">
        <v>1</v>
      </c>
      <c r="AA46" s="2">
        <v>0</v>
      </c>
      <c r="AB46" s="2">
        <v>0</v>
      </c>
      <c r="AC46" s="2">
        <v>0</v>
      </c>
      <c r="AD46" s="2">
        <v>0</v>
      </c>
      <c r="AE46" s="2">
        <v>0</v>
      </c>
      <c r="AF46" s="2">
        <v>0</v>
      </c>
      <c r="AG46" s="2">
        <v>0</v>
      </c>
      <c r="AH46" s="2">
        <v>1</v>
      </c>
      <c r="AI46" s="2">
        <v>1</v>
      </c>
      <c r="AJ46" s="2" t="s">
        <v>129</v>
      </c>
      <c r="AK46" s="11">
        <v>0</v>
      </c>
      <c r="AL46" s="2">
        <v>1</v>
      </c>
      <c r="AM46" s="2">
        <v>1</v>
      </c>
      <c r="AN46" s="2">
        <f t="shared" si="1"/>
        <v>1</v>
      </c>
      <c r="AO46" s="2">
        <f t="shared" si="2"/>
        <v>0</v>
      </c>
      <c r="AP46" s="2">
        <f t="shared" si="3"/>
        <v>0</v>
      </c>
      <c r="AQ46" s="2">
        <v>1</v>
      </c>
      <c r="AR46" s="2">
        <v>1</v>
      </c>
      <c r="AS46" s="5">
        <v>45422</v>
      </c>
      <c r="AT46" s="2">
        <v>0</v>
      </c>
      <c r="AU46" s="2">
        <v>0</v>
      </c>
      <c r="AV46" s="2">
        <f t="shared" si="4"/>
        <v>1</v>
      </c>
      <c r="AW46" s="2">
        <v>1</v>
      </c>
      <c r="AX46" s="5">
        <v>45425</v>
      </c>
      <c r="AY46" s="2">
        <v>1</v>
      </c>
      <c r="AZ46" s="2">
        <v>0</v>
      </c>
      <c r="BA46" s="2">
        <v>1</v>
      </c>
      <c r="BB46" s="2">
        <v>1</v>
      </c>
      <c r="BC46" s="2">
        <v>1</v>
      </c>
      <c r="BD46" s="2">
        <f t="shared" si="7"/>
        <v>0</v>
      </c>
      <c r="BE46" s="2">
        <v>0</v>
      </c>
      <c r="BF46" s="2">
        <f t="shared" si="5"/>
        <v>1</v>
      </c>
      <c r="BG46" s="2" t="s">
        <v>130</v>
      </c>
    </row>
    <row r="47" spans="1:59">
      <c r="A47" s="8">
        <v>46</v>
      </c>
      <c r="B47" s="5">
        <v>45428</v>
      </c>
      <c r="C47" s="6">
        <v>45448</v>
      </c>
      <c r="D47" s="2">
        <f t="shared" si="6"/>
        <v>20</v>
      </c>
      <c r="E47" s="2">
        <v>77</v>
      </c>
      <c r="F47" s="2">
        <v>1</v>
      </c>
      <c r="G47" s="2">
        <v>2</v>
      </c>
      <c r="H47" s="2">
        <v>0</v>
      </c>
      <c r="I47" s="2">
        <v>0</v>
      </c>
      <c r="J47" s="2">
        <v>0</v>
      </c>
      <c r="K47" s="2">
        <v>0</v>
      </c>
      <c r="L47" s="2">
        <v>0</v>
      </c>
      <c r="M47" s="2">
        <v>0</v>
      </c>
      <c r="N47" s="2">
        <v>0</v>
      </c>
      <c r="P47" t="s">
        <v>119</v>
      </c>
      <c r="Q47" s="2">
        <v>0</v>
      </c>
      <c r="R47" s="2">
        <v>1</v>
      </c>
      <c r="S47" s="2">
        <v>0</v>
      </c>
      <c r="T47" s="2">
        <v>0</v>
      </c>
      <c r="U47" s="2">
        <v>0</v>
      </c>
      <c r="V47" s="2">
        <v>1</v>
      </c>
      <c r="W47" s="5">
        <v>45429</v>
      </c>
      <c r="X47" s="5">
        <v>45429</v>
      </c>
      <c r="Y47" s="28">
        <f t="shared" si="0"/>
        <v>0</v>
      </c>
      <c r="Z47" s="2">
        <v>1</v>
      </c>
      <c r="AA47" s="2">
        <v>0</v>
      </c>
      <c r="AB47" s="2">
        <v>0</v>
      </c>
      <c r="AC47" s="2">
        <v>0</v>
      </c>
      <c r="AD47" s="2">
        <v>0</v>
      </c>
      <c r="AE47" s="2">
        <v>0</v>
      </c>
      <c r="AF47" s="2">
        <v>0</v>
      </c>
      <c r="AG47" s="2">
        <v>0</v>
      </c>
      <c r="AH47" s="2">
        <v>1</v>
      </c>
      <c r="AI47" s="2">
        <v>1</v>
      </c>
      <c r="AJ47" s="11" t="s">
        <v>91</v>
      </c>
      <c r="AK47" s="2">
        <v>1</v>
      </c>
      <c r="AL47" s="2">
        <v>1</v>
      </c>
      <c r="AM47" s="2">
        <v>0</v>
      </c>
      <c r="AN47" s="2">
        <f t="shared" si="1"/>
        <v>0</v>
      </c>
      <c r="AO47" s="2">
        <f t="shared" si="2"/>
        <v>1</v>
      </c>
      <c r="AP47" s="2">
        <f t="shared" si="3"/>
        <v>0</v>
      </c>
      <c r="AQ47" s="2">
        <v>0</v>
      </c>
      <c r="AR47" s="2">
        <v>1</v>
      </c>
      <c r="AS47" s="5">
        <v>45433</v>
      </c>
      <c r="AT47" s="2">
        <v>0</v>
      </c>
      <c r="AU47" s="2">
        <v>0</v>
      </c>
      <c r="AV47" s="2">
        <f t="shared" si="4"/>
        <v>5</v>
      </c>
      <c r="AW47" s="2">
        <v>1</v>
      </c>
      <c r="AX47" s="5">
        <v>45434</v>
      </c>
      <c r="AY47" s="2">
        <v>0</v>
      </c>
      <c r="AZ47" s="2">
        <v>0</v>
      </c>
      <c r="BA47" s="2">
        <v>0</v>
      </c>
      <c r="BB47" s="2">
        <v>0</v>
      </c>
      <c r="BC47" s="2">
        <v>1</v>
      </c>
      <c r="BD47" s="2">
        <f t="shared" si="7"/>
        <v>0</v>
      </c>
      <c r="BE47" s="2">
        <v>1</v>
      </c>
      <c r="BF47" s="2">
        <f t="shared" si="5"/>
        <v>1</v>
      </c>
      <c r="BG47" s="2" t="s">
        <v>132</v>
      </c>
    </row>
    <row r="48" spans="1:59">
      <c r="A48" s="8">
        <v>47</v>
      </c>
      <c r="B48" s="5">
        <v>45433</v>
      </c>
      <c r="C48" s="6">
        <v>45447</v>
      </c>
      <c r="D48" s="2">
        <f t="shared" si="6"/>
        <v>14</v>
      </c>
      <c r="E48" s="2">
        <v>75</v>
      </c>
      <c r="F48" s="2">
        <v>1</v>
      </c>
      <c r="G48" s="2">
        <v>2</v>
      </c>
      <c r="H48" s="2">
        <v>0</v>
      </c>
      <c r="I48" s="2">
        <v>0</v>
      </c>
      <c r="J48" s="2">
        <v>0</v>
      </c>
      <c r="K48" s="2">
        <v>0</v>
      </c>
      <c r="L48" s="2">
        <v>0</v>
      </c>
      <c r="M48" s="2">
        <v>0</v>
      </c>
      <c r="N48" s="2">
        <v>0</v>
      </c>
      <c r="P48" t="s">
        <v>119</v>
      </c>
      <c r="Q48" s="2">
        <v>0</v>
      </c>
      <c r="R48" s="2">
        <v>1</v>
      </c>
      <c r="S48" s="2">
        <v>0</v>
      </c>
      <c r="T48" s="2">
        <v>0</v>
      </c>
      <c r="U48" s="2">
        <v>0</v>
      </c>
      <c r="V48" s="2">
        <v>1</v>
      </c>
      <c r="W48" s="5">
        <v>45433</v>
      </c>
      <c r="X48" s="5">
        <v>45433</v>
      </c>
      <c r="Y48" s="28">
        <f t="shared" si="0"/>
        <v>0</v>
      </c>
      <c r="Z48" s="2">
        <v>0</v>
      </c>
      <c r="AA48" s="2">
        <v>0</v>
      </c>
      <c r="AB48" s="2">
        <v>0</v>
      </c>
      <c r="AC48" s="2">
        <v>0</v>
      </c>
      <c r="AD48" s="2">
        <v>0</v>
      </c>
      <c r="AE48" s="2">
        <v>0</v>
      </c>
      <c r="AF48" s="2">
        <v>0</v>
      </c>
      <c r="AG48" s="2">
        <v>0</v>
      </c>
      <c r="AH48" s="2">
        <v>0</v>
      </c>
      <c r="AI48" s="2">
        <v>1</v>
      </c>
      <c r="AJ48" s="2" t="s">
        <v>117</v>
      </c>
      <c r="AK48" s="11">
        <v>0</v>
      </c>
      <c r="AL48" s="2">
        <v>0</v>
      </c>
      <c r="AM48" s="2">
        <v>1</v>
      </c>
      <c r="AN48" s="2">
        <f t="shared" si="1"/>
        <v>0</v>
      </c>
      <c r="AO48" s="2">
        <f t="shared" si="2"/>
        <v>0</v>
      </c>
      <c r="AP48" s="2">
        <f t="shared" si="3"/>
        <v>1</v>
      </c>
      <c r="AQ48" s="2">
        <v>1</v>
      </c>
      <c r="AR48" s="2">
        <v>1</v>
      </c>
      <c r="AS48" s="5">
        <v>45436</v>
      </c>
      <c r="AT48" s="2">
        <v>0</v>
      </c>
      <c r="AU48" s="2">
        <v>0</v>
      </c>
      <c r="AV48" s="2">
        <f t="shared" si="4"/>
        <v>3</v>
      </c>
      <c r="AW48" s="2">
        <v>0</v>
      </c>
      <c r="BA48" s="2">
        <v>0</v>
      </c>
      <c r="BB48" s="2">
        <v>0</v>
      </c>
      <c r="BC48" s="2">
        <f t="shared" si="8"/>
        <v>0</v>
      </c>
      <c r="BD48" s="2">
        <f t="shared" si="7"/>
        <v>0</v>
      </c>
      <c r="BE48" s="2">
        <v>0</v>
      </c>
      <c r="BF48" s="2">
        <f t="shared" si="5"/>
        <v>0</v>
      </c>
      <c r="BG48" s="2" t="s">
        <v>133</v>
      </c>
    </row>
    <row r="49" spans="1:59">
      <c r="A49" s="2">
        <v>48</v>
      </c>
      <c r="B49" s="5">
        <v>45441</v>
      </c>
      <c r="C49" s="5">
        <v>45448</v>
      </c>
      <c r="D49" s="2">
        <f t="shared" si="6"/>
        <v>7</v>
      </c>
      <c r="E49" s="2">
        <v>54</v>
      </c>
      <c r="F49" s="2">
        <v>1</v>
      </c>
      <c r="G49" s="2">
        <v>3</v>
      </c>
      <c r="H49" s="2">
        <v>0</v>
      </c>
      <c r="I49" s="2">
        <v>0</v>
      </c>
      <c r="J49" s="2">
        <v>0</v>
      </c>
      <c r="K49" s="2">
        <v>0</v>
      </c>
      <c r="L49" s="2">
        <v>0</v>
      </c>
      <c r="M49" s="2">
        <v>0</v>
      </c>
      <c r="N49" s="2">
        <v>0</v>
      </c>
      <c r="P49" t="s">
        <v>125</v>
      </c>
      <c r="Q49" s="2">
        <v>0</v>
      </c>
      <c r="R49" s="2">
        <v>1</v>
      </c>
      <c r="S49" s="2">
        <v>0</v>
      </c>
      <c r="T49" s="2">
        <v>0</v>
      </c>
      <c r="U49" s="2">
        <v>0</v>
      </c>
      <c r="V49" s="2">
        <v>1</v>
      </c>
      <c r="W49" s="5">
        <v>45441</v>
      </c>
      <c r="X49" s="5">
        <v>45441</v>
      </c>
      <c r="Y49" s="28">
        <f t="shared" si="0"/>
        <v>0</v>
      </c>
      <c r="Z49" s="2">
        <v>1</v>
      </c>
      <c r="AA49" s="2">
        <v>0</v>
      </c>
      <c r="AB49" s="2">
        <v>0</v>
      </c>
      <c r="AC49" s="2">
        <v>0</v>
      </c>
      <c r="AD49" s="2">
        <v>0</v>
      </c>
      <c r="AE49" s="2">
        <v>1</v>
      </c>
      <c r="AF49" s="2">
        <v>0</v>
      </c>
      <c r="AG49" s="2">
        <v>0</v>
      </c>
      <c r="AH49" s="2">
        <v>0</v>
      </c>
      <c r="AI49" s="2">
        <v>1</v>
      </c>
      <c r="AJ49" s="2" t="s">
        <v>134</v>
      </c>
      <c r="AK49" s="2">
        <v>0</v>
      </c>
      <c r="AL49" s="2">
        <v>0</v>
      </c>
      <c r="AM49" s="2">
        <v>1</v>
      </c>
      <c r="AN49" s="2">
        <f t="shared" si="1"/>
        <v>0</v>
      </c>
      <c r="AO49" s="2">
        <f t="shared" si="2"/>
        <v>0</v>
      </c>
      <c r="AP49" s="2">
        <f t="shared" si="3"/>
        <v>1</v>
      </c>
      <c r="AQ49" s="2">
        <v>1</v>
      </c>
      <c r="AR49" s="2">
        <v>0</v>
      </c>
      <c r="AW49" s="2">
        <v>0</v>
      </c>
      <c r="BA49" s="2">
        <v>0</v>
      </c>
      <c r="BB49" s="2">
        <v>0</v>
      </c>
      <c r="BC49" s="2">
        <f t="shared" si="8"/>
        <v>0</v>
      </c>
      <c r="BD49" s="2">
        <f t="shared" si="7"/>
        <v>0</v>
      </c>
      <c r="BE49" s="2">
        <v>0</v>
      </c>
      <c r="BF49" s="2">
        <f t="shared" si="5"/>
        <v>0</v>
      </c>
      <c r="BG49" s="2" t="s">
        <v>135</v>
      </c>
    </row>
    <row r="50" spans="1:59">
      <c r="A50" s="8">
        <v>49</v>
      </c>
      <c r="B50" s="5">
        <v>45395</v>
      </c>
      <c r="C50" s="6">
        <v>45420</v>
      </c>
      <c r="D50" s="2">
        <f t="shared" si="6"/>
        <v>25</v>
      </c>
      <c r="E50" s="2">
        <v>78</v>
      </c>
      <c r="F50" s="2">
        <v>2</v>
      </c>
      <c r="G50" s="2">
        <v>2</v>
      </c>
      <c r="H50" s="2">
        <v>0</v>
      </c>
      <c r="I50" s="2">
        <v>0</v>
      </c>
      <c r="J50" s="2">
        <v>0</v>
      </c>
      <c r="K50" s="2">
        <v>0</v>
      </c>
      <c r="L50" s="2">
        <v>0</v>
      </c>
      <c r="M50" s="2">
        <v>0</v>
      </c>
      <c r="N50" s="2">
        <v>0</v>
      </c>
      <c r="P50" t="s">
        <v>136</v>
      </c>
      <c r="Q50" s="2">
        <v>0</v>
      </c>
      <c r="R50" s="2">
        <v>1</v>
      </c>
      <c r="S50" s="2">
        <v>0</v>
      </c>
      <c r="T50" s="2">
        <v>0</v>
      </c>
      <c r="U50" s="2">
        <v>0</v>
      </c>
      <c r="V50" s="2">
        <v>1</v>
      </c>
      <c r="W50" s="5">
        <v>45395</v>
      </c>
      <c r="X50" s="5">
        <v>45395</v>
      </c>
      <c r="Y50" s="28">
        <f t="shared" si="0"/>
        <v>0</v>
      </c>
      <c r="Z50" s="2">
        <v>1</v>
      </c>
      <c r="AA50" s="2">
        <v>0</v>
      </c>
      <c r="AB50" s="2">
        <v>0</v>
      </c>
      <c r="AC50" s="2">
        <v>0</v>
      </c>
      <c r="AD50" s="2">
        <v>0</v>
      </c>
      <c r="AE50" s="2">
        <v>0</v>
      </c>
      <c r="AF50" s="2">
        <v>0</v>
      </c>
      <c r="AG50" s="2">
        <v>0</v>
      </c>
      <c r="AH50" s="2">
        <v>1</v>
      </c>
      <c r="AI50" s="2">
        <v>1</v>
      </c>
      <c r="AJ50" s="2" t="s">
        <v>137</v>
      </c>
      <c r="AK50" s="2">
        <v>1</v>
      </c>
      <c r="AL50" s="2">
        <v>1</v>
      </c>
      <c r="AM50" s="2">
        <v>0</v>
      </c>
      <c r="AN50" s="2">
        <f t="shared" si="1"/>
        <v>0</v>
      </c>
      <c r="AO50" s="2">
        <f t="shared" si="2"/>
        <v>1</v>
      </c>
      <c r="AP50" s="2">
        <f t="shared" si="3"/>
        <v>0</v>
      </c>
      <c r="AQ50" s="2">
        <v>0</v>
      </c>
      <c r="AR50" s="2">
        <v>1</v>
      </c>
      <c r="AS50" s="5">
        <v>45402</v>
      </c>
      <c r="AT50" s="2">
        <v>0</v>
      </c>
      <c r="AU50" s="2">
        <v>0</v>
      </c>
      <c r="AV50" s="2">
        <f t="shared" si="4"/>
        <v>7</v>
      </c>
      <c r="AW50" s="2">
        <v>0</v>
      </c>
      <c r="BA50" s="2">
        <v>0</v>
      </c>
      <c r="BB50" s="2">
        <v>0</v>
      </c>
      <c r="BC50" s="2">
        <v>1</v>
      </c>
      <c r="BD50" s="2">
        <f t="shared" si="7"/>
        <v>0</v>
      </c>
      <c r="BE50" s="2">
        <v>1</v>
      </c>
      <c r="BF50" s="2">
        <f t="shared" si="5"/>
        <v>0</v>
      </c>
      <c r="BG50" s="2" t="s">
        <v>138</v>
      </c>
    </row>
    <row r="51" spans="1:59">
      <c r="A51" s="2">
        <v>50</v>
      </c>
      <c r="B51" s="5">
        <v>45409</v>
      </c>
      <c r="C51" s="5">
        <v>45435</v>
      </c>
      <c r="D51" s="2">
        <f t="shared" si="6"/>
        <v>26</v>
      </c>
      <c r="E51" s="2">
        <v>36</v>
      </c>
      <c r="F51" s="2">
        <v>1</v>
      </c>
      <c r="G51" s="2">
        <v>3</v>
      </c>
      <c r="H51" s="2">
        <v>0</v>
      </c>
      <c r="I51" s="2">
        <v>0</v>
      </c>
      <c r="J51" s="2">
        <v>0</v>
      </c>
      <c r="K51" s="2">
        <v>0</v>
      </c>
      <c r="L51" s="2">
        <v>0</v>
      </c>
      <c r="M51" s="2">
        <v>0</v>
      </c>
      <c r="N51" s="2">
        <v>0</v>
      </c>
      <c r="P51" t="s">
        <v>125</v>
      </c>
      <c r="Q51" s="2">
        <v>0</v>
      </c>
      <c r="R51" s="2">
        <v>1</v>
      </c>
      <c r="S51" s="2">
        <v>0</v>
      </c>
      <c r="T51" s="2">
        <v>0</v>
      </c>
      <c r="U51" s="2">
        <v>0</v>
      </c>
      <c r="V51" s="2">
        <v>1</v>
      </c>
      <c r="W51" s="5">
        <v>45409</v>
      </c>
      <c r="X51" s="5">
        <v>45409</v>
      </c>
      <c r="Y51" s="28">
        <f t="shared" si="0"/>
        <v>0</v>
      </c>
      <c r="Z51" s="2">
        <v>1</v>
      </c>
      <c r="AA51" s="2">
        <v>0</v>
      </c>
      <c r="AB51" s="2">
        <v>0</v>
      </c>
      <c r="AC51" s="2">
        <v>0</v>
      </c>
      <c r="AD51" s="2">
        <v>1</v>
      </c>
      <c r="AE51" s="2">
        <v>1</v>
      </c>
      <c r="AF51" s="2">
        <v>0</v>
      </c>
      <c r="AG51" s="2">
        <v>0</v>
      </c>
      <c r="AH51" s="2">
        <v>0</v>
      </c>
      <c r="AI51" s="2">
        <v>1</v>
      </c>
      <c r="AJ51" s="2" t="s">
        <v>117</v>
      </c>
      <c r="AK51" s="2">
        <v>1</v>
      </c>
      <c r="AL51" s="2">
        <v>1</v>
      </c>
      <c r="AM51" s="11">
        <v>1</v>
      </c>
      <c r="AN51" s="2">
        <f t="shared" si="1"/>
        <v>1</v>
      </c>
      <c r="AO51" s="2">
        <f t="shared" si="2"/>
        <v>0</v>
      </c>
      <c r="AP51" s="2">
        <f t="shared" si="3"/>
        <v>0</v>
      </c>
      <c r="AQ51" s="2">
        <v>0</v>
      </c>
      <c r="AR51" s="2">
        <v>1</v>
      </c>
      <c r="AS51" s="5">
        <v>45413</v>
      </c>
      <c r="AT51" s="2">
        <v>0</v>
      </c>
      <c r="AU51" s="2">
        <v>0</v>
      </c>
      <c r="AV51" s="2">
        <f t="shared" si="4"/>
        <v>4</v>
      </c>
      <c r="AW51" s="2">
        <v>0</v>
      </c>
      <c r="BA51" s="2">
        <v>0</v>
      </c>
      <c r="BB51" s="2">
        <v>0</v>
      </c>
      <c r="BC51" s="2">
        <v>1</v>
      </c>
      <c r="BD51" s="2">
        <f t="shared" si="7"/>
        <v>0</v>
      </c>
      <c r="BE51" s="2">
        <v>1</v>
      </c>
      <c r="BF51" s="2">
        <f t="shared" si="5"/>
        <v>0</v>
      </c>
      <c r="BG51" s="2" t="s">
        <v>139</v>
      </c>
    </row>
    <row r="52" spans="1:59">
      <c r="A52" s="2">
        <v>51</v>
      </c>
      <c r="B52" s="5">
        <v>45410</v>
      </c>
      <c r="C52" s="5">
        <v>45415</v>
      </c>
      <c r="D52" s="2">
        <f t="shared" si="6"/>
        <v>5</v>
      </c>
      <c r="E52" s="2">
        <v>95</v>
      </c>
      <c r="F52" s="2">
        <v>2</v>
      </c>
      <c r="G52" s="2">
        <v>2</v>
      </c>
      <c r="H52" s="2">
        <v>0</v>
      </c>
      <c r="I52" s="2">
        <v>0</v>
      </c>
      <c r="J52" s="2">
        <v>0</v>
      </c>
      <c r="K52" s="2">
        <v>0</v>
      </c>
      <c r="L52" s="2">
        <v>0</v>
      </c>
      <c r="M52" s="2">
        <v>0</v>
      </c>
      <c r="N52" s="2">
        <v>0</v>
      </c>
      <c r="P52" t="s">
        <v>119</v>
      </c>
      <c r="Q52" s="2">
        <v>0</v>
      </c>
      <c r="R52" s="2">
        <v>1</v>
      </c>
      <c r="S52" s="2">
        <v>0</v>
      </c>
      <c r="T52" s="2">
        <v>0</v>
      </c>
      <c r="U52" s="2">
        <v>0</v>
      </c>
      <c r="V52" s="2">
        <v>1</v>
      </c>
      <c r="W52" s="5">
        <v>45410</v>
      </c>
      <c r="X52" s="5">
        <v>45410</v>
      </c>
      <c r="Y52" s="28">
        <f t="shared" si="0"/>
        <v>0</v>
      </c>
      <c r="Z52" s="2">
        <v>0</v>
      </c>
      <c r="AA52" s="2">
        <v>0</v>
      </c>
      <c r="AB52" s="2">
        <v>0</v>
      </c>
      <c r="AC52" s="2">
        <v>0</v>
      </c>
      <c r="AD52" s="2">
        <v>0</v>
      </c>
      <c r="AE52" s="2">
        <v>0</v>
      </c>
      <c r="AF52" s="2">
        <v>0</v>
      </c>
      <c r="AG52" s="2">
        <v>0</v>
      </c>
      <c r="AH52" s="2">
        <v>0</v>
      </c>
      <c r="AI52" s="2">
        <v>1</v>
      </c>
      <c r="AJ52" s="2" t="s">
        <v>117</v>
      </c>
      <c r="AK52" s="2">
        <v>0</v>
      </c>
      <c r="AL52" s="2">
        <v>0</v>
      </c>
      <c r="AM52" s="2">
        <v>1</v>
      </c>
      <c r="AN52" s="2">
        <f t="shared" si="1"/>
        <v>0</v>
      </c>
      <c r="AO52" s="2">
        <f t="shared" si="2"/>
        <v>0</v>
      </c>
      <c r="AP52" s="2">
        <f t="shared" si="3"/>
        <v>1</v>
      </c>
      <c r="AQ52" s="2">
        <v>1</v>
      </c>
      <c r="AR52" s="2">
        <v>1</v>
      </c>
      <c r="AS52" s="5">
        <v>45414</v>
      </c>
      <c r="AT52" s="2">
        <v>0</v>
      </c>
      <c r="AU52" s="2">
        <v>0</v>
      </c>
      <c r="AV52" s="2">
        <f t="shared" si="4"/>
        <v>4</v>
      </c>
      <c r="AW52" s="2">
        <v>0</v>
      </c>
      <c r="BA52" s="2">
        <v>0</v>
      </c>
      <c r="BB52" s="2">
        <v>0</v>
      </c>
      <c r="BC52" s="2">
        <f t="shared" si="8"/>
        <v>0</v>
      </c>
      <c r="BD52" s="2">
        <f t="shared" si="7"/>
        <v>0</v>
      </c>
      <c r="BE52" s="2">
        <v>0</v>
      </c>
      <c r="BF52" s="2">
        <f t="shared" si="5"/>
        <v>0</v>
      </c>
      <c r="BG52" s="2" t="s">
        <v>140</v>
      </c>
    </row>
    <row r="53" spans="1:59">
      <c r="A53" s="2">
        <v>52</v>
      </c>
      <c r="B53" s="5">
        <v>45356</v>
      </c>
      <c r="C53" s="5">
        <v>45366</v>
      </c>
      <c r="D53" s="2">
        <f t="shared" si="6"/>
        <v>10</v>
      </c>
      <c r="E53" s="2">
        <v>42</v>
      </c>
      <c r="F53" s="2">
        <v>1</v>
      </c>
      <c r="G53" s="2">
        <v>2</v>
      </c>
      <c r="H53" s="2">
        <v>1</v>
      </c>
      <c r="I53" s="2">
        <v>0</v>
      </c>
      <c r="J53" s="2">
        <v>0</v>
      </c>
      <c r="K53" s="2">
        <v>0</v>
      </c>
      <c r="L53" s="2">
        <v>0</v>
      </c>
      <c r="M53" s="2">
        <v>0</v>
      </c>
      <c r="N53" s="2">
        <v>1</v>
      </c>
      <c r="O53" s="2" t="s">
        <v>141</v>
      </c>
      <c r="P53" t="s">
        <v>121</v>
      </c>
      <c r="Q53" s="2">
        <v>0</v>
      </c>
      <c r="R53" s="2">
        <v>1</v>
      </c>
      <c r="S53" s="2">
        <v>0</v>
      </c>
      <c r="T53" s="2">
        <v>0</v>
      </c>
      <c r="U53" s="2">
        <v>1</v>
      </c>
      <c r="V53" s="2">
        <v>2</v>
      </c>
      <c r="W53" s="5">
        <v>45356</v>
      </c>
      <c r="X53" s="5">
        <v>45357</v>
      </c>
      <c r="Y53" s="28">
        <f t="shared" si="0"/>
        <v>1</v>
      </c>
      <c r="Z53" s="2">
        <v>0</v>
      </c>
      <c r="AA53" s="2">
        <v>0</v>
      </c>
      <c r="AB53" s="2">
        <v>0</v>
      </c>
      <c r="AC53" s="2">
        <v>0</v>
      </c>
      <c r="AD53" s="2">
        <v>0</v>
      </c>
      <c r="AE53" s="2">
        <v>0</v>
      </c>
      <c r="AF53" s="2">
        <v>0</v>
      </c>
      <c r="AG53" s="2">
        <v>0</v>
      </c>
      <c r="AH53" s="2">
        <v>0</v>
      </c>
      <c r="AI53" s="2">
        <v>1</v>
      </c>
      <c r="AJ53" s="2" t="s">
        <v>117</v>
      </c>
      <c r="AK53" s="2">
        <v>1</v>
      </c>
      <c r="AL53" s="2">
        <v>1</v>
      </c>
      <c r="AM53" s="2">
        <v>1</v>
      </c>
      <c r="AN53" s="2">
        <f t="shared" si="1"/>
        <v>1</v>
      </c>
      <c r="AO53" s="2">
        <f t="shared" si="2"/>
        <v>0</v>
      </c>
      <c r="AP53" s="2">
        <f t="shared" si="3"/>
        <v>0</v>
      </c>
      <c r="AQ53" s="2">
        <v>1</v>
      </c>
      <c r="AR53" s="2">
        <v>1</v>
      </c>
      <c r="AS53" s="5">
        <v>45357</v>
      </c>
      <c r="AT53" s="2">
        <v>1</v>
      </c>
      <c r="AU53" s="11">
        <v>1</v>
      </c>
      <c r="AV53" s="2">
        <f t="shared" si="4"/>
        <v>1</v>
      </c>
      <c r="AW53" s="11">
        <v>1</v>
      </c>
      <c r="AX53" s="5">
        <v>45359</v>
      </c>
      <c r="AY53" s="2">
        <v>1</v>
      </c>
      <c r="AZ53" s="2">
        <v>1</v>
      </c>
      <c r="BA53" s="2">
        <v>0</v>
      </c>
      <c r="BB53" s="2">
        <v>1</v>
      </c>
      <c r="BC53" s="2">
        <v>1</v>
      </c>
      <c r="BD53" s="2">
        <f t="shared" si="7"/>
        <v>0</v>
      </c>
      <c r="BE53" s="2">
        <v>0</v>
      </c>
      <c r="BF53" s="2">
        <f t="shared" si="5"/>
        <v>1</v>
      </c>
      <c r="BG53" s="2" t="s">
        <v>142</v>
      </c>
    </row>
    <row r="54" spans="1:59">
      <c r="A54" s="2">
        <v>53</v>
      </c>
      <c r="B54" s="5">
        <v>45357</v>
      </c>
      <c r="C54" s="5">
        <v>45385</v>
      </c>
      <c r="D54" s="2">
        <f t="shared" si="6"/>
        <v>28</v>
      </c>
      <c r="E54" s="2">
        <v>37</v>
      </c>
      <c r="F54" s="2">
        <v>2</v>
      </c>
      <c r="G54" s="2">
        <v>2</v>
      </c>
      <c r="H54" s="2">
        <v>0</v>
      </c>
      <c r="I54" s="2">
        <v>0</v>
      </c>
      <c r="J54" s="2">
        <v>0</v>
      </c>
      <c r="K54" s="2">
        <v>0</v>
      </c>
      <c r="L54" s="2">
        <v>0</v>
      </c>
      <c r="M54" s="2">
        <v>0</v>
      </c>
      <c r="N54" s="2">
        <v>0</v>
      </c>
      <c r="P54" t="s">
        <v>136</v>
      </c>
      <c r="Q54" s="2">
        <v>0</v>
      </c>
      <c r="R54" s="2">
        <v>1</v>
      </c>
      <c r="S54" s="2">
        <v>0</v>
      </c>
      <c r="T54" s="2">
        <v>0</v>
      </c>
      <c r="U54" s="2">
        <v>0</v>
      </c>
      <c r="V54" s="2">
        <v>1</v>
      </c>
      <c r="W54" s="5">
        <v>45357</v>
      </c>
      <c r="X54" s="5">
        <v>45357</v>
      </c>
      <c r="Y54" s="28">
        <f t="shared" si="0"/>
        <v>0</v>
      </c>
      <c r="Z54" s="2">
        <v>1</v>
      </c>
      <c r="AA54" s="2">
        <v>0</v>
      </c>
      <c r="AB54" s="2">
        <v>1</v>
      </c>
      <c r="AC54" s="2">
        <v>0</v>
      </c>
      <c r="AD54" s="2">
        <v>1</v>
      </c>
      <c r="AE54" s="2">
        <v>0</v>
      </c>
      <c r="AF54" s="2">
        <v>0</v>
      </c>
      <c r="AG54" s="2">
        <v>0</v>
      </c>
      <c r="AH54" s="2">
        <v>0</v>
      </c>
      <c r="AI54" s="2">
        <v>1</v>
      </c>
      <c r="AJ54" s="2" t="s">
        <v>143</v>
      </c>
      <c r="AK54" s="2">
        <v>1</v>
      </c>
      <c r="AL54" s="2">
        <v>1</v>
      </c>
      <c r="AM54" s="2">
        <v>1</v>
      </c>
      <c r="AN54" s="2">
        <f t="shared" si="1"/>
        <v>1</v>
      </c>
      <c r="AO54" s="2">
        <f t="shared" si="2"/>
        <v>0</v>
      </c>
      <c r="AP54" s="2">
        <f t="shared" si="3"/>
        <v>0</v>
      </c>
      <c r="AQ54" s="2">
        <v>1</v>
      </c>
      <c r="AR54" s="2">
        <v>1</v>
      </c>
      <c r="AS54" s="5">
        <v>45359</v>
      </c>
      <c r="AT54" s="2">
        <v>0</v>
      </c>
      <c r="AU54" s="2">
        <v>0</v>
      </c>
      <c r="AV54" s="2">
        <f t="shared" si="4"/>
        <v>2</v>
      </c>
      <c r="AW54" s="2">
        <v>0</v>
      </c>
      <c r="BA54" s="2">
        <v>0</v>
      </c>
      <c r="BB54" s="2">
        <v>0</v>
      </c>
      <c r="BC54" s="2">
        <v>1</v>
      </c>
      <c r="BD54" s="2">
        <f t="shared" si="7"/>
        <v>0</v>
      </c>
      <c r="BE54" s="2">
        <v>1</v>
      </c>
      <c r="BF54" s="2">
        <f t="shared" si="5"/>
        <v>0</v>
      </c>
      <c r="BG54" s="2" t="s">
        <v>144</v>
      </c>
    </row>
    <row r="55" spans="1:59">
      <c r="A55" s="2">
        <v>54</v>
      </c>
      <c r="B55" s="5">
        <v>45359</v>
      </c>
      <c r="C55" s="5">
        <v>45366</v>
      </c>
      <c r="D55" s="2">
        <f t="shared" si="6"/>
        <v>7</v>
      </c>
      <c r="E55" s="2">
        <v>86</v>
      </c>
      <c r="F55" s="2">
        <v>1</v>
      </c>
      <c r="G55" s="2">
        <v>2</v>
      </c>
      <c r="H55" s="2">
        <v>0</v>
      </c>
      <c r="I55" s="2">
        <v>0</v>
      </c>
      <c r="J55" s="2">
        <v>0</v>
      </c>
      <c r="K55" s="2">
        <v>0</v>
      </c>
      <c r="L55" s="2">
        <v>0</v>
      </c>
      <c r="M55" s="2">
        <v>0</v>
      </c>
      <c r="N55" s="2">
        <v>1</v>
      </c>
      <c r="O55" s="2" t="s">
        <v>145</v>
      </c>
      <c r="P55" t="s">
        <v>116</v>
      </c>
      <c r="Q55" s="2">
        <v>0</v>
      </c>
      <c r="R55" s="2">
        <v>1</v>
      </c>
      <c r="S55" s="2">
        <v>0</v>
      </c>
      <c r="T55" s="2">
        <v>0</v>
      </c>
      <c r="U55" s="2">
        <v>0</v>
      </c>
      <c r="V55" s="2">
        <v>1</v>
      </c>
      <c r="W55" s="5">
        <v>45359</v>
      </c>
      <c r="X55" s="5">
        <v>45359</v>
      </c>
      <c r="Y55" s="28">
        <f t="shared" si="0"/>
        <v>0</v>
      </c>
      <c r="Z55" s="2">
        <v>1</v>
      </c>
      <c r="AA55" s="2">
        <v>0</v>
      </c>
      <c r="AB55" s="2">
        <v>0</v>
      </c>
      <c r="AC55" s="2">
        <v>0</v>
      </c>
      <c r="AD55" s="2">
        <v>0</v>
      </c>
      <c r="AE55" s="2">
        <v>0</v>
      </c>
      <c r="AF55" s="2">
        <v>0</v>
      </c>
      <c r="AG55" s="2">
        <v>1</v>
      </c>
      <c r="AH55" s="2">
        <v>0</v>
      </c>
      <c r="AI55" s="2">
        <v>1</v>
      </c>
      <c r="AJ55" s="2" t="s">
        <v>146</v>
      </c>
      <c r="AK55" s="2">
        <v>0</v>
      </c>
      <c r="AL55" s="2">
        <v>0</v>
      </c>
      <c r="AM55" s="2">
        <v>1</v>
      </c>
      <c r="AN55" s="2">
        <f t="shared" si="1"/>
        <v>0</v>
      </c>
      <c r="AO55" s="2">
        <f t="shared" si="2"/>
        <v>0</v>
      </c>
      <c r="AP55" s="2">
        <f t="shared" si="3"/>
        <v>1</v>
      </c>
      <c r="AQ55" s="2">
        <v>1</v>
      </c>
      <c r="AR55" s="2">
        <v>1</v>
      </c>
      <c r="AS55" s="5">
        <v>45363</v>
      </c>
      <c r="AT55" s="2">
        <v>0</v>
      </c>
      <c r="AU55" s="2">
        <v>1</v>
      </c>
      <c r="AV55" s="2">
        <f t="shared" si="4"/>
        <v>4</v>
      </c>
      <c r="AW55" s="2">
        <v>0</v>
      </c>
      <c r="BA55" s="2">
        <v>0</v>
      </c>
      <c r="BB55" s="2">
        <v>0</v>
      </c>
      <c r="BC55" s="2">
        <f t="shared" si="8"/>
        <v>0</v>
      </c>
      <c r="BD55" s="2">
        <f t="shared" si="7"/>
        <v>0</v>
      </c>
      <c r="BE55" s="2">
        <v>0</v>
      </c>
      <c r="BF55" s="2">
        <f t="shared" si="5"/>
        <v>0</v>
      </c>
      <c r="BG55" s="2" t="s">
        <v>147</v>
      </c>
    </row>
    <row r="56" spans="1:59" s="13" customFormat="1">
      <c r="A56" s="13">
        <v>55</v>
      </c>
      <c r="B56" s="18">
        <v>45369</v>
      </c>
      <c r="C56" s="43">
        <v>45377</v>
      </c>
      <c r="D56" s="13">
        <f t="shared" si="6"/>
        <v>8</v>
      </c>
      <c r="E56" s="13">
        <v>74</v>
      </c>
      <c r="F56" s="13">
        <v>2</v>
      </c>
      <c r="G56" s="13">
        <v>2</v>
      </c>
      <c r="H56" s="13">
        <v>0</v>
      </c>
      <c r="I56" s="13">
        <v>0</v>
      </c>
      <c r="J56" s="13">
        <v>0</v>
      </c>
      <c r="K56" s="13">
        <v>0</v>
      </c>
      <c r="L56" s="13">
        <v>0</v>
      </c>
      <c r="M56" s="13">
        <v>0</v>
      </c>
      <c r="N56" s="13">
        <v>1</v>
      </c>
      <c r="O56" s="13" t="s">
        <v>70</v>
      </c>
      <c r="P56" s="14" t="s">
        <v>119</v>
      </c>
      <c r="Q56" s="13">
        <v>0</v>
      </c>
      <c r="R56" s="13">
        <v>1</v>
      </c>
      <c r="S56" s="13">
        <v>0</v>
      </c>
      <c r="T56" s="13">
        <v>0</v>
      </c>
      <c r="U56" s="13">
        <v>0</v>
      </c>
      <c r="V56" s="13">
        <v>1</v>
      </c>
      <c r="W56" s="18">
        <v>45369</v>
      </c>
      <c r="X56" s="18">
        <v>45369</v>
      </c>
      <c r="Y56" s="31">
        <f t="shared" si="0"/>
        <v>0</v>
      </c>
      <c r="Z56" s="13">
        <v>1</v>
      </c>
      <c r="AA56" s="13">
        <v>0</v>
      </c>
      <c r="AB56" s="13">
        <v>0</v>
      </c>
      <c r="AC56" s="13">
        <v>0</v>
      </c>
      <c r="AD56" s="13">
        <v>1</v>
      </c>
      <c r="AE56" s="13">
        <v>0</v>
      </c>
      <c r="AF56" s="13">
        <v>0</v>
      </c>
      <c r="AG56" s="13">
        <v>0</v>
      </c>
      <c r="AH56" s="13">
        <v>1</v>
      </c>
      <c r="AI56" s="13">
        <v>1</v>
      </c>
      <c r="AJ56" s="13" t="s">
        <v>117</v>
      </c>
      <c r="AK56" s="13">
        <v>1</v>
      </c>
      <c r="AL56" s="13">
        <v>0</v>
      </c>
      <c r="AM56" s="13">
        <v>1</v>
      </c>
      <c r="AN56" s="2">
        <f t="shared" si="1"/>
        <v>0</v>
      </c>
      <c r="AO56" s="2">
        <f t="shared" si="2"/>
        <v>0</v>
      </c>
      <c r="AP56" s="2">
        <f t="shared" si="3"/>
        <v>1</v>
      </c>
      <c r="AQ56" s="13">
        <v>1</v>
      </c>
      <c r="AR56" s="13">
        <v>0</v>
      </c>
      <c r="AV56" s="2"/>
      <c r="AW56" s="13">
        <v>0</v>
      </c>
      <c r="BA56" s="13">
        <v>0</v>
      </c>
      <c r="BB56" s="13">
        <v>0</v>
      </c>
      <c r="BC56" s="2">
        <f t="shared" si="8"/>
        <v>0</v>
      </c>
      <c r="BD56" s="2">
        <f t="shared" si="7"/>
        <v>0</v>
      </c>
      <c r="BE56" s="13">
        <v>0</v>
      </c>
      <c r="BF56" s="2">
        <f t="shared" si="5"/>
        <v>0</v>
      </c>
      <c r="BG56" s="13" t="s">
        <v>148</v>
      </c>
    </row>
    <row r="57" spans="1:59">
      <c r="A57" s="2">
        <v>56</v>
      </c>
      <c r="B57" s="5">
        <v>45458</v>
      </c>
      <c r="C57" s="5">
        <v>45467</v>
      </c>
      <c r="D57" s="2">
        <f>C57-B57</f>
        <v>9</v>
      </c>
      <c r="E57" s="2">
        <v>87</v>
      </c>
      <c r="F57" s="2">
        <v>2</v>
      </c>
      <c r="G57" s="2">
        <v>5</v>
      </c>
      <c r="H57" s="2">
        <v>0</v>
      </c>
      <c r="I57" s="2">
        <v>0</v>
      </c>
      <c r="J57" s="2">
        <v>0</v>
      </c>
      <c r="K57" s="2">
        <v>0</v>
      </c>
      <c r="L57" s="2">
        <v>0</v>
      </c>
      <c r="M57" s="2">
        <v>0</v>
      </c>
      <c r="N57" s="2">
        <v>0</v>
      </c>
      <c r="O57" s="2" t="s">
        <v>70</v>
      </c>
      <c r="P57" t="s">
        <v>155</v>
      </c>
      <c r="Q57" s="2">
        <v>0</v>
      </c>
      <c r="R57" s="2">
        <v>0</v>
      </c>
      <c r="S57" s="2">
        <v>1</v>
      </c>
      <c r="T57" s="2">
        <v>0</v>
      </c>
      <c r="U57" s="2">
        <v>1</v>
      </c>
      <c r="V57" s="2">
        <v>2</v>
      </c>
      <c r="W57" s="5">
        <v>45457</v>
      </c>
      <c r="X57" s="5">
        <v>45458</v>
      </c>
      <c r="Y57" s="28">
        <f t="shared" si="0"/>
        <v>1</v>
      </c>
      <c r="Z57" s="2">
        <v>1</v>
      </c>
      <c r="AA57" s="2">
        <v>0</v>
      </c>
      <c r="AB57" s="2">
        <v>0</v>
      </c>
      <c r="AC57" s="2">
        <v>0</v>
      </c>
      <c r="AD57" s="2">
        <v>0</v>
      </c>
      <c r="AE57" s="2">
        <v>0</v>
      </c>
      <c r="AF57" s="2">
        <v>0</v>
      </c>
      <c r="AG57" s="2">
        <v>1</v>
      </c>
      <c r="AH57" s="2">
        <v>0</v>
      </c>
      <c r="AI57" s="2">
        <v>1</v>
      </c>
      <c r="AJ57" s="2" t="s">
        <v>146</v>
      </c>
      <c r="AK57" s="2">
        <v>0</v>
      </c>
      <c r="AL57" s="2">
        <v>1</v>
      </c>
      <c r="AM57" s="2">
        <v>1</v>
      </c>
      <c r="AN57" s="2">
        <f t="shared" si="1"/>
        <v>1</v>
      </c>
      <c r="AO57" s="2">
        <f t="shared" si="2"/>
        <v>0</v>
      </c>
      <c r="AP57" s="2">
        <f t="shared" si="3"/>
        <v>0</v>
      </c>
      <c r="AQ57" s="2">
        <v>1</v>
      </c>
      <c r="AR57" s="2">
        <v>1</v>
      </c>
      <c r="AS57" s="5">
        <v>45462</v>
      </c>
      <c r="AT57" s="2">
        <v>0</v>
      </c>
      <c r="AU57" s="2">
        <v>0</v>
      </c>
      <c r="AV57" s="2">
        <f t="shared" si="4"/>
        <v>4</v>
      </c>
      <c r="AW57" s="2">
        <v>0</v>
      </c>
      <c r="BA57" s="2">
        <v>0</v>
      </c>
      <c r="BB57" s="2">
        <v>0</v>
      </c>
      <c r="BC57" s="2">
        <v>1</v>
      </c>
      <c r="BD57" s="2">
        <f t="shared" si="7"/>
        <v>0</v>
      </c>
      <c r="BE57" s="2">
        <v>0</v>
      </c>
      <c r="BF57" s="2">
        <f t="shared" si="5"/>
        <v>0</v>
      </c>
      <c r="BG57" s="2" t="s">
        <v>156</v>
      </c>
    </row>
    <row r="58" spans="1:59">
      <c r="A58" s="2">
        <v>57</v>
      </c>
      <c r="B58" s="5">
        <v>45459</v>
      </c>
      <c r="E58" s="2">
        <v>55</v>
      </c>
      <c r="F58" s="2">
        <v>2</v>
      </c>
      <c r="G58" s="2">
        <v>2</v>
      </c>
      <c r="H58" s="2">
        <v>1</v>
      </c>
      <c r="I58" s="2">
        <v>0</v>
      </c>
      <c r="J58" s="2">
        <v>0</v>
      </c>
      <c r="K58" s="2">
        <v>1</v>
      </c>
      <c r="L58" s="2">
        <v>0</v>
      </c>
      <c r="M58" s="2">
        <v>0</v>
      </c>
      <c r="N58" s="2">
        <v>1</v>
      </c>
      <c r="O58" s="2" t="s">
        <v>157</v>
      </c>
      <c r="P58" t="s">
        <v>155</v>
      </c>
      <c r="Q58" s="2">
        <v>0</v>
      </c>
      <c r="R58" s="2">
        <v>0</v>
      </c>
      <c r="S58" s="2">
        <v>1</v>
      </c>
      <c r="T58" s="2">
        <v>0</v>
      </c>
      <c r="U58" s="2">
        <v>1</v>
      </c>
      <c r="V58" s="2">
        <v>4</v>
      </c>
      <c r="W58" s="5">
        <v>45469</v>
      </c>
      <c r="X58" s="5">
        <v>45472</v>
      </c>
      <c r="Y58" s="28">
        <f t="shared" si="0"/>
        <v>3</v>
      </c>
      <c r="Z58" s="2">
        <v>0</v>
      </c>
      <c r="AA58" s="2">
        <v>0</v>
      </c>
      <c r="AB58" s="2">
        <v>0</v>
      </c>
      <c r="AC58" s="2">
        <v>0</v>
      </c>
      <c r="AD58" s="2">
        <v>0</v>
      </c>
      <c r="AE58" s="2">
        <v>0</v>
      </c>
      <c r="AF58" s="2">
        <v>0</v>
      </c>
      <c r="AG58" s="2">
        <v>0</v>
      </c>
      <c r="AH58" s="2">
        <v>0</v>
      </c>
      <c r="AI58" s="2">
        <v>1</v>
      </c>
      <c r="AJ58" s="2" t="s">
        <v>158</v>
      </c>
      <c r="AK58" s="2">
        <v>1</v>
      </c>
      <c r="AL58" s="2">
        <v>1</v>
      </c>
      <c r="AM58" s="2">
        <v>1</v>
      </c>
      <c r="AN58" s="2">
        <f t="shared" si="1"/>
        <v>1</v>
      </c>
      <c r="AO58" s="2">
        <f t="shared" si="2"/>
        <v>0</v>
      </c>
      <c r="AP58" s="2">
        <f t="shared" si="3"/>
        <v>0</v>
      </c>
      <c r="AQ58" s="2">
        <v>1</v>
      </c>
      <c r="AR58" s="2">
        <v>1</v>
      </c>
      <c r="AS58" s="5">
        <v>45485</v>
      </c>
      <c r="AT58" s="2">
        <v>0</v>
      </c>
      <c r="AU58" s="2">
        <v>1</v>
      </c>
      <c r="AV58" s="2">
        <f t="shared" si="4"/>
        <v>26</v>
      </c>
      <c r="AW58" s="11">
        <v>0</v>
      </c>
      <c r="BA58" s="2">
        <v>0</v>
      </c>
      <c r="BB58" s="2">
        <v>1</v>
      </c>
      <c r="BC58" s="2">
        <f t="shared" si="8"/>
        <v>1</v>
      </c>
      <c r="BD58" s="2">
        <f t="shared" si="7"/>
        <v>1</v>
      </c>
      <c r="BE58" s="2">
        <v>1</v>
      </c>
      <c r="BF58" s="2">
        <f t="shared" si="5"/>
        <v>0</v>
      </c>
      <c r="BG58" s="2" t="s">
        <v>159</v>
      </c>
    </row>
    <row r="59" spans="1:59">
      <c r="A59" s="2">
        <v>58</v>
      </c>
      <c r="B59" s="5">
        <v>45469</v>
      </c>
      <c r="C59" s="5">
        <v>45484</v>
      </c>
      <c r="D59" s="2">
        <f>C59-B59</f>
        <v>15</v>
      </c>
      <c r="E59" s="2">
        <v>86</v>
      </c>
      <c r="F59" s="2">
        <v>2</v>
      </c>
      <c r="G59" s="2">
        <v>2</v>
      </c>
      <c r="H59" s="2">
        <v>1</v>
      </c>
      <c r="I59" s="2">
        <v>0</v>
      </c>
      <c r="J59" s="2">
        <v>0</v>
      </c>
      <c r="K59" s="2">
        <v>1</v>
      </c>
      <c r="L59" s="2">
        <v>0</v>
      </c>
      <c r="M59" s="2">
        <v>0</v>
      </c>
      <c r="N59" s="2">
        <v>0</v>
      </c>
      <c r="P59" t="s">
        <v>155</v>
      </c>
      <c r="Q59" s="2">
        <v>0</v>
      </c>
      <c r="R59" s="2">
        <v>0</v>
      </c>
      <c r="S59" s="2">
        <v>1</v>
      </c>
      <c r="T59" s="2">
        <v>0</v>
      </c>
      <c r="U59" s="2">
        <v>0</v>
      </c>
      <c r="V59" s="2">
        <v>1</v>
      </c>
      <c r="W59" s="5">
        <v>45471</v>
      </c>
      <c r="X59" s="5">
        <v>45471</v>
      </c>
      <c r="Y59" s="28">
        <f t="shared" si="0"/>
        <v>0</v>
      </c>
      <c r="Z59" s="2">
        <v>1</v>
      </c>
      <c r="AA59" s="2">
        <v>0</v>
      </c>
      <c r="AB59" s="2">
        <v>0</v>
      </c>
      <c r="AC59" s="2">
        <v>0</v>
      </c>
      <c r="AD59" s="2">
        <v>0</v>
      </c>
      <c r="AE59" s="2">
        <v>0</v>
      </c>
      <c r="AF59" s="2">
        <v>0</v>
      </c>
      <c r="AG59" s="2">
        <v>1</v>
      </c>
      <c r="AH59" s="2">
        <v>0</v>
      </c>
      <c r="AI59" s="2">
        <v>1</v>
      </c>
      <c r="AJ59" s="2" t="s">
        <v>146</v>
      </c>
      <c r="AK59" s="2">
        <v>0</v>
      </c>
      <c r="AL59" s="2">
        <v>1</v>
      </c>
      <c r="AM59" s="2">
        <v>1</v>
      </c>
      <c r="AN59" s="2">
        <f t="shared" si="1"/>
        <v>1</v>
      </c>
      <c r="AO59" s="2">
        <f t="shared" si="2"/>
        <v>0</v>
      </c>
      <c r="AP59" s="2">
        <f t="shared" si="3"/>
        <v>0</v>
      </c>
      <c r="AQ59" s="2">
        <v>1</v>
      </c>
      <c r="AR59" s="2">
        <v>1</v>
      </c>
      <c r="AS59" s="5">
        <v>45474</v>
      </c>
      <c r="AT59" s="2">
        <v>0</v>
      </c>
      <c r="AU59" s="2">
        <v>1</v>
      </c>
      <c r="AV59" s="2">
        <f t="shared" si="4"/>
        <v>5</v>
      </c>
      <c r="AW59" s="2">
        <v>0</v>
      </c>
      <c r="BA59" s="2">
        <v>0</v>
      </c>
      <c r="BB59" s="2">
        <v>0</v>
      </c>
      <c r="BC59" s="2">
        <f t="shared" si="8"/>
        <v>1</v>
      </c>
      <c r="BD59" s="2">
        <f t="shared" si="7"/>
        <v>1</v>
      </c>
      <c r="BE59" s="2">
        <v>0</v>
      </c>
      <c r="BF59" s="2">
        <f t="shared" si="5"/>
        <v>0</v>
      </c>
      <c r="BG59" s="2" t="s">
        <v>160</v>
      </c>
    </row>
    <row r="60" spans="1:59">
      <c r="A60" s="8">
        <v>59</v>
      </c>
      <c r="B60" s="5">
        <v>45421</v>
      </c>
      <c r="C60" s="6">
        <v>45428</v>
      </c>
      <c r="D60" s="2">
        <f>C60-B60</f>
        <v>7</v>
      </c>
      <c r="E60" s="2">
        <v>77</v>
      </c>
      <c r="F60" s="2">
        <v>2</v>
      </c>
      <c r="G60" s="2">
        <v>5</v>
      </c>
      <c r="H60" s="2">
        <v>0</v>
      </c>
      <c r="I60" s="2">
        <v>0</v>
      </c>
      <c r="J60" s="2">
        <v>0</v>
      </c>
      <c r="K60" s="2">
        <v>0</v>
      </c>
      <c r="L60" s="2">
        <v>1</v>
      </c>
      <c r="M60" s="2">
        <v>0</v>
      </c>
      <c r="N60" s="2">
        <v>1</v>
      </c>
      <c r="O60" s="2" t="s">
        <v>70</v>
      </c>
      <c r="P60" t="s">
        <v>163</v>
      </c>
      <c r="Q60" s="2">
        <v>0</v>
      </c>
      <c r="R60" s="2">
        <v>0</v>
      </c>
      <c r="S60" s="2">
        <v>1</v>
      </c>
      <c r="T60" s="2">
        <v>0</v>
      </c>
      <c r="U60" s="2">
        <v>1</v>
      </c>
      <c r="V60" s="2">
        <v>4</v>
      </c>
      <c r="W60" s="5">
        <v>45421</v>
      </c>
      <c r="X60" s="5">
        <v>45428</v>
      </c>
      <c r="Y60" s="28">
        <f t="shared" ref="Y60:Y116" si="9">X60-W60</f>
        <v>7</v>
      </c>
      <c r="Z60" s="2">
        <v>1</v>
      </c>
      <c r="AA60" s="2">
        <v>0</v>
      </c>
      <c r="AB60" s="2">
        <v>0</v>
      </c>
      <c r="AC60" s="2">
        <v>1</v>
      </c>
      <c r="AD60" s="2">
        <v>0</v>
      </c>
      <c r="AE60" s="2">
        <v>1</v>
      </c>
      <c r="AF60" s="2">
        <v>0</v>
      </c>
      <c r="AG60" s="2">
        <v>0</v>
      </c>
      <c r="AH60" s="2">
        <v>0</v>
      </c>
      <c r="AI60" s="2">
        <v>1</v>
      </c>
      <c r="AJ60" s="2" t="s">
        <v>48</v>
      </c>
      <c r="AK60" s="2">
        <v>1</v>
      </c>
      <c r="AL60" s="2">
        <v>0</v>
      </c>
      <c r="AM60" s="2">
        <v>1</v>
      </c>
      <c r="AN60" s="2">
        <f t="shared" si="1"/>
        <v>0</v>
      </c>
      <c r="AO60" s="2">
        <f t="shared" si="2"/>
        <v>0</v>
      </c>
      <c r="AP60" s="2">
        <f t="shared" si="3"/>
        <v>1</v>
      </c>
      <c r="AQ60" s="2">
        <v>0</v>
      </c>
      <c r="AR60" s="2">
        <v>1</v>
      </c>
      <c r="AS60" s="5">
        <v>45425</v>
      </c>
      <c r="AT60" s="2">
        <v>0</v>
      </c>
      <c r="AU60" s="2">
        <v>0</v>
      </c>
      <c r="AV60" s="2">
        <f t="shared" si="4"/>
        <v>4</v>
      </c>
      <c r="AW60" s="2">
        <v>0</v>
      </c>
      <c r="BA60" s="2">
        <v>0</v>
      </c>
      <c r="BB60" s="2">
        <v>0</v>
      </c>
      <c r="BC60" s="2">
        <f t="shared" si="8"/>
        <v>0</v>
      </c>
      <c r="BD60" s="2">
        <f t="shared" si="7"/>
        <v>0</v>
      </c>
      <c r="BE60" s="2">
        <v>1</v>
      </c>
      <c r="BF60" s="2">
        <f t="shared" si="5"/>
        <v>0</v>
      </c>
      <c r="BG60" s="2" t="s">
        <v>164</v>
      </c>
    </row>
    <row r="61" spans="1:59">
      <c r="A61" s="2">
        <v>60</v>
      </c>
      <c r="B61" s="5">
        <v>45425</v>
      </c>
      <c r="C61" s="5">
        <v>45444</v>
      </c>
      <c r="D61" s="2">
        <f>C61-B61</f>
        <v>19</v>
      </c>
      <c r="E61" s="2">
        <v>81</v>
      </c>
      <c r="F61" s="2">
        <v>1</v>
      </c>
      <c r="G61" s="2">
        <v>2</v>
      </c>
      <c r="H61" s="2">
        <v>1</v>
      </c>
      <c r="I61" s="2">
        <v>0</v>
      </c>
      <c r="J61" s="2">
        <v>0</v>
      </c>
      <c r="K61" s="2">
        <v>1</v>
      </c>
      <c r="L61" s="2">
        <v>0</v>
      </c>
      <c r="M61" s="2">
        <v>0</v>
      </c>
      <c r="N61" s="2">
        <v>1</v>
      </c>
      <c r="O61" s="2" t="s">
        <v>72</v>
      </c>
      <c r="P61" t="s">
        <v>155</v>
      </c>
      <c r="Q61" s="2">
        <v>0</v>
      </c>
      <c r="R61" s="2">
        <v>0</v>
      </c>
      <c r="S61" s="2">
        <v>1</v>
      </c>
      <c r="T61" s="2">
        <v>0</v>
      </c>
      <c r="U61" s="2">
        <v>1</v>
      </c>
      <c r="V61" s="2">
        <v>2</v>
      </c>
      <c r="W61" s="5">
        <v>45425</v>
      </c>
      <c r="X61" s="5">
        <v>45426</v>
      </c>
      <c r="Y61" s="28">
        <f t="shared" si="9"/>
        <v>1</v>
      </c>
      <c r="Z61" s="2">
        <v>1</v>
      </c>
      <c r="AA61" s="2">
        <v>0</v>
      </c>
      <c r="AB61" s="2">
        <v>0</v>
      </c>
      <c r="AC61" s="2">
        <v>0</v>
      </c>
      <c r="AD61" s="2">
        <v>0</v>
      </c>
      <c r="AE61" s="2">
        <v>1</v>
      </c>
      <c r="AF61" s="2">
        <v>0</v>
      </c>
      <c r="AG61" s="2">
        <v>0</v>
      </c>
      <c r="AH61" s="2">
        <v>0</v>
      </c>
      <c r="AI61" s="2">
        <v>1</v>
      </c>
      <c r="AJ61" s="2" t="s">
        <v>158</v>
      </c>
      <c r="AK61" s="2">
        <v>1</v>
      </c>
      <c r="AL61" s="2">
        <v>1</v>
      </c>
      <c r="AM61" s="2">
        <v>1</v>
      </c>
      <c r="AN61" s="2">
        <f t="shared" si="1"/>
        <v>1</v>
      </c>
      <c r="AO61" s="2">
        <f t="shared" si="2"/>
        <v>0</v>
      </c>
      <c r="AP61" s="2">
        <f t="shared" si="3"/>
        <v>0</v>
      </c>
      <c r="AQ61" s="2">
        <v>1</v>
      </c>
      <c r="AR61" s="2">
        <v>1</v>
      </c>
      <c r="AS61" s="5">
        <v>45429</v>
      </c>
      <c r="AT61" s="2">
        <v>0</v>
      </c>
      <c r="AU61" s="2">
        <v>1</v>
      </c>
      <c r="AV61" s="2">
        <f t="shared" si="4"/>
        <v>4</v>
      </c>
      <c r="AW61" s="2">
        <v>0</v>
      </c>
      <c r="BA61" s="2">
        <v>0</v>
      </c>
      <c r="BB61" s="2">
        <v>0</v>
      </c>
      <c r="BC61" s="2">
        <f t="shared" si="8"/>
        <v>1</v>
      </c>
      <c r="BD61" s="2">
        <f t="shared" si="7"/>
        <v>1</v>
      </c>
      <c r="BE61" s="2">
        <v>0</v>
      </c>
      <c r="BF61" s="2">
        <f t="shared" si="5"/>
        <v>0</v>
      </c>
      <c r="BG61" s="2" t="s">
        <v>165</v>
      </c>
    </row>
    <row r="62" spans="1:59">
      <c r="A62" s="2">
        <v>61</v>
      </c>
      <c r="B62" s="5">
        <v>45381</v>
      </c>
      <c r="C62" s="5">
        <v>45387</v>
      </c>
      <c r="D62" s="2">
        <f>C62-B62</f>
        <v>6</v>
      </c>
      <c r="E62" s="2">
        <v>87</v>
      </c>
      <c r="F62" s="2">
        <v>2</v>
      </c>
      <c r="G62" s="2">
        <v>3</v>
      </c>
      <c r="H62" s="2">
        <v>1</v>
      </c>
      <c r="I62" s="2">
        <v>0</v>
      </c>
      <c r="J62" s="2">
        <v>0</v>
      </c>
      <c r="K62" s="2">
        <v>1</v>
      </c>
      <c r="L62" s="2">
        <v>0</v>
      </c>
      <c r="M62" s="2">
        <v>0</v>
      </c>
      <c r="N62" s="2">
        <v>1</v>
      </c>
      <c r="O62" s="2" t="s">
        <v>166</v>
      </c>
      <c r="P62" t="s">
        <v>155</v>
      </c>
      <c r="Q62" s="2">
        <v>0</v>
      </c>
      <c r="R62" s="2">
        <v>0</v>
      </c>
      <c r="S62" s="2">
        <v>1</v>
      </c>
      <c r="T62" s="2">
        <v>0</v>
      </c>
      <c r="U62" s="2">
        <v>1</v>
      </c>
      <c r="V62" s="2">
        <v>3</v>
      </c>
      <c r="W62" s="5">
        <v>45382</v>
      </c>
      <c r="X62" s="5">
        <v>45384</v>
      </c>
      <c r="Y62" s="28">
        <f t="shared" si="9"/>
        <v>2</v>
      </c>
      <c r="Z62" s="2">
        <v>0</v>
      </c>
      <c r="AA62" s="2">
        <v>0</v>
      </c>
      <c r="AB62" s="2">
        <v>0</v>
      </c>
      <c r="AC62" s="2">
        <v>0</v>
      </c>
      <c r="AD62" s="2">
        <v>0</v>
      </c>
      <c r="AE62" s="2">
        <v>0</v>
      </c>
      <c r="AF62" s="2">
        <v>0</v>
      </c>
      <c r="AG62" s="2">
        <v>0</v>
      </c>
      <c r="AH62" s="2">
        <v>0</v>
      </c>
      <c r="AI62" s="2">
        <v>1</v>
      </c>
      <c r="AJ62" s="2" t="s">
        <v>167</v>
      </c>
      <c r="AK62" s="2">
        <v>1</v>
      </c>
      <c r="AL62" s="2">
        <v>0</v>
      </c>
      <c r="AM62" s="2">
        <v>1</v>
      </c>
      <c r="AN62" s="2">
        <f t="shared" si="1"/>
        <v>0</v>
      </c>
      <c r="AO62" s="2">
        <f t="shared" si="2"/>
        <v>0</v>
      </c>
      <c r="AP62" s="2">
        <f t="shared" si="3"/>
        <v>1</v>
      </c>
      <c r="AQ62" s="2">
        <v>1</v>
      </c>
      <c r="AR62" s="2">
        <v>1</v>
      </c>
      <c r="AS62" s="5">
        <v>45383</v>
      </c>
      <c r="AT62" s="2">
        <v>0</v>
      </c>
      <c r="AU62" s="2">
        <v>1</v>
      </c>
      <c r="AV62" s="2">
        <f t="shared" si="4"/>
        <v>2</v>
      </c>
      <c r="AW62" s="2">
        <v>0</v>
      </c>
      <c r="BA62" s="2">
        <v>0</v>
      </c>
      <c r="BB62" s="2">
        <v>0</v>
      </c>
      <c r="BC62" s="2">
        <f t="shared" si="8"/>
        <v>1</v>
      </c>
      <c r="BD62" s="2">
        <f t="shared" si="7"/>
        <v>1</v>
      </c>
      <c r="BE62" s="2">
        <v>0</v>
      </c>
      <c r="BF62" s="2">
        <f t="shared" si="5"/>
        <v>0</v>
      </c>
      <c r="BG62" s="2" t="s">
        <v>168</v>
      </c>
    </row>
    <row r="63" spans="1:59">
      <c r="A63" s="2">
        <v>62</v>
      </c>
      <c r="B63" s="5">
        <v>45398</v>
      </c>
      <c r="C63" s="5">
        <v>45403</v>
      </c>
      <c r="D63" s="11">
        <f>C63-B63</f>
        <v>5</v>
      </c>
      <c r="E63" s="2">
        <v>47</v>
      </c>
      <c r="F63" s="2">
        <v>1</v>
      </c>
      <c r="G63" s="2">
        <v>2</v>
      </c>
      <c r="H63" s="2">
        <v>1</v>
      </c>
      <c r="I63" s="2">
        <v>1</v>
      </c>
      <c r="J63" s="2">
        <v>0</v>
      </c>
      <c r="K63" s="2">
        <v>0</v>
      </c>
      <c r="L63" s="2">
        <v>0</v>
      </c>
      <c r="M63" s="2">
        <v>0</v>
      </c>
      <c r="N63" s="2">
        <v>1</v>
      </c>
      <c r="O63" s="2" t="s">
        <v>169</v>
      </c>
      <c r="P63" t="s">
        <v>155</v>
      </c>
      <c r="Q63" s="2">
        <v>0</v>
      </c>
      <c r="R63" s="2">
        <v>0</v>
      </c>
      <c r="S63" s="2">
        <v>1</v>
      </c>
      <c r="T63" s="2">
        <v>0</v>
      </c>
      <c r="U63" s="2">
        <v>1</v>
      </c>
      <c r="V63" s="2">
        <v>4</v>
      </c>
      <c r="W63" s="5">
        <v>45398</v>
      </c>
      <c r="X63" s="5">
        <v>45403</v>
      </c>
      <c r="Y63" s="28">
        <f t="shared" si="9"/>
        <v>5</v>
      </c>
      <c r="Z63" s="2">
        <v>1</v>
      </c>
      <c r="AA63" s="2">
        <v>0</v>
      </c>
      <c r="AB63" s="2">
        <v>1</v>
      </c>
      <c r="AC63" s="2">
        <v>0</v>
      </c>
      <c r="AD63" s="2">
        <v>0</v>
      </c>
      <c r="AE63" s="2">
        <v>0</v>
      </c>
      <c r="AF63" s="2">
        <v>0</v>
      </c>
      <c r="AG63" s="2">
        <v>0</v>
      </c>
      <c r="AH63" s="2">
        <v>0</v>
      </c>
      <c r="AI63" s="2">
        <v>1</v>
      </c>
      <c r="AJ63" s="2" t="s">
        <v>158</v>
      </c>
      <c r="AK63" s="2">
        <v>1</v>
      </c>
      <c r="AL63" s="2">
        <v>1</v>
      </c>
      <c r="AM63" s="2">
        <v>1</v>
      </c>
      <c r="AN63" s="2">
        <f t="shared" si="1"/>
        <v>1</v>
      </c>
      <c r="AO63" s="2">
        <f t="shared" si="2"/>
        <v>0</v>
      </c>
      <c r="AP63" s="2">
        <f t="shared" si="3"/>
        <v>0</v>
      </c>
      <c r="AQ63" s="2">
        <v>1</v>
      </c>
      <c r="AR63" s="2">
        <v>1</v>
      </c>
      <c r="AS63" s="5">
        <v>45400</v>
      </c>
      <c r="AT63" s="2">
        <v>1</v>
      </c>
      <c r="AU63" s="2">
        <v>0</v>
      </c>
      <c r="AV63" s="2">
        <f t="shared" si="4"/>
        <v>2</v>
      </c>
      <c r="AW63" s="2">
        <v>0</v>
      </c>
      <c r="BA63" s="2">
        <v>0</v>
      </c>
      <c r="BB63" s="2">
        <v>1</v>
      </c>
      <c r="BC63" s="2">
        <f t="shared" si="8"/>
        <v>1</v>
      </c>
      <c r="BD63" s="2">
        <f t="shared" si="7"/>
        <v>1</v>
      </c>
      <c r="BE63" s="2">
        <v>0</v>
      </c>
      <c r="BF63" s="2">
        <f t="shared" si="5"/>
        <v>0</v>
      </c>
      <c r="BG63" s="2" t="s">
        <v>170</v>
      </c>
    </row>
    <row r="64" spans="1:59">
      <c r="A64" s="2">
        <v>63</v>
      </c>
      <c r="B64" s="5">
        <v>45398</v>
      </c>
      <c r="C64" s="5">
        <v>45442</v>
      </c>
      <c r="D64" s="2">
        <f>C64-B64</f>
        <v>44</v>
      </c>
      <c r="E64" s="2">
        <v>54</v>
      </c>
      <c r="F64" s="2">
        <v>1</v>
      </c>
      <c r="G64" s="2">
        <v>2</v>
      </c>
      <c r="H64" s="2">
        <v>1</v>
      </c>
      <c r="I64" s="2">
        <v>0</v>
      </c>
      <c r="J64" s="2">
        <v>0</v>
      </c>
      <c r="K64" s="2">
        <v>0</v>
      </c>
      <c r="L64" s="2">
        <v>1</v>
      </c>
      <c r="M64" s="2">
        <v>0</v>
      </c>
      <c r="N64" s="2">
        <v>0</v>
      </c>
      <c r="P64" t="s">
        <v>155</v>
      </c>
      <c r="Q64" s="2">
        <v>0</v>
      </c>
      <c r="R64" s="2">
        <v>0</v>
      </c>
      <c r="S64" s="2">
        <v>1</v>
      </c>
      <c r="T64" s="2">
        <v>0</v>
      </c>
      <c r="U64" s="2">
        <v>1</v>
      </c>
      <c r="V64" s="2">
        <v>5</v>
      </c>
      <c r="W64" s="5">
        <v>45398</v>
      </c>
      <c r="X64" s="5">
        <v>45401</v>
      </c>
      <c r="Y64" s="28">
        <f t="shared" si="9"/>
        <v>3</v>
      </c>
      <c r="Z64" s="2">
        <v>1</v>
      </c>
      <c r="AA64" s="2">
        <v>0</v>
      </c>
      <c r="AB64" s="2">
        <v>0</v>
      </c>
      <c r="AC64" s="2">
        <v>1</v>
      </c>
      <c r="AD64" s="2">
        <v>0</v>
      </c>
      <c r="AE64" s="2">
        <v>0</v>
      </c>
      <c r="AF64" s="2">
        <v>0</v>
      </c>
      <c r="AG64" s="2">
        <v>0</v>
      </c>
      <c r="AH64" s="2">
        <v>0</v>
      </c>
      <c r="AI64" s="2">
        <v>1</v>
      </c>
      <c r="AJ64" s="2" t="s">
        <v>158</v>
      </c>
      <c r="AK64" s="2">
        <v>1</v>
      </c>
      <c r="AL64" s="2">
        <v>1</v>
      </c>
      <c r="AM64" s="2">
        <v>1</v>
      </c>
      <c r="AN64" s="2">
        <f t="shared" si="1"/>
        <v>1</v>
      </c>
      <c r="AO64" s="2">
        <f t="shared" si="2"/>
        <v>0</v>
      </c>
      <c r="AP64" s="2">
        <f t="shared" si="3"/>
        <v>0</v>
      </c>
      <c r="AQ64" s="2">
        <v>1</v>
      </c>
      <c r="AR64" s="2">
        <v>1</v>
      </c>
      <c r="AS64" s="5">
        <v>45401</v>
      </c>
      <c r="AT64" s="2">
        <v>0</v>
      </c>
      <c r="AU64" s="2">
        <v>0</v>
      </c>
      <c r="AV64" s="2">
        <f t="shared" si="4"/>
        <v>3</v>
      </c>
      <c r="AW64" s="2">
        <v>0</v>
      </c>
      <c r="BA64" s="2">
        <v>0</v>
      </c>
      <c r="BB64" s="2">
        <v>0</v>
      </c>
      <c r="BC64" s="2">
        <v>1</v>
      </c>
      <c r="BD64" s="2">
        <f t="shared" si="7"/>
        <v>0</v>
      </c>
      <c r="BE64" s="2">
        <v>1</v>
      </c>
      <c r="BF64" s="2">
        <f t="shared" si="5"/>
        <v>0</v>
      </c>
      <c r="BG64" s="2" t="s">
        <v>171</v>
      </c>
    </row>
    <row r="65" spans="1:59">
      <c r="A65" s="2">
        <v>64</v>
      </c>
      <c r="B65" s="5">
        <v>45409</v>
      </c>
      <c r="C65" s="5">
        <v>45419</v>
      </c>
      <c r="D65" s="2">
        <f>C65-B65</f>
        <v>10</v>
      </c>
      <c r="E65" s="2">
        <v>82</v>
      </c>
      <c r="F65" s="2">
        <v>1</v>
      </c>
      <c r="G65" s="2">
        <v>2</v>
      </c>
      <c r="H65" s="2">
        <v>1</v>
      </c>
      <c r="I65" s="2">
        <v>0</v>
      </c>
      <c r="J65" s="2">
        <v>0</v>
      </c>
      <c r="K65" s="2">
        <v>0</v>
      </c>
      <c r="L65" s="2">
        <v>0</v>
      </c>
      <c r="M65" s="2">
        <v>0</v>
      </c>
      <c r="N65" s="2">
        <v>1</v>
      </c>
      <c r="O65" s="2" t="s">
        <v>172</v>
      </c>
      <c r="P65" t="s">
        <v>155</v>
      </c>
      <c r="Q65" s="2">
        <v>0</v>
      </c>
      <c r="R65" s="2">
        <v>0</v>
      </c>
      <c r="S65" s="2">
        <v>1</v>
      </c>
      <c r="T65" s="2">
        <v>0</v>
      </c>
      <c r="U65" s="2">
        <v>0</v>
      </c>
      <c r="V65" s="2">
        <v>1</v>
      </c>
      <c r="W65" s="5">
        <v>45411</v>
      </c>
      <c r="X65" s="5">
        <v>45411</v>
      </c>
      <c r="Y65" s="28">
        <f t="shared" si="9"/>
        <v>0</v>
      </c>
      <c r="Z65" s="2">
        <v>1</v>
      </c>
      <c r="AA65" s="2">
        <v>0</v>
      </c>
      <c r="AB65" s="2">
        <v>0</v>
      </c>
      <c r="AC65" s="2">
        <v>0</v>
      </c>
      <c r="AD65" s="2">
        <v>0</v>
      </c>
      <c r="AE65" s="2">
        <v>0</v>
      </c>
      <c r="AF65" s="2">
        <v>0</v>
      </c>
      <c r="AG65" s="2">
        <v>1</v>
      </c>
      <c r="AH65" s="2">
        <v>0</v>
      </c>
      <c r="AI65" s="2">
        <v>1</v>
      </c>
      <c r="AJ65" s="2" t="s">
        <v>173</v>
      </c>
      <c r="AK65" s="2">
        <v>0</v>
      </c>
      <c r="AL65" s="2">
        <v>1</v>
      </c>
      <c r="AM65" s="2">
        <v>1</v>
      </c>
      <c r="AN65" s="2">
        <f t="shared" si="1"/>
        <v>1</v>
      </c>
      <c r="AO65" s="2">
        <f t="shared" si="2"/>
        <v>0</v>
      </c>
      <c r="AP65" s="2">
        <f t="shared" si="3"/>
        <v>0</v>
      </c>
      <c r="AQ65" s="2">
        <v>1</v>
      </c>
      <c r="AR65" s="2">
        <v>1</v>
      </c>
      <c r="AS65" s="5">
        <v>45411</v>
      </c>
      <c r="AT65" s="2">
        <v>0</v>
      </c>
      <c r="AU65" s="2">
        <v>1</v>
      </c>
      <c r="AV65" s="2">
        <f t="shared" si="4"/>
        <v>2</v>
      </c>
      <c r="AW65" s="2">
        <v>0</v>
      </c>
      <c r="BA65" s="2">
        <v>0</v>
      </c>
      <c r="BB65" s="2">
        <v>0</v>
      </c>
      <c r="BC65" s="2">
        <v>1</v>
      </c>
      <c r="BD65" s="2">
        <f t="shared" si="7"/>
        <v>0</v>
      </c>
      <c r="BE65" s="2">
        <v>0</v>
      </c>
      <c r="BF65" s="2">
        <f t="shared" si="5"/>
        <v>0</v>
      </c>
      <c r="BG65" s="2" t="s">
        <v>174</v>
      </c>
    </row>
    <row r="66" spans="1:59">
      <c r="A66" s="2">
        <v>65</v>
      </c>
      <c r="B66" s="5">
        <v>45375</v>
      </c>
      <c r="C66" s="5">
        <v>45388</v>
      </c>
      <c r="D66" s="2">
        <f>C66-B66</f>
        <v>13</v>
      </c>
      <c r="E66" s="2">
        <v>54</v>
      </c>
      <c r="F66" s="2">
        <v>2</v>
      </c>
      <c r="G66" s="2">
        <v>2</v>
      </c>
      <c r="H66" s="2">
        <v>0</v>
      </c>
      <c r="I66" s="2">
        <v>0</v>
      </c>
      <c r="J66" s="2">
        <v>0</v>
      </c>
      <c r="K66" s="2">
        <v>0</v>
      </c>
      <c r="L66" s="2">
        <v>0</v>
      </c>
      <c r="M66" s="2">
        <v>0</v>
      </c>
      <c r="N66" s="2">
        <v>0</v>
      </c>
      <c r="P66" t="s">
        <v>155</v>
      </c>
      <c r="Q66" s="2">
        <v>0</v>
      </c>
      <c r="R66" s="2">
        <v>0</v>
      </c>
      <c r="S66" s="2">
        <v>1</v>
      </c>
      <c r="T66" s="2">
        <v>0</v>
      </c>
      <c r="U66" s="2">
        <v>1</v>
      </c>
      <c r="V66" s="2">
        <v>6</v>
      </c>
      <c r="W66" s="5">
        <v>45375</v>
      </c>
      <c r="X66" s="5">
        <v>45380</v>
      </c>
      <c r="Y66" s="28">
        <f t="shared" si="9"/>
        <v>5</v>
      </c>
      <c r="Z66" s="2">
        <v>1</v>
      </c>
      <c r="AA66" s="2">
        <v>0</v>
      </c>
      <c r="AB66" s="2">
        <v>0</v>
      </c>
      <c r="AC66" s="2">
        <v>0</v>
      </c>
      <c r="AD66" s="2">
        <v>0</v>
      </c>
      <c r="AE66" s="2">
        <v>0</v>
      </c>
      <c r="AF66" s="2">
        <v>0</v>
      </c>
      <c r="AG66" s="2">
        <v>1</v>
      </c>
      <c r="AH66" s="2">
        <v>0</v>
      </c>
      <c r="AI66" s="2">
        <v>1</v>
      </c>
      <c r="AJ66" s="2" t="s">
        <v>175</v>
      </c>
      <c r="AK66" s="2">
        <v>0</v>
      </c>
      <c r="AL66" s="2">
        <v>1</v>
      </c>
      <c r="AM66" s="2">
        <v>0</v>
      </c>
      <c r="AN66" s="2">
        <f t="shared" si="1"/>
        <v>0</v>
      </c>
      <c r="AO66" s="2">
        <f t="shared" si="2"/>
        <v>1</v>
      </c>
      <c r="AP66" s="2">
        <f t="shared" si="3"/>
        <v>0</v>
      </c>
      <c r="AQ66" s="2">
        <v>1</v>
      </c>
      <c r="AR66" s="2">
        <v>1</v>
      </c>
      <c r="AS66" s="5">
        <v>45380</v>
      </c>
      <c r="AT66" s="2">
        <v>0</v>
      </c>
      <c r="AU66" s="2">
        <v>0</v>
      </c>
      <c r="AV66" s="2">
        <f t="shared" si="4"/>
        <v>5</v>
      </c>
      <c r="AW66" s="2">
        <v>1</v>
      </c>
      <c r="AX66" s="5">
        <v>45383</v>
      </c>
      <c r="AY66" s="2">
        <v>0</v>
      </c>
      <c r="AZ66" s="2">
        <v>0</v>
      </c>
      <c r="BA66" s="2">
        <v>1</v>
      </c>
      <c r="BB66" s="2">
        <v>0</v>
      </c>
      <c r="BC66" s="2">
        <v>1</v>
      </c>
      <c r="BD66" s="2">
        <f t="shared" si="7"/>
        <v>0</v>
      </c>
      <c r="BE66" s="2">
        <v>0</v>
      </c>
      <c r="BF66" s="2">
        <f t="shared" si="5"/>
        <v>1</v>
      </c>
      <c r="BG66" s="2" t="s">
        <v>176</v>
      </c>
    </row>
    <row r="67" spans="1:59">
      <c r="A67" s="2">
        <v>66</v>
      </c>
      <c r="B67" s="5">
        <v>45433</v>
      </c>
      <c r="C67" s="5">
        <v>45443</v>
      </c>
      <c r="D67" s="2">
        <f>C67-B67</f>
        <v>10</v>
      </c>
      <c r="E67" s="2">
        <v>71</v>
      </c>
      <c r="F67" s="2">
        <v>2</v>
      </c>
      <c r="G67" s="2">
        <v>2</v>
      </c>
      <c r="H67" s="2">
        <v>1</v>
      </c>
      <c r="I67" s="2">
        <v>0</v>
      </c>
      <c r="J67" s="2">
        <v>0</v>
      </c>
      <c r="K67" s="2">
        <v>0</v>
      </c>
      <c r="L67" s="2">
        <v>1</v>
      </c>
      <c r="M67" s="2">
        <v>0</v>
      </c>
      <c r="N67" s="2">
        <v>1</v>
      </c>
      <c r="O67" s="2" t="s">
        <v>99</v>
      </c>
      <c r="P67" t="s">
        <v>163</v>
      </c>
      <c r="Q67" s="2">
        <v>0</v>
      </c>
      <c r="R67" s="2">
        <v>0</v>
      </c>
      <c r="S67" s="2">
        <v>1</v>
      </c>
      <c r="T67" s="2">
        <v>0</v>
      </c>
      <c r="U67" s="2">
        <v>0</v>
      </c>
      <c r="V67" s="2">
        <v>1</v>
      </c>
      <c r="W67" s="5">
        <v>45433</v>
      </c>
      <c r="X67" s="5">
        <v>45433</v>
      </c>
      <c r="Y67" s="28">
        <f t="shared" si="9"/>
        <v>0</v>
      </c>
      <c r="Z67" s="2">
        <v>1</v>
      </c>
      <c r="AA67" s="2">
        <v>0</v>
      </c>
      <c r="AB67" s="2">
        <v>0</v>
      </c>
      <c r="AC67" s="2">
        <v>1</v>
      </c>
      <c r="AD67" s="2">
        <v>0</v>
      </c>
      <c r="AE67" s="2">
        <v>0</v>
      </c>
      <c r="AF67" s="2">
        <v>0</v>
      </c>
      <c r="AG67" s="2">
        <v>0</v>
      </c>
      <c r="AH67" s="2">
        <v>0</v>
      </c>
      <c r="AI67" s="2">
        <v>1</v>
      </c>
      <c r="AJ67" s="2" t="s">
        <v>48</v>
      </c>
      <c r="AK67" s="2">
        <v>1</v>
      </c>
      <c r="AL67" s="2">
        <v>0</v>
      </c>
      <c r="AM67" s="2">
        <v>1</v>
      </c>
      <c r="AN67" s="2">
        <f t="shared" ref="AN67:AN130" si="10">COUNTIFS(AL67,"1",AM67,"1")</f>
        <v>0</v>
      </c>
      <c r="AO67" s="2">
        <f t="shared" ref="AO67:AO130" si="11">COUNTIFS(AL67,"1",AM67,"0")</f>
        <v>0</v>
      </c>
      <c r="AP67" s="2">
        <f t="shared" ref="AP67:AP130" si="12">COUNTIFS(AL67,"0",AM67,"1")</f>
        <v>1</v>
      </c>
      <c r="AQ67" s="2">
        <v>1</v>
      </c>
      <c r="AR67" s="2">
        <v>1</v>
      </c>
      <c r="AS67" s="5">
        <v>45436</v>
      </c>
      <c r="AT67" s="2">
        <v>0</v>
      </c>
      <c r="AU67" s="2">
        <v>0</v>
      </c>
      <c r="AV67" s="2">
        <f t="shared" ref="AV67:AV130" si="13">AS67-B67</f>
        <v>3</v>
      </c>
      <c r="AW67" s="2">
        <v>0</v>
      </c>
      <c r="BA67" s="2">
        <v>0</v>
      </c>
      <c r="BB67" s="2">
        <v>0</v>
      </c>
      <c r="BC67" s="2">
        <f t="shared" ref="BC67:BC130" si="14">SUM(I67:K67)</f>
        <v>0</v>
      </c>
      <c r="BD67" s="2">
        <f t="shared" ref="BD67:BD130" si="15">SUM(I67:K67)</f>
        <v>0</v>
      </c>
      <c r="BE67" s="2">
        <v>0</v>
      </c>
      <c r="BF67" s="2">
        <f t="shared" ref="BF67:BF130" si="16">COUNTIFS(AR67, "1",AW67, "1")</f>
        <v>0</v>
      </c>
      <c r="BG67" s="2" t="s">
        <v>177</v>
      </c>
    </row>
    <row r="68" spans="1:59" s="13" customFormat="1">
      <c r="A68" s="2">
        <v>67</v>
      </c>
      <c r="B68" s="18">
        <v>45398</v>
      </c>
      <c r="C68" s="18">
        <v>45442</v>
      </c>
      <c r="D68" s="13">
        <f t="shared" ref="D68" si="17">C68-B68</f>
        <v>44</v>
      </c>
      <c r="E68" s="13">
        <v>54</v>
      </c>
      <c r="F68" s="13">
        <v>1</v>
      </c>
      <c r="G68" s="13">
        <v>2</v>
      </c>
      <c r="H68" s="13">
        <v>1</v>
      </c>
      <c r="I68" s="13">
        <v>0</v>
      </c>
      <c r="J68" s="13">
        <v>0</v>
      </c>
      <c r="K68" s="13">
        <v>0</v>
      </c>
      <c r="L68" s="13">
        <v>1</v>
      </c>
      <c r="M68" s="13">
        <v>0</v>
      </c>
      <c r="N68" s="13">
        <v>0</v>
      </c>
      <c r="P68" s="14" t="s">
        <v>155</v>
      </c>
      <c r="Q68" s="13">
        <v>0</v>
      </c>
      <c r="R68" s="13">
        <v>0</v>
      </c>
      <c r="S68" s="13">
        <v>1</v>
      </c>
      <c r="T68" s="13">
        <v>0</v>
      </c>
      <c r="U68" s="13">
        <v>1</v>
      </c>
      <c r="V68" s="13">
        <v>5</v>
      </c>
      <c r="W68" s="18">
        <v>45398</v>
      </c>
      <c r="X68" s="18">
        <v>45401</v>
      </c>
      <c r="Y68" s="31">
        <f t="shared" si="9"/>
        <v>3</v>
      </c>
      <c r="Z68" s="13">
        <v>1</v>
      </c>
      <c r="AA68" s="13">
        <v>0</v>
      </c>
      <c r="AB68" s="13">
        <v>0</v>
      </c>
      <c r="AC68" s="13">
        <v>1</v>
      </c>
      <c r="AD68" s="13">
        <v>0</v>
      </c>
      <c r="AE68" s="13">
        <v>1</v>
      </c>
      <c r="AF68" s="13">
        <v>0</v>
      </c>
      <c r="AG68" s="13">
        <v>0</v>
      </c>
      <c r="AH68" s="13">
        <v>0</v>
      </c>
      <c r="AI68" s="13">
        <v>1</v>
      </c>
      <c r="AJ68" s="13" t="s">
        <v>158</v>
      </c>
      <c r="AK68" s="13">
        <v>1</v>
      </c>
      <c r="AL68" s="13">
        <v>1</v>
      </c>
      <c r="AM68" s="13">
        <v>1</v>
      </c>
      <c r="AN68" s="2">
        <f t="shared" si="10"/>
        <v>1</v>
      </c>
      <c r="AO68" s="2">
        <f t="shared" si="11"/>
        <v>0</v>
      </c>
      <c r="AP68" s="2">
        <f t="shared" si="12"/>
        <v>0</v>
      </c>
      <c r="AQ68" s="13">
        <v>1</v>
      </c>
      <c r="AR68" s="13">
        <v>1</v>
      </c>
      <c r="AS68" s="18">
        <v>45401</v>
      </c>
      <c r="AT68" s="13">
        <v>0</v>
      </c>
      <c r="AU68" s="13">
        <v>0</v>
      </c>
      <c r="AV68" s="2">
        <f t="shared" si="13"/>
        <v>3</v>
      </c>
      <c r="AW68" s="13">
        <v>0</v>
      </c>
      <c r="BA68" s="13">
        <v>0</v>
      </c>
      <c r="BB68" s="13">
        <v>0</v>
      </c>
      <c r="BC68" s="2">
        <v>1</v>
      </c>
      <c r="BD68" s="2">
        <f t="shared" si="15"/>
        <v>0</v>
      </c>
      <c r="BE68" s="13">
        <v>0</v>
      </c>
      <c r="BF68" s="2">
        <f t="shared" si="16"/>
        <v>0</v>
      </c>
      <c r="BG68" s="13" t="s">
        <v>178</v>
      </c>
    </row>
    <row r="69" spans="1:59">
      <c r="A69" s="2">
        <v>68</v>
      </c>
      <c r="B69" s="5">
        <v>45444</v>
      </c>
      <c r="C69" s="5">
        <v>45449</v>
      </c>
      <c r="D69" s="2">
        <f>C69-B69</f>
        <v>5</v>
      </c>
      <c r="E69" s="2">
        <v>69</v>
      </c>
      <c r="F69" s="2">
        <v>1</v>
      </c>
      <c r="G69" s="2">
        <v>2</v>
      </c>
      <c r="H69" s="2">
        <v>1</v>
      </c>
      <c r="I69" s="2">
        <v>0</v>
      </c>
      <c r="J69" s="2">
        <v>0</v>
      </c>
      <c r="K69" s="2">
        <v>0</v>
      </c>
      <c r="L69" s="2">
        <v>1</v>
      </c>
      <c r="M69" s="2">
        <v>0</v>
      </c>
      <c r="N69" s="2">
        <v>0</v>
      </c>
      <c r="P69" t="s">
        <v>179</v>
      </c>
      <c r="Q69" s="2">
        <v>0</v>
      </c>
      <c r="R69" s="2">
        <v>0</v>
      </c>
      <c r="S69" s="2">
        <v>0</v>
      </c>
      <c r="T69" s="2">
        <v>1</v>
      </c>
      <c r="U69" s="2">
        <v>0</v>
      </c>
      <c r="V69" s="2">
        <v>1</v>
      </c>
      <c r="W69" s="5">
        <v>45444</v>
      </c>
      <c r="X69" s="5">
        <v>45444</v>
      </c>
      <c r="Y69" s="28">
        <f t="shared" si="9"/>
        <v>0</v>
      </c>
      <c r="Z69" s="2">
        <v>0</v>
      </c>
      <c r="AA69" s="2">
        <v>0</v>
      </c>
      <c r="AB69" s="2">
        <v>0</v>
      </c>
      <c r="AC69" s="2">
        <v>0</v>
      </c>
      <c r="AD69" s="2">
        <v>0</v>
      </c>
      <c r="AE69" s="2">
        <v>0</v>
      </c>
      <c r="AF69" s="2">
        <v>0</v>
      </c>
      <c r="AG69" s="2">
        <v>0</v>
      </c>
      <c r="AH69" s="2">
        <v>0</v>
      </c>
      <c r="AI69" s="2">
        <v>1</v>
      </c>
      <c r="AJ69" s="2" t="s">
        <v>126</v>
      </c>
      <c r="AK69" s="2">
        <v>0</v>
      </c>
      <c r="AL69" s="2">
        <v>1</v>
      </c>
      <c r="AM69" s="2">
        <v>1</v>
      </c>
      <c r="AN69" s="2">
        <f t="shared" si="10"/>
        <v>1</v>
      </c>
      <c r="AO69" s="2">
        <f t="shared" si="11"/>
        <v>0</v>
      </c>
      <c r="AP69" s="2">
        <f t="shared" si="12"/>
        <v>0</v>
      </c>
      <c r="AQ69" s="2">
        <v>1</v>
      </c>
      <c r="AR69" s="2">
        <v>0</v>
      </c>
      <c r="AW69" s="2">
        <v>0</v>
      </c>
      <c r="BA69" s="2">
        <v>0</v>
      </c>
      <c r="BB69" s="2">
        <v>0</v>
      </c>
      <c r="BC69" s="2">
        <f t="shared" si="14"/>
        <v>0</v>
      </c>
      <c r="BD69" s="2">
        <f t="shared" si="15"/>
        <v>0</v>
      </c>
      <c r="BE69" s="2">
        <v>0</v>
      </c>
      <c r="BF69" s="2">
        <f t="shared" si="16"/>
        <v>0</v>
      </c>
      <c r="BG69" s="2" t="s">
        <v>180</v>
      </c>
    </row>
    <row r="70" spans="1:59">
      <c r="A70" s="2">
        <v>69</v>
      </c>
      <c r="B70" s="5">
        <v>45447</v>
      </c>
      <c r="C70" s="5">
        <v>45457</v>
      </c>
      <c r="D70" s="2">
        <f>C70-B70</f>
        <v>10</v>
      </c>
      <c r="E70" s="2">
        <v>53</v>
      </c>
      <c r="F70" s="2">
        <v>1</v>
      </c>
      <c r="G70" s="2">
        <v>2</v>
      </c>
      <c r="H70" s="2">
        <v>0</v>
      </c>
      <c r="I70" s="2">
        <v>0</v>
      </c>
      <c r="J70" s="2">
        <v>0</v>
      </c>
      <c r="K70" s="2">
        <v>0</v>
      </c>
      <c r="L70" s="2">
        <v>0</v>
      </c>
      <c r="M70" s="2">
        <v>0</v>
      </c>
      <c r="N70" s="2">
        <v>0</v>
      </c>
      <c r="P70" t="s">
        <v>179</v>
      </c>
      <c r="Q70" s="2">
        <v>0</v>
      </c>
      <c r="R70" s="2">
        <v>0</v>
      </c>
      <c r="S70" s="2">
        <v>0</v>
      </c>
      <c r="T70" s="2">
        <v>1</v>
      </c>
      <c r="U70" s="2">
        <v>0</v>
      </c>
      <c r="V70" s="2">
        <v>1</v>
      </c>
      <c r="W70" s="5">
        <v>45447</v>
      </c>
      <c r="X70" s="5">
        <v>45447</v>
      </c>
      <c r="Y70" s="28">
        <f t="shared" si="9"/>
        <v>0</v>
      </c>
      <c r="Z70" s="2">
        <v>0</v>
      </c>
      <c r="AA70" s="2">
        <v>0</v>
      </c>
      <c r="AB70" s="2">
        <v>0</v>
      </c>
      <c r="AC70" s="2">
        <v>0</v>
      </c>
      <c r="AD70" s="2">
        <v>0</v>
      </c>
      <c r="AE70" s="2">
        <v>0</v>
      </c>
      <c r="AF70" s="2">
        <v>0</v>
      </c>
      <c r="AG70" s="2">
        <v>0</v>
      </c>
      <c r="AH70" s="2">
        <v>0</v>
      </c>
      <c r="AI70" s="2">
        <v>1</v>
      </c>
      <c r="AJ70" s="2" t="s">
        <v>68</v>
      </c>
      <c r="AK70" s="2">
        <v>0</v>
      </c>
      <c r="AL70" s="2">
        <v>0</v>
      </c>
      <c r="AM70" s="2">
        <v>1</v>
      </c>
      <c r="AN70" s="2">
        <f t="shared" si="10"/>
        <v>0</v>
      </c>
      <c r="AO70" s="2">
        <f t="shared" si="11"/>
        <v>0</v>
      </c>
      <c r="AP70" s="2">
        <f t="shared" si="12"/>
        <v>1</v>
      </c>
      <c r="AQ70" s="2">
        <v>1</v>
      </c>
      <c r="AR70" s="2">
        <v>0</v>
      </c>
      <c r="AW70" s="2">
        <v>0</v>
      </c>
      <c r="BA70" s="2">
        <v>0</v>
      </c>
      <c r="BB70" s="2">
        <v>0</v>
      </c>
      <c r="BC70" s="2">
        <f t="shared" si="14"/>
        <v>0</v>
      </c>
      <c r="BD70" s="2">
        <f t="shared" si="15"/>
        <v>0</v>
      </c>
      <c r="BE70" s="2">
        <v>0</v>
      </c>
      <c r="BF70" s="2">
        <f t="shared" si="16"/>
        <v>0</v>
      </c>
      <c r="BG70" s="2" t="s">
        <v>183</v>
      </c>
    </row>
    <row r="71" spans="1:59">
      <c r="A71" s="2">
        <v>70</v>
      </c>
      <c r="B71" s="5">
        <v>45449</v>
      </c>
      <c r="C71" s="5">
        <v>45477</v>
      </c>
      <c r="D71" s="2">
        <f>C71-B71</f>
        <v>28</v>
      </c>
      <c r="E71" s="2">
        <v>73</v>
      </c>
      <c r="F71" s="2">
        <v>2</v>
      </c>
      <c r="G71" s="2">
        <v>2</v>
      </c>
      <c r="H71" s="2">
        <v>0</v>
      </c>
      <c r="I71" s="2">
        <v>0</v>
      </c>
      <c r="J71" s="2">
        <v>0</v>
      </c>
      <c r="K71" s="2">
        <v>0</v>
      </c>
      <c r="L71" s="2">
        <v>0</v>
      </c>
      <c r="M71" s="2">
        <v>0</v>
      </c>
      <c r="N71" s="2">
        <v>0</v>
      </c>
      <c r="P71" t="s">
        <v>184</v>
      </c>
      <c r="Q71" s="2">
        <v>0</v>
      </c>
      <c r="R71" s="2">
        <v>0</v>
      </c>
      <c r="S71" s="2">
        <v>0</v>
      </c>
      <c r="T71" s="2">
        <v>1</v>
      </c>
      <c r="U71" s="2">
        <v>0</v>
      </c>
      <c r="V71" s="2">
        <v>1</v>
      </c>
      <c r="W71" s="5">
        <v>45449</v>
      </c>
      <c r="X71" s="5">
        <v>45449</v>
      </c>
      <c r="Y71" s="28">
        <f t="shared" si="9"/>
        <v>0</v>
      </c>
      <c r="Z71" s="2">
        <v>1</v>
      </c>
      <c r="AA71" s="2">
        <v>0</v>
      </c>
      <c r="AB71" s="2">
        <v>0</v>
      </c>
      <c r="AC71" s="2">
        <v>0</v>
      </c>
      <c r="AD71" s="2">
        <v>0</v>
      </c>
      <c r="AE71" s="2">
        <v>0</v>
      </c>
      <c r="AF71" s="2">
        <v>0</v>
      </c>
      <c r="AG71" s="2">
        <v>0</v>
      </c>
      <c r="AH71" s="2">
        <v>1</v>
      </c>
      <c r="AI71" s="2">
        <v>1</v>
      </c>
      <c r="AJ71" s="2" t="s">
        <v>91</v>
      </c>
      <c r="AK71" s="2">
        <v>0</v>
      </c>
      <c r="AL71" s="2">
        <v>0</v>
      </c>
      <c r="AM71" s="2">
        <v>1</v>
      </c>
      <c r="AN71" s="2">
        <f t="shared" si="10"/>
        <v>0</v>
      </c>
      <c r="AO71" s="2">
        <f t="shared" si="11"/>
        <v>0</v>
      </c>
      <c r="AP71" s="2">
        <f t="shared" si="12"/>
        <v>1</v>
      </c>
      <c r="AQ71" s="2">
        <v>0</v>
      </c>
      <c r="AR71" s="2">
        <v>1</v>
      </c>
      <c r="AS71" s="5">
        <v>45453</v>
      </c>
      <c r="AT71" s="2">
        <v>0</v>
      </c>
      <c r="AU71" s="2">
        <v>1</v>
      </c>
      <c r="AV71" s="2">
        <f t="shared" si="13"/>
        <v>4</v>
      </c>
      <c r="AW71" s="2">
        <v>0</v>
      </c>
      <c r="BA71" s="2">
        <v>0</v>
      </c>
      <c r="BB71" s="2">
        <v>0</v>
      </c>
      <c r="BC71" s="2">
        <f t="shared" si="14"/>
        <v>0</v>
      </c>
      <c r="BD71" s="2">
        <f t="shared" si="15"/>
        <v>0</v>
      </c>
      <c r="BE71" s="2">
        <v>1</v>
      </c>
      <c r="BF71" s="2">
        <f t="shared" si="16"/>
        <v>0</v>
      </c>
      <c r="BG71" s="2" t="s">
        <v>185</v>
      </c>
    </row>
    <row r="72" spans="1:59">
      <c r="A72" s="2">
        <v>71</v>
      </c>
      <c r="B72" s="5">
        <v>45449</v>
      </c>
      <c r="C72" s="5">
        <v>45457</v>
      </c>
      <c r="D72" s="2">
        <f>C72-B72</f>
        <v>8</v>
      </c>
      <c r="E72" s="2">
        <v>69</v>
      </c>
      <c r="F72" s="2">
        <v>1</v>
      </c>
      <c r="G72" s="2">
        <v>2</v>
      </c>
      <c r="H72" s="2">
        <v>1</v>
      </c>
      <c r="I72" s="2">
        <v>0</v>
      </c>
      <c r="J72" s="2">
        <v>0</v>
      </c>
      <c r="K72" s="2">
        <v>0</v>
      </c>
      <c r="L72" s="2">
        <v>0</v>
      </c>
      <c r="M72" s="2">
        <v>0</v>
      </c>
      <c r="N72" s="2">
        <v>1</v>
      </c>
      <c r="O72" s="2" t="s">
        <v>70</v>
      </c>
      <c r="P72" t="s">
        <v>186</v>
      </c>
      <c r="Q72" s="2">
        <v>0</v>
      </c>
      <c r="R72" s="2">
        <v>0</v>
      </c>
      <c r="S72" s="2">
        <v>0</v>
      </c>
      <c r="T72" s="2">
        <v>1</v>
      </c>
      <c r="U72" s="2">
        <v>0</v>
      </c>
      <c r="V72" s="2">
        <v>1</v>
      </c>
      <c r="W72" s="5">
        <v>45449</v>
      </c>
      <c r="X72" s="5">
        <v>45449</v>
      </c>
      <c r="Y72" s="28">
        <f t="shared" si="9"/>
        <v>0</v>
      </c>
      <c r="Z72" s="2">
        <v>0</v>
      </c>
      <c r="AA72" s="2">
        <v>0</v>
      </c>
      <c r="AB72" s="2">
        <v>0</v>
      </c>
      <c r="AC72" s="2">
        <v>0</v>
      </c>
      <c r="AD72" s="2">
        <v>0</v>
      </c>
      <c r="AE72" s="2">
        <v>0</v>
      </c>
      <c r="AF72" s="2">
        <v>0</v>
      </c>
      <c r="AG72" s="2">
        <v>0</v>
      </c>
      <c r="AH72" s="2">
        <v>0</v>
      </c>
      <c r="AI72" s="2">
        <v>1</v>
      </c>
      <c r="AJ72" s="2" t="s">
        <v>187</v>
      </c>
      <c r="AK72" s="2">
        <v>0</v>
      </c>
      <c r="AL72" s="11">
        <v>1</v>
      </c>
      <c r="AM72" s="2">
        <v>0</v>
      </c>
      <c r="AN72" s="2">
        <f t="shared" si="10"/>
        <v>0</v>
      </c>
      <c r="AO72" s="2">
        <f t="shared" si="11"/>
        <v>1</v>
      </c>
      <c r="AP72" s="2">
        <f t="shared" si="12"/>
        <v>0</v>
      </c>
      <c r="AQ72" s="2">
        <v>1</v>
      </c>
      <c r="AR72" s="2">
        <v>0</v>
      </c>
      <c r="AW72" s="2">
        <v>0</v>
      </c>
      <c r="BA72" s="2">
        <v>0</v>
      </c>
      <c r="BB72" s="2">
        <v>0</v>
      </c>
      <c r="BC72" s="2">
        <f t="shared" si="14"/>
        <v>0</v>
      </c>
      <c r="BD72" s="2">
        <f t="shared" si="15"/>
        <v>0</v>
      </c>
      <c r="BE72" s="2">
        <v>0</v>
      </c>
      <c r="BF72" s="2">
        <f t="shared" si="16"/>
        <v>0</v>
      </c>
      <c r="BG72" s="2" t="s">
        <v>188</v>
      </c>
    </row>
    <row r="73" spans="1:59">
      <c r="A73" s="2">
        <v>72</v>
      </c>
      <c r="B73" s="5">
        <v>45453</v>
      </c>
      <c r="C73" s="5">
        <v>45457</v>
      </c>
      <c r="D73" s="2">
        <f>C73-B73</f>
        <v>4</v>
      </c>
      <c r="E73" s="2">
        <v>63</v>
      </c>
      <c r="F73" s="2">
        <v>2</v>
      </c>
      <c r="G73" s="2">
        <v>2</v>
      </c>
      <c r="H73" s="2">
        <v>0</v>
      </c>
      <c r="I73" s="2">
        <v>0</v>
      </c>
      <c r="J73" s="2">
        <v>0</v>
      </c>
      <c r="K73" s="2">
        <v>0</v>
      </c>
      <c r="L73" s="2">
        <v>0</v>
      </c>
      <c r="M73" s="2">
        <v>0</v>
      </c>
      <c r="N73" s="2">
        <v>0</v>
      </c>
      <c r="P73" t="s">
        <v>179</v>
      </c>
      <c r="Q73" s="2">
        <v>0</v>
      </c>
      <c r="R73" s="2">
        <v>0</v>
      </c>
      <c r="S73" s="2">
        <v>0</v>
      </c>
      <c r="T73" s="2">
        <v>1</v>
      </c>
      <c r="U73" s="2">
        <v>0</v>
      </c>
      <c r="V73" s="2">
        <v>1</v>
      </c>
      <c r="W73" s="5">
        <v>45453</v>
      </c>
      <c r="X73" s="5">
        <v>45453</v>
      </c>
      <c r="Y73" s="28">
        <f t="shared" si="9"/>
        <v>0</v>
      </c>
      <c r="Z73" s="2">
        <v>0</v>
      </c>
      <c r="AA73" s="2">
        <v>0</v>
      </c>
      <c r="AB73" s="2">
        <v>0</v>
      </c>
      <c r="AC73" s="2">
        <v>0</v>
      </c>
      <c r="AD73" s="2">
        <v>0</v>
      </c>
      <c r="AE73" s="2">
        <v>0</v>
      </c>
      <c r="AF73" s="2">
        <v>0</v>
      </c>
      <c r="AG73" s="2">
        <v>0</v>
      </c>
      <c r="AH73" s="2">
        <v>0</v>
      </c>
      <c r="AI73" s="2">
        <v>1</v>
      </c>
      <c r="AJ73" s="2" t="s">
        <v>68</v>
      </c>
      <c r="AK73" s="2">
        <v>0</v>
      </c>
      <c r="AL73" s="2">
        <v>0</v>
      </c>
      <c r="AM73" s="2">
        <v>1</v>
      </c>
      <c r="AN73" s="2">
        <f t="shared" si="10"/>
        <v>0</v>
      </c>
      <c r="AO73" s="2">
        <f t="shared" si="11"/>
        <v>0</v>
      </c>
      <c r="AP73" s="2">
        <f t="shared" si="12"/>
        <v>1</v>
      </c>
      <c r="AQ73" s="2">
        <v>1</v>
      </c>
      <c r="AR73" s="2">
        <v>0</v>
      </c>
      <c r="AW73" s="2">
        <v>0</v>
      </c>
      <c r="BA73" s="2">
        <v>0</v>
      </c>
      <c r="BB73" s="2">
        <v>0</v>
      </c>
      <c r="BC73" s="2">
        <f t="shared" si="14"/>
        <v>0</v>
      </c>
      <c r="BD73" s="2">
        <f t="shared" si="15"/>
        <v>0</v>
      </c>
      <c r="BE73" s="2">
        <v>0</v>
      </c>
      <c r="BF73" s="2">
        <f t="shared" si="16"/>
        <v>0</v>
      </c>
      <c r="BG73" s="2" t="s">
        <v>189</v>
      </c>
    </row>
    <row r="74" spans="1:59">
      <c r="A74" s="2">
        <v>73</v>
      </c>
      <c r="B74" s="5">
        <v>45454</v>
      </c>
      <c r="C74" s="5">
        <v>45464</v>
      </c>
      <c r="D74" s="2">
        <f t="shared" ref="D74:D132" si="18">C74-B74</f>
        <v>10</v>
      </c>
      <c r="E74" s="2">
        <v>76</v>
      </c>
      <c r="F74" s="2">
        <v>2</v>
      </c>
      <c r="G74" s="2">
        <v>2</v>
      </c>
      <c r="H74" s="2">
        <v>0</v>
      </c>
      <c r="I74" s="2">
        <v>0</v>
      </c>
      <c r="J74" s="2">
        <v>0</v>
      </c>
      <c r="K74" s="2">
        <v>0</v>
      </c>
      <c r="L74" s="2">
        <v>0</v>
      </c>
      <c r="M74" s="2">
        <v>0</v>
      </c>
      <c r="N74" s="2">
        <v>0</v>
      </c>
      <c r="P74" t="s">
        <v>179</v>
      </c>
      <c r="Q74" s="2">
        <v>0</v>
      </c>
      <c r="R74" s="2">
        <v>0</v>
      </c>
      <c r="S74" s="2">
        <v>0</v>
      </c>
      <c r="T74" s="2">
        <v>1</v>
      </c>
      <c r="U74" s="2">
        <v>0</v>
      </c>
      <c r="V74" s="2">
        <v>1</v>
      </c>
      <c r="W74" s="5">
        <v>45454</v>
      </c>
      <c r="X74" s="5">
        <v>45454</v>
      </c>
      <c r="Y74" s="28">
        <f t="shared" si="9"/>
        <v>0</v>
      </c>
      <c r="Z74" s="2">
        <v>0</v>
      </c>
      <c r="AA74" s="2">
        <v>0</v>
      </c>
      <c r="AB74" s="2">
        <v>0</v>
      </c>
      <c r="AC74" s="2">
        <v>0</v>
      </c>
      <c r="AD74" s="2">
        <v>0</v>
      </c>
      <c r="AE74" s="2">
        <v>0</v>
      </c>
      <c r="AF74" s="2">
        <v>0</v>
      </c>
      <c r="AG74" s="2">
        <v>0</v>
      </c>
      <c r="AH74" s="2">
        <v>0</v>
      </c>
      <c r="AI74" s="2">
        <v>1</v>
      </c>
      <c r="AJ74" s="2" t="s">
        <v>190</v>
      </c>
      <c r="AK74" s="2">
        <v>0</v>
      </c>
      <c r="AL74" s="2">
        <v>0</v>
      </c>
      <c r="AM74" s="2">
        <v>1</v>
      </c>
      <c r="AN74" s="2">
        <f t="shared" si="10"/>
        <v>0</v>
      </c>
      <c r="AO74" s="2">
        <f t="shared" si="11"/>
        <v>0</v>
      </c>
      <c r="AP74" s="2">
        <f t="shared" si="12"/>
        <v>1</v>
      </c>
      <c r="AQ74" s="2">
        <v>1</v>
      </c>
      <c r="AR74" s="11">
        <v>1</v>
      </c>
      <c r="AS74" s="5">
        <v>45455</v>
      </c>
      <c r="AT74" s="2">
        <v>0</v>
      </c>
      <c r="AU74" s="2">
        <v>0</v>
      </c>
      <c r="AV74" s="2">
        <f t="shared" si="13"/>
        <v>1</v>
      </c>
      <c r="AW74" s="2">
        <v>0</v>
      </c>
      <c r="BA74" s="2">
        <v>0</v>
      </c>
      <c r="BB74" s="2">
        <v>0</v>
      </c>
      <c r="BC74" s="2">
        <f t="shared" si="14"/>
        <v>0</v>
      </c>
      <c r="BD74" s="2">
        <f t="shared" si="15"/>
        <v>0</v>
      </c>
      <c r="BE74" s="2">
        <v>0</v>
      </c>
      <c r="BF74" s="2">
        <f t="shared" si="16"/>
        <v>0</v>
      </c>
      <c r="BG74" s="2" t="s">
        <v>191</v>
      </c>
    </row>
    <row r="75" spans="1:59">
      <c r="A75" s="2">
        <v>74</v>
      </c>
      <c r="B75" s="5">
        <v>45454</v>
      </c>
      <c r="C75" s="5">
        <v>45463</v>
      </c>
      <c r="D75" s="2">
        <f t="shared" si="18"/>
        <v>9</v>
      </c>
      <c r="E75" s="2">
        <v>80</v>
      </c>
      <c r="F75" s="2">
        <v>1</v>
      </c>
      <c r="G75" s="2">
        <v>3</v>
      </c>
      <c r="H75" s="2">
        <v>1</v>
      </c>
      <c r="I75" s="2">
        <v>0</v>
      </c>
      <c r="J75" s="2">
        <v>0</v>
      </c>
      <c r="K75" s="2">
        <v>0</v>
      </c>
      <c r="L75" s="2">
        <v>1</v>
      </c>
      <c r="M75" s="2">
        <v>0</v>
      </c>
      <c r="N75" s="2">
        <v>1</v>
      </c>
      <c r="O75" s="2" t="s">
        <v>192</v>
      </c>
      <c r="P75" t="s">
        <v>186</v>
      </c>
      <c r="Q75" s="2">
        <v>0</v>
      </c>
      <c r="R75" s="2">
        <v>0</v>
      </c>
      <c r="S75" s="2">
        <v>0</v>
      </c>
      <c r="T75" s="2">
        <v>1</v>
      </c>
      <c r="U75" s="2">
        <v>0</v>
      </c>
      <c r="V75" s="2">
        <v>1</v>
      </c>
      <c r="W75" s="5">
        <v>45454</v>
      </c>
      <c r="X75" s="5">
        <v>45454</v>
      </c>
      <c r="Y75" s="28">
        <f t="shared" si="9"/>
        <v>0</v>
      </c>
      <c r="Z75" s="2">
        <v>1</v>
      </c>
      <c r="AA75" s="2">
        <v>0</v>
      </c>
      <c r="AB75" s="2">
        <v>0</v>
      </c>
      <c r="AC75" s="2">
        <v>1</v>
      </c>
      <c r="AD75" s="2">
        <v>0</v>
      </c>
      <c r="AE75" s="2">
        <v>0</v>
      </c>
      <c r="AF75" s="2">
        <v>0</v>
      </c>
      <c r="AG75" s="2">
        <v>0</v>
      </c>
      <c r="AH75" s="2">
        <v>0</v>
      </c>
      <c r="AI75" s="2">
        <v>1</v>
      </c>
      <c r="AJ75" s="2" t="s">
        <v>91</v>
      </c>
      <c r="AK75" s="2">
        <v>0</v>
      </c>
      <c r="AL75" s="2">
        <v>0</v>
      </c>
      <c r="AM75" s="2">
        <v>1</v>
      </c>
      <c r="AN75" s="2">
        <f t="shared" si="10"/>
        <v>0</v>
      </c>
      <c r="AO75" s="2">
        <f t="shared" si="11"/>
        <v>0</v>
      </c>
      <c r="AP75" s="2">
        <f t="shared" si="12"/>
        <v>1</v>
      </c>
      <c r="AQ75" s="2">
        <v>1</v>
      </c>
      <c r="AR75" s="2">
        <v>1</v>
      </c>
      <c r="AS75" s="5">
        <v>45457</v>
      </c>
      <c r="AT75" s="2">
        <v>0</v>
      </c>
      <c r="AU75" s="2">
        <v>1</v>
      </c>
      <c r="AV75" s="2">
        <f t="shared" si="13"/>
        <v>3</v>
      </c>
      <c r="AW75" s="2">
        <v>0</v>
      </c>
      <c r="BA75" s="2">
        <v>0</v>
      </c>
      <c r="BB75" s="2">
        <v>0</v>
      </c>
      <c r="BC75" s="2">
        <f t="shared" si="14"/>
        <v>0</v>
      </c>
      <c r="BD75" s="2">
        <f t="shared" si="15"/>
        <v>0</v>
      </c>
      <c r="BE75" s="2">
        <v>0</v>
      </c>
      <c r="BF75" s="2">
        <f t="shared" si="16"/>
        <v>0</v>
      </c>
      <c r="BG75" s="2" t="s">
        <v>193</v>
      </c>
    </row>
    <row r="76" spans="1:59">
      <c r="A76" s="2">
        <v>75</v>
      </c>
      <c r="B76" s="5">
        <v>45455</v>
      </c>
      <c r="C76" s="5">
        <v>45463</v>
      </c>
      <c r="D76" s="2">
        <f t="shared" si="18"/>
        <v>8</v>
      </c>
      <c r="E76" s="2">
        <v>81</v>
      </c>
      <c r="F76" s="2">
        <v>1</v>
      </c>
      <c r="G76" s="2">
        <v>3</v>
      </c>
      <c r="H76" s="2">
        <v>0</v>
      </c>
      <c r="I76" s="2">
        <v>0</v>
      </c>
      <c r="J76" s="2">
        <v>0</v>
      </c>
      <c r="K76" s="2">
        <v>0</v>
      </c>
      <c r="L76" s="2">
        <v>0</v>
      </c>
      <c r="M76" s="2">
        <v>0</v>
      </c>
      <c r="N76" s="2">
        <v>0</v>
      </c>
      <c r="P76" t="s">
        <v>179</v>
      </c>
      <c r="Q76" s="2">
        <v>0</v>
      </c>
      <c r="R76" s="2">
        <v>0</v>
      </c>
      <c r="S76" s="2">
        <v>0</v>
      </c>
      <c r="T76" s="2">
        <v>1</v>
      </c>
      <c r="U76" s="2">
        <v>0</v>
      </c>
      <c r="V76" s="2">
        <v>1</v>
      </c>
      <c r="W76" s="5">
        <v>45455</v>
      </c>
      <c r="X76" s="5">
        <v>45455</v>
      </c>
      <c r="Y76" s="28">
        <f t="shared" si="9"/>
        <v>0</v>
      </c>
      <c r="Z76" s="2">
        <v>0</v>
      </c>
      <c r="AA76" s="2">
        <v>0</v>
      </c>
      <c r="AB76" s="2">
        <v>0</v>
      </c>
      <c r="AC76" s="2">
        <v>0</v>
      </c>
      <c r="AD76" s="2">
        <v>0</v>
      </c>
      <c r="AE76" s="2">
        <v>0</v>
      </c>
      <c r="AF76" s="2">
        <v>0</v>
      </c>
      <c r="AG76" s="2">
        <v>0</v>
      </c>
      <c r="AH76" s="2">
        <v>0</v>
      </c>
      <c r="AI76" s="2">
        <v>1</v>
      </c>
      <c r="AJ76" s="2" t="s">
        <v>68</v>
      </c>
      <c r="AK76" s="2">
        <v>0</v>
      </c>
      <c r="AL76" s="2">
        <v>0</v>
      </c>
      <c r="AM76" s="2">
        <v>1</v>
      </c>
      <c r="AN76" s="2">
        <f t="shared" si="10"/>
        <v>0</v>
      </c>
      <c r="AO76" s="2">
        <f t="shared" si="11"/>
        <v>0</v>
      </c>
      <c r="AP76" s="2">
        <f t="shared" si="12"/>
        <v>1</v>
      </c>
      <c r="AQ76" s="2">
        <v>1</v>
      </c>
      <c r="AR76" s="11">
        <v>1</v>
      </c>
      <c r="AS76" s="5">
        <v>45456</v>
      </c>
      <c r="AT76" s="2">
        <v>0</v>
      </c>
      <c r="AU76" s="2">
        <v>0</v>
      </c>
      <c r="AV76" s="2">
        <f t="shared" si="13"/>
        <v>1</v>
      </c>
      <c r="AW76" s="2">
        <v>0</v>
      </c>
      <c r="BA76" s="2">
        <v>0</v>
      </c>
      <c r="BB76" s="2">
        <v>0</v>
      </c>
      <c r="BC76" s="2">
        <f t="shared" si="14"/>
        <v>0</v>
      </c>
      <c r="BD76" s="2">
        <f t="shared" si="15"/>
        <v>0</v>
      </c>
      <c r="BE76" s="2">
        <v>1</v>
      </c>
      <c r="BF76" s="2">
        <f t="shared" si="16"/>
        <v>0</v>
      </c>
      <c r="BG76" s="2" t="s">
        <v>194</v>
      </c>
    </row>
    <row r="77" spans="1:59">
      <c r="A77" s="2">
        <v>76</v>
      </c>
      <c r="B77" s="5">
        <v>45457</v>
      </c>
      <c r="C77" s="5">
        <v>45468</v>
      </c>
      <c r="D77" s="2">
        <f t="shared" si="18"/>
        <v>11</v>
      </c>
      <c r="E77" s="2">
        <v>59</v>
      </c>
      <c r="F77" s="2">
        <v>1</v>
      </c>
      <c r="G77" s="2">
        <v>3</v>
      </c>
      <c r="H77" s="2">
        <v>0</v>
      </c>
      <c r="I77" s="2">
        <v>0</v>
      </c>
      <c r="J77" s="2">
        <v>0</v>
      </c>
      <c r="K77" s="2">
        <v>0</v>
      </c>
      <c r="L77" s="2">
        <v>0</v>
      </c>
      <c r="M77" s="2">
        <v>0</v>
      </c>
      <c r="N77" s="2">
        <v>0</v>
      </c>
      <c r="P77" t="s">
        <v>179</v>
      </c>
      <c r="Q77" s="2">
        <v>0</v>
      </c>
      <c r="R77" s="2">
        <v>0</v>
      </c>
      <c r="S77" s="2">
        <v>0</v>
      </c>
      <c r="T77" s="2">
        <v>1</v>
      </c>
      <c r="U77" s="2">
        <v>1</v>
      </c>
      <c r="V77" s="2">
        <v>3</v>
      </c>
      <c r="W77" s="5">
        <v>45457</v>
      </c>
      <c r="X77" s="5">
        <v>45460</v>
      </c>
      <c r="Y77" s="28">
        <f t="shared" si="9"/>
        <v>3</v>
      </c>
      <c r="Z77" s="2">
        <v>1</v>
      </c>
      <c r="AA77" s="2">
        <v>1</v>
      </c>
      <c r="AB77" s="2">
        <v>1</v>
      </c>
      <c r="AC77" s="2">
        <v>0</v>
      </c>
      <c r="AD77" s="2">
        <v>0</v>
      </c>
      <c r="AE77" s="2">
        <v>0</v>
      </c>
      <c r="AF77" s="2">
        <v>0</v>
      </c>
      <c r="AG77" s="2">
        <v>0</v>
      </c>
      <c r="AH77" s="2">
        <v>0</v>
      </c>
      <c r="AI77" s="2">
        <v>1</v>
      </c>
      <c r="AJ77" s="2" t="s">
        <v>55</v>
      </c>
      <c r="AK77" s="2">
        <v>1</v>
      </c>
      <c r="AL77" s="2">
        <v>1</v>
      </c>
      <c r="AM77" s="2">
        <v>1</v>
      </c>
      <c r="AN77" s="2">
        <f t="shared" si="10"/>
        <v>1</v>
      </c>
      <c r="AO77" s="2">
        <f t="shared" si="11"/>
        <v>0</v>
      </c>
      <c r="AP77" s="2">
        <f t="shared" si="12"/>
        <v>0</v>
      </c>
      <c r="AQ77" s="2">
        <v>1</v>
      </c>
      <c r="AR77" s="2">
        <v>1</v>
      </c>
      <c r="AS77" s="5">
        <v>45461</v>
      </c>
      <c r="AT77" s="2">
        <v>0</v>
      </c>
      <c r="AU77" s="2">
        <v>0</v>
      </c>
      <c r="AV77" s="2">
        <f t="shared" si="13"/>
        <v>4</v>
      </c>
      <c r="AW77" s="2">
        <v>1</v>
      </c>
      <c r="AX77" s="5">
        <v>45463</v>
      </c>
      <c r="AY77" s="2">
        <v>0</v>
      </c>
      <c r="AZ77" s="2">
        <v>0</v>
      </c>
      <c r="BA77" s="2">
        <v>0</v>
      </c>
      <c r="BB77" s="2">
        <v>0</v>
      </c>
      <c r="BC77" s="2">
        <f t="shared" si="14"/>
        <v>0</v>
      </c>
      <c r="BD77" s="2">
        <f t="shared" si="15"/>
        <v>0</v>
      </c>
      <c r="BE77" s="2">
        <v>0</v>
      </c>
      <c r="BF77" s="2">
        <f t="shared" si="16"/>
        <v>1</v>
      </c>
    </row>
    <row r="78" spans="1:59">
      <c r="A78" s="2">
        <v>77</v>
      </c>
      <c r="B78" s="5">
        <v>45460</v>
      </c>
      <c r="C78" s="5">
        <v>45475</v>
      </c>
      <c r="D78" s="2">
        <f t="shared" si="18"/>
        <v>15</v>
      </c>
      <c r="E78" s="2">
        <v>69</v>
      </c>
      <c r="F78" s="2">
        <v>2</v>
      </c>
      <c r="G78" s="2">
        <v>2</v>
      </c>
      <c r="H78" s="2">
        <v>1</v>
      </c>
      <c r="I78" s="2">
        <v>0</v>
      </c>
      <c r="J78" s="2">
        <v>0</v>
      </c>
      <c r="K78" s="2">
        <v>1</v>
      </c>
      <c r="L78" s="2">
        <v>0</v>
      </c>
      <c r="M78" s="2">
        <v>0</v>
      </c>
      <c r="N78" s="2">
        <v>0</v>
      </c>
      <c r="P78" t="s">
        <v>195</v>
      </c>
      <c r="Q78" s="2">
        <v>0</v>
      </c>
      <c r="R78" s="2">
        <v>0</v>
      </c>
      <c r="S78" s="2">
        <v>0</v>
      </c>
      <c r="T78" s="2">
        <v>1</v>
      </c>
      <c r="U78" s="2">
        <v>0</v>
      </c>
      <c r="V78" s="2">
        <v>1</v>
      </c>
      <c r="W78" s="5">
        <v>45460</v>
      </c>
      <c r="X78" s="5">
        <v>45460</v>
      </c>
      <c r="Y78" s="28">
        <f t="shared" si="9"/>
        <v>0</v>
      </c>
      <c r="Z78" s="2">
        <v>0</v>
      </c>
      <c r="AA78" s="2">
        <v>0</v>
      </c>
      <c r="AB78" s="2">
        <v>0</v>
      </c>
      <c r="AC78" s="2">
        <v>0</v>
      </c>
      <c r="AD78" s="2">
        <v>0</v>
      </c>
      <c r="AE78" s="2">
        <v>0</v>
      </c>
      <c r="AF78" s="2">
        <v>0</v>
      </c>
      <c r="AG78" s="2">
        <v>0</v>
      </c>
      <c r="AH78" s="2">
        <v>0</v>
      </c>
      <c r="AI78" s="2">
        <v>1</v>
      </c>
      <c r="AJ78" s="2" t="s">
        <v>196</v>
      </c>
      <c r="AK78" s="2">
        <v>0</v>
      </c>
      <c r="AL78" s="2">
        <v>1</v>
      </c>
      <c r="AM78" s="2">
        <v>1</v>
      </c>
      <c r="AN78" s="2">
        <f t="shared" si="10"/>
        <v>1</v>
      </c>
      <c r="AO78" s="2">
        <f t="shared" si="11"/>
        <v>0</v>
      </c>
      <c r="AP78" s="2">
        <f t="shared" si="12"/>
        <v>0</v>
      </c>
      <c r="AQ78" s="2">
        <v>1</v>
      </c>
      <c r="AR78" s="2">
        <v>0</v>
      </c>
      <c r="AW78" s="2">
        <v>1</v>
      </c>
      <c r="AX78" s="5">
        <v>45462</v>
      </c>
      <c r="AY78" s="2">
        <v>0</v>
      </c>
      <c r="AZ78" s="2">
        <v>0</v>
      </c>
      <c r="BA78" s="2">
        <v>0</v>
      </c>
      <c r="BB78" s="2">
        <v>0</v>
      </c>
      <c r="BC78" s="2">
        <f t="shared" si="14"/>
        <v>1</v>
      </c>
      <c r="BD78" s="2">
        <f t="shared" si="15"/>
        <v>1</v>
      </c>
      <c r="BE78" s="2">
        <v>0</v>
      </c>
      <c r="BF78" s="2">
        <f t="shared" si="16"/>
        <v>0</v>
      </c>
      <c r="BG78" s="2" t="s">
        <v>197</v>
      </c>
    </row>
    <row r="79" spans="1:59">
      <c r="A79" s="2">
        <v>78</v>
      </c>
      <c r="B79" s="5">
        <v>45463</v>
      </c>
      <c r="C79" s="5">
        <v>45466</v>
      </c>
      <c r="D79" s="2">
        <f t="shared" si="18"/>
        <v>3</v>
      </c>
      <c r="E79" s="2">
        <v>77</v>
      </c>
      <c r="F79" s="2">
        <v>2</v>
      </c>
      <c r="G79" s="2">
        <v>3</v>
      </c>
      <c r="H79" s="2">
        <v>0</v>
      </c>
      <c r="I79" s="2">
        <v>0</v>
      </c>
      <c r="J79" s="2">
        <v>0</v>
      </c>
      <c r="K79" s="2">
        <v>0</v>
      </c>
      <c r="L79" s="2">
        <v>0</v>
      </c>
      <c r="M79" s="2">
        <v>0</v>
      </c>
      <c r="N79" s="2">
        <v>0</v>
      </c>
      <c r="P79" t="s">
        <v>179</v>
      </c>
      <c r="Q79" s="2">
        <v>0</v>
      </c>
      <c r="R79" s="2">
        <v>0</v>
      </c>
      <c r="S79" s="2">
        <v>0</v>
      </c>
      <c r="T79" s="2">
        <v>1</v>
      </c>
      <c r="U79" s="2">
        <v>0</v>
      </c>
      <c r="V79" s="2">
        <v>1</v>
      </c>
      <c r="W79" s="5">
        <v>45463</v>
      </c>
      <c r="X79" s="5">
        <v>45463</v>
      </c>
      <c r="Y79" s="28">
        <f t="shared" si="9"/>
        <v>0</v>
      </c>
      <c r="Z79" s="2">
        <v>0</v>
      </c>
      <c r="AA79" s="2">
        <v>0</v>
      </c>
      <c r="AB79" s="2">
        <v>0</v>
      </c>
      <c r="AC79" s="2">
        <v>0</v>
      </c>
      <c r="AD79" s="2">
        <v>0</v>
      </c>
      <c r="AE79" s="2">
        <v>0</v>
      </c>
      <c r="AF79" s="2">
        <v>0</v>
      </c>
      <c r="AG79" s="2">
        <v>0</v>
      </c>
      <c r="AH79" s="2">
        <v>0</v>
      </c>
      <c r="AI79" s="2">
        <v>0</v>
      </c>
      <c r="AK79" s="2">
        <v>0</v>
      </c>
      <c r="AL79" s="2">
        <v>1</v>
      </c>
      <c r="AM79" s="2">
        <v>1</v>
      </c>
      <c r="AN79" s="2">
        <f t="shared" si="10"/>
        <v>1</v>
      </c>
      <c r="AO79" s="2">
        <f t="shared" si="11"/>
        <v>0</v>
      </c>
      <c r="AP79" s="2">
        <f t="shared" si="12"/>
        <v>0</v>
      </c>
      <c r="AQ79" s="2">
        <v>1</v>
      </c>
      <c r="AR79" s="2">
        <v>0</v>
      </c>
      <c r="AW79" s="2">
        <v>0</v>
      </c>
      <c r="BA79" s="2">
        <v>0</v>
      </c>
      <c r="BB79" s="2">
        <v>0</v>
      </c>
      <c r="BC79" s="2">
        <f t="shared" si="14"/>
        <v>0</v>
      </c>
      <c r="BD79" s="2">
        <f t="shared" si="15"/>
        <v>0</v>
      </c>
      <c r="BE79" s="2">
        <v>0</v>
      </c>
      <c r="BF79" s="2">
        <f t="shared" si="16"/>
        <v>0</v>
      </c>
      <c r="BG79" s="2" t="s">
        <v>200</v>
      </c>
    </row>
    <row r="80" spans="1:59">
      <c r="A80" s="8">
        <v>79</v>
      </c>
      <c r="B80" s="5">
        <v>45464</v>
      </c>
      <c r="C80" s="6">
        <v>45470</v>
      </c>
      <c r="D80" s="2">
        <f t="shared" si="18"/>
        <v>6</v>
      </c>
      <c r="E80" s="2">
        <v>58</v>
      </c>
      <c r="F80" s="2">
        <v>2</v>
      </c>
      <c r="G80" s="2">
        <v>2</v>
      </c>
      <c r="H80" s="2">
        <v>0</v>
      </c>
      <c r="I80" s="2">
        <v>0</v>
      </c>
      <c r="J80" s="2">
        <v>0</v>
      </c>
      <c r="K80" s="2">
        <v>0</v>
      </c>
      <c r="L80" s="2">
        <v>0</v>
      </c>
      <c r="M80" s="2">
        <v>0</v>
      </c>
      <c r="N80" s="2">
        <v>1</v>
      </c>
      <c r="O80" s="2" t="s">
        <v>201</v>
      </c>
      <c r="P80" t="s">
        <v>179</v>
      </c>
      <c r="Q80" s="2">
        <v>0</v>
      </c>
      <c r="R80" s="2">
        <v>0</v>
      </c>
      <c r="S80" s="2">
        <v>0</v>
      </c>
      <c r="T80" s="2">
        <v>1</v>
      </c>
      <c r="U80" s="2">
        <v>0</v>
      </c>
      <c r="V80" s="2">
        <v>1</v>
      </c>
      <c r="W80" s="5">
        <v>45464</v>
      </c>
      <c r="X80" s="5">
        <v>45464</v>
      </c>
      <c r="Y80" s="28">
        <f t="shared" si="9"/>
        <v>0</v>
      </c>
      <c r="Z80" s="2">
        <v>0</v>
      </c>
      <c r="AA80" s="2">
        <v>0</v>
      </c>
      <c r="AB80" s="2">
        <v>0</v>
      </c>
      <c r="AC80" s="2">
        <v>0</v>
      </c>
      <c r="AD80" s="2">
        <v>0</v>
      </c>
      <c r="AE80" s="2">
        <v>0</v>
      </c>
      <c r="AF80" s="2">
        <v>0</v>
      </c>
      <c r="AG80" s="2">
        <v>0</v>
      </c>
      <c r="AH80" s="2">
        <v>0</v>
      </c>
      <c r="AI80" s="11">
        <v>1</v>
      </c>
      <c r="AJ80" s="2" t="s">
        <v>117</v>
      </c>
      <c r="AK80" s="2">
        <v>0</v>
      </c>
      <c r="AL80" s="2">
        <v>0</v>
      </c>
      <c r="AM80" s="2">
        <v>1</v>
      </c>
      <c r="AN80" s="2">
        <f t="shared" si="10"/>
        <v>0</v>
      </c>
      <c r="AO80" s="2">
        <f t="shared" si="11"/>
        <v>0</v>
      </c>
      <c r="AP80" s="2">
        <f t="shared" si="12"/>
        <v>1</v>
      </c>
      <c r="AQ80" s="2">
        <v>0</v>
      </c>
      <c r="AR80" s="2">
        <v>1</v>
      </c>
      <c r="AS80" s="5">
        <v>45467</v>
      </c>
      <c r="AT80" s="2">
        <v>0</v>
      </c>
      <c r="AU80" s="2">
        <v>0</v>
      </c>
      <c r="AV80" s="2">
        <f t="shared" si="13"/>
        <v>3</v>
      </c>
      <c r="AW80" s="2">
        <v>0</v>
      </c>
      <c r="BA80" s="2">
        <v>0</v>
      </c>
      <c r="BB80" s="2">
        <v>0</v>
      </c>
      <c r="BC80" s="2">
        <f t="shared" si="14"/>
        <v>0</v>
      </c>
      <c r="BD80" s="2">
        <f t="shared" si="15"/>
        <v>0</v>
      </c>
      <c r="BE80" s="2">
        <v>0</v>
      </c>
      <c r="BF80" s="2">
        <f t="shared" si="16"/>
        <v>0</v>
      </c>
      <c r="BG80" s="2" t="s">
        <v>202</v>
      </c>
    </row>
    <row r="81" spans="1:59">
      <c r="A81" s="2">
        <v>80</v>
      </c>
      <c r="B81" s="5">
        <v>45471</v>
      </c>
      <c r="C81" s="5">
        <v>45485</v>
      </c>
      <c r="D81" s="2">
        <f t="shared" si="18"/>
        <v>14</v>
      </c>
      <c r="E81" s="2">
        <v>68</v>
      </c>
      <c r="F81" s="2">
        <v>2</v>
      </c>
      <c r="G81" s="2">
        <v>2</v>
      </c>
      <c r="H81" s="2">
        <v>1</v>
      </c>
      <c r="I81" s="2">
        <v>0</v>
      </c>
      <c r="J81" s="2">
        <v>0</v>
      </c>
      <c r="K81" s="2">
        <v>0</v>
      </c>
      <c r="L81" s="2">
        <v>0</v>
      </c>
      <c r="M81" s="2">
        <v>0</v>
      </c>
      <c r="N81" s="2">
        <v>1</v>
      </c>
      <c r="O81" s="2" t="s">
        <v>70</v>
      </c>
      <c r="P81" t="s">
        <v>179</v>
      </c>
      <c r="Q81" s="2">
        <v>0</v>
      </c>
      <c r="R81" s="2">
        <v>0</v>
      </c>
      <c r="S81" s="2">
        <v>0</v>
      </c>
      <c r="T81" s="2">
        <v>1</v>
      </c>
      <c r="U81" s="2">
        <v>0</v>
      </c>
      <c r="V81" s="2">
        <v>1</v>
      </c>
      <c r="W81" s="5">
        <v>45471</v>
      </c>
      <c r="X81" s="5">
        <v>45471</v>
      </c>
      <c r="Y81" s="28">
        <f t="shared" si="9"/>
        <v>0</v>
      </c>
      <c r="Z81" s="2">
        <v>0</v>
      </c>
      <c r="AA81" s="2">
        <v>0</v>
      </c>
      <c r="AB81" s="2">
        <v>0</v>
      </c>
      <c r="AC81" s="2">
        <v>0</v>
      </c>
      <c r="AD81" s="2">
        <v>0</v>
      </c>
      <c r="AE81" s="2">
        <v>0</v>
      </c>
      <c r="AF81" s="2">
        <v>0</v>
      </c>
      <c r="AG81" s="2">
        <v>0</v>
      </c>
      <c r="AH81" s="2">
        <v>0</v>
      </c>
      <c r="AI81" s="2">
        <v>1</v>
      </c>
      <c r="AJ81" s="2" t="s">
        <v>55</v>
      </c>
      <c r="AK81" s="2">
        <v>0</v>
      </c>
      <c r="AL81" s="2">
        <v>0</v>
      </c>
      <c r="AM81" s="2">
        <v>1</v>
      </c>
      <c r="AN81" s="2">
        <f t="shared" si="10"/>
        <v>0</v>
      </c>
      <c r="AO81" s="2">
        <f t="shared" si="11"/>
        <v>0</v>
      </c>
      <c r="AP81" s="2">
        <f t="shared" si="12"/>
        <v>1</v>
      </c>
      <c r="AQ81" s="2">
        <v>1</v>
      </c>
      <c r="AR81" s="11">
        <v>1</v>
      </c>
      <c r="AS81" s="5">
        <v>45476</v>
      </c>
      <c r="AT81" s="2">
        <v>0</v>
      </c>
      <c r="AU81" s="2">
        <v>1</v>
      </c>
      <c r="AV81" s="2">
        <f t="shared" si="13"/>
        <v>5</v>
      </c>
      <c r="AW81" s="2">
        <v>0</v>
      </c>
      <c r="BA81" s="2">
        <v>0</v>
      </c>
      <c r="BB81" s="2">
        <v>0</v>
      </c>
      <c r="BC81" s="2">
        <f t="shared" si="14"/>
        <v>0</v>
      </c>
      <c r="BD81" s="2">
        <f t="shared" si="15"/>
        <v>0</v>
      </c>
      <c r="BE81" s="2">
        <v>0</v>
      </c>
      <c r="BF81" s="2">
        <f t="shared" si="16"/>
        <v>0</v>
      </c>
      <c r="BG81" s="2" t="s">
        <v>205</v>
      </c>
    </row>
    <row r="82" spans="1:59">
      <c r="A82" s="2">
        <v>81</v>
      </c>
      <c r="B82" s="5">
        <v>45414</v>
      </c>
      <c r="C82" s="5">
        <v>45421</v>
      </c>
      <c r="D82" s="2">
        <f t="shared" si="18"/>
        <v>7</v>
      </c>
      <c r="E82" s="2">
        <v>84</v>
      </c>
      <c r="F82" s="2">
        <v>1</v>
      </c>
      <c r="G82" s="2">
        <v>3</v>
      </c>
      <c r="H82" s="2">
        <v>0</v>
      </c>
      <c r="I82" s="2">
        <v>0</v>
      </c>
      <c r="J82" s="2">
        <v>0</v>
      </c>
      <c r="K82" s="2">
        <v>0</v>
      </c>
      <c r="L82" s="2">
        <v>0</v>
      </c>
      <c r="M82" s="2">
        <v>0</v>
      </c>
      <c r="N82" s="2">
        <v>0</v>
      </c>
      <c r="P82" t="s">
        <v>179</v>
      </c>
      <c r="Q82" s="2">
        <v>0</v>
      </c>
      <c r="R82" s="2">
        <v>0</v>
      </c>
      <c r="S82" s="2">
        <v>0</v>
      </c>
      <c r="T82" s="2">
        <v>1</v>
      </c>
      <c r="U82" s="2">
        <v>0</v>
      </c>
      <c r="V82" s="2">
        <v>1</v>
      </c>
      <c r="W82" s="5">
        <v>45414</v>
      </c>
      <c r="X82" s="5">
        <v>45414</v>
      </c>
      <c r="Y82" s="28">
        <f t="shared" si="9"/>
        <v>0</v>
      </c>
      <c r="Z82" s="2">
        <v>0</v>
      </c>
      <c r="AA82" s="2">
        <v>0</v>
      </c>
      <c r="AB82" s="2">
        <v>0</v>
      </c>
      <c r="AC82" s="2">
        <v>0</v>
      </c>
      <c r="AD82" s="2">
        <v>0</v>
      </c>
      <c r="AE82" s="2">
        <v>0</v>
      </c>
      <c r="AF82" s="2">
        <v>0</v>
      </c>
      <c r="AG82" s="2">
        <v>0</v>
      </c>
      <c r="AH82" s="2">
        <v>0</v>
      </c>
      <c r="AI82" s="2">
        <v>1</v>
      </c>
      <c r="AJ82" s="2" t="s">
        <v>68</v>
      </c>
      <c r="AK82" s="2">
        <v>0</v>
      </c>
      <c r="AL82" s="2">
        <v>0</v>
      </c>
      <c r="AM82" s="2">
        <v>1</v>
      </c>
      <c r="AN82" s="2">
        <f t="shared" si="10"/>
        <v>0</v>
      </c>
      <c r="AO82" s="2">
        <f t="shared" si="11"/>
        <v>0</v>
      </c>
      <c r="AP82" s="2">
        <f t="shared" si="12"/>
        <v>1</v>
      </c>
      <c r="AQ82" s="2">
        <v>1</v>
      </c>
      <c r="AR82" s="2">
        <v>0</v>
      </c>
      <c r="AW82" s="2">
        <v>0</v>
      </c>
      <c r="BA82" s="2">
        <v>0</v>
      </c>
      <c r="BB82" s="2">
        <v>0</v>
      </c>
      <c r="BC82" s="2">
        <f t="shared" si="14"/>
        <v>0</v>
      </c>
      <c r="BD82" s="2">
        <f t="shared" si="15"/>
        <v>0</v>
      </c>
      <c r="BE82" s="2">
        <v>0</v>
      </c>
      <c r="BF82" s="2">
        <f t="shared" si="16"/>
        <v>0</v>
      </c>
      <c r="BG82" s="2" t="s">
        <v>206</v>
      </c>
    </row>
    <row r="83" spans="1:59">
      <c r="A83" s="2">
        <v>82</v>
      </c>
      <c r="B83" s="5">
        <v>45411</v>
      </c>
      <c r="C83" s="5">
        <v>45432</v>
      </c>
      <c r="D83" s="2">
        <f t="shared" si="18"/>
        <v>21</v>
      </c>
      <c r="E83" s="2">
        <v>72</v>
      </c>
      <c r="F83" s="2">
        <v>2</v>
      </c>
      <c r="G83" s="2">
        <v>2</v>
      </c>
      <c r="H83" s="2">
        <v>0</v>
      </c>
      <c r="I83" s="2">
        <v>0</v>
      </c>
      <c r="J83" s="2">
        <v>0</v>
      </c>
      <c r="K83" s="2">
        <v>0</v>
      </c>
      <c r="L83" s="2">
        <v>0</v>
      </c>
      <c r="M83" s="2">
        <v>0</v>
      </c>
      <c r="N83" s="2">
        <v>0</v>
      </c>
      <c r="P83" t="s">
        <v>179</v>
      </c>
      <c r="Q83" s="2">
        <v>0</v>
      </c>
      <c r="R83" s="2">
        <v>0</v>
      </c>
      <c r="S83" s="2">
        <v>0</v>
      </c>
      <c r="T83" s="2">
        <v>1</v>
      </c>
      <c r="U83" s="2">
        <v>0</v>
      </c>
      <c r="V83" s="2">
        <v>1</v>
      </c>
      <c r="W83" s="5">
        <v>45417</v>
      </c>
      <c r="X83" s="5">
        <v>45417</v>
      </c>
      <c r="Y83" s="28">
        <f t="shared" si="9"/>
        <v>0</v>
      </c>
      <c r="Z83" s="2">
        <v>0</v>
      </c>
      <c r="AA83" s="2">
        <v>0</v>
      </c>
      <c r="AB83" s="2">
        <v>0</v>
      </c>
      <c r="AC83" s="2">
        <v>0</v>
      </c>
      <c r="AD83" s="2">
        <v>0</v>
      </c>
      <c r="AE83" s="2">
        <v>0</v>
      </c>
      <c r="AF83" s="2">
        <v>0</v>
      </c>
      <c r="AG83" s="2">
        <v>0</v>
      </c>
      <c r="AH83" s="2">
        <v>0</v>
      </c>
      <c r="AI83" s="2">
        <v>1</v>
      </c>
      <c r="AJ83" s="2" t="s">
        <v>91</v>
      </c>
      <c r="AK83" s="2">
        <v>0</v>
      </c>
      <c r="AL83" s="2">
        <v>1</v>
      </c>
      <c r="AM83" s="2">
        <v>1</v>
      </c>
      <c r="AN83" s="2">
        <f t="shared" si="10"/>
        <v>1</v>
      </c>
      <c r="AO83" s="2">
        <f t="shared" si="11"/>
        <v>0</v>
      </c>
      <c r="AP83" s="2">
        <f t="shared" si="12"/>
        <v>0</v>
      </c>
      <c r="AQ83" s="2">
        <v>1</v>
      </c>
      <c r="AR83" s="11">
        <v>1</v>
      </c>
      <c r="AS83" s="5">
        <v>45419</v>
      </c>
      <c r="AT83" s="2">
        <v>0</v>
      </c>
      <c r="AU83" s="2">
        <v>1</v>
      </c>
      <c r="AV83" s="2">
        <f t="shared" si="13"/>
        <v>8</v>
      </c>
      <c r="AW83" s="2">
        <v>0</v>
      </c>
      <c r="BA83" s="2">
        <v>0</v>
      </c>
      <c r="BB83" s="2">
        <v>0</v>
      </c>
      <c r="BC83" s="2">
        <f t="shared" si="14"/>
        <v>0</v>
      </c>
      <c r="BD83" s="2">
        <f t="shared" si="15"/>
        <v>0</v>
      </c>
      <c r="BE83" s="2">
        <v>0</v>
      </c>
      <c r="BF83" s="2">
        <f t="shared" si="16"/>
        <v>0</v>
      </c>
      <c r="BG83" s="2" t="s">
        <v>207</v>
      </c>
    </row>
    <row r="84" spans="1:59">
      <c r="A84" s="2">
        <v>83</v>
      </c>
      <c r="B84" s="5">
        <v>45418</v>
      </c>
      <c r="C84" s="5">
        <v>45421</v>
      </c>
      <c r="D84" s="2">
        <f t="shared" si="18"/>
        <v>3</v>
      </c>
      <c r="E84" s="2">
        <v>72</v>
      </c>
      <c r="F84" s="2">
        <v>2</v>
      </c>
      <c r="G84" s="2">
        <v>5</v>
      </c>
      <c r="H84" s="2">
        <v>0</v>
      </c>
      <c r="I84" s="2">
        <v>0</v>
      </c>
      <c r="J84" s="2">
        <v>0</v>
      </c>
      <c r="K84" s="2">
        <v>0</v>
      </c>
      <c r="L84" s="2">
        <v>0</v>
      </c>
      <c r="M84" s="2">
        <v>0</v>
      </c>
      <c r="N84" s="2">
        <v>0</v>
      </c>
      <c r="P84" t="s">
        <v>179</v>
      </c>
      <c r="Q84" s="2">
        <v>0</v>
      </c>
      <c r="R84" s="2">
        <v>0</v>
      </c>
      <c r="S84" s="2">
        <v>0</v>
      </c>
      <c r="T84" s="2">
        <v>1</v>
      </c>
      <c r="U84" s="2">
        <v>0</v>
      </c>
      <c r="V84" s="2">
        <v>1</v>
      </c>
      <c r="W84" s="5">
        <v>45418</v>
      </c>
      <c r="X84" s="5">
        <v>45418</v>
      </c>
      <c r="Y84" s="28">
        <f t="shared" si="9"/>
        <v>0</v>
      </c>
      <c r="Z84" s="2">
        <v>0</v>
      </c>
      <c r="AA84" s="2">
        <v>0</v>
      </c>
      <c r="AB84" s="2">
        <v>0</v>
      </c>
      <c r="AC84" s="2">
        <v>0</v>
      </c>
      <c r="AD84" s="2">
        <v>0</v>
      </c>
      <c r="AE84" s="2">
        <v>0</v>
      </c>
      <c r="AF84" s="2">
        <v>0</v>
      </c>
      <c r="AG84" s="2">
        <v>0</v>
      </c>
      <c r="AH84" s="2">
        <v>0</v>
      </c>
      <c r="AI84" s="2">
        <v>1</v>
      </c>
      <c r="AJ84" s="2" t="s">
        <v>91</v>
      </c>
      <c r="AK84" s="2">
        <v>0</v>
      </c>
      <c r="AL84" s="2">
        <v>0</v>
      </c>
      <c r="AM84" s="2">
        <v>1</v>
      </c>
      <c r="AN84" s="2">
        <f t="shared" si="10"/>
        <v>0</v>
      </c>
      <c r="AO84" s="2">
        <f t="shared" si="11"/>
        <v>0</v>
      </c>
      <c r="AP84" s="2">
        <f t="shared" si="12"/>
        <v>1</v>
      </c>
      <c r="AQ84" s="2">
        <v>1</v>
      </c>
      <c r="AR84" s="2">
        <v>0</v>
      </c>
      <c r="AW84" s="2">
        <v>0</v>
      </c>
      <c r="BA84" s="2">
        <v>0</v>
      </c>
      <c r="BB84" s="2">
        <v>0</v>
      </c>
      <c r="BC84" s="2">
        <f t="shared" si="14"/>
        <v>0</v>
      </c>
      <c r="BD84" s="2">
        <f t="shared" si="15"/>
        <v>0</v>
      </c>
      <c r="BE84" s="2">
        <v>0</v>
      </c>
      <c r="BF84" s="2">
        <f t="shared" si="16"/>
        <v>0</v>
      </c>
      <c r="BG84" s="2" t="s">
        <v>206</v>
      </c>
    </row>
    <row r="85" spans="1:59">
      <c r="A85" s="2">
        <v>84</v>
      </c>
      <c r="B85" s="5">
        <v>45418</v>
      </c>
      <c r="C85" s="5">
        <v>45422</v>
      </c>
      <c r="D85" s="2">
        <f t="shared" si="18"/>
        <v>4</v>
      </c>
      <c r="E85" s="2">
        <v>42</v>
      </c>
      <c r="F85" s="2">
        <v>1</v>
      </c>
      <c r="G85" s="2">
        <v>2</v>
      </c>
      <c r="H85" s="2">
        <v>0</v>
      </c>
      <c r="I85" s="2">
        <v>0</v>
      </c>
      <c r="J85" s="2">
        <v>0</v>
      </c>
      <c r="K85" s="2">
        <v>0</v>
      </c>
      <c r="L85" s="2">
        <v>0</v>
      </c>
      <c r="M85" s="2">
        <v>0</v>
      </c>
      <c r="N85" s="2">
        <v>0</v>
      </c>
      <c r="P85" t="s">
        <v>179</v>
      </c>
      <c r="Q85" s="2">
        <v>0</v>
      </c>
      <c r="R85" s="2">
        <v>0</v>
      </c>
      <c r="S85" s="2">
        <v>0</v>
      </c>
      <c r="T85" s="2">
        <v>1</v>
      </c>
      <c r="U85" s="2">
        <v>0</v>
      </c>
      <c r="V85" s="2">
        <v>1</v>
      </c>
      <c r="W85" s="5">
        <v>45418</v>
      </c>
      <c r="X85" s="5">
        <v>45418</v>
      </c>
      <c r="Y85" s="28">
        <f t="shared" si="9"/>
        <v>0</v>
      </c>
      <c r="Z85" s="2">
        <v>0</v>
      </c>
      <c r="AA85" s="2">
        <v>0</v>
      </c>
      <c r="AB85" s="2">
        <v>0</v>
      </c>
      <c r="AC85" s="2">
        <v>0</v>
      </c>
      <c r="AD85" s="2">
        <v>0</v>
      </c>
      <c r="AE85" s="2">
        <v>0</v>
      </c>
      <c r="AF85" s="2">
        <v>0</v>
      </c>
      <c r="AG85" s="2">
        <v>0</v>
      </c>
      <c r="AH85" s="2">
        <v>0</v>
      </c>
      <c r="AI85" s="2">
        <v>1</v>
      </c>
      <c r="AJ85" s="2" t="s">
        <v>68</v>
      </c>
      <c r="AK85" s="2">
        <v>0</v>
      </c>
      <c r="AL85" s="2">
        <v>0</v>
      </c>
      <c r="AM85" s="2">
        <v>1</v>
      </c>
      <c r="AN85" s="2">
        <f t="shared" si="10"/>
        <v>0</v>
      </c>
      <c r="AO85" s="2">
        <f t="shared" si="11"/>
        <v>0</v>
      </c>
      <c r="AP85" s="2">
        <f t="shared" si="12"/>
        <v>1</v>
      </c>
      <c r="AQ85" s="2">
        <v>1</v>
      </c>
      <c r="AR85" s="2">
        <v>0</v>
      </c>
      <c r="AW85" s="2">
        <v>0</v>
      </c>
      <c r="BA85" s="2">
        <v>0</v>
      </c>
      <c r="BB85" s="2">
        <v>0</v>
      </c>
      <c r="BC85" s="2">
        <f t="shared" si="14"/>
        <v>0</v>
      </c>
      <c r="BD85" s="2">
        <f t="shared" si="15"/>
        <v>0</v>
      </c>
      <c r="BE85" s="2">
        <v>0</v>
      </c>
      <c r="BF85" s="2">
        <f t="shared" si="16"/>
        <v>0</v>
      </c>
      <c r="BG85" s="2" t="s">
        <v>206</v>
      </c>
    </row>
    <row r="86" spans="1:59">
      <c r="A86" s="2">
        <v>85</v>
      </c>
      <c r="B86" s="5">
        <v>45419</v>
      </c>
      <c r="C86" s="5">
        <v>45436</v>
      </c>
      <c r="D86" s="2">
        <f t="shared" si="18"/>
        <v>17</v>
      </c>
      <c r="E86" s="2">
        <v>57</v>
      </c>
      <c r="F86" s="2">
        <v>1</v>
      </c>
      <c r="G86" s="2">
        <v>2</v>
      </c>
      <c r="H86" s="2">
        <v>0</v>
      </c>
      <c r="I86" s="2">
        <v>0</v>
      </c>
      <c r="J86" s="2">
        <v>0</v>
      </c>
      <c r="K86" s="2">
        <v>0</v>
      </c>
      <c r="L86" s="2">
        <v>0</v>
      </c>
      <c r="M86" s="2">
        <v>0</v>
      </c>
      <c r="N86" s="2">
        <v>0</v>
      </c>
      <c r="P86" t="s">
        <v>208</v>
      </c>
      <c r="Q86" s="2">
        <v>0</v>
      </c>
      <c r="R86" s="2">
        <v>0</v>
      </c>
      <c r="S86" s="2">
        <v>0</v>
      </c>
      <c r="T86" s="2">
        <v>1</v>
      </c>
      <c r="U86" s="2">
        <v>0</v>
      </c>
      <c r="V86" s="2">
        <v>1</v>
      </c>
      <c r="W86" s="5">
        <v>45419</v>
      </c>
      <c r="X86" s="5">
        <v>45419</v>
      </c>
      <c r="Y86" s="28">
        <f t="shared" si="9"/>
        <v>0</v>
      </c>
      <c r="Z86" s="2">
        <v>0</v>
      </c>
      <c r="AA86" s="2">
        <v>0</v>
      </c>
      <c r="AB86" s="2">
        <v>0</v>
      </c>
      <c r="AC86" s="2">
        <v>0</v>
      </c>
      <c r="AD86" s="2">
        <v>0</v>
      </c>
      <c r="AE86" s="2">
        <v>0</v>
      </c>
      <c r="AF86" s="2">
        <v>0</v>
      </c>
      <c r="AG86" s="2">
        <v>0</v>
      </c>
      <c r="AH86" s="2">
        <v>0</v>
      </c>
      <c r="AI86" s="2">
        <v>1</v>
      </c>
      <c r="AJ86" s="2" t="s">
        <v>209</v>
      </c>
      <c r="AK86" s="11">
        <v>1</v>
      </c>
      <c r="AL86" s="2">
        <v>1</v>
      </c>
      <c r="AM86" s="2">
        <v>0</v>
      </c>
      <c r="AN86" s="2">
        <f t="shared" si="10"/>
        <v>0</v>
      </c>
      <c r="AO86" s="2">
        <f t="shared" si="11"/>
        <v>1</v>
      </c>
      <c r="AP86" s="2">
        <f t="shared" si="12"/>
        <v>0</v>
      </c>
      <c r="AQ86" s="2">
        <v>0</v>
      </c>
      <c r="AR86" s="2">
        <v>1</v>
      </c>
      <c r="AS86" s="5">
        <v>45432</v>
      </c>
      <c r="AT86" s="2">
        <v>0</v>
      </c>
      <c r="AU86" s="2">
        <v>0</v>
      </c>
      <c r="AV86" s="2">
        <f t="shared" si="13"/>
        <v>13</v>
      </c>
      <c r="AW86" s="2">
        <v>0</v>
      </c>
      <c r="BA86" s="2">
        <v>0</v>
      </c>
      <c r="BB86" s="2">
        <v>0</v>
      </c>
      <c r="BC86" s="2">
        <f t="shared" si="14"/>
        <v>0</v>
      </c>
      <c r="BD86" s="2">
        <f t="shared" si="15"/>
        <v>0</v>
      </c>
      <c r="BE86" s="2">
        <v>0</v>
      </c>
      <c r="BF86" s="2">
        <f t="shared" si="16"/>
        <v>0</v>
      </c>
      <c r="BG86" s="2" t="s">
        <v>210</v>
      </c>
    </row>
    <row r="87" spans="1:59">
      <c r="A87" s="2">
        <v>86</v>
      </c>
      <c r="B87" s="5">
        <v>45421</v>
      </c>
      <c r="C87" s="5">
        <v>45443</v>
      </c>
      <c r="D87" s="2">
        <f t="shared" si="18"/>
        <v>22</v>
      </c>
      <c r="E87" s="2">
        <v>57</v>
      </c>
      <c r="F87" s="2">
        <v>2</v>
      </c>
      <c r="G87" s="2">
        <v>2</v>
      </c>
      <c r="H87" s="2">
        <v>0</v>
      </c>
      <c r="I87" s="2">
        <v>0</v>
      </c>
      <c r="J87" s="2">
        <v>0</v>
      </c>
      <c r="K87" s="2">
        <v>0</v>
      </c>
      <c r="L87" s="2">
        <v>0</v>
      </c>
      <c r="M87" s="2">
        <v>0</v>
      </c>
      <c r="N87" s="2">
        <v>0</v>
      </c>
      <c r="P87" t="s">
        <v>179</v>
      </c>
      <c r="Q87" s="2">
        <v>0</v>
      </c>
      <c r="R87" s="2">
        <v>0</v>
      </c>
      <c r="S87" s="2">
        <v>0</v>
      </c>
      <c r="T87" s="2">
        <v>1</v>
      </c>
      <c r="U87" s="2">
        <v>0</v>
      </c>
      <c r="V87" s="2">
        <v>1</v>
      </c>
      <c r="W87" s="5">
        <v>45421</v>
      </c>
      <c r="X87" s="5">
        <v>45421</v>
      </c>
      <c r="Y87" s="28">
        <f t="shared" si="9"/>
        <v>0</v>
      </c>
      <c r="Z87" s="2">
        <v>0</v>
      </c>
      <c r="AA87" s="2">
        <v>0</v>
      </c>
      <c r="AB87" s="2">
        <v>0</v>
      </c>
      <c r="AC87" s="2">
        <v>0</v>
      </c>
      <c r="AD87" s="2">
        <v>0</v>
      </c>
      <c r="AE87" s="2">
        <v>0</v>
      </c>
      <c r="AF87" s="2">
        <v>0</v>
      </c>
      <c r="AG87" s="2">
        <v>0</v>
      </c>
      <c r="AH87" s="2">
        <v>0</v>
      </c>
      <c r="AI87" s="2">
        <v>1</v>
      </c>
      <c r="AJ87" s="2" t="s">
        <v>91</v>
      </c>
      <c r="AK87" s="2">
        <v>0</v>
      </c>
      <c r="AL87" s="2">
        <v>1</v>
      </c>
      <c r="AM87" s="2">
        <v>0</v>
      </c>
      <c r="AN87" s="2">
        <f t="shared" si="10"/>
        <v>0</v>
      </c>
      <c r="AO87" s="2">
        <f t="shared" si="11"/>
        <v>1</v>
      </c>
      <c r="AP87" s="2">
        <f t="shared" si="12"/>
        <v>0</v>
      </c>
      <c r="AQ87" s="2">
        <v>1</v>
      </c>
      <c r="AR87" s="2">
        <v>1</v>
      </c>
      <c r="AS87" s="5">
        <v>45427</v>
      </c>
      <c r="AT87" s="2">
        <v>0</v>
      </c>
      <c r="AU87" s="2">
        <v>0</v>
      </c>
      <c r="AV87" s="2">
        <f t="shared" si="13"/>
        <v>6</v>
      </c>
      <c r="AW87" s="2">
        <v>0</v>
      </c>
      <c r="BA87" s="2">
        <v>0</v>
      </c>
      <c r="BB87" s="2">
        <v>0</v>
      </c>
      <c r="BC87" s="2">
        <f t="shared" si="14"/>
        <v>0</v>
      </c>
      <c r="BD87" s="2">
        <f t="shared" si="15"/>
        <v>0</v>
      </c>
      <c r="BE87" s="2">
        <v>1</v>
      </c>
      <c r="BF87" s="2">
        <f t="shared" si="16"/>
        <v>0</v>
      </c>
      <c r="BG87" s="2" t="s">
        <v>206</v>
      </c>
    </row>
    <row r="88" spans="1:59">
      <c r="A88" s="2">
        <v>87</v>
      </c>
      <c r="B88" s="5">
        <v>45421</v>
      </c>
      <c r="C88" s="5">
        <v>45425</v>
      </c>
      <c r="D88" s="2">
        <f t="shared" si="18"/>
        <v>4</v>
      </c>
      <c r="E88" s="2">
        <v>74</v>
      </c>
      <c r="F88" s="2">
        <v>1</v>
      </c>
      <c r="G88" s="2">
        <v>2</v>
      </c>
      <c r="H88" s="2">
        <v>0</v>
      </c>
      <c r="I88" s="2">
        <v>0</v>
      </c>
      <c r="J88" s="2">
        <v>0</v>
      </c>
      <c r="K88" s="2">
        <v>0</v>
      </c>
      <c r="L88" s="2">
        <v>0</v>
      </c>
      <c r="M88" s="2">
        <v>0</v>
      </c>
      <c r="N88" s="2">
        <v>0</v>
      </c>
      <c r="P88" t="s">
        <v>179</v>
      </c>
      <c r="Q88" s="2">
        <v>0</v>
      </c>
      <c r="R88" s="2">
        <v>0</v>
      </c>
      <c r="S88" s="2">
        <v>0</v>
      </c>
      <c r="T88" s="2">
        <v>1</v>
      </c>
      <c r="U88" s="2">
        <v>0</v>
      </c>
      <c r="V88" s="2">
        <v>1</v>
      </c>
      <c r="W88" s="5">
        <v>45421</v>
      </c>
      <c r="X88" s="5">
        <v>45421</v>
      </c>
      <c r="Y88" s="28">
        <f t="shared" si="9"/>
        <v>0</v>
      </c>
      <c r="Z88" s="2">
        <v>0</v>
      </c>
      <c r="AA88" s="2">
        <v>0</v>
      </c>
      <c r="AB88" s="2">
        <v>0</v>
      </c>
      <c r="AC88" s="2">
        <v>0</v>
      </c>
      <c r="AD88" s="2">
        <v>0</v>
      </c>
      <c r="AE88" s="2">
        <v>0</v>
      </c>
      <c r="AF88" s="2">
        <v>0</v>
      </c>
      <c r="AG88" s="2">
        <v>0</v>
      </c>
      <c r="AH88" s="2">
        <v>0</v>
      </c>
      <c r="AI88" s="2">
        <v>0</v>
      </c>
      <c r="AK88" s="2">
        <v>0</v>
      </c>
      <c r="AL88" s="2">
        <v>0</v>
      </c>
      <c r="AM88" s="2">
        <v>1</v>
      </c>
      <c r="AN88" s="2">
        <f t="shared" si="10"/>
        <v>0</v>
      </c>
      <c r="AO88" s="2">
        <f t="shared" si="11"/>
        <v>0</v>
      </c>
      <c r="AP88" s="2">
        <f t="shared" si="12"/>
        <v>1</v>
      </c>
      <c r="AQ88" s="2">
        <v>1</v>
      </c>
      <c r="AR88" s="2">
        <v>0</v>
      </c>
      <c r="AW88" s="2">
        <v>0</v>
      </c>
      <c r="BA88" s="2">
        <v>0</v>
      </c>
      <c r="BB88" s="2">
        <v>0</v>
      </c>
      <c r="BC88" s="2">
        <f t="shared" si="14"/>
        <v>0</v>
      </c>
      <c r="BD88" s="2">
        <f t="shared" si="15"/>
        <v>0</v>
      </c>
      <c r="BE88" s="2">
        <v>0</v>
      </c>
      <c r="BF88" s="2">
        <f t="shared" si="16"/>
        <v>0</v>
      </c>
      <c r="BG88" s="2" t="s">
        <v>206</v>
      </c>
    </row>
    <row r="89" spans="1:59">
      <c r="A89" s="2">
        <v>88</v>
      </c>
      <c r="B89" s="5">
        <v>45423</v>
      </c>
      <c r="C89" s="5">
        <v>45427</v>
      </c>
      <c r="D89" s="2">
        <f t="shared" si="18"/>
        <v>4</v>
      </c>
      <c r="E89" s="2">
        <v>90</v>
      </c>
      <c r="F89" s="2">
        <v>2</v>
      </c>
      <c r="G89" s="2">
        <v>2</v>
      </c>
      <c r="H89" s="2">
        <v>1</v>
      </c>
      <c r="I89" s="2">
        <v>0</v>
      </c>
      <c r="J89" s="2">
        <v>1</v>
      </c>
      <c r="K89" s="2">
        <v>0</v>
      </c>
      <c r="L89" s="2">
        <v>0</v>
      </c>
      <c r="M89" s="2">
        <v>0</v>
      </c>
      <c r="N89" s="2">
        <v>1</v>
      </c>
      <c r="O89" s="2" t="s">
        <v>211</v>
      </c>
      <c r="P89" t="s">
        <v>179</v>
      </c>
      <c r="Q89" s="2">
        <v>0</v>
      </c>
      <c r="R89" s="2">
        <v>0</v>
      </c>
      <c r="S89" s="2">
        <v>0</v>
      </c>
      <c r="T89" s="2">
        <v>1</v>
      </c>
      <c r="U89" s="2">
        <v>0</v>
      </c>
      <c r="V89" s="2">
        <v>1</v>
      </c>
      <c r="W89" s="5">
        <v>45423</v>
      </c>
      <c r="X89" s="5">
        <v>45423</v>
      </c>
      <c r="Y89" s="28">
        <f t="shared" si="9"/>
        <v>0</v>
      </c>
      <c r="Z89" s="2">
        <v>0</v>
      </c>
      <c r="AA89" s="2">
        <v>0</v>
      </c>
      <c r="AB89" s="2">
        <v>0</v>
      </c>
      <c r="AC89" s="2">
        <v>0</v>
      </c>
      <c r="AD89" s="2">
        <v>0</v>
      </c>
      <c r="AE89" s="2">
        <v>0</v>
      </c>
      <c r="AF89" s="2">
        <v>0</v>
      </c>
      <c r="AG89" s="2">
        <v>0</v>
      </c>
      <c r="AH89" s="2">
        <v>0</v>
      </c>
      <c r="AI89" s="2">
        <v>0</v>
      </c>
      <c r="AK89" s="2">
        <v>0</v>
      </c>
      <c r="AL89" s="2">
        <v>0</v>
      </c>
      <c r="AM89" s="2">
        <v>1</v>
      </c>
      <c r="AN89" s="2">
        <f t="shared" si="10"/>
        <v>0</v>
      </c>
      <c r="AO89" s="2">
        <f t="shared" si="11"/>
        <v>0</v>
      </c>
      <c r="AP89" s="2">
        <f t="shared" si="12"/>
        <v>1</v>
      </c>
      <c r="AQ89" s="2">
        <v>1</v>
      </c>
      <c r="AR89" s="11">
        <v>1</v>
      </c>
      <c r="AS89" s="5">
        <v>45427</v>
      </c>
      <c r="AT89" s="2">
        <v>0</v>
      </c>
      <c r="AU89" s="2">
        <v>1</v>
      </c>
      <c r="AV89" s="2">
        <f t="shared" si="13"/>
        <v>4</v>
      </c>
      <c r="AW89" s="2">
        <v>0</v>
      </c>
      <c r="BA89" s="2">
        <v>0</v>
      </c>
      <c r="BB89" s="2">
        <v>0</v>
      </c>
      <c r="BC89" s="2">
        <v>0</v>
      </c>
      <c r="BD89" s="2">
        <f t="shared" si="15"/>
        <v>1</v>
      </c>
      <c r="BE89" s="2">
        <v>0</v>
      </c>
      <c r="BF89" s="2">
        <f t="shared" si="16"/>
        <v>0</v>
      </c>
      <c r="BG89" s="2" t="s">
        <v>212</v>
      </c>
    </row>
    <row r="90" spans="1:59">
      <c r="A90" s="2">
        <v>89</v>
      </c>
      <c r="B90" s="5">
        <v>45423</v>
      </c>
      <c r="C90" s="5">
        <v>45426</v>
      </c>
      <c r="D90" s="2">
        <f t="shared" si="18"/>
        <v>3</v>
      </c>
      <c r="E90" s="2">
        <v>83</v>
      </c>
      <c r="F90" s="2">
        <v>1</v>
      </c>
      <c r="G90" s="2">
        <v>2</v>
      </c>
      <c r="H90" s="2">
        <v>1</v>
      </c>
      <c r="I90" s="2">
        <v>0</v>
      </c>
      <c r="J90" s="2">
        <v>0</v>
      </c>
      <c r="K90" s="2">
        <v>0</v>
      </c>
      <c r="L90" s="2">
        <v>0</v>
      </c>
      <c r="M90" s="2">
        <v>0</v>
      </c>
      <c r="N90" s="2">
        <v>1</v>
      </c>
      <c r="O90" s="2" t="s">
        <v>192</v>
      </c>
      <c r="P90" t="s">
        <v>179</v>
      </c>
      <c r="Q90" s="2">
        <v>0</v>
      </c>
      <c r="R90" s="2">
        <v>0</v>
      </c>
      <c r="S90" s="2">
        <v>0</v>
      </c>
      <c r="T90" s="2">
        <v>1</v>
      </c>
      <c r="U90" s="2">
        <v>0</v>
      </c>
      <c r="V90" s="2">
        <v>1</v>
      </c>
      <c r="W90" s="5">
        <v>45423</v>
      </c>
      <c r="X90" s="5">
        <v>45423</v>
      </c>
      <c r="Y90" s="28">
        <f t="shared" si="9"/>
        <v>0</v>
      </c>
      <c r="Z90" s="2">
        <v>0</v>
      </c>
      <c r="AA90" s="2">
        <v>0</v>
      </c>
      <c r="AB90" s="2">
        <v>0</v>
      </c>
      <c r="AC90" s="2">
        <v>0</v>
      </c>
      <c r="AD90" s="2">
        <v>0</v>
      </c>
      <c r="AE90" s="2">
        <v>0</v>
      </c>
      <c r="AF90" s="2">
        <v>0</v>
      </c>
      <c r="AG90" s="2">
        <v>0</v>
      </c>
      <c r="AH90" s="2">
        <v>0</v>
      </c>
      <c r="AI90" s="2">
        <v>1</v>
      </c>
      <c r="AJ90" s="2" t="s">
        <v>91</v>
      </c>
      <c r="AK90" s="2">
        <v>0</v>
      </c>
      <c r="AL90" s="2">
        <v>0</v>
      </c>
      <c r="AM90" s="2">
        <v>1</v>
      </c>
      <c r="AN90" s="2">
        <f t="shared" si="10"/>
        <v>0</v>
      </c>
      <c r="AO90" s="2">
        <f t="shared" si="11"/>
        <v>0</v>
      </c>
      <c r="AP90" s="2">
        <f t="shared" si="12"/>
        <v>1</v>
      </c>
      <c r="AQ90" s="2">
        <v>1</v>
      </c>
      <c r="AR90" s="2">
        <v>1</v>
      </c>
      <c r="AS90" s="5">
        <v>45426</v>
      </c>
      <c r="AT90" s="2">
        <v>0</v>
      </c>
      <c r="AU90" s="2">
        <v>0</v>
      </c>
      <c r="AV90" s="2">
        <f t="shared" si="13"/>
        <v>3</v>
      </c>
      <c r="AW90" s="2">
        <v>0</v>
      </c>
      <c r="BA90" s="2">
        <v>0</v>
      </c>
      <c r="BB90" s="2">
        <v>0</v>
      </c>
      <c r="BC90" s="2">
        <f t="shared" si="14"/>
        <v>0</v>
      </c>
      <c r="BD90" s="2">
        <f t="shared" si="15"/>
        <v>0</v>
      </c>
      <c r="BE90" s="2">
        <v>0</v>
      </c>
      <c r="BF90" s="2">
        <f t="shared" si="16"/>
        <v>0</v>
      </c>
      <c r="BG90" s="2" t="s">
        <v>206</v>
      </c>
    </row>
    <row r="91" spans="1:59">
      <c r="A91" s="2">
        <v>90</v>
      </c>
      <c r="B91" s="5">
        <v>45425</v>
      </c>
      <c r="C91" s="5">
        <v>45436</v>
      </c>
      <c r="D91" s="2">
        <f t="shared" si="18"/>
        <v>11</v>
      </c>
      <c r="E91" s="2">
        <v>62</v>
      </c>
      <c r="F91" s="2">
        <v>2</v>
      </c>
      <c r="G91" s="2">
        <v>2</v>
      </c>
      <c r="H91" s="2">
        <v>0</v>
      </c>
      <c r="I91" s="2">
        <v>0</v>
      </c>
      <c r="J91" s="2">
        <v>0</v>
      </c>
      <c r="K91" s="2">
        <v>0</v>
      </c>
      <c r="L91" s="2">
        <v>0</v>
      </c>
      <c r="M91" s="2">
        <v>0</v>
      </c>
      <c r="N91" s="2">
        <v>0</v>
      </c>
      <c r="P91" t="s">
        <v>179</v>
      </c>
      <c r="Q91" s="2">
        <v>0</v>
      </c>
      <c r="R91" s="2">
        <v>0</v>
      </c>
      <c r="S91" s="2">
        <v>0</v>
      </c>
      <c r="T91" s="2">
        <v>1</v>
      </c>
      <c r="U91" s="2">
        <v>0</v>
      </c>
      <c r="V91" s="2">
        <v>1</v>
      </c>
      <c r="W91" s="5">
        <v>45425</v>
      </c>
      <c r="X91" s="5">
        <v>45425</v>
      </c>
      <c r="Y91" s="28">
        <f t="shared" si="9"/>
        <v>0</v>
      </c>
      <c r="Z91" s="2">
        <v>0</v>
      </c>
      <c r="AA91" s="2">
        <v>0</v>
      </c>
      <c r="AB91" s="2">
        <v>0</v>
      </c>
      <c r="AC91" s="2">
        <v>0</v>
      </c>
      <c r="AD91" s="2">
        <v>0</v>
      </c>
      <c r="AE91" s="2">
        <v>0</v>
      </c>
      <c r="AF91" s="2">
        <v>0</v>
      </c>
      <c r="AG91" s="2">
        <v>0</v>
      </c>
      <c r="AH91" s="2">
        <v>0</v>
      </c>
      <c r="AI91" s="2">
        <v>1</v>
      </c>
      <c r="AJ91" s="2" t="s">
        <v>91</v>
      </c>
      <c r="AK91" s="2">
        <v>0</v>
      </c>
      <c r="AL91" s="2">
        <v>0</v>
      </c>
      <c r="AM91" s="2">
        <v>1</v>
      </c>
      <c r="AN91" s="2">
        <f t="shared" si="10"/>
        <v>0</v>
      </c>
      <c r="AO91" s="2">
        <f t="shared" si="11"/>
        <v>0</v>
      </c>
      <c r="AP91" s="2">
        <f t="shared" si="12"/>
        <v>1</v>
      </c>
      <c r="AQ91" s="2">
        <v>1</v>
      </c>
      <c r="AR91" s="2">
        <v>0</v>
      </c>
      <c r="AW91" s="2">
        <v>0</v>
      </c>
      <c r="BA91" s="2">
        <v>0</v>
      </c>
      <c r="BB91" s="2">
        <v>0</v>
      </c>
      <c r="BC91" s="2">
        <f t="shared" si="14"/>
        <v>0</v>
      </c>
      <c r="BD91" s="2">
        <f t="shared" si="15"/>
        <v>0</v>
      </c>
      <c r="BE91" s="2">
        <v>0</v>
      </c>
      <c r="BF91" s="2">
        <f t="shared" si="16"/>
        <v>0</v>
      </c>
      <c r="BG91" s="2" t="s">
        <v>206</v>
      </c>
    </row>
    <row r="92" spans="1:59">
      <c r="A92" s="2">
        <v>91</v>
      </c>
      <c r="B92" s="5">
        <v>45425</v>
      </c>
      <c r="C92" s="5">
        <v>45430</v>
      </c>
      <c r="D92" s="2">
        <f t="shared" si="18"/>
        <v>5</v>
      </c>
      <c r="E92" s="2">
        <v>94</v>
      </c>
      <c r="F92" s="2">
        <v>2</v>
      </c>
      <c r="G92" s="2">
        <v>2</v>
      </c>
      <c r="H92" s="2">
        <v>0</v>
      </c>
      <c r="I92" s="2">
        <v>0</v>
      </c>
      <c r="J92" s="2">
        <v>0</v>
      </c>
      <c r="K92" s="2">
        <v>0</v>
      </c>
      <c r="L92" s="2">
        <v>0</v>
      </c>
      <c r="M92" s="2">
        <v>0</v>
      </c>
      <c r="N92" s="2">
        <v>0</v>
      </c>
      <c r="P92" t="s">
        <v>179</v>
      </c>
      <c r="Q92" s="2">
        <v>0</v>
      </c>
      <c r="R92" s="2">
        <v>0</v>
      </c>
      <c r="S92" s="2">
        <v>0</v>
      </c>
      <c r="T92" s="2">
        <v>1</v>
      </c>
      <c r="U92" s="2">
        <v>0</v>
      </c>
      <c r="V92" s="2">
        <v>1</v>
      </c>
      <c r="W92" s="5">
        <v>45425</v>
      </c>
      <c r="X92" s="5">
        <v>45425</v>
      </c>
      <c r="Y92" s="28">
        <f t="shared" si="9"/>
        <v>0</v>
      </c>
      <c r="Z92" s="2">
        <v>0</v>
      </c>
      <c r="AA92" s="2">
        <v>0</v>
      </c>
      <c r="AB92" s="2">
        <v>0</v>
      </c>
      <c r="AC92" s="2">
        <v>0</v>
      </c>
      <c r="AD92" s="2">
        <v>0</v>
      </c>
      <c r="AE92" s="2">
        <v>0</v>
      </c>
      <c r="AF92" s="2">
        <v>0</v>
      </c>
      <c r="AG92" s="2">
        <v>0</v>
      </c>
      <c r="AH92" s="2">
        <v>0</v>
      </c>
      <c r="AI92" s="2">
        <v>1</v>
      </c>
      <c r="AJ92" s="2" t="s">
        <v>117</v>
      </c>
      <c r="AK92" s="2">
        <v>0</v>
      </c>
      <c r="AL92" s="2">
        <v>0</v>
      </c>
      <c r="AM92" s="2">
        <v>1</v>
      </c>
      <c r="AN92" s="2">
        <f t="shared" si="10"/>
        <v>0</v>
      </c>
      <c r="AO92" s="2">
        <f t="shared" si="11"/>
        <v>0</v>
      </c>
      <c r="AP92" s="2">
        <f t="shared" si="12"/>
        <v>1</v>
      </c>
      <c r="AQ92" s="2">
        <v>1</v>
      </c>
      <c r="AR92" s="11">
        <v>1</v>
      </c>
      <c r="AS92" s="5">
        <v>45426</v>
      </c>
      <c r="AT92" s="2">
        <v>0</v>
      </c>
      <c r="AU92" s="2">
        <v>0</v>
      </c>
      <c r="AV92" s="2">
        <f t="shared" si="13"/>
        <v>1</v>
      </c>
      <c r="AW92" s="2">
        <v>0</v>
      </c>
      <c r="BA92" s="2">
        <v>0</v>
      </c>
      <c r="BB92" s="2">
        <v>0</v>
      </c>
      <c r="BC92" s="2">
        <f t="shared" si="14"/>
        <v>0</v>
      </c>
      <c r="BD92" s="2">
        <f t="shared" si="15"/>
        <v>0</v>
      </c>
      <c r="BE92" s="2">
        <v>0</v>
      </c>
      <c r="BF92" s="2">
        <f t="shared" si="16"/>
        <v>0</v>
      </c>
      <c r="BG92" s="2" t="s">
        <v>206</v>
      </c>
    </row>
    <row r="93" spans="1:59">
      <c r="A93" s="2">
        <v>92</v>
      </c>
      <c r="B93" s="5">
        <v>45427</v>
      </c>
      <c r="C93" s="5">
        <v>45430</v>
      </c>
      <c r="D93" s="2">
        <f t="shared" si="18"/>
        <v>3</v>
      </c>
      <c r="E93" s="2">
        <v>79</v>
      </c>
      <c r="F93" s="2">
        <v>1</v>
      </c>
      <c r="G93" s="2">
        <v>4</v>
      </c>
      <c r="H93" s="2">
        <v>1</v>
      </c>
      <c r="I93" s="2">
        <v>0</v>
      </c>
      <c r="J93" s="2">
        <v>0</v>
      </c>
      <c r="K93" s="2">
        <v>0</v>
      </c>
      <c r="L93" s="2">
        <v>0</v>
      </c>
      <c r="M93" s="2">
        <v>0</v>
      </c>
      <c r="N93" s="2">
        <v>1</v>
      </c>
      <c r="O93" s="2" t="s">
        <v>213</v>
      </c>
      <c r="P93" t="s">
        <v>195</v>
      </c>
      <c r="Q93" s="2">
        <v>0</v>
      </c>
      <c r="R93" s="2">
        <v>0</v>
      </c>
      <c r="S93" s="2">
        <v>0</v>
      </c>
      <c r="T93" s="2">
        <v>1</v>
      </c>
      <c r="U93" s="2">
        <v>0</v>
      </c>
      <c r="V93" s="2">
        <v>1</v>
      </c>
      <c r="W93" s="5">
        <v>45427</v>
      </c>
      <c r="X93" s="5">
        <v>45427</v>
      </c>
      <c r="Y93" s="28">
        <f t="shared" si="9"/>
        <v>0</v>
      </c>
      <c r="Z93" s="2">
        <v>0</v>
      </c>
      <c r="AA93" s="2">
        <v>0</v>
      </c>
      <c r="AB93" s="2">
        <v>0</v>
      </c>
      <c r="AC93" s="2">
        <v>0</v>
      </c>
      <c r="AD93" s="2">
        <v>0</v>
      </c>
      <c r="AE93" s="2">
        <v>0</v>
      </c>
      <c r="AF93" s="2">
        <v>0</v>
      </c>
      <c r="AG93" s="2">
        <v>0</v>
      </c>
      <c r="AH93" s="2">
        <v>0</v>
      </c>
      <c r="AI93" s="2">
        <v>1</v>
      </c>
      <c r="AJ93" s="2" t="s">
        <v>214</v>
      </c>
      <c r="AK93" s="2">
        <v>0</v>
      </c>
      <c r="AL93" s="2">
        <v>0</v>
      </c>
      <c r="AM93" s="2">
        <v>1</v>
      </c>
      <c r="AN93" s="2">
        <f t="shared" si="10"/>
        <v>0</v>
      </c>
      <c r="AO93" s="2">
        <f t="shared" si="11"/>
        <v>0</v>
      </c>
      <c r="AP93" s="2">
        <f t="shared" si="12"/>
        <v>1</v>
      </c>
      <c r="AQ93" s="2">
        <v>1</v>
      </c>
      <c r="AR93" s="2">
        <v>1</v>
      </c>
      <c r="AS93" s="5">
        <v>45429</v>
      </c>
      <c r="AT93" s="2">
        <v>0</v>
      </c>
      <c r="AU93" s="2">
        <v>0</v>
      </c>
      <c r="AV93" s="2">
        <f t="shared" si="13"/>
        <v>2</v>
      </c>
      <c r="AW93" s="2">
        <v>0</v>
      </c>
      <c r="BA93" s="2">
        <v>0</v>
      </c>
      <c r="BB93" s="2">
        <v>0</v>
      </c>
      <c r="BC93" s="2">
        <f t="shared" si="14"/>
        <v>0</v>
      </c>
      <c r="BD93" s="2">
        <f t="shared" si="15"/>
        <v>0</v>
      </c>
      <c r="BE93" s="2">
        <v>0</v>
      </c>
      <c r="BF93" s="2">
        <f t="shared" si="16"/>
        <v>0</v>
      </c>
      <c r="BG93" s="2" t="s">
        <v>206</v>
      </c>
    </row>
    <row r="94" spans="1:59">
      <c r="A94" s="2">
        <v>93</v>
      </c>
      <c r="B94" s="5">
        <v>45430</v>
      </c>
      <c r="C94" s="5">
        <v>45439</v>
      </c>
      <c r="D94" s="2">
        <f t="shared" si="18"/>
        <v>9</v>
      </c>
      <c r="E94" s="2">
        <v>45</v>
      </c>
      <c r="F94" s="2">
        <v>2</v>
      </c>
      <c r="G94" s="2">
        <v>2</v>
      </c>
      <c r="H94" s="2">
        <v>0</v>
      </c>
      <c r="I94" s="2">
        <v>0</v>
      </c>
      <c r="J94" s="2">
        <v>0</v>
      </c>
      <c r="K94" s="2">
        <v>0</v>
      </c>
      <c r="L94" s="2">
        <v>0</v>
      </c>
      <c r="M94" s="2">
        <v>0</v>
      </c>
      <c r="N94" s="2">
        <v>0</v>
      </c>
      <c r="P94" t="s">
        <v>215</v>
      </c>
      <c r="Q94" s="2">
        <v>0</v>
      </c>
      <c r="R94" s="2">
        <v>0</v>
      </c>
      <c r="S94" s="2">
        <v>0</v>
      </c>
      <c r="T94" s="2">
        <v>1</v>
      </c>
      <c r="U94" s="2">
        <v>0</v>
      </c>
      <c r="V94" s="2">
        <v>1</v>
      </c>
      <c r="W94" s="5">
        <v>45430</v>
      </c>
      <c r="X94" s="5">
        <v>45430</v>
      </c>
      <c r="Y94" s="28">
        <f t="shared" si="9"/>
        <v>0</v>
      </c>
      <c r="Z94" s="2">
        <v>0</v>
      </c>
      <c r="AA94" s="2">
        <v>0</v>
      </c>
      <c r="AB94" s="2">
        <v>0</v>
      </c>
      <c r="AC94" s="2">
        <v>0</v>
      </c>
      <c r="AD94" s="2">
        <v>0</v>
      </c>
      <c r="AE94" s="2">
        <v>0</v>
      </c>
      <c r="AF94" s="2">
        <v>0</v>
      </c>
      <c r="AG94" s="2">
        <v>0</v>
      </c>
      <c r="AH94" s="2">
        <v>0</v>
      </c>
      <c r="AI94" s="2">
        <v>1</v>
      </c>
      <c r="AJ94" s="2" t="s">
        <v>91</v>
      </c>
      <c r="AK94" s="2">
        <v>0</v>
      </c>
      <c r="AL94" s="2">
        <v>0</v>
      </c>
      <c r="AM94" s="2">
        <v>1</v>
      </c>
      <c r="AN94" s="2">
        <f t="shared" si="10"/>
        <v>0</v>
      </c>
      <c r="AO94" s="2">
        <f t="shared" si="11"/>
        <v>0</v>
      </c>
      <c r="AP94" s="2">
        <f t="shared" si="12"/>
        <v>1</v>
      </c>
      <c r="AQ94" s="2">
        <v>1</v>
      </c>
      <c r="AR94" s="2">
        <v>0</v>
      </c>
      <c r="AW94" s="2">
        <v>0</v>
      </c>
      <c r="BA94" s="2">
        <v>0</v>
      </c>
      <c r="BB94" s="2">
        <v>0</v>
      </c>
      <c r="BC94" s="2">
        <f t="shared" si="14"/>
        <v>0</v>
      </c>
      <c r="BD94" s="2">
        <f t="shared" si="15"/>
        <v>0</v>
      </c>
      <c r="BE94" s="2">
        <v>0</v>
      </c>
      <c r="BF94" s="2">
        <f t="shared" si="16"/>
        <v>0</v>
      </c>
      <c r="BG94" s="2" t="s">
        <v>206</v>
      </c>
    </row>
    <row r="95" spans="1:59">
      <c r="A95" s="2">
        <v>94</v>
      </c>
      <c r="B95" s="5">
        <v>45433</v>
      </c>
      <c r="C95" s="5">
        <v>45440</v>
      </c>
      <c r="D95" s="2">
        <f t="shared" si="18"/>
        <v>7</v>
      </c>
      <c r="E95" s="2">
        <v>75</v>
      </c>
      <c r="F95" s="2">
        <v>1</v>
      </c>
      <c r="G95" s="2">
        <v>2</v>
      </c>
      <c r="H95" s="2">
        <v>0</v>
      </c>
      <c r="I95" s="2">
        <v>0</v>
      </c>
      <c r="J95" s="2">
        <v>0</v>
      </c>
      <c r="K95" s="2">
        <v>0</v>
      </c>
      <c r="L95" s="2">
        <v>0</v>
      </c>
      <c r="M95" s="2">
        <v>0</v>
      </c>
      <c r="N95" s="2">
        <v>0</v>
      </c>
      <c r="P95" t="s">
        <v>179</v>
      </c>
      <c r="Q95" s="2">
        <v>0</v>
      </c>
      <c r="R95" s="2">
        <v>0</v>
      </c>
      <c r="S95" s="2">
        <v>0</v>
      </c>
      <c r="T95" s="2">
        <v>1</v>
      </c>
      <c r="U95" s="2">
        <v>0</v>
      </c>
      <c r="V95" s="2">
        <v>1</v>
      </c>
      <c r="W95" s="5">
        <v>45433</v>
      </c>
      <c r="X95" s="5">
        <v>45433</v>
      </c>
      <c r="Y95" s="28">
        <f t="shared" si="9"/>
        <v>0</v>
      </c>
      <c r="Z95" s="2">
        <v>0</v>
      </c>
      <c r="AA95" s="2">
        <v>0</v>
      </c>
      <c r="AB95" s="2">
        <v>0</v>
      </c>
      <c r="AC95" s="2">
        <v>0</v>
      </c>
      <c r="AD95" s="2">
        <v>0</v>
      </c>
      <c r="AE95" s="2">
        <v>0</v>
      </c>
      <c r="AF95" s="2">
        <v>0</v>
      </c>
      <c r="AG95" s="2">
        <v>0</v>
      </c>
      <c r="AH95" s="2">
        <v>0</v>
      </c>
      <c r="AI95" s="2">
        <v>1</v>
      </c>
      <c r="AJ95" s="2" t="s">
        <v>117</v>
      </c>
      <c r="AK95" s="2">
        <v>0</v>
      </c>
      <c r="AL95" s="2">
        <v>0</v>
      </c>
      <c r="AM95" s="2">
        <v>1</v>
      </c>
      <c r="AN95" s="2">
        <f t="shared" si="10"/>
        <v>0</v>
      </c>
      <c r="AO95" s="2">
        <f t="shared" si="11"/>
        <v>0</v>
      </c>
      <c r="AP95" s="2">
        <f t="shared" si="12"/>
        <v>1</v>
      </c>
      <c r="AQ95" s="2">
        <v>1</v>
      </c>
      <c r="AR95" s="11">
        <v>1</v>
      </c>
      <c r="AS95" s="5">
        <v>45440</v>
      </c>
      <c r="AT95" s="2">
        <v>0</v>
      </c>
      <c r="AU95" s="2">
        <v>0</v>
      </c>
      <c r="AV95" s="2">
        <f t="shared" si="13"/>
        <v>7</v>
      </c>
      <c r="AW95" s="2">
        <v>0</v>
      </c>
      <c r="BA95" s="2">
        <v>0</v>
      </c>
      <c r="BB95" s="2">
        <v>0</v>
      </c>
      <c r="BC95" s="2">
        <f t="shared" si="14"/>
        <v>0</v>
      </c>
      <c r="BD95" s="2">
        <f t="shared" si="15"/>
        <v>0</v>
      </c>
      <c r="BE95" s="2">
        <v>0</v>
      </c>
      <c r="BF95" s="2">
        <f t="shared" si="16"/>
        <v>0</v>
      </c>
      <c r="BG95" s="2" t="s">
        <v>206</v>
      </c>
    </row>
    <row r="96" spans="1:59">
      <c r="A96" s="8">
        <v>95</v>
      </c>
      <c r="B96" s="5">
        <v>45434</v>
      </c>
      <c r="C96" s="6">
        <v>45439</v>
      </c>
      <c r="D96" s="2">
        <f t="shared" si="18"/>
        <v>5</v>
      </c>
      <c r="E96" s="2">
        <v>90</v>
      </c>
      <c r="F96" s="2">
        <v>1</v>
      </c>
      <c r="G96" s="2">
        <v>2</v>
      </c>
      <c r="H96" s="2">
        <v>1</v>
      </c>
      <c r="I96" s="2">
        <v>0</v>
      </c>
      <c r="J96" s="2">
        <v>0</v>
      </c>
      <c r="K96" s="2">
        <v>0</v>
      </c>
      <c r="L96" s="2">
        <v>0</v>
      </c>
      <c r="M96" s="2">
        <v>0</v>
      </c>
      <c r="N96" s="2">
        <v>1</v>
      </c>
      <c r="O96" s="2" t="s">
        <v>216</v>
      </c>
      <c r="P96" t="s">
        <v>179</v>
      </c>
      <c r="Q96" s="2">
        <v>0</v>
      </c>
      <c r="R96" s="2">
        <v>0</v>
      </c>
      <c r="S96" s="2">
        <v>0</v>
      </c>
      <c r="T96" s="2">
        <v>1</v>
      </c>
      <c r="U96" s="2">
        <v>1</v>
      </c>
      <c r="V96" s="2">
        <v>2</v>
      </c>
      <c r="W96" s="5">
        <v>45434</v>
      </c>
      <c r="X96" s="5">
        <v>45434</v>
      </c>
      <c r="Y96" s="28">
        <f t="shared" si="9"/>
        <v>0</v>
      </c>
      <c r="Z96" s="2">
        <v>0</v>
      </c>
      <c r="AA96" s="2">
        <v>0</v>
      </c>
      <c r="AB96" s="2">
        <v>0</v>
      </c>
      <c r="AC96" s="2">
        <v>0</v>
      </c>
      <c r="AD96" s="2">
        <v>0</v>
      </c>
      <c r="AE96" s="2">
        <v>0</v>
      </c>
      <c r="AF96" s="2">
        <v>0</v>
      </c>
      <c r="AG96" s="2">
        <v>0</v>
      </c>
      <c r="AH96" s="2">
        <v>0</v>
      </c>
      <c r="AI96" s="2">
        <v>1</v>
      </c>
      <c r="AJ96" s="2" t="s">
        <v>217</v>
      </c>
      <c r="AK96" s="2">
        <v>0</v>
      </c>
      <c r="AL96" s="2">
        <v>0</v>
      </c>
      <c r="AM96" s="2">
        <v>1</v>
      </c>
      <c r="AN96" s="2">
        <f t="shared" si="10"/>
        <v>0</v>
      </c>
      <c r="AO96" s="2">
        <f t="shared" si="11"/>
        <v>0</v>
      </c>
      <c r="AP96" s="2">
        <f t="shared" si="12"/>
        <v>1</v>
      </c>
      <c r="AQ96" s="2">
        <v>1</v>
      </c>
      <c r="AR96" s="11">
        <v>1</v>
      </c>
      <c r="AS96" s="5">
        <v>45436</v>
      </c>
      <c r="AT96" s="2">
        <v>0</v>
      </c>
      <c r="AU96" s="2">
        <v>0</v>
      </c>
      <c r="AV96" s="2">
        <f t="shared" si="13"/>
        <v>2</v>
      </c>
      <c r="AW96" s="2">
        <v>0</v>
      </c>
      <c r="BA96" s="2">
        <v>0</v>
      </c>
      <c r="BB96" s="2">
        <v>0</v>
      </c>
      <c r="BC96" s="2">
        <f t="shared" si="14"/>
        <v>0</v>
      </c>
      <c r="BD96" s="2">
        <f t="shared" si="15"/>
        <v>0</v>
      </c>
      <c r="BE96" s="2">
        <v>0</v>
      </c>
      <c r="BF96" s="2">
        <f t="shared" si="16"/>
        <v>0</v>
      </c>
      <c r="BG96" s="2" t="s">
        <v>206</v>
      </c>
    </row>
    <row r="97" spans="1:59">
      <c r="A97" s="8">
        <v>96</v>
      </c>
      <c r="B97" s="5">
        <v>45435</v>
      </c>
      <c r="C97" s="6">
        <v>45444</v>
      </c>
      <c r="D97" s="2">
        <f t="shared" si="18"/>
        <v>9</v>
      </c>
      <c r="E97" s="2">
        <v>88</v>
      </c>
      <c r="F97" s="2">
        <v>1</v>
      </c>
      <c r="G97" s="2">
        <v>3</v>
      </c>
      <c r="H97" s="2">
        <v>0</v>
      </c>
      <c r="I97" s="2">
        <v>0</v>
      </c>
      <c r="J97" s="2">
        <v>0</v>
      </c>
      <c r="K97" s="2">
        <v>0</v>
      </c>
      <c r="L97" s="2">
        <v>0</v>
      </c>
      <c r="M97" s="2">
        <v>0</v>
      </c>
      <c r="N97" s="2">
        <v>0</v>
      </c>
      <c r="P97" t="s">
        <v>186</v>
      </c>
      <c r="Q97" s="2">
        <v>0</v>
      </c>
      <c r="R97" s="2">
        <v>0</v>
      </c>
      <c r="S97" s="2">
        <v>0</v>
      </c>
      <c r="T97" s="2">
        <v>1</v>
      </c>
      <c r="U97" s="2">
        <v>0</v>
      </c>
      <c r="V97" s="2">
        <v>1</v>
      </c>
      <c r="W97" s="5">
        <v>45436</v>
      </c>
      <c r="X97" s="5">
        <v>45436</v>
      </c>
      <c r="Y97" s="28">
        <f t="shared" si="9"/>
        <v>0</v>
      </c>
      <c r="Z97" s="2">
        <v>0</v>
      </c>
      <c r="AA97" s="2">
        <v>0</v>
      </c>
      <c r="AB97" s="2">
        <v>0</v>
      </c>
      <c r="AC97" s="2">
        <v>0</v>
      </c>
      <c r="AD97" s="2">
        <v>0</v>
      </c>
      <c r="AE97" s="2">
        <v>0</v>
      </c>
      <c r="AF97" s="2">
        <v>0</v>
      </c>
      <c r="AG97" s="2">
        <v>0</v>
      </c>
      <c r="AH97" s="2">
        <v>0</v>
      </c>
      <c r="AI97" s="2">
        <v>1</v>
      </c>
      <c r="AJ97" s="2" t="s">
        <v>68</v>
      </c>
      <c r="AK97" s="2">
        <v>0</v>
      </c>
      <c r="AL97" s="2">
        <v>0</v>
      </c>
      <c r="AM97" s="2">
        <v>1</v>
      </c>
      <c r="AN97" s="2">
        <f t="shared" si="10"/>
        <v>0</v>
      </c>
      <c r="AO97" s="2">
        <f t="shared" si="11"/>
        <v>0</v>
      </c>
      <c r="AP97" s="2">
        <f t="shared" si="12"/>
        <v>1</v>
      </c>
      <c r="AQ97" s="2">
        <v>1</v>
      </c>
      <c r="AR97" s="2">
        <v>0</v>
      </c>
      <c r="AW97" s="2">
        <v>0</v>
      </c>
      <c r="BA97" s="2">
        <v>0</v>
      </c>
      <c r="BB97" s="2">
        <v>0</v>
      </c>
      <c r="BC97" s="2">
        <f t="shared" si="14"/>
        <v>0</v>
      </c>
      <c r="BD97" s="2">
        <f t="shared" si="15"/>
        <v>0</v>
      </c>
      <c r="BE97" s="2">
        <v>0</v>
      </c>
      <c r="BF97" s="2">
        <f t="shared" si="16"/>
        <v>0</v>
      </c>
      <c r="BG97" s="2" t="s">
        <v>206</v>
      </c>
    </row>
    <row r="98" spans="1:59">
      <c r="A98" s="2">
        <v>97</v>
      </c>
      <c r="B98" s="5">
        <v>45438</v>
      </c>
      <c r="C98" s="5">
        <v>45442</v>
      </c>
      <c r="D98" s="2">
        <f t="shared" si="18"/>
        <v>4</v>
      </c>
      <c r="E98" s="2">
        <v>96</v>
      </c>
      <c r="F98" s="2">
        <v>2</v>
      </c>
      <c r="G98" s="2">
        <v>2</v>
      </c>
      <c r="H98" s="2">
        <v>0</v>
      </c>
      <c r="I98" s="2">
        <v>0</v>
      </c>
      <c r="J98" s="2">
        <v>0</v>
      </c>
      <c r="K98" s="2">
        <v>0</v>
      </c>
      <c r="L98" s="2">
        <v>0</v>
      </c>
      <c r="M98" s="2">
        <v>0</v>
      </c>
      <c r="N98" s="2">
        <v>0</v>
      </c>
      <c r="P98" t="s">
        <v>208</v>
      </c>
      <c r="Q98" s="2">
        <v>0</v>
      </c>
      <c r="R98" s="2">
        <v>0</v>
      </c>
      <c r="S98" s="2">
        <v>0</v>
      </c>
      <c r="T98" s="2">
        <v>1</v>
      </c>
      <c r="U98" s="2">
        <v>0</v>
      </c>
      <c r="V98" s="2">
        <v>1</v>
      </c>
      <c r="W98" s="5">
        <v>45438</v>
      </c>
      <c r="X98" s="5">
        <v>45438</v>
      </c>
      <c r="Y98" s="28">
        <f t="shared" si="9"/>
        <v>0</v>
      </c>
      <c r="Z98" s="2">
        <v>0</v>
      </c>
      <c r="AA98" s="2">
        <v>0</v>
      </c>
      <c r="AB98" s="2">
        <v>0</v>
      </c>
      <c r="AC98" s="2">
        <v>0</v>
      </c>
      <c r="AD98" s="2">
        <v>0</v>
      </c>
      <c r="AE98" s="2">
        <v>0</v>
      </c>
      <c r="AF98" s="2">
        <v>0</v>
      </c>
      <c r="AG98" s="2">
        <v>0</v>
      </c>
      <c r="AH98" s="2">
        <v>0</v>
      </c>
      <c r="AI98" s="2">
        <v>1</v>
      </c>
      <c r="AJ98" s="2" t="s">
        <v>91</v>
      </c>
      <c r="AK98" s="2">
        <v>0</v>
      </c>
      <c r="AL98" s="2">
        <v>0</v>
      </c>
      <c r="AM98" s="2">
        <v>1</v>
      </c>
      <c r="AN98" s="2">
        <f t="shared" si="10"/>
        <v>0</v>
      </c>
      <c r="AO98" s="2">
        <f t="shared" si="11"/>
        <v>0</v>
      </c>
      <c r="AP98" s="2">
        <f t="shared" si="12"/>
        <v>1</v>
      </c>
      <c r="AQ98" s="2">
        <v>1</v>
      </c>
      <c r="AR98" s="2">
        <v>0</v>
      </c>
      <c r="AW98" s="2">
        <v>0</v>
      </c>
      <c r="BA98" s="2">
        <v>0</v>
      </c>
      <c r="BB98" s="2">
        <v>0</v>
      </c>
      <c r="BC98" s="2">
        <f t="shared" si="14"/>
        <v>0</v>
      </c>
      <c r="BD98" s="2">
        <f t="shared" si="15"/>
        <v>0</v>
      </c>
      <c r="BE98" s="2">
        <v>0</v>
      </c>
      <c r="BF98" s="2">
        <f t="shared" si="16"/>
        <v>0</v>
      </c>
      <c r="BG98" s="2" t="s">
        <v>206</v>
      </c>
    </row>
    <row r="99" spans="1:59">
      <c r="A99" s="2">
        <v>98</v>
      </c>
      <c r="B99" s="5">
        <v>45439</v>
      </c>
      <c r="C99" s="5">
        <v>45445</v>
      </c>
      <c r="D99" s="2">
        <f t="shared" si="18"/>
        <v>6</v>
      </c>
      <c r="E99" s="2">
        <v>75</v>
      </c>
      <c r="F99" s="2">
        <v>2</v>
      </c>
      <c r="G99" s="2">
        <v>3</v>
      </c>
      <c r="H99" s="2">
        <v>1</v>
      </c>
      <c r="I99" s="2">
        <v>0</v>
      </c>
      <c r="J99" s="2">
        <v>0</v>
      </c>
      <c r="K99" s="2">
        <v>0</v>
      </c>
      <c r="L99" s="2">
        <v>0</v>
      </c>
      <c r="M99" s="2">
        <v>0</v>
      </c>
      <c r="N99" s="2">
        <v>1</v>
      </c>
      <c r="O99" s="2" t="s">
        <v>218</v>
      </c>
      <c r="P99" t="s">
        <v>179</v>
      </c>
      <c r="Q99" s="2">
        <v>0</v>
      </c>
      <c r="R99" s="2">
        <v>0</v>
      </c>
      <c r="S99" s="2">
        <v>0</v>
      </c>
      <c r="T99" s="2">
        <v>1</v>
      </c>
      <c r="U99" s="2">
        <v>0</v>
      </c>
      <c r="V99" s="2">
        <v>1</v>
      </c>
      <c r="W99" s="5">
        <v>45439</v>
      </c>
      <c r="X99" s="5">
        <v>45439</v>
      </c>
      <c r="Y99" s="28">
        <f t="shared" si="9"/>
        <v>0</v>
      </c>
      <c r="Z99" s="2">
        <v>0</v>
      </c>
      <c r="AA99" s="2">
        <v>0</v>
      </c>
      <c r="AB99" s="2">
        <v>0</v>
      </c>
      <c r="AC99" s="2">
        <v>0</v>
      </c>
      <c r="AD99" s="2">
        <v>0</v>
      </c>
      <c r="AE99" s="2">
        <v>0</v>
      </c>
      <c r="AF99" s="2">
        <v>0</v>
      </c>
      <c r="AG99" s="2">
        <v>0</v>
      </c>
      <c r="AH99" s="2">
        <v>0</v>
      </c>
      <c r="AI99" s="2">
        <v>1</v>
      </c>
      <c r="AJ99" s="2" t="s">
        <v>91</v>
      </c>
      <c r="AK99" s="2">
        <v>0</v>
      </c>
      <c r="AL99" s="2">
        <v>0</v>
      </c>
      <c r="AM99" s="2">
        <v>1</v>
      </c>
      <c r="AN99" s="2">
        <f t="shared" si="10"/>
        <v>0</v>
      </c>
      <c r="AO99" s="2">
        <f t="shared" si="11"/>
        <v>0</v>
      </c>
      <c r="AP99" s="2">
        <f t="shared" si="12"/>
        <v>1</v>
      </c>
      <c r="AQ99" s="2">
        <v>1</v>
      </c>
      <c r="AR99" s="11">
        <v>1</v>
      </c>
      <c r="AS99" s="5">
        <v>45440</v>
      </c>
      <c r="AT99" s="2">
        <v>0</v>
      </c>
      <c r="AU99" s="2">
        <v>1</v>
      </c>
      <c r="AV99" s="2">
        <f t="shared" si="13"/>
        <v>1</v>
      </c>
      <c r="AW99" s="2">
        <v>0</v>
      </c>
      <c r="BA99" s="2">
        <v>0</v>
      </c>
      <c r="BB99" s="2">
        <v>0</v>
      </c>
      <c r="BC99" s="2">
        <f t="shared" si="14"/>
        <v>0</v>
      </c>
      <c r="BD99" s="2">
        <f t="shared" si="15"/>
        <v>0</v>
      </c>
      <c r="BE99" s="2">
        <v>1</v>
      </c>
      <c r="BF99" s="2">
        <f t="shared" si="16"/>
        <v>0</v>
      </c>
      <c r="BG99" s="2" t="s">
        <v>219</v>
      </c>
    </row>
    <row r="100" spans="1:59">
      <c r="A100" s="2">
        <v>99</v>
      </c>
      <c r="B100" s="5">
        <v>45439</v>
      </c>
      <c r="C100" s="5">
        <v>45453</v>
      </c>
      <c r="D100" s="2">
        <f t="shared" si="18"/>
        <v>14</v>
      </c>
      <c r="E100" s="2">
        <v>72</v>
      </c>
      <c r="F100" s="2">
        <v>1</v>
      </c>
      <c r="G100" s="2">
        <v>2</v>
      </c>
      <c r="H100" s="2">
        <v>0</v>
      </c>
      <c r="I100" s="2">
        <v>0</v>
      </c>
      <c r="J100" s="2">
        <v>0</v>
      </c>
      <c r="K100" s="2">
        <v>0</v>
      </c>
      <c r="L100" s="2">
        <v>0</v>
      </c>
      <c r="M100" s="2">
        <v>0</v>
      </c>
      <c r="N100" s="2">
        <v>0</v>
      </c>
      <c r="P100" t="s">
        <v>195</v>
      </c>
      <c r="Q100" s="2">
        <v>0</v>
      </c>
      <c r="R100" s="2">
        <v>0</v>
      </c>
      <c r="S100" s="2">
        <v>0</v>
      </c>
      <c r="T100" s="2">
        <v>1</v>
      </c>
      <c r="U100" s="2">
        <v>0</v>
      </c>
      <c r="V100" s="2">
        <v>1</v>
      </c>
      <c r="W100" s="5">
        <v>45439</v>
      </c>
      <c r="X100" s="5">
        <v>45439</v>
      </c>
      <c r="Y100" s="28">
        <f t="shared" si="9"/>
        <v>0</v>
      </c>
      <c r="Z100" s="2">
        <v>0</v>
      </c>
      <c r="AA100" s="2">
        <v>0</v>
      </c>
      <c r="AB100" s="2">
        <v>0</v>
      </c>
      <c r="AC100" s="2">
        <v>0</v>
      </c>
      <c r="AD100" s="2">
        <v>0</v>
      </c>
      <c r="AE100" s="2">
        <v>0</v>
      </c>
      <c r="AF100" s="2">
        <v>0</v>
      </c>
      <c r="AG100" s="2">
        <v>0</v>
      </c>
      <c r="AH100" s="2">
        <v>0</v>
      </c>
      <c r="AI100" s="2">
        <v>1</v>
      </c>
      <c r="AJ100" s="2" t="s">
        <v>91</v>
      </c>
      <c r="AK100" s="2">
        <v>0</v>
      </c>
      <c r="AL100" s="2">
        <v>0</v>
      </c>
      <c r="AM100" s="2">
        <v>1</v>
      </c>
      <c r="AN100" s="2">
        <f t="shared" si="10"/>
        <v>0</v>
      </c>
      <c r="AO100" s="2">
        <f t="shared" si="11"/>
        <v>0</v>
      </c>
      <c r="AP100" s="2">
        <f t="shared" si="12"/>
        <v>1</v>
      </c>
      <c r="AQ100" s="2">
        <v>1</v>
      </c>
      <c r="AR100" s="2">
        <v>0</v>
      </c>
      <c r="AW100" s="2">
        <v>0</v>
      </c>
      <c r="BA100" s="2">
        <v>0</v>
      </c>
      <c r="BB100" s="2">
        <v>0</v>
      </c>
      <c r="BC100" s="2">
        <f t="shared" si="14"/>
        <v>0</v>
      </c>
      <c r="BD100" s="2">
        <f t="shared" si="15"/>
        <v>0</v>
      </c>
      <c r="BE100" s="2">
        <v>0</v>
      </c>
      <c r="BF100" s="2">
        <f t="shared" si="16"/>
        <v>0</v>
      </c>
      <c r="BG100" s="2" t="s">
        <v>206</v>
      </c>
    </row>
    <row r="101" spans="1:59">
      <c r="A101" s="2">
        <v>100</v>
      </c>
      <c r="B101" s="5">
        <v>45442</v>
      </c>
      <c r="C101" s="5">
        <v>45443</v>
      </c>
      <c r="D101" s="2">
        <f t="shared" si="18"/>
        <v>1</v>
      </c>
      <c r="E101" s="2">
        <v>39</v>
      </c>
      <c r="F101" s="2">
        <v>1</v>
      </c>
      <c r="G101" s="2">
        <v>3</v>
      </c>
      <c r="H101" s="2">
        <v>0</v>
      </c>
      <c r="I101" s="2">
        <v>0</v>
      </c>
      <c r="J101" s="2">
        <v>0</v>
      </c>
      <c r="K101" s="2">
        <v>0</v>
      </c>
      <c r="L101" s="2">
        <v>0</v>
      </c>
      <c r="M101" s="2">
        <v>0</v>
      </c>
      <c r="N101" s="2">
        <v>0</v>
      </c>
      <c r="P101" t="s">
        <v>179</v>
      </c>
      <c r="Q101" s="2">
        <v>0</v>
      </c>
      <c r="R101" s="2">
        <v>0</v>
      </c>
      <c r="S101" s="2">
        <v>0</v>
      </c>
      <c r="T101" s="2">
        <v>1</v>
      </c>
      <c r="U101" s="2">
        <v>0</v>
      </c>
      <c r="V101" s="2">
        <v>1</v>
      </c>
      <c r="W101" s="5">
        <v>45442</v>
      </c>
      <c r="X101" s="5">
        <v>45442</v>
      </c>
      <c r="Y101" s="28">
        <f t="shared" si="9"/>
        <v>0</v>
      </c>
      <c r="Z101" s="2">
        <v>0</v>
      </c>
      <c r="AA101" s="2">
        <v>0</v>
      </c>
      <c r="AB101" s="2">
        <v>0</v>
      </c>
      <c r="AC101" s="2">
        <v>0</v>
      </c>
      <c r="AD101" s="2">
        <v>0</v>
      </c>
      <c r="AE101" s="2">
        <v>0</v>
      </c>
      <c r="AF101" s="2">
        <v>0</v>
      </c>
      <c r="AG101" s="2">
        <v>0</v>
      </c>
      <c r="AH101" s="2">
        <v>0</v>
      </c>
      <c r="AI101" s="2">
        <v>1</v>
      </c>
      <c r="AJ101" s="2" t="s">
        <v>117</v>
      </c>
      <c r="AK101" s="2">
        <v>0</v>
      </c>
      <c r="AL101" s="2">
        <v>0</v>
      </c>
      <c r="AM101" s="2">
        <v>1</v>
      </c>
      <c r="AN101" s="2">
        <f t="shared" si="10"/>
        <v>0</v>
      </c>
      <c r="AO101" s="2">
        <f t="shared" si="11"/>
        <v>0</v>
      </c>
      <c r="AP101" s="2">
        <f t="shared" si="12"/>
        <v>1</v>
      </c>
      <c r="AQ101" s="2">
        <v>1</v>
      </c>
      <c r="AR101" s="2">
        <v>0</v>
      </c>
      <c r="AW101" s="2">
        <v>0</v>
      </c>
      <c r="BA101" s="2">
        <v>0</v>
      </c>
      <c r="BB101" s="2">
        <v>0</v>
      </c>
      <c r="BC101" s="2">
        <f t="shared" si="14"/>
        <v>0</v>
      </c>
      <c r="BD101" s="2">
        <f t="shared" si="15"/>
        <v>0</v>
      </c>
      <c r="BE101" s="2">
        <v>0</v>
      </c>
      <c r="BF101" s="2">
        <f t="shared" si="16"/>
        <v>0</v>
      </c>
      <c r="BG101" s="2" t="s">
        <v>206</v>
      </c>
    </row>
    <row r="102" spans="1:59">
      <c r="A102" s="2">
        <v>101</v>
      </c>
      <c r="B102" s="5">
        <v>45384</v>
      </c>
      <c r="C102" s="5">
        <v>45392</v>
      </c>
      <c r="D102" s="2">
        <f t="shared" si="18"/>
        <v>8</v>
      </c>
      <c r="E102" s="2">
        <v>90</v>
      </c>
      <c r="F102" s="2">
        <v>2</v>
      </c>
      <c r="G102" s="2">
        <v>2</v>
      </c>
      <c r="H102" s="2">
        <v>1</v>
      </c>
      <c r="I102" s="2">
        <v>0</v>
      </c>
      <c r="J102" s="2">
        <v>0</v>
      </c>
      <c r="K102" s="2">
        <v>1</v>
      </c>
      <c r="L102" s="2">
        <v>0</v>
      </c>
      <c r="M102" s="2">
        <v>0</v>
      </c>
      <c r="N102" s="2">
        <v>1</v>
      </c>
      <c r="O102" s="2" t="s">
        <v>220</v>
      </c>
      <c r="P102" t="s">
        <v>179</v>
      </c>
      <c r="Q102" s="2">
        <v>0</v>
      </c>
      <c r="R102" s="2">
        <v>0</v>
      </c>
      <c r="S102" s="2">
        <v>0</v>
      </c>
      <c r="T102" s="2">
        <v>1</v>
      </c>
      <c r="U102" s="2">
        <v>0</v>
      </c>
      <c r="V102" s="2">
        <v>1</v>
      </c>
      <c r="W102" s="5">
        <v>45384</v>
      </c>
      <c r="X102" s="5">
        <v>45384</v>
      </c>
      <c r="Y102" s="28">
        <f t="shared" si="9"/>
        <v>0</v>
      </c>
      <c r="Z102" s="2">
        <v>0</v>
      </c>
      <c r="AA102" s="2">
        <v>0</v>
      </c>
      <c r="AB102" s="2">
        <v>0</v>
      </c>
      <c r="AC102" s="2">
        <v>0</v>
      </c>
      <c r="AD102" s="2">
        <v>0</v>
      </c>
      <c r="AE102" s="2">
        <v>0</v>
      </c>
      <c r="AF102" s="2">
        <v>0</v>
      </c>
      <c r="AG102" s="2">
        <v>0</v>
      </c>
      <c r="AH102" s="2">
        <v>0</v>
      </c>
      <c r="AI102" s="2">
        <v>1</v>
      </c>
      <c r="AJ102" s="2" t="s">
        <v>187</v>
      </c>
      <c r="AK102" s="2">
        <v>0</v>
      </c>
      <c r="AL102" s="2">
        <v>0</v>
      </c>
      <c r="AM102" s="2">
        <v>1</v>
      </c>
      <c r="AN102" s="2">
        <f t="shared" si="10"/>
        <v>0</v>
      </c>
      <c r="AO102" s="2">
        <f t="shared" si="11"/>
        <v>0</v>
      </c>
      <c r="AP102" s="2">
        <f t="shared" si="12"/>
        <v>1</v>
      </c>
      <c r="AQ102" s="2">
        <v>1</v>
      </c>
      <c r="AR102" s="2">
        <v>0</v>
      </c>
      <c r="AW102" s="2">
        <v>0</v>
      </c>
      <c r="BA102" s="2">
        <v>0</v>
      </c>
      <c r="BB102" s="2">
        <v>0</v>
      </c>
      <c r="BC102" s="2">
        <v>0</v>
      </c>
      <c r="BD102" s="2">
        <f t="shared" si="15"/>
        <v>1</v>
      </c>
      <c r="BE102" s="2">
        <v>0</v>
      </c>
      <c r="BF102" s="2">
        <f t="shared" si="16"/>
        <v>0</v>
      </c>
      <c r="BG102" s="2" t="s">
        <v>206</v>
      </c>
    </row>
    <row r="103" spans="1:59">
      <c r="A103" s="2">
        <v>102</v>
      </c>
      <c r="B103" s="5">
        <v>45385</v>
      </c>
      <c r="C103" s="5">
        <v>45389</v>
      </c>
      <c r="D103" s="2">
        <f t="shared" si="18"/>
        <v>4</v>
      </c>
      <c r="E103" s="2">
        <v>92</v>
      </c>
      <c r="F103" s="2">
        <v>2</v>
      </c>
      <c r="G103" s="2">
        <v>2</v>
      </c>
      <c r="H103" s="2">
        <v>0</v>
      </c>
      <c r="I103" s="2">
        <v>0</v>
      </c>
      <c r="J103" s="2">
        <v>0</v>
      </c>
      <c r="K103" s="2">
        <v>0</v>
      </c>
      <c r="L103" s="2">
        <v>0</v>
      </c>
      <c r="M103" s="2">
        <v>0</v>
      </c>
      <c r="N103" s="2">
        <v>0</v>
      </c>
      <c r="P103" t="s">
        <v>179</v>
      </c>
      <c r="Q103" s="2">
        <v>0</v>
      </c>
      <c r="R103" s="2">
        <v>0</v>
      </c>
      <c r="S103" s="2">
        <v>0</v>
      </c>
      <c r="T103" s="2">
        <v>1</v>
      </c>
      <c r="U103" s="2">
        <v>0</v>
      </c>
      <c r="V103" s="2">
        <v>1</v>
      </c>
      <c r="W103" s="5">
        <v>45385</v>
      </c>
      <c r="X103" s="5">
        <v>45385</v>
      </c>
      <c r="Y103" s="28">
        <f t="shared" si="9"/>
        <v>0</v>
      </c>
      <c r="Z103" s="2">
        <v>0</v>
      </c>
      <c r="AA103" s="2">
        <v>0</v>
      </c>
      <c r="AB103" s="2">
        <v>0</v>
      </c>
      <c r="AC103" s="2">
        <v>0</v>
      </c>
      <c r="AD103" s="2">
        <v>0</v>
      </c>
      <c r="AE103" s="2">
        <v>0</v>
      </c>
      <c r="AF103" s="2">
        <v>0</v>
      </c>
      <c r="AG103" s="2">
        <v>0</v>
      </c>
      <c r="AH103" s="2">
        <v>0</v>
      </c>
      <c r="AI103" s="2">
        <v>1</v>
      </c>
      <c r="AJ103" s="2" t="s">
        <v>68</v>
      </c>
      <c r="AK103" s="2">
        <v>0</v>
      </c>
      <c r="AL103" s="2">
        <v>0</v>
      </c>
      <c r="AM103" s="2">
        <v>1</v>
      </c>
      <c r="AN103" s="2">
        <f t="shared" si="10"/>
        <v>0</v>
      </c>
      <c r="AO103" s="2">
        <f t="shared" si="11"/>
        <v>0</v>
      </c>
      <c r="AP103" s="2">
        <f t="shared" si="12"/>
        <v>1</v>
      </c>
      <c r="AQ103" s="2">
        <v>1</v>
      </c>
      <c r="AR103" s="2">
        <v>0</v>
      </c>
      <c r="AW103" s="2">
        <v>0</v>
      </c>
      <c r="BA103" s="2">
        <v>0</v>
      </c>
      <c r="BB103" s="2">
        <v>0</v>
      </c>
      <c r="BC103" s="2">
        <f t="shared" si="14"/>
        <v>0</v>
      </c>
      <c r="BD103" s="2">
        <f t="shared" si="15"/>
        <v>0</v>
      </c>
      <c r="BE103" s="2">
        <v>0</v>
      </c>
      <c r="BF103" s="2">
        <f t="shared" si="16"/>
        <v>0</v>
      </c>
      <c r="BG103" s="2" t="s">
        <v>206</v>
      </c>
    </row>
    <row r="104" spans="1:59">
      <c r="A104" s="8">
        <v>103</v>
      </c>
      <c r="B104" s="5">
        <v>45390</v>
      </c>
      <c r="C104" s="6">
        <v>45488</v>
      </c>
      <c r="D104" s="11">
        <f t="shared" si="18"/>
        <v>98</v>
      </c>
      <c r="E104" s="2">
        <v>51</v>
      </c>
      <c r="F104" s="2">
        <v>1</v>
      </c>
      <c r="G104" s="2">
        <v>2</v>
      </c>
      <c r="H104" s="2">
        <v>1</v>
      </c>
      <c r="I104" s="2">
        <v>0</v>
      </c>
      <c r="J104" s="2">
        <v>0</v>
      </c>
      <c r="K104" s="2">
        <v>0</v>
      </c>
      <c r="L104" s="2">
        <v>1</v>
      </c>
      <c r="M104" s="2">
        <v>0</v>
      </c>
      <c r="N104" s="2">
        <v>1</v>
      </c>
      <c r="O104" s="2" t="s">
        <v>72</v>
      </c>
      <c r="P104" t="s">
        <v>179</v>
      </c>
      <c r="Q104" s="2">
        <v>0</v>
      </c>
      <c r="R104" s="2">
        <v>0</v>
      </c>
      <c r="S104" s="2">
        <v>0</v>
      </c>
      <c r="T104" s="2">
        <v>1</v>
      </c>
      <c r="U104" s="2">
        <v>0</v>
      </c>
      <c r="V104" s="2">
        <v>1</v>
      </c>
      <c r="W104" s="5">
        <v>45390</v>
      </c>
      <c r="X104" s="5">
        <v>45390</v>
      </c>
      <c r="Y104" s="28">
        <f t="shared" si="9"/>
        <v>0</v>
      </c>
      <c r="Z104" s="2">
        <v>1</v>
      </c>
      <c r="AA104" s="2">
        <v>0</v>
      </c>
      <c r="AB104" s="2">
        <v>0</v>
      </c>
      <c r="AC104" s="2">
        <v>1</v>
      </c>
      <c r="AD104" s="2">
        <v>0</v>
      </c>
      <c r="AE104" s="2">
        <v>0</v>
      </c>
      <c r="AF104" s="2">
        <v>0</v>
      </c>
      <c r="AG104" s="2">
        <v>0</v>
      </c>
      <c r="AH104" s="2">
        <v>0</v>
      </c>
      <c r="AI104" s="2">
        <v>1</v>
      </c>
      <c r="AJ104" s="2" t="s">
        <v>55</v>
      </c>
      <c r="AK104" s="2">
        <v>0</v>
      </c>
      <c r="AL104" s="2">
        <v>0</v>
      </c>
      <c r="AM104" s="2">
        <v>1</v>
      </c>
      <c r="AN104" s="2">
        <f t="shared" si="10"/>
        <v>0</v>
      </c>
      <c r="AO104" s="2">
        <f t="shared" si="11"/>
        <v>0</v>
      </c>
      <c r="AP104" s="2">
        <f t="shared" si="12"/>
        <v>1</v>
      </c>
      <c r="AQ104" s="2">
        <v>1</v>
      </c>
      <c r="AR104" s="11">
        <v>1</v>
      </c>
      <c r="AS104" s="5">
        <v>45391</v>
      </c>
      <c r="AT104" s="2">
        <v>0</v>
      </c>
      <c r="AU104" s="2">
        <v>0</v>
      </c>
      <c r="AV104" s="2">
        <f t="shared" si="13"/>
        <v>1</v>
      </c>
      <c r="AW104" s="2">
        <v>0</v>
      </c>
      <c r="BA104" s="2">
        <v>0</v>
      </c>
      <c r="BB104" s="2">
        <v>0</v>
      </c>
      <c r="BC104" s="2">
        <f t="shared" si="14"/>
        <v>0</v>
      </c>
      <c r="BD104" s="2">
        <f t="shared" si="15"/>
        <v>0</v>
      </c>
      <c r="BE104" s="2">
        <v>1</v>
      </c>
      <c r="BF104" s="2">
        <f t="shared" si="16"/>
        <v>0</v>
      </c>
      <c r="BG104" s="2" t="s">
        <v>221</v>
      </c>
    </row>
    <row r="105" spans="1:59">
      <c r="A105" s="2">
        <v>104</v>
      </c>
      <c r="B105" s="5">
        <v>45392</v>
      </c>
      <c r="C105" s="5">
        <v>45394</v>
      </c>
      <c r="D105" s="2">
        <f t="shared" si="18"/>
        <v>2</v>
      </c>
      <c r="E105" s="2">
        <v>32</v>
      </c>
      <c r="F105" s="2">
        <v>1</v>
      </c>
      <c r="G105" s="2">
        <v>2</v>
      </c>
      <c r="H105" s="2">
        <v>0</v>
      </c>
      <c r="I105" s="2">
        <v>0</v>
      </c>
      <c r="J105" s="2">
        <v>0</v>
      </c>
      <c r="K105" s="2">
        <v>0</v>
      </c>
      <c r="L105" s="2">
        <v>0</v>
      </c>
      <c r="M105" s="2">
        <v>0</v>
      </c>
      <c r="N105" s="2">
        <v>0</v>
      </c>
      <c r="P105" t="s">
        <v>179</v>
      </c>
      <c r="Q105" s="2">
        <v>0</v>
      </c>
      <c r="R105" s="2">
        <v>0</v>
      </c>
      <c r="S105" s="2">
        <v>0</v>
      </c>
      <c r="T105" s="2">
        <v>1</v>
      </c>
      <c r="U105" s="2">
        <v>0</v>
      </c>
      <c r="V105" s="2">
        <v>1</v>
      </c>
      <c r="W105" s="5">
        <v>45392</v>
      </c>
      <c r="X105" s="5">
        <v>45392</v>
      </c>
      <c r="Y105" s="28">
        <f t="shared" si="9"/>
        <v>0</v>
      </c>
      <c r="Z105" s="2">
        <v>0</v>
      </c>
      <c r="AA105" s="2">
        <v>0</v>
      </c>
      <c r="AB105" s="2">
        <v>0</v>
      </c>
      <c r="AC105" s="2">
        <v>0</v>
      </c>
      <c r="AD105" s="2">
        <v>0</v>
      </c>
      <c r="AE105" s="2">
        <v>0</v>
      </c>
      <c r="AF105" s="2">
        <v>0</v>
      </c>
      <c r="AG105" s="2">
        <v>0</v>
      </c>
      <c r="AH105" s="2">
        <v>0</v>
      </c>
      <c r="AI105" s="2">
        <v>0</v>
      </c>
      <c r="AK105" s="2">
        <v>0</v>
      </c>
      <c r="AL105" s="2">
        <v>0</v>
      </c>
      <c r="AM105" s="2">
        <v>1</v>
      </c>
      <c r="AN105" s="2">
        <f t="shared" si="10"/>
        <v>0</v>
      </c>
      <c r="AO105" s="2">
        <f t="shared" si="11"/>
        <v>0</v>
      </c>
      <c r="AP105" s="2">
        <f t="shared" si="12"/>
        <v>1</v>
      </c>
      <c r="AQ105" s="2">
        <v>1</v>
      </c>
      <c r="AR105" s="2">
        <v>0</v>
      </c>
      <c r="AW105" s="2">
        <v>0</v>
      </c>
      <c r="BA105" s="2">
        <v>0</v>
      </c>
      <c r="BB105" s="2">
        <v>0</v>
      </c>
      <c r="BC105" s="2">
        <f t="shared" si="14"/>
        <v>0</v>
      </c>
      <c r="BD105" s="2">
        <f t="shared" si="15"/>
        <v>0</v>
      </c>
      <c r="BE105" s="2">
        <v>0</v>
      </c>
      <c r="BF105" s="2">
        <f t="shared" si="16"/>
        <v>0</v>
      </c>
      <c r="BG105" s="2" t="s">
        <v>206</v>
      </c>
    </row>
    <row r="106" spans="1:59">
      <c r="A106" s="2">
        <v>105</v>
      </c>
      <c r="B106" s="5">
        <v>45395</v>
      </c>
      <c r="C106" s="5">
        <v>45401</v>
      </c>
      <c r="D106" s="2">
        <f t="shared" si="18"/>
        <v>6</v>
      </c>
      <c r="E106" s="2">
        <v>81</v>
      </c>
      <c r="F106" s="2">
        <v>2</v>
      </c>
      <c r="G106" s="2">
        <v>2</v>
      </c>
      <c r="H106" s="2">
        <v>0</v>
      </c>
      <c r="I106" s="2">
        <v>0</v>
      </c>
      <c r="J106" s="2">
        <v>0</v>
      </c>
      <c r="K106" s="2">
        <v>0</v>
      </c>
      <c r="L106" s="2">
        <v>0</v>
      </c>
      <c r="M106" s="2">
        <v>0</v>
      </c>
      <c r="N106" s="2">
        <v>1</v>
      </c>
      <c r="O106" s="2" t="s">
        <v>70</v>
      </c>
      <c r="P106" t="s">
        <v>179</v>
      </c>
      <c r="Q106" s="2">
        <v>0</v>
      </c>
      <c r="R106" s="2">
        <v>0</v>
      </c>
      <c r="S106" s="2">
        <v>0</v>
      </c>
      <c r="T106" s="2">
        <v>1</v>
      </c>
      <c r="U106" s="2">
        <v>0</v>
      </c>
      <c r="V106" s="2">
        <v>1</v>
      </c>
      <c r="W106" s="5">
        <v>45395</v>
      </c>
      <c r="X106" s="5">
        <v>45395</v>
      </c>
      <c r="Y106" s="28">
        <f t="shared" si="9"/>
        <v>0</v>
      </c>
      <c r="Z106" s="2">
        <v>1</v>
      </c>
      <c r="AA106" s="2">
        <v>0</v>
      </c>
      <c r="AB106" s="2">
        <v>0</v>
      </c>
      <c r="AC106" s="2">
        <v>0</v>
      </c>
      <c r="AD106" s="2">
        <v>0</v>
      </c>
      <c r="AE106" s="2">
        <v>0</v>
      </c>
      <c r="AF106" s="2">
        <v>0</v>
      </c>
      <c r="AG106" s="2">
        <v>1</v>
      </c>
      <c r="AH106" s="2">
        <v>0</v>
      </c>
      <c r="AI106" s="2">
        <v>1</v>
      </c>
      <c r="AJ106" s="2" t="s">
        <v>91</v>
      </c>
      <c r="AK106" s="2">
        <v>0</v>
      </c>
      <c r="AL106" s="2">
        <v>0</v>
      </c>
      <c r="AM106" s="2">
        <v>1</v>
      </c>
      <c r="AN106" s="2">
        <f t="shared" si="10"/>
        <v>0</v>
      </c>
      <c r="AO106" s="2">
        <f t="shared" si="11"/>
        <v>0</v>
      </c>
      <c r="AP106" s="2">
        <f t="shared" si="12"/>
        <v>1</v>
      </c>
      <c r="AQ106" s="2">
        <v>1</v>
      </c>
      <c r="AR106" s="2">
        <v>1</v>
      </c>
      <c r="AS106" s="5">
        <v>45399</v>
      </c>
      <c r="AT106" s="2">
        <v>0</v>
      </c>
      <c r="AU106" s="2">
        <v>0</v>
      </c>
      <c r="AV106" s="2">
        <f t="shared" si="13"/>
        <v>4</v>
      </c>
      <c r="AW106" s="2">
        <v>0</v>
      </c>
      <c r="BA106" s="2">
        <v>0</v>
      </c>
      <c r="BB106" s="2">
        <v>0</v>
      </c>
      <c r="BC106" s="2">
        <f t="shared" si="14"/>
        <v>0</v>
      </c>
      <c r="BD106" s="2">
        <f t="shared" si="15"/>
        <v>0</v>
      </c>
      <c r="BE106" s="2">
        <v>0</v>
      </c>
      <c r="BF106" s="2">
        <f t="shared" si="16"/>
        <v>0</v>
      </c>
      <c r="BG106" s="2" t="s">
        <v>223</v>
      </c>
    </row>
    <row r="107" spans="1:59">
      <c r="A107" s="2">
        <v>106</v>
      </c>
      <c r="B107" s="5">
        <v>45396</v>
      </c>
      <c r="C107" s="5">
        <v>45412</v>
      </c>
      <c r="D107" s="2">
        <f t="shared" si="18"/>
        <v>16</v>
      </c>
      <c r="E107" s="2">
        <v>66</v>
      </c>
      <c r="F107" s="2">
        <v>1</v>
      </c>
      <c r="G107" s="2">
        <v>2</v>
      </c>
      <c r="H107" s="2">
        <v>0</v>
      </c>
      <c r="I107" s="2">
        <v>0</v>
      </c>
      <c r="J107" s="2">
        <v>0</v>
      </c>
      <c r="K107" s="2">
        <v>0</v>
      </c>
      <c r="L107" s="2">
        <v>0</v>
      </c>
      <c r="M107" s="2">
        <v>0</v>
      </c>
      <c r="N107" s="2">
        <v>0</v>
      </c>
      <c r="P107" t="s">
        <v>215</v>
      </c>
      <c r="Q107" s="2">
        <v>0</v>
      </c>
      <c r="R107" s="2">
        <v>0</v>
      </c>
      <c r="S107" s="2">
        <v>0</v>
      </c>
      <c r="T107" s="2">
        <v>1</v>
      </c>
      <c r="U107" s="2">
        <v>1</v>
      </c>
      <c r="V107" s="2">
        <v>2</v>
      </c>
      <c r="W107" s="5">
        <v>45396</v>
      </c>
      <c r="X107" s="5">
        <v>45397</v>
      </c>
      <c r="Y107" s="28">
        <f t="shared" si="9"/>
        <v>1</v>
      </c>
      <c r="Z107" s="2">
        <v>0</v>
      </c>
      <c r="AA107" s="2">
        <v>0</v>
      </c>
      <c r="AB107" s="2">
        <v>0</v>
      </c>
      <c r="AC107" s="2">
        <v>0</v>
      </c>
      <c r="AD107" s="2">
        <v>0</v>
      </c>
      <c r="AE107" s="2">
        <v>0</v>
      </c>
      <c r="AF107" s="2">
        <v>0</v>
      </c>
      <c r="AG107" s="2">
        <v>0</v>
      </c>
      <c r="AH107" s="2">
        <v>0</v>
      </c>
      <c r="AI107" s="2">
        <v>1</v>
      </c>
      <c r="AJ107" s="2" t="s">
        <v>91</v>
      </c>
      <c r="AK107" s="2">
        <v>0</v>
      </c>
      <c r="AL107" s="2">
        <v>1</v>
      </c>
      <c r="AM107" s="2">
        <v>1</v>
      </c>
      <c r="AN107" s="2">
        <f t="shared" si="10"/>
        <v>1</v>
      </c>
      <c r="AO107" s="2">
        <f t="shared" si="11"/>
        <v>0</v>
      </c>
      <c r="AP107" s="2">
        <f t="shared" si="12"/>
        <v>0</v>
      </c>
      <c r="AQ107" s="2">
        <v>1</v>
      </c>
      <c r="AR107" s="2">
        <v>1</v>
      </c>
      <c r="AS107" s="5">
        <v>45401</v>
      </c>
      <c r="AT107" s="2">
        <v>0</v>
      </c>
      <c r="AU107" s="2">
        <v>0</v>
      </c>
      <c r="AV107" s="2">
        <f t="shared" si="13"/>
        <v>5</v>
      </c>
      <c r="AW107" s="2">
        <v>0</v>
      </c>
      <c r="BA107" s="2">
        <v>0</v>
      </c>
      <c r="BB107" s="2">
        <v>0</v>
      </c>
      <c r="BC107" s="2">
        <f t="shared" si="14"/>
        <v>0</v>
      </c>
      <c r="BD107" s="2">
        <f t="shared" si="15"/>
        <v>0</v>
      </c>
      <c r="BE107" s="2">
        <v>0</v>
      </c>
      <c r="BF107" s="2">
        <f t="shared" si="16"/>
        <v>0</v>
      </c>
      <c r="BG107" s="2" t="s">
        <v>206</v>
      </c>
    </row>
    <row r="108" spans="1:59">
      <c r="A108" s="2">
        <v>107</v>
      </c>
      <c r="B108" s="5">
        <v>45398</v>
      </c>
      <c r="C108" s="5">
        <v>45401</v>
      </c>
      <c r="D108" s="2">
        <f t="shared" si="18"/>
        <v>3</v>
      </c>
      <c r="E108" s="2">
        <v>79</v>
      </c>
      <c r="F108" s="2">
        <v>1</v>
      </c>
      <c r="G108" s="2">
        <v>2</v>
      </c>
      <c r="H108" s="2">
        <v>1</v>
      </c>
      <c r="I108" s="2">
        <v>0</v>
      </c>
      <c r="J108" s="2">
        <v>1</v>
      </c>
      <c r="K108" s="2">
        <v>0</v>
      </c>
      <c r="L108" s="2">
        <v>0</v>
      </c>
      <c r="M108" s="2">
        <v>0</v>
      </c>
      <c r="N108" s="2">
        <v>1</v>
      </c>
      <c r="O108" s="2" t="s">
        <v>224</v>
      </c>
      <c r="P108" t="s">
        <v>179</v>
      </c>
      <c r="Q108" s="2">
        <v>0</v>
      </c>
      <c r="R108" s="2">
        <v>0</v>
      </c>
      <c r="S108" s="2">
        <v>0</v>
      </c>
      <c r="T108" s="2">
        <v>1</v>
      </c>
      <c r="U108" s="2">
        <v>0</v>
      </c>
      <c r="V108" s="2">
        <v>1</v>
      </c>
      <c r="W108" s="5">
        <v>45398</v>
      </c>
      <c r="X108" s="5">
        <v>45398</v>
      </c>
      <c r="Y108" s="28">
        <f t="shared" si="9"/>
        <v>0</v>
      </c>
      <c r="Z108" s="2">
        <v>0</v>
      </c>
      <c r="AA108" s="2">
        <v>0</v>
      </c>
      <c r="AB108" s="2">
        <v>0</v>
      </c>
      <c r="AC108" s="2">
        <v>0</v>
      </c>
      <c r="AD108" s="2">
        <v>0</v>
      </c>
      <c r="AE108" s="2">
        <v>0</v>
      </c>
      <c r="AF108" s="2">
        <v>0</v>
      </c>
      <c r="AG108" s="2">
        <v>0</v>
      </c>
      <c r="AH108" s="2">
        <v>0</v>
      </c>
      <c r="AI108" s="2">
        <v>1</v>
      </c>
      <c r="AJ108" s="2" t="s">
        <v>117</v>
      </c>
      <c r="AK108" s="2">
        <v>0</v>
      </c>
      <c r="AL108" s="2">
        <v>0</v>
      </c>
      <c r="AM108" s="2">
        <v>1</v>
      </c>
      <c r="AN108" s="2">
        <f t="shared" si="10"/>
        <v>0</v>
      </c>
      <c r="AO108" s="2">
        <f t="shared" si="11"/>
        <v>0</v>
      </c>
      <c r="AP108" s="2">
        <f t="shared" si="12"/>
        <v>1</v>
      </c>
      <c r="AQ108" s="2">
        <v>1</v>
      </c>
      <c r="AR108" s="11">
        <v>1</v>
      </c>
      <c r="AS108" s="5">
        <v>45400</v>
      </c>
      <c r="AT108" s="2">
        <v>0</v>
      </c>
      <c r="AU108" s="2">
        <v>0</v>
      </c>
      <c r="AV108" s="2">
        <f t="shared" si="13"/>
        <v>2</v>
      </c>
      <c r="AW108" s="2">
        <v>0</v>
      </c>
      <c r="BA108" s="2">
        <v>0</v>
      </c>
      <c r="BB108" s="2">
        <v>0</v>
      </c>
      <c r="BC108" s="2">
        <v>0</v>
      </c>
      <c r="BD108" s="2">
        <f t="shared" si="15"/>
        <v>1</v>
      </c>
      <c r="BE108" s="2">
        <v>0</v>
      </c>
      <c r="BF108" s="2">
        <f t="shared" si="16"/>
        <v>0</v>
      </c>
      <c r="BG108" s="2" t="s">
        <v>206</v>
      </c>
    </row>
    <row r="109" spans="1:59">
      <c r="A109" s="2">
        <v>108</v>
      </c>
      <c r="B109" s="5">
        <v>45398</v>
      </c>
      <c r="C109" s="5">
        <v>45412</v>
      </c>
      <c r="D109" s="2">
        <f t="shared" si="18"/>
        <v>14</v>
      </c>
      <c r="E109" s="2">
        <v>78</v>
      </c>
      <c r="F109" s="2">
        <v>2</v>
      </c>
      <c r="G109" s="2">
        <v>2</v>
      </c>
      <c r="H109" s="2">
        <v>1</v>
      </c>
      <c r="I109" s="2">
        <v>0</v>
      </c>
      <c r="J109" s="2">
        <v>1</v>
      </c>
      <c r="K109" s="2">
        <v>0</v>
      </c>
      <c r="L109" s="2">
        <v>0</v>
      </c>
      <c r="M109" s="2">
        <v>0</v>
      </c>
      <c r="N109" s="2">
        <v>1</v>
      </c>
      <c r="O109" s="2" t="s">
        <v>225</v>
      </c>
      <c r="P109" t="s">
        <v>179</v>
      </c>
      <c r="Q109" s="2">
        <v>0</v>
      </c>
      <c r="R109" s="2">
        <v>0</v>
      </c>
      <c r="S109" s="2">
        <v>0</v>
      </c>
      <c r="T109" s="2">
        <v>1</v>
      </c>
      <c r="U109" s="2">
        <v>1</v>
      </c>
      <c r="V109" s="2">
        <v>4</v>
      </c>
      <c r="W109" s="5">
        <v>45398</v>
      </c>
      <c r="X109" s="5">
        <v>45404</v>
      </c>
      <c r="Y109" s="28">
        <f t="shared" si="9"/>
        <v>6</v>
      </c>
      <c r="Z109" s="2">
        <v>0</v>
      </c>
      <c r="AA109" s="2">
        <v>0</v>
      </c>
      <c r="AB109" s="2">
        <v>0</v>
      </c>
      <c r="AC109" s="2">
        <v>0</v>
      </c>
      <c r="AD109" s="2">
        <v>0</v>
      </c>
      <c r="AE109" s="2">
        <v>0</v>
      </c>
      <c r="AF109" s="2">
        <v>0</v>
      </c>
      <c r="AG109" s="2">
        <v>0</v>
      </c>
      <c r="AH109" s="2">
        <v>0</v>
      </c>
      <c r="AI109" s="2">
        <v>1</v>
      </c>
      <c r="AJ109" s="2" t="s">
        <v>91</v>
      </c>
      <c r="AK109" s="2">
        <v>1</v>
      </c>
      <c r="AL109" s="2">
        <v>1</v>
      </c>
      <c r="AM109" s="2">
        <v>1</v>
      </c>
      <c r="AN109" s="2">
        <f t="shared" si="10"/>
        <v>1</v>
      </c>
      <c r="AO109" s="2">
        <f t="shared" si="11"/>
        <v>0</v>
      </c>
      <c r="AP109" s="2">
        <f t="shared" si="12"/>
        <v>0</v>
      </c>
      <c r="AQ109" s="2">
        <v>1</v>
      </c>
      <c r="AR109" s="2">
        <v>1</v>
      </c>
      <c r="AS109" s="5">
        <v>45399</v>
      </c>
      <c r="AT109" s="2">
        <v>0</v>
      </c>
      <c r="AU109" s="2">
        <v>1</v>
      </c>
      <c r="AV109" s="2">
        <f t="shared" si="13"/>
        <v>1</v>
      </c>
      <c r="AW109" s="2">
        <v>1</v>
      </c>
      <c r="AX109" s="5">
        <v>45404</v>
      </c>
      <c r="AY109" s="2">
        <v>1</v>
      </c>
      <c r="AZ109" s="2">
        <v>1</v>
      </c>
      <c r="BA109" s="2">
        <v>0</v>
      </c>
      <c r="BB109" s="2">
        <v>1</v>
      </c>
      <c r="BC109" s="2">
        <f t="shared" si="14"/>
        <v>1</v>
      </c>
      <c r="BD109" s="2">
        <f t="shared" si="15"/>
        <v>1</v>
      </c>
      <c r="BE109" s="2">
        <v>0</v>
      </c>
      <c r="BF109" s="2">
        <f t="shared" si="16"/>
        <v>1</v>
      </c>
      <c r="BG109" s="2" t="s">
        <v>226</v>
      </c>
    </row>
    <row r="110" spans="1:59">
      <c r="A110" s="2">
        <v>109</v>
      </c>
      <c r="B110" s="5">
        <v>45365</v>
      </c>
      <c r="C110" s="5">
        <v>45420</v>
      </c>
      <c r="D110" s="2">
        <f t="shared" si="18"/>
        <v>55</v>
      </c>
      <c r="E110" s="2">
        <v>38</v>
      </c>
      <c r="F110" s="2">
        <v>1</v>
      </c>
      <c r="G110" s="2">
        <v>2</v>
      </c>
      <c r="H110" s="2">
        <v>0</v>
      </c>
      <c r="I110" s="2">
        <v>0</v>
      </c>
      <c r="J110" s="2">
        <v>0</v>
      </c>
      <c r="K110" s="2">
        <v>0</v>
      </c>
      <c r="L110" s="2">
        <v>0</v>
      </c>
      <c r="M110" s="2">
        <v>0</v>
      </c>
      <c r="N110" s="2">
        <v>0</v>
      </c>
      <c r="P110" t="s">
        <v>179</v>
      </c>
      <c r="Q110" s="2">
        <v>0</v>
      </c>
      <c r="R110" s="2">
        <v>0</v>
      </c>
      <c r="S110" s="2">
        <v>0</v>
      </c>
      <c r="T110" s="2">
        <v>1</v>
      </c>
      <c r="U110" s="2">
        <v>0</v>
      </c>
      <c r="V110" s="2">
        <v>1</v>
      </c>
      <c r="W110" s="5">
        <v>45400</v>
      </c>
      <c r="X110" s="5">
        <v>45400</v>
      </c>
      <c r="Y110" s="28">
        <f t="shared" si="9"/>
        <v>0</v>
      </c>
      <c r="Z110" s="2">
        <v>0</v>
      </c>
      <c r="AA110" s="2">
        <v>0</v>
      </c>
      <c r="AB110" s="2">
        <v>0</v>
      </c>
      <c r="AC110" s="2">
        <v>0</v>
      </c>
      <c r="AD110" s="2">
        <v>0</v>
      </c>
      <c r="AE110" s="2">
        <v>0</v>
      </c>
      <c r="AF110" s="2">
        <v>0</v>
      </c>
      <c r="AG110" s="2">
        <v>0</v>
      </c>
      <c r="AH110" s="2">
        <v>0</v>
      </c>
      <c r="AI110" s="2">
        <v>1</v>
      </c>
      <c r="AJ110" s="2" t="s">
        <v>91</v>
      </c>
      <c r="AK110" s="2">
        <v>0</v>
      </c>
      <c r="AL110" s="2">
        <v>1</v>
      </c>
      <c r="AM110" s="2">
        <v>1</v>
      </c>
      <c r="AN110" s="2">
        <f t="shared" si="10"/>
        <v>1</v>
      </c>
      <c r="AO110" s="2">
        <f t="shared" si="11"/>
        <v>0</v>
      </c>
      <c r="AP110" s="2">
        <f t="shared" si="12"/>
        <v>0</v>
      </c>
      <c r="AQ110" s="2">
        <v>1</v>
      </c>
      <c r="AR110" s="2">
        <v>0</v>
      </c>
      <c r="AW110" s="2">
        <v>0</v>
      </c>
      <c r="BA110" s="2">
        <v>0</v>
      </c>
      <c r="BB110" s="2">
        <v>0</v>
      </c>
      <c r="BC110" s="2">
        <f t="shared" si="14"/>
        <v>0</v>
      </c>
      <c r="BD110" s="2">
        <f t="shared" si="15"/>
        <v>0</v>
      </c>
      <c r="BE110" s="2">
        <v>1</v>
      </c>
      <c r="BF110" s="2">
        <f t="shared" si="16"/>
        <v>0</v>
      </c>
      <c r="BG110" s="2" t="s">
        <v>227</v>
      </c>
    </row>
    <row r="111" spans="1:59">
      <c r="A111" s="8">
        <v>110</v>
      </c>
      <c r="B111" s="5">
        <v>45402</v>
      </c>
      <c r="C111" s="6">
        <v>45408</v>
      </c>
      <c r="D111" s="2">
        <f t="shared" si="18"/>
        <v>6</v>
      </c>
      <c r="E111" s="2">
        <v>86</v>
      </c>
      <c r="F111" s="2">
        <v>2</v>
      </c>
      <c r="G111" s="2">
        <v>2</v>
      </c>
      <c r="H111" s="2">
        <v>0</v>
      </c>
      <c r="I111" s="2">
        <v>0</v>
      </c>
      <c r="J111" s="2">
        <v>0</v>
      </c>
      <c r="K111" s="2">
        <v>0</v>
      </c>
      <c r="L111" s="2">
        <v>0</v>
      </c>
      <c r="M111" s="2">
        <v>0</v>
      </c>
      <c r="N111" s="2">
        <v>0</v>
      </c>
      <c r="P111" t="s">
        <v>195</v>
      </c>
      <c r="Q111" s="2">
        <v>0</v>
      </c>
      <c r="R111" s="2">
        <v>0</v>
      </c>
      <c r="S111" s="2">
        <v>0</v>
      </c>
      <c r="T111" s="2">
        <v>1</v>
      </c>
      <c r="U111" s="2">
        <v>0</v>
      </c>
      <c r="V111" s="2">
        <v>1</v>
      </c>
      <c r="W111" s="5">
        <v>45402</v>
      </c>
      <c r="X111" s="5">
        <v>45402</v>
      </c>
      <c r="Y111" s="28">
        <f t="shared" si="9"/>
        <v>0</v>
      </c>
      <c r="Z111" s="2">
        <v>0</v>
      </c>
      <c r="AA111" s="2">
        <v>0</v>
      </c>
      <c r="AB111" s="2">
        <v>0</v>
      </c>
      <c r="AC111" s="2">
        <v>0</v>
      </c>
      <c r="AD111" s="2">
        <v>0</v>
      </c>
      <c r="AE111" s="2">
        <v>0</v>
      </c>
      <c r="AF111" s="2">
        <v>0</v>
      </c>
      <c r="AG111" s="2">
        <v>0</v>
      </c>
      <c r="AH111" s="2">
        <v>0</v>
      </c>
      <c r="AI111" s="2">
        <v>1</v>
      </c>
      <c r="AJ111" s="2" t="s">
        <v>91</v>
      </c>
      <c r="AK111" s="2">
        <v>0</v>
      </c>
      <c r="AL111" s="2">
        <v>1</v>
      </c>
      <c r="AM111" s="2">
        <v>1</v>
      </c>
      <c r="AN111" s="2">
        <f t="shared" si="10"/>
        <v>1</v>
      </c>
      <c r="AO111" s="2">
        <f t="shared" si="11"/>
        <v>0</v>
      </c>
      <c r="AP111" s="2">
        <f t="shared" si="12"/>
        <v>0</v>
      </c>
      <c r="AQ111" s="2">
        <v>1</v>
      </c>
      <c r="AR111" s="2">
        <v>0</v>
      </c>
      <c r="AW111" s="2">
        <v>0</v>
      </c>
      <c r="BA111" s="2">
        <v>0</v>
      </c>
      <c r="BB111" s="2">
        <v>0</v>
      </c>
      <c r="BC111" s="2">
        <f t="shared" si="14"/>
        <v>0</v>
      </c>
      <c r="BD111" s="2">
        <f t="shared" si="15"/>
        <v>0</v>
      </c>
      <c r="BE111" s="2">
        <v>0</v>
      </c>
      <c r="BF111" s="2">
        <f t="shared" si="16"/>
        <v>0</v>
      </c>
      <c r="BG111" s="2" t="s">
        <v>206</v>
      </c>
    </row>
    <row r="112" spans="1:59">
      <c r="A112" s="2">
        <v>111</v>
      </c>
      <c r="B112" s="5">
        <v>45405</v>
      </c>
      <c r="C112" s="5">
        <v>45413</v>
      </c>
      <c r="D112" s="2">
        <f t="shared" si="18"/>
        <v>8</v>
      </c>
      <c r="E112" s="2">
        <v>58</v>
      </c>
      <c r="F112" s="2">
        <v>2</v>
      </c>
      <c r="G112" s="2">
        <v>2</v>
      </c>
      <c r="H112" s="2">
        <v>1</v>
      </c>
      <c r="I112" s="2">
        <v>0</v>
      </c>
      <c r="J112" s="2">
        <v>0</v>
      </c>
      <c r="K112" s="2">
        <v>0</v>
      </c>
      <c r="L112" s="2">
        <v>0</v>
      </c>
      <c r="M112" s="2">
        <v>0</v>
      </c>
      <c r="N112" s="2">
        <v>1</v>
      </c>
      <c r="O112" s="2" t="s">
        <v>166</v>
      </c>
      <c r="P112" t="s">
        <v>215</v>
      </c>
      <c r="Q112" s="2">
        <v>0</v>
      </c>
      <c r="R112" s="2">
        <v>0</v>
      </c>
      <c r="S112" s="2">
        <v>0</v>
      </c>
      <c r="T112" s="2">
        <v>1</v>
      </c>
      <c r="U112" s="2">
        <v>0</v>
      </c>
      <c r="V112" s="2">
        <v>1</v>
      </c>
      <c r="W112" s="5">
        <v>45405</v>
      </c>
      <c r="X112" s="5">
        <v>45405</v>
      </c>
      <c r="Y112" s="28">
        <f t="shared" si="9"/>
        <v>0</v>
      </c>
      <c r="Z112" s="2">
        <v>0</v>
      </c>
      <c r="AA112" s="2">
        <v>0</v>
      </c>
      <c r="AB112" s="2">
        <v>0</v>
      </c>
      <c r="AC112" s="2">
        <v>0</v>
      </c>
      <c r="AD112" s="2">
        <v>0</v>
      </c>
      <c r="AE112" s="2">
        <v>0</v>
      </c>
      <c r="AF112" s="2">
        <v>0</v>
      </c>
      <c r="AG112" s="2">
        <v>0</v>
      </c>
      <c r="AH112" s="2">
        <v>0</v>
      </c>
      <c r="AI112" s="2">
        <v>1</v>
      </c>
      <c r="AJ112" s="2" t="s">
        <v>91</v>
      </c>
      <c r="AK112" s="2">
        <v>0</v>
      </c>
      <c r="AL112" s="2">
        <v>0</v>
      </c>
      <c r="AM112" s="2">
        <v>1</v>
      </c>
      <c r="AN112" s="2">
        <f t="shared" si="10"/>
        <v>0</v>
      </c>
      <c r="AO112" s="2">
        <f t="shared" si="11"/>
        <v>0</v>
      </c>
      <c r="AP112" s="2">
        <f t="shared" si="12"/>
        <v>1</v>
      </c>
      <c r="AQ112" s="2">
        <v>1</v>
      </c>
      <c r="AR112" s="2">
        <v>0</v>
      </c>
      <c r="AW112" s="2">
        <v>0</v>
      </c>
      <c r="BA112" s="2">
        <v>0</v>
      </c>
      <c r="BB112" s="2">
        <v>0</v>
      </c>
      <c r="BC112" s="2">
        <f t="shared" si="14"/>
        <v>0</v>
      </c>
      <c r="BD112" s="2">
        <f t="shared" si="15"/>
        <v>0</v>
      </c>
      <c r="BE112" s="2">
        <v>0</v>
      </c>
      <c r="BF112" s="2">
        <f t="shared" si="16"/>
        <v>0</v>
      </c>
      <c r="BG112" s="2" t="s">
        <v>206</v>
      </c>
    </row>
    <row r="113" spans="1:59">
      <c r="A113" s="2">
        <v>112</v>
      </c>
      <c r="B113" s="5">
        <v>45406</v>
      </c>
      <c r="C113" s="5">
        <v>45412</v>
      </c>
      <c r="D113" s="2">
        <f t="shared" si="18"/>
        <v>6</v>
      </c>
      <c r="E113" s="2">
        <v>28</v>
      </c>
      <c r="F113" s="2">
        <v>1</v>
      </c>
      <c r="G113" s="2">
        <v>2</v>
      </c>
      <c r="H113" s="2">
        <v>0</v>
      </c>
      <c r="I113" s="2">
        <v>0</v>
      </c>
      <c r="J113" s="2">
        <v>0</v>
      </c>
      <c r="K113" s="2">
        <v>0</v>
      </c>
      <c r="L113" s="2">
        <v>0</v>
      </c>
      <c r="M113" s="2">
        <v>0</v>
      </c>
      <c r="N113" s="2">
        <v>0</v>
      </c>
      <c r="P113" t="s">
        <v>208</v>
      </c>
      <c r="Q113" s="2">
        <v>0</v>
      </c>
      <c r="R113" s="2">
        <v>0</v>
      </c>
      <c r="S113" s="2">
        <v>0</v>
      </c>
      <c r="T113" s="2">
        <v>1</v>
      </c>
      <c r="U113" s="2">
        <v>0</v>
      </c>
      <c r="V113" s="2">
        <v>1</v>
      </c>
      <c r="W113" s="5">
        <v>45406</v>
      </c>
      <c r="X113" s="5">
        <v>45406</v>
      </c>
      <c r="Y113" s="28">
        <f t="shared" si="9"/>
        <v>0</v>
      </c>
      <c r="Z113" s="2">
        <v>0</v>
      </c>
      <c r="AA113" s="2">
        <v>0</v>
      </c>
      <c r="AB113" s="2">
        <v>0</v>
      </c>
      <c r="AC113" s="2">
        <v>0</v>
      </c>
      <c r="AD113" s="2">
        <v>0</v>
      </c>
      <c r="AE113" s="2">
        <v>0</v>
      </c>
      <c r="AF113" s="2">
        <v>0</v>
      </c>
      <c r="AG113" s="2">
        <v>0</v>
      </c>
      <c r="AH113" s="2">
        <v>0</v>
      </c>
      <c r="AI113" s="2">
        <v>1</v>
      </c>
      <c r="AJ113" s="2" t="s">
        <v>91</v>
      </c>
      <c r="AK113" s="2">
        <v>0</v>
      </c>
      <c r="AL113" s="2">
        <v>0</v>
      </c>
      <c r="AM113" s="2">
        <v>1</v>
      </c>
      <c r="AN113" s="2">
        <f t="shared" si="10"/>
        <v>0</v>
      </c>
      <c r="AO113" s="2">
        <f t="shared" si="11"/>
        <v>0</v>
      </c>
      <c r="AP113" s="2">
        <f t="shared" si="12"/>
        <v>1</v>
      </c>
      <c r="AQ113" s="2">
        <v>1</v>
      </c>
      <c r="AR113" s="2">
        <v>0</v>
      </c>
      <c r="AW113" s="2">
        <v>0</v>
      </c>
      <c r="BA113" s="2">
        <v>0</v>
      </c>
      <c r="BB113" s="2">
        <v>0</v>
      </c>
      <c r="BC113" s="2">
        <f t="shared" si="14"/>
        <v>0</v>
      </c>
      <c r="BD113" s="2">
        <f t="shared" si="15"/>
        <v>0</v>
      </c>
      <c r="BE113" s="2">
        <v>0</v>
      </c>
      <c r="BF113" s="2">
        <f t="shared" si="16"/>
        <v>0</v>
      </c>
      <c r="BG113" s="2" t="s">
        <v>206</v>
      </c>
    </row>
    <row r="114" spans="1:59">
      <c r="A114" s="2">
        <v>113</v>
      </c>
      <c r="B114" s="5">
        <v>45407</v>
      </c>
      <c r="C114" s="5">
        <v>45431</v>
      </c>
      <c r="D114" s="2">
        <f t="shared" si="18"/>
        <v>24</v>
      </c>
      <c r="E114" s="2">
        <v>89</v>
      </c>
      <c r="F114" s="2">
        <v>2</v>
      </c>
      <c r="G114" s="2">
        <v>3</v>
      </c>
      <c r="H114" s="2">
        <v>0</v>
      </c>
      <c r="I114" s="2">
        <v>0</v>
      </c>
      <c r="J114" s="2">
        <v>0</v>
      </c>
      <c r="K114" s="2">
        <v>0</v>
      </c>
      <c r="L114" s="2">
        <v>0</v>
      </c>
      <c r="M114" s="2">
        <v>0</v>
      </c>
      <c r="N114" s="2">
        <v>0</v>
      </c>
      <c r="P114" t="s">
        <v>195</v>
      </c>
      <c r="Q114" s="2">
        <v>0</v>
      </c>
      <c r="R114" s="2">
        <v>0</v>
      </c>
      <c r="S114" s="2">
        <v>0</v>
      </c>
      <c r="T114" s="2">
        <v>1</v>
      </c>
      <c r="U114" s="2">
        <v>0</v>
      </c>
      <c r="V114" s="2">
        <v>1</v>
      </c>
      <c r="W114" s="5">
        <v>45407</v>
      </c>
      <c r="X114" s="5">
        <v>45407</v>
      </c>
      <c r="Y114" s="28">
        <f t="shared" si="9"/>
        <v>0</v>
      </c>
      <c r="Z114" s="2">
        <v>0</v>
      </c>
      <c r="AA114" s="2">
        <v>0</v>
      </c>
      <c r="AB114" s="2">
        <v>0</v>
      </c>
      <c r="AC114" s="2">
        <v>0</v>
      </c>
      <c r="AD114" s="2">
        <v>0</v>
      </c>
      <c r="AE114" s="2">
        <v>0</v>
      </c>
      <c r="AF114" s="2">
        <v>0</v>
      </c>
      <c r="AG114" s="2">
        <v>0</v>
      </c>
      <c r="AH114" s="2">
        <v>0</v>
      </c>
      <c r="AI114" s="2">
        <v>1</v>
      </c>
      <c r="AJ114" s="2" t="s">
        <v>217</v>
      </c>
      <c r="AK114" s="2">
        <v>0</v>
      </c>
      <c r="AL114" s="2">
        <v>0</v>
      </c>
      <c r="AM114" s="2">
        <v>1</v>
      </c>
      <c r="AN114" s="2">
        <f t="shared" si="10"/>
        <v>0</v>
      </c>
      <c r="AO114" s="2">
        <f t="shared" si="11"/>
        <v>0</v>
      </c>
      <c r="AP114" s="2">
        <f t="shared" si="12"/>
        <v>1</v>
      </c>
      <c r="AQ114" s="2">
        <v>1</v>
      </c>
      <c r="AR114" s="11">
        <v>1</v>
      </c>
      <c r="AS114" s="5">
        <v>45419</v>
      </c>
      <c r="AT114" s="2">
        <v>0</v>
      </c>
      <c r="AU114" s="2">
        <v>1</v>
      </c>
      <c r="AV114" s="2">
        <f t="shared" si="13"/>
        <v>12</v>
      </c>
      <c r="AW114" s="2">
        <v>0</v>
      </c>
      <c r="BA114" s="2">
        <v>0</v>
      </c>
      <c r="BB114" s="2">
        <v>0</v>
      </c>
      <c r="BC114" s="2">
        <f t="shared" si="14"/>
        <v>0</v>
      </c>
      <c r="BD114" s="2">
        <f t="shared" si="15"/>
        <v>0</v>
      </c>
      <c r="BE114" s="2">
        <v>0</v>
      </c>
      <c r="BF114" s="2">
        <f t="shared" si="16"/>
        <v>0</v>
      </c>
      <c r="BG114" s="2" t="s">
        <v>228</v>
      </c>
    </row>
    <row r="115" spans="1:59">
      <c r="A115" s="8">
        <v>114</v>
      </c>
      <c r="B115" s="5">
        <v>45408</v>
      </c>
      <c r="C115" s="6">
        <v>45429</v>
      </c>
      <c r="D115" s="2">
        <f t="shared" si="18"/>
        <v>21</v>
      </c>
      <c r="E115" s="2">
        <v>88</v>
      </c>
      <c r="F115" s="2">
        <v>2</v>
      </c>
      <c r="G115" s="2">
        <v>2</v>
      </c>
      <c r="H115" s="2">
        <v>1</v>
      </c>
      <c r="I115" s="2">
        <v>0</v>
      </c>
      <c r="J115" s="2">
        <v>0</v>
      </c>
      <c r="K115" s="2">
        <v>1</v>
      </c>
      <c r="L115" s="2">
        <v>0</v>
      </c>
      <c r="M115" s="2">
        <v>0</v>
      </c>
      <c r="N115" s="2">
        <v>1</v>
      </c>
      <c r="O115" s="2" t="s">
        <v>181</v>
      </c>
      <c r="P115" t="s">
        <v>179</v>
      </c>
      <c r="Q115" s="2">
        <v>0</v>
      </c>
      <c r="R115" s="2">
        <v>0</v>
      </c>
      <c r="S115" s="2">
        <v>0</v>
      </c>
      <c r="T115" s="2">
        <v>1</v>
      </c>
      <c r="U115" s="2">
        <v>0</v>
      </c>
      <c r="V115" s="2">
        <v>1</v>
      </c>
      <c r="W115" s="5">
        <v>45408</v>
      </c>
      <c r="X115" s="5">
        <v>45408</v>
      </c>
      <c r="Y115" s="28">
        <f t="shared" si="9"/>
        <v>0</v>
      </c>
      <c r="Z115" s="2">
        <v>0</v>
      </c>
      <c r="AA115" s="2">
        <v>0</v>
      </c>
      <c r="AB115" s="2">
        <v>0</v>
      </c>
      <c r="AC115" s="2">
        <v>0</v>
      </c>
      <c r="AD115" s="2">
        <v>0</v>
      </c>
      <c r="AE115" s="2">
        <v>0</v>
      </c>
      <c r="AF115" s="2">
        <v>0</v>
      </c>
      <c r="AG115" s="2">
        <v>0</v>
      </c>
      <c r="AH115" s="2">
        <v>0</v>
      </c>
      <c r="AI115" s="2">
        <v>1</v>
      </c>
      <c r="AJ115" s="2" t="s">
        <v>229</v>
      </c>
      <c r="AK115" s="2">
        <v>0</v>
      </c>
      <c r="AL115" s="2">
        <v>0</v>
      </c>
      <c r="AM115" s="2">
        <v>1</v>
      </c>
      <c r="AN115" s="2">
        <f t="shared" si="10"/>
        <v>0</v>
      </c>
      <c r="AO115" s="2">
        <f t="shared" si="11"/>
        <v>0</v>
      </c>
      <c r="AP115" s="2">
        <f t="shared" si="12"/>
        <v>1</v>
      </c>
      <c r="AQ115" s="2">
        <v>0</v>
      </c>
      <c r="AR115" s="2">
        <v>1</v>
      </c>
      <c r="AS115" s="5">
        <v>45419</v>
      </c>
      <c r="AT115" s="2">
        <v>0</v>
      </c>
      <c r="AU115" s="2">
        <v>1</v>
      </c>
      <c r="AV115" s="2">
        <f t="shared" si="13"/>
        <v>11</v>
      </c>
      <c r="AW115" s="2">
        <v>0</v>
      </c>
      <c r="BA115" s="2">
        <v>0</v>
      </c>
      <c r="BB115" s="2">
        <v>0</v>
      </c>
      <c r="BC115" s="2">
        <v>0</v>
      </c>
      <c r="BD115" s="2">
        <f t="shared" si="15"/>
        <v>1</v>
      </c>
      <c r="BE115" s="2">
        <v>0</v>
      </c>
      <c r="BF115" s="2">
        <f t="shared" si="16"/>
        <v>0</v>
      </c>
      <c r="BG115" s="2" t="s">
        <v>206</v>
      </c>
    </row>
    <row r="116" spans="1:59">
      <c r="A116" s="2">
        <v>115</v>
      </c>
      <c r="B116" s="5">
        <v>45409</v>
      </c>
      <c r="C116" s="5">
        <v>45413</v>
      </c>
      <c r="D116" s="2">
        <f t="shared" si="18"/>
        <v>4</v>
      </c>
      <c r="E116" s="2">
        <v>43</v>
      </c>
      <c r="F116" s="2">
        <v>2</v>
      </c>
      <c r="G116" s="2">
        <v>2</v>
      </c>
      <c r="H116" s="2">
        <v>1</v>
      </c>
      <c r="I116" s="2">
        <v>0</v>
      </c>
      <c r="J116" s="2">
        <v>0</v>
      </c>
      <c r="K116" s="2">
        <v>0</v>
      </c>
      <c r="L116" s="2">
        <v>0</v>
      </c>
      <c r="M116" s="2">
        <v>0</v>
      </c>
      <c r="N116" s="2">
        <v>1</v>
      </c>
      <c r="O116" s="2" t="s">
        <v>230</v>
      </c>
      <c r="P116" t="s">
        <v>208</v>
      </c>
      <c r="Q116" s="2">
        <v>0</v>
      </c>
      <c r="R116" s="2">
        <v>0</v>
      </c>
      <c r="S116" s="2">
        <v>0</v>
      </c>
      <c r="T116" s="2">
        <v>1</v>
      </c>
      <c r="U116" s="2">
        <v>0</v>
      </c>
      <c r="V116" s="2">
        <v>1</v>
      </c>
      <c r="W116" s="5">
        <v>45409</v>
      </c>
      <c r="X116" s="5">
        <v>45409</v>
      </c>
      <c r="Y116" s="28">
        <f t="shared" si="9"/>
        <v>0</v>
      </c>
      <c r="Z116" s="2">
        <v>0</v>
      </c>
      <c r="AA116" s="2">
        <v>0</v>
      </c>
      <c r="AB116" s="2">
        <v>0</v>
      </c>
      <c r="AC116" s="2">
        <v>0</v>
      </c>
      <c r="AD116" s="2">
        <v>0</v>
      </c>
      <c r="AE116" s="2">
        <v>0</v>
      </c>
      <c r="AF116" s="2">
        <v>0</v>
      </c>
      <c r="AG116" s="2">
        <v>0</v>
      </c>
      <c r="AH116" s="2">
        <v>0</v>
      </c>
      <c r="AI116" s="2">
        <v>1</v>
      </c>
      <c r="AJ116" s="2" t="s">
        <v>91</v>
      </c>
      <c r="AK116" s="2">
        <v>0</v>
      </c>
      <c r="AL116" s="2">
        <v>0</v>
      </c>
      <c r="AM116" s="2">
        <v>1</v>
      </c>
      <c r="AN116" s="2">
        <f t="shared" si="10"/>
        <v>0</v>
      </c>
      <c r="AO116" s="2">
        <f t="shared" si="11"/>
        <v>0</v>
      </c>
      <c r="AP116" s="2">
        <f t="shared" si="12"/>
        <v>1</v>
      </c>
      <c r="AQ116" s="2">
        <v>1</v>
      </c>
      <c r="AR116" s="2">
        <v>1</v>
      </c>
      <c r="AS116" s="5">
        <v>45411</v>
      </c>
      <c r="AT116" s="2">
        <v>0</v>
      </c>
      <c r="AU116" s="2">
        <v>0</v>
      </c>
      <c r="AV116" s="2">
        <f t="shared" si="13"/>
        <v>2</v>
      </c>
      <c r="AW116" s="2">
        <v>0</v>
      </c>
      <c r="BA116" s="2">
        <v>0</v>
      </c>
      <c r="BB116" s="2">
        <v>0</v>
      </c>
      <c r="BC116" s="2">
        <f t="shared" si="14"/>
        <v>0</v>
      </c>
      <c r="BD116" s="2">
        <f t="shared" si="15"/>
        <v>0</v>
      </c>
      <c r="BE116" s="2">
        <v>0</v>
      </c>
      <c r="BF116" s="2">
        <f t="shared" si="16"/>
        <v>0</v>
      </c>
      <c r="BG116" s="2" t="s">
        <v>206</v>
      </c>
    </row>
    <row r="117" spans="1:59">
      <c r="A117" s="2">
        <v>116</v>
      </c>
      <c r="B117" s="5">
        <v>45412</v>
      </c>
      <c r="C117" s="5">
        <v>45419</v>
      </c>
      <c r="D117" s="2">
        <f t="shared" si="18"/>
        <v>7</v>
      </c>
      <c r="E117" s="2">
        <v>92</v>
      </c>
      <c r="F117" s="2">
        <v>1</v>
      </c>
      <c r="G117" s="2">
        <v>2</v>
      </c>
      <c r="H117" s="2">
        <v>0</v>
      </c>
      <c r="I117" s="2">
        <v>0</v>
      </c>
      <c r="J117" s="2">
        <v>0</v>
      </c>
      <c r="K117" s="2">
        <v>0</v>
      </c>
      <c r="L117" s="2">
        <v>0</v>
      </c>
      <c r="M117" s="2">
        <v>0</v>
      </c>
      <c r="N117" s="2">
        <v>0</v>
      </c>
      <c r="P117" t="s">
        <v>208</v>
      </c>
      <c r="Q117" s="2">
        <v>0</v>
      </c>
      <c r="R117" s="2">
        <v>0</v>
      </c>
      <c r="S117" s="2">
        <v>0</v>
      </c>
      <c r="T117" s="2">
        <v>1</v>
      </c>
      <c r="U117" s="2">
        <v>0</v>
      </c>
      <c r="V117" s="2">
        <v>1</v>
      </c>
      <c r="W117" s="5">
        <v>45412</v>
      </c>
      <c r="X117" s="5">
        <v>45412</v>
      </c>
      <c r="Y117" s="28">
        <f t="shared" ref="Y117:Y135" si="19">X117-W117</f>
        <v>0</v>
      </c>
      <c r="Z117" s="2">
        <v>0</v>
      </c>
      <c r="AA117" s="2">
        <v>0</v>
      </c>
      <c r="AB117" s="2">
        <v>0</v>
      </c>
      <c r="AC117" s="2">
        <v>0</v>
      </c>
      <c r="AD117" s="2">
        <v>0</v>
      </c>
      <c r="AE117" s="2">
        <v>0</v>
      </c>
      <c r="AF117" s="2">
        <v>0</v>
      </c>
      <c r="AG117" s="2">
        <v>0</v>
      </c>
      <c r="AH117" s="2">
        <v>0</v>
      </c>
      <c r="AI117" s="2">
        <v>1</v>
      </c>
      <c r="AJ117" s="2" t="s">
        <v>68</v>
      </c>
      <c r="AK117" s="2">
        <v>0</v>
      </c>
      <c r="AL117" s="2">
        <v>0</v>
      </c>
      <c r="AM117" s="2">
        <v>1</v>
      </c>
      <c r="AN117" s="2">
        <f t="shared" si="10"/>
        <v>0</v>
      </c>
      <c r="AO117" s="2">
        <f t="shared" si="11"/>
        <v>0</v>
      </c>
      <c r="AP117" s="2">
        <f t="shared" si="12"/>
        <v>1</v>
      </c>
      <c r="AQ117" s="2">
        <v>1</v>
      </c>
      <c r="AR117" s="2">
        <v>0</v>
      </c>
      <c r="AW117" s="2">
        <v>0</v>
      </c>
      <c r="BA117" s="2">
        <v>0</v>
      </c>
      <c r="BB117" s="2">
        <v>0</v>
      </c>
      <c r="BC117" s="2">
        <f t="shared" si="14"/>
        <v>0</v>
      </c>
      <c r="BD117" s="2">
        <f t="shared" si="15"/>
        <v>0</v>
      </c>
      <c r="BE117" s="2">
        <v>0</v>
      </c>
      <c r="BF117" s="2">
        <f t="shared" si="16"/>
        <v>0</v>
      </c>
      <c r="BG117" s="2" t="s">
        <v>231</v>
      </c>
    </row>
    <row r="118" spans="1:59">
      <c r="A118" s="2">
        <v>117</v>
      </c>
      <c r="B118" s="5">
        <v>45352</v>
      </c>
      <c r="C118" s="5">
        <v>45359</v>
      </c>
      <c r="D118" s="2">
        <f t="shared" si="18"/>
        <v>7</v>
      </c>
      <c r="E118" s="2">
        <v>82</v>
      </c>
      <c r="F118" s="2">
        <v>2</v>
      </c>
      <c r="G118" s="2">
        <v>2</v>
      </c>
      <c r="H118" s="2">
        <v>0</v>
      </c>
      <c r="I118" s="2">
        <v>0</v>
      </c>
      <c r="J118" s="2">
        <v>0</v>
      </c>
      <c r="K118" s="2">
        <v>0</v>
      </c>
      <c r="L118" s="2">
        <v>0</v>
      </c>
      <c r="M118" s="2">
        <v>0</v>
      </c>
      <c r="N118" s="2">
        <v>0</v>
      </c>
      <c r="P118" t="s">
        <v>208</v>
      </c>
      <c r="Q118" s="2">
        <v>0</v>
      </c>
      <c r="R118" s="2">
        <v>0</v>
      </c>
      <c r="S118" s="2">
        <v>0</v>
      </c>
      <c r="T118" s="2">
        <v>1</v>
      </c>
      <c r="U118" s="2">
        <v>0</v>
      </c>
      <c r="V118" s="2">
        <v>1</v>
      </c>
      <c r="W118" s="5">
        <v>45352</v>
      </c>
      <c r="X118" s="5">
        <v>45352</v>
      </c>
      <c r="Y118" s="28">
        <f t="shared" si="19"/>
        <v>0</v>
      </c>
      <c r="Z118" s="2">
        <v>0</v>
      </c>
      <c r="AA118" s="2">
        <v>0</v>
      </c>
      <c r="AB118" s="2">
        <v>0</v>
      </c>
      <c r="AC118" s="2">
        <v>0</v>
      </c>
      <c r="AD118" s="2">
        <v>0</v>
      </c>
      <c r="AE118" s="2">
        <v>0</v>
      </c>
      <c r="AF118" s="2">
        <v>0</v>
      </c>
      <c r="AG118" s="2">
        <v>0</v>
      </c>
      <c r="AH118" s="2">
        <v>0</v>
      </c>
      <c r="AI118" s="2">
        <v>1</v>
      </c>
      <c r="AJ118" s="2" t="s">
        <v>117</v>
      </c>
      <c r="AK118" s="2">
        <v>0</v>
      </c>
      <c r="AL118" s="2">
        <v>0</v>
      </c>
      <c r="AM118" s="2">
        <v>1</v>
      </c>
      <c r="AN118" s="2">
        <f t="shared" si="10"/>
        <v>0</v>
      </c>
      <c r="AO118" s="2">
        <f t="shared" si="11"/>
        <v>0</v>
      </c>
      <c r="AP118" s="2">
        <f t="shared" si="12"/>
        <v>1</v>
      </c>
      <c r="AQ118" s="2">
        <v>1</v>
      </c>
      <c r="AR118" s="2">
        <v>0</v>
      </c>
      <c r="AW118" s="2">
        <v>0</v>
      </c>
      <c r="BA118" s="2">
        <v>0</v>
      </c>
      <c r="BB118" s="2">
        <v>0</v>
      </c>
      <c r="BC118" s="2">
        <f t="shared" si="14"/>
        <v>0</v>
      </c>
      <c r="BD118" s="2">
        <f t="shared" si="15"/>
        <v>0</v>
      </c>
      <c r="BE118" s="2">
        <v>0</v>
      </c>
      <c r="BF118" s="2">
        <f t="shared" si="16"/>
        <v>0</v>
      </c>
      <c r="BG118" s="2" t="s">
        <v>231</v>
      </c>
    </row>
    <row r="119" spans="1:59">
      <c r="A119" s="2">
        <v>118</v>
      </c>
      <c r="B119" s="5">
        <v>45353</v>
      </c>
      <c r="C119" s="5">
        <v>45360</v>
      </c>
      <c r="D119" s="2">
        <f t="shared" si="18"/>
        <v>7</v>
      </c>
      <c r="E119" s="2">
        <v>44</v>
      </c>
      <c r="F119" s="2">
        <v>2</v>
      </c>
      <c r="G119" s="2">
        <v>3</v>
      </c>
      <c r="H119" s="2">
        <v>1</v>
      </c>
      <c r="I119" s="2">
        <v>0</v>
      </c>
      <c r="J119" s="2">
        <v>0</v>
      </c>
      <c r="K119" s="2">
        <v>0</v>
      </c>
      <c r="L119" s="2">
        <v>1</v>
      </c>
      <c r="M119" s="2">
        <v>0</v>
      </c>
      <c r="N119" s="2">
        <v>0</v>
      </c>
      <c r="P119" t="s">
        <v>195</v>
      </c>
      <c r="Q119" s="2">
        <v>0</v>
      </c>
      <c r="R119" s="2">
        <v>0</v>
      </c>
      <c r="S119" s="2">
        <v>0</v>
      </c>
      <c r="T119" s="2">
        <v>1</v>
      </c>
      <c r="U119" s="2">
        <v>0</v>
      </c>
      <c r="V119" s="2">
        <v>1</v>
      </c>
      <c r="W119" s="5">
        <v>45353</v>
      </c>
      <c r="X119" s="5">
        <v>45353</v>
      </c>
      <c r="Y119" s="28">
        <f t="shared" si="19"/>
        <v>0</v>
      </c>
      <c r="Z119" s="2">
        <v>0</v>
      </c>
      <c r="AA119" s="2">
        <v>0</v>
      </c>
      <c r="AB119" s="2">
        <v>0</v>
      </c>
      <c r="AC119" s="2">
        <v>0</v>
      </c>
      <c r="AD119" s="2">
        <v>0</v>
      </c>
      <c r="AE119" s="2">
        <v>0</v>
      </c>
      <c r="AF119" s="2">
        <v>0</v>
      </c>
      <c r="AG119" s="2">
        <v>0</v>
      </c>
      <c r="AH119" s="2">
        <v>0</v>
      </c>
      <c r="AI119" s="2">
        <v>1</v>
      </c>
      <c r="AJ119" s="2" t="s">
        <v>91</v>
      </c>
      <c r="AK119" s="2">
        <v>0</v>
      </c>
      <c r="AL119" s="2">
        <v>1</v>
      </c>
      <c r="AM119" s="2">
        <v>1</v>
      </c>
      <c r="AN119" s="2">
        <f t="shared" si="10"/>
        <v>1</v>
      </c>
      <c r="AO119" s="2">
        <f t="shared" si="11"/>
        <v>0</v>
      </c>
      <c r="AP119" s="2">
        <f t="shared" si="12"/>
        <v>0</v>
      </c>
      <c r="AQ119" s="2">
        <v>1</v>
      </c>
      <c r="AR119" s="2">
        <v>0</v>
      </c>
      <c r="AW119" s="2">
        <v>0</v>
      </c>
      <c r="BA119" s="2">
        <v>0</v>
      </c>
      <c r="BB119" s="2">
        <v>0</v>
      </c>
      <c r="BC119" s="2">
        <f t="shared" si="14"/>
        <v>0</v>
      </c>
      <c r="BD119" s="2">
        <f t="shared" si="15"/>
        <v>0</v>
      </c>
      <c r="BE119" s="2">
        <v>0</v>
      </c>
      <c r="BF119" s="2">
        <f t="shared" si="16"/>
        <v>0</v>
      </c>
      <c r="BG119" s="2" t="s">
        <v>232</v>
      </c>
    </row>
    <row r="120" spans="1:59">
      <c r="A120" s="2">
        <v>119</v>
      </c>
      <c r="B120" s="5">
        <v>45354</v>
      </c>
      <c r="C120" s="5">
        <v>45365</v>
      </c>
      <c r="D120" s="2">
        <f t="shared" si="18"/>
        <v>11</v>
      </c>
      <c r="E120" s="2">
        <v>65</v>
      </c>
      <c r="F120" s="2">
        <v>1</v>
      </c>
      <c r="G120" s="2">
        <v>2</v>
      </c>
      <c r="H120" s="2">
        <v>0</v>
      </c>
      <c r="I120" s="2">
        <v>0</v>
      </c>
      <c r="J120" s="2">
        <v>0</v>
      </c>
      <c r="K120" s="2">
        <v>0</v>
      </c>
      <c r="L120" s="2">
        <v>0</v>
      </c>
      <c r="M120" s="2">
        <v>0</v>
      </c>
      <c r="N120" s="2">
        <v>0</v>
      </c>
      <c r="P120" t="s">
        <v>179</v>
      </c>
      <c r="Q120" s="2">
        <v>0</v>
      </c>
      <c r="R120" s="2">
        <v>0</v>
      </c>
      <c r="S120" s="2">
        <v>0</v>
      </c>
      <c r="T120" s="2">
        <v>1</v>
      </c>
      <c r="U120" s="2">
        <v>0</v>
      </c>
      <c r="V120" s="2">
        <v>1</v>
      </c>
      <c r="W120" s="5">
        <v>45354</v>
      </c>
      <c r="X120" s="5">
        <v>45354</v>
      </c>
      <c r="Y120" s="28">
        <f t="shared" si="19"/>
        <v>0</v>
      </c>
      <c r="Z120" s="2">
        <v>0</v>
      </c>
      <c r="AA120" s="2">
        <v>0</v>
      </c>
      <c r="AB120" s="2">
        <v>0</v>
      </c>
      <c r="AC120" s="2">
        <v>0</v>
      </c>
      <c r="AD120" s="2">
        <v>0</v>
      </c>
      <c r="AE120" s="2">
        <v>0</v>
      </c>
      <c r="AF120" s="2">
        <v>0</v>
      </c>
      <c r="AG120" s="2">
        <v>0</v>
      </c>
      <c r="AH120" s="2">
        <v>0</v>
      </c>
      <c r="AI120" s="2">
        <v>1</v>
      </c>
      <c r="AJ120" s="2" t="s">
        <v>233</v>
      </c>
      <c r="AK120" s="2">
        <v>0</v>
      </c>
      <c r="AL120" s="2">
        <v>0</v>
      </c>
      <c r="AM120" s="2">
        <v>1</v>
      </c>
      <c r="AN120" s="2">
        <f t="shared" si="10"/>
        <v>0</v>
      </c>
      <c r="AO120" s="2">
        <f t="shared" si="11"/>
        <v>0</v>
      </c>
      <c r="AP120" s="2">
        <f t="shared" si="12"/>
        <v>1</v>
      </c>
      <c r="AQ120" s="2">
        <v>1</v>
      </c>
      <c r="AR120" s="2">
        <v>1</v>
      </c>
      <c r="AS120" s="5">
        <v>45357</v>
      </c>
      <c r="AT120" s="2">
        <v>0</v>
      </c>
      <c r="AU120" s="2">
        <v>0</v>
      </c>
      <c r="AV120" s="2">
        <f t="shared" si="13"/>
        <v>3</v>
      </c>
      <c r="AW120" s="2">
        <v>0</v>
      </c>
      <c r="BA120" s="2">
        <v>0</v>
      </c>
      <c r="BB120" s="2">
        <v>0</v>
      </c>
      <c r="BC120" s="2">
        <f t="shared" si="14"/>
        <v>0</v>
      </c>
      <c r="BD120" s="2">
        <f t="shared" si="15"/>
        <v>0</v>
      </c>
      <c r="BE120" s="2">
        <v>0</v>
      </c>
      <c r="BF120" s="2">
        <f t="shared" si="16"/>
        <v>0</v>
      </c>
      <c r="BG120" s="2" t="s">
        <v>206</v>
      </c>
    </row>
    <row r="121" spans="1:59">
      <c r="A121" s="2">
        <v>120</v>
      </c>
      <c r="B121" s="5">
        <v>45354</v>
      </c>
      <c r="C121" s="5">
        <v>45358</v>
      </c>
      <c r="D121" s="2">
        <f t="shared" si="18"/>
        <v>4</v>
      </c>
      <c r="E121" s="2">
        <v>77</v>
      </c>
      <c r="F121" s="2">
        <v>2</v>
      </c>
      <c r="G121" s="2">
        <v>3</v>
      </c>
      <c r="H121" s="2">
        <v>0</v>
      </c>
      <c r="I121" s="2">
        <v>0</v>
      </c>
      <c r="J121" s="2">
        <v>0</v>
      </c>
      <c r="K121" s="2">
        <v>0</v>
      </c>
      <c r="L121" s="2">
        <v>0</v>
      </c>
      <c r="M121" s="2">
        <v>0</v>
      </c>
      <c r="N121" s="2">
        <v>0</v>
      </c>
      <c r="P121" t="s">
        <v>208</v>
      </c>
      <c r="Q121" s="2">
        <v>0</v>
      </c>
      <c r="R121" s="2">
        <v>0</v>
      </c>
      <c r="S121" s="2">
        <v>0</v>
      </c>
      <c r="T121" s="2">
        <v>1</v>
      </c>
      <c r="U121" s="2">
        <v>0</v>
      </c>
      <c r="V121" s="2">
        <v>1</v>
      </c>
      <c r="W121" s="5">
        <v>45354</v>
      </c>
      <c r="X121" s="5">
        <v>45354</v>
      </c>
      <c r="Y121" s="28">
        <f t="shared" si="19"/>
        <v>0</v>
      </c>
      <c r="Z121" s="2">
        <v>0</v>
      </c>
      <c r="AA121" s="2">
        <v>0</v>
      </c>
      <c r="AB121" s="2">
        <v>0</v>
      </c>
      <c r="AC121" s="2">
        <v>0</v>
      </c>
      <c r="AD121" s="2">
        <v>0</v>
      </c>
      <c r="AE121" s="2">
        <v>0</v>
      </c>
      <c r="AF121" s="2">
        <v>0</v>
      </c>
      <c r="AG121" s="2">
        <v>0</v>
      </c>
      <c r="AH121" s="2">
        <v>0</v>
      </c>
      <c r="AI121" s="2">
        <v>1</v>
      </c>
      <c r="AJ121" s="2" t="s">
        <v>91</v>
      </c>
      <c r="AK121" s="2">
        <v>0</v>
      </c>
      <c r="AL121" s="2">
        <v>1</v>
      </c>
      <c r="AM121" s="2">
        <v>1</v>
      </c>
      <c r="AN121" s="2">
        <f t="shared" si="10"/>
        <v>1</v>
      </c>
      <c r="AO121" s="2">
        <f t="shared" si="11"/>
        <v>0</v>
      </c>
      <c r="AP121" s="2">
        <f t="shared" si="12"/>
        <v>0</v>
      </c>
      <c r="AQ121" s="2">
        <v>1</v>
      </c>
      <c r="AR121" s="2">
        <v>1</v>
      </c>
      <c r="AS121" s="5">
        <v>45357</v>
      </c>
      <c r="AT121" s="2">
        <v>0</v>
      </c>
      <c r="AU121" s="2">
        <v>0</v>
      </c>
      <c r="AV121" s="2">
        <f t="shared" si="13"/>
        <v>3</v>
      </c>
      <c r="AW121" s="2">
        <v>0</v>
      </c>
      <c r="BA121" s="2">
        <v>0</v>
      </c>
      <c r="BB121" s="2">
        <v>0</v>
      </c>
      <c r="BC121" s="2">
        <f t="shared" si="14"/>
        <v>0</v>
      </c>
      <c r="BD121" s="2">
        <f t="shared" si="15"/>
        <v>0</v>
      </c>
      <c r="BE121" s="2">
        <v>0</v>
      </c>
      <c r="BF121" s="2">
        <f t="shared" si="16"/>
        <v>0</v>
      </c>
      <c r="BG121" s="2" t="s">
        <v>206</v>
      </c>
    </row>
    <row r="122" spans="1:59">
      <c r="A122" s="2">
        <v>121</v>
      </c>
      <c r="B122" s="5">
        <v>45356</v>
      </c>
      <c r="C122" s="5">
        <v>45363</v>
      </c>
      <c r="D122" s="2">
        <f t="shared" si="18"/>
        <v>7</v>
      </c>
      <c r="E122" s="2">
        <v>70</v>
      </c>
      <c r="F122" s="2">
        <v>1</v>
      </c>
      <c r="G122" s="2">
        <v>2</v>
      </c>
      <c r="H122" s="2">
        <v>0</v>
      </c>
      <c r="I122" s="2">
        <v>0</v>
      </c>
      <c r="J122" s="2">
        <v>0</v>
      </c>
      <c r="K122" s="2">
        <v>0</v>
      </c>
      <c r="L122" s="2">
        <v>0</v>
      </c>
      <c r="M122" s="2">
        <v>0</v>
      </c>
      <c r="N122" s="2">
        <v>0</v>
      </c>
      <c r="P122" t="s">
        <v>179</v>
      </c>
      <c r="Q122" s="2">
        <v>0</v>
      </c>
      <c r="R122" s="2">
        <v>0</v>
      </c>
      <c r="S122" s="2">
        <v>0</v>
      </c>
      <c r="T122" s="2">
        <v>1</v>
      </c>
      <c r="U122" s="2">
        <v>0</v>
      </c>
      <c r="V122" s="2">
        <v>1</v>
      </c>
      <c r="W122" s="5">
        <v>45356</v>
      </c>
      <c r="X122" s="5">
        <v>45356</v>
      </c>
      <c r="Y122" s="28">
        <f t="shared" si="19"/>
        <v>0</v>
      </c>
      <c r="Z122" s="2">
        <v>0</v>
      </c>
      <c r="AA122" s="2">
        <v>0</v>
      </c>
      <c r="AB122" s="2">
        <v>0</v>
      </c>
      <c r="AC122" s="2">
        <v>0</v>
      </c>
      <c r="AD122" s="2">
        <v>0</v>
      </c>
      <c r="AE122" s="2">
        <v>0</v>
      </c>
      <c r="AF122" s="2">
        <v>0</v>
      </c>
      <c r="AG122" s="2">
        <v>0</v>
      </c>
      <c r="AH122" s="2">
        <v>0</v>
      </c>
      <c r="AI122" s="2">
        <v>1</v>
      </c>
      <c r="AJ122" s="2" t="s">
        <v>68</v>
      </c>
      <c r="AK122" s="2">
        <v>0</v>
      </c>
      <c r="AL122" s="2">
        <v>0</v>
      </c>
      <c r="AM122" s="2">
        <v>1</v>
      </c>
      <c r="AN122" s="2">
        <f t="shared" si="10"/>
        <v>0</v>
      </c>
      <c r="AO122" s="2">
        <f t="shared" si="11"/>
        <v>0</v>
      </c>
      <c r="AP122" s="2">
        <f t="shared" si="12"/>
        <v>1</v>
      </c>
      <c r="AQ122" s="2">
        <v>1</v>
      </c>
      <c r="AR122" s="2">
        <v>1</v>
      </c>
      <c r="AS122" s="5">
        <v>45362</v>
      </c>
      <c r="AT122" s="2">
        <v>0</v>
      </c>
      <c r="AU122" s="2">
        <v>1</v>
      </c>
      <c r="AV122" s="2">
        <f t="shared" si="13"/>
        <v>6</v>
      </c>
      <c r="AW122" s="2">
        <v>0</v>
      </c>
      <c r="BA122" s="2">
        <v>0</v>
      </c>
      <c r="BB122" s="2">
        <v>0</v>
      </c>
      <c r="BC122" s="2">
        <f t="shared" si="14"/>
        <v>0</v>
      </c>
      <c r="BD122" s="2">
        <f t="shared" si="15"/>
        <v>0</v>
      </c>
      <c r="BE122" s="2">
        <v>0</v>
      </c>
      <c r="BF122" s="2">
        <f t="shared" si="16"/>
        <v>0</v>
      </c>
      <c r="BG122" s="2" t="s">
        <v>234</v>
      </c>
    </row>
    <row r="123" spans="1:59">
      <c r="A123" s="2">
        <v>122</v>
      </c>
      <c r="B123" s="5">
        <v>45357</v>
      </c>
      <c r="C123" s="5">
        <v>45360</v>
      </c>
      <c r="D123" s="2">
        <f t="shared" si="18"/>
        <v>3</v>
      </c>
      <c r="E123" s="2">
        <v>70</v>
      </c>
      <c r="F123" s="2">
        <v>1</v>
      </c>
      <c r="G123" s="2">
        <v>3</v>
      </c>
      <c r="H123" s="2">
        <v>0</v>
      </c>
      <c r="I123" s="2">
        <v>0</v>
      </c>
      <c r="J123" s="2">
        <v>0</v>
      </c>
      <c r="K123" s="2">
        <v>0</v>
      </c>
      <c r="L123" s="2">
        <v>0</v>
      </c>
      <c r="M123" s="2">
        <v>0</v>
      </c>
      <c r="N123" s="2">
        <v>0</v>
      </c>
      <c r="P123" t="s">
        <v>195</v>
      </c>
      <c r="Q123" s="2">
        <v>0</v>
      </c>
      <c r="R123" s="2">
        <v>0</v>
      </c>
      <c r="S123" s="2">
        <v>0</v>
      </c>
      <c r="T123" s="2">
        <v>1</v>
      </c>
      <c r="U123" s="2">
        <v>0</v>
      </c>
      <c r="V123" s="2">
        <v>1</v>
      </c>
      <c r="W123" s="5">
        <v>45357</v>
      </c>
      <c r="X123" s="5">
        <v>45357</v>
      </c>
      <c r="Y123" s="28">
        <f t="shared" si="19"/>
        <v>0</v>
      </c>
      <c r="Z123" s="2">
        <v>0</v>
      </c>
      <c r="AA123" s="2">
        <v>0</v>
      </c>
      <c r="AB123" s="2">
        <v>0</v>
      </c>
      <c r="AC123" s="2">
        <v>0</v>
      </c>
      <c r="AD123" s="2">
        <v>0</v>
      </c>
      <c r="AE123" s="2">
        <v>0</v>
      </c>
      <c r="AF123" s="2">
        <v>0</v>
      </c>
      <c r="AG123" s="2">
        <v>0</v>
      </c>
      <c r="AH123" s="2">
        <v>0</v>
      </c>
      <c r="AI123" s="2">
        <v>1</v>
      </c>
      <c r="AJ123" s="2" t="s">
        <v>117</v>
      </c>
      <c r="AK123" s="2">
        <v>0</v>
      </c>
      <c r="AL123" s="2">
        <v>0</v>
      </c>
      <c r="AM123" s="2">
        <v>1</v>
      </c>
      <c r="AN123" s="2">
        <f t="shared" si="10"/>
        <v>0</v>
      </c>
      <c r="AO123" s="2">
        <f t="shared" si="11"/>
        <v>0</v>
      </c>
      <c r="AP123" s="2">
        <f t="shared" si="12"/>
        <v>1</v>
      </c>
      <c r="AQ123" s="2">
        <v>1</v>
      </c>
      <c r="AR123" s="2">
        <v>0</v>
      </c>
      <c r="AW123" s="2">
        <v>0</v>
      </c>
      <c r="BA123" s="2">
        <v>0</v>
      </c>
      <c r="BB123" s="2">
        <v>0</v>
      </c>
      <c r="BC123" s="2">
        <f t="shared" si="14"/>
        <v>0</v>
      </c>
      <c r="BD123" s="2">
        <f t="shared" si="15"/>
        <v>0</v>
      </c>
      <c r="BE123" s="2">
        <v>0</v>
      </c>
      <c r="BF123" s="2">
        <f t="shared" si="16"/>
        <v>0</v>
      </c>
      <c r="BG123" s="2" t="s">
        <v>235</v>
      </c>
    </row>
    <row r="124" spans="1:59">
      <c r="A124" s="2">
        <v>123</v>
      </c>
      <c r="B124" s="5">
        <v>45359</v>
      </c>
      <c r="C124" s="5">
        <v>45362</v>
      </c>
      <c r="D124" s="2">
        <f t="shared" si="18"/>
        <v>3</v>
      </c>
      <c r="E124" s="2">
        <v>75</v>
      </c>
      <c r="F124" s="2">
        <v>1</v>
      </c>
      <c r="G124" s="2">
        <v>3</v>
      </c>
      <c r="H124" s="2">
        <v>1</v>
      </c>
      <c r="I124" s="2">
        <v>0</v>
      </c>
      <c r="J124" s="2">
        <v>0</v>
      </c>
      <c r="K124" s="2">
        <v>0</v>
      </c>
      <c r="L124" s="2">
        <v>0</v>
      </c>
      <c r="M124" s="2">
        <v>0</v>
      </c>
      <c r="N124" s="2">
        <v>1</v>
      </c>
      <c r="O124" s="2" t="s">
        <v>70</v>
      </c>
      <c r="P124" t="s">
        <v>195</v>
      </c>
      <c r="Q124" s="2">
        <v>0</v>
      </c>
      <c r="R124" s="2">
        <v>0</v>
      </c>
      <c r="S124" s="2">
        <v>0</v>
      </c>
      <c r="T124" s="2">
        <v>1</v>
      </c>
      <c r="U124" s="2">
        <v>0</v>
      </c>
      <c r="V124" s="2">
        <v>1</v>
      </c>
      <c r="W124" s="5">
        <v>45359</v>
      </c>
      <c r="X124" s="5">
        <v>45359</v>
      </c>
      <c r="Y124" s="28">
        <f t="shared" si="19"/>
        <v>0</v>
      </c>
      <c r="Z124" s="2">
        <v>0</v>
      </c>
      <c r="AA124" s="2">
        <v>0</v>
      </c>
      <c r="AB124" s="2">
        <v>0</v>
      </c>
      <c r="AC124" s="2">
        <v>0</v>
      </c>
      <c r="AD124" s="2">
        <v>0</v>
      </c>
      <c r="AE124" s="2">
        <v>0</v>
      </c>
      <c r="AF124" s="2">
        <v>0</v>
      </c>
      <c r="AG124" s="2">
        <v>0</v>
      </c>
      <c r="AH124" s="2">
        <v>0</v>
      </c>
      <c r="AI124" s="2">
        <v>1</v>
      </c>
      <c r="AJ124" s="2" t="s">
        <v>117</v>
      </c>
      <c r="AK124" s="2">
        <v>0</v>
      </c>
      <c r="AL124" s="2">
        <v>0</v>
      </c>
      <c r="AM124" s="2">
        <v>1</v>
      </c>
      <c r="AN124" s="2">
        <f t="shared" si="10"/>
        <v>0</v>
      </c>
      <c r="AO124" s="2">
        <f t="shared" si="11"/>
        <v>0</v>
      </c>
      <c r="AP124" s="2">
        <f t="shared" si="12"/>
        <v>1</v>
      </c>
      <c r="AQ124" s="2">
        <v>1</v>
      </c>
      <c r="AR124" s="11">
        <v>1</v>
      </c>
      <c r="AS124" s="5">
        <v>45361</v>
      </c>
      <c r="AT124" s="2">
        <v>0</v>
      </c>
      <c r="AU124" s="2">
        <v>1</v>
      </c>
      <c r="AV124" s="2">
        <f t="shared" si="13"/>
        <v>2</v>
      </c>
      <c r="AW124" s="2">
        <v>0</v>
      </c>
      <c r="BA124" s="2">
        <v>0</v>
      </c>
      <c r="BB124" s="2">
        <v>0</v>
      </c>
      <c r="BC124" s="2">
        <f t="shared" si="14"/>
        <v>0</v>
      </c>
      <c r="BD124" s="2">
        <f t="shared" si="15"/>
        <v>0</v>
      </c>
      <c r="BE124" s="2">
        <v>0</v>
      </c>
      <c r="BF124" s="2">
        <f t="shared" si="16"/>
        <v>0</v>
      </c>
      <c r="BG124" s="2" t="s">
        <v>236</v>
      </c>
    </row>
    <row r="125" spans="1:59">
      <c r="A125" s="2">
        <v>124</v>
      </c>
      <c r="B125" s="5">
        <v>45359</v>
      </c>
      <c r="C125" s="5">
        <v>45362</v>
      </c>
      <c r="D125" s="2">
        <f t="shared" si="18"/>
        <v>3</v>
      </c>
      <c r="E125" s="2">
        <v>60</v>
      </c>
      <c r="F125" s="2">
        <v>2</v>
      </c>
      <c r="G125" s="2">
        <v>3</v>
      </c>
      <c r="H125" s="2">
        <v>0</v>
      </c>
      <c r="I125" s="2">
        <v>0</v>
      </c>
      <c r="J125" s="2">
        <v>0</v>
      </c>
      <c r="K125" s="2">
        <v>0</v>
      </c>
      <c r="L125" s="2">
        <v>0</v>
      </c>
      <c r="M125" s="2">
        <v>0</v>
      </c>
      <c r="N125" s="2">
        <v>0</v>
      </c>
      <c r="P125" t="s">
        <v>195</v>
      </c>
      <c r="Q125" s="2">
        <v>0</v>
      </c>
      <c r="R125" s="2">
        <v>0</v>
      </c>
      <c r="S125" s="2">
        <v>0</v>
      </c>
      <c r="T125" s="2">
        <v>1</v>
      </c>
      <c r="U125" s="2">
        <v>0</v>
      </c>
      <c r="V125" s="2">
        <v>1</v>
      </c>
      <c r="W125" s="5">
        <v>45359</v>
      </c>
      <c r="X125" s="5">
        <v>45359</v>
      </c>
      <c r="Y125" s="28">
        <f t="shared" si="19"/>
        <v>0</v>
      </c>
      <c r="Z125" s="2">
        <v>0</v>
      </c>
      <c r="AA125" s="2">
        <v>0</v>
      </c>
      <c r="AB125" s="2">
        <v>0</v>
      </c>
      <c r="AC125" s="2">
        <v>0</v>
      </c>
      <c r="AD125" s="2">
        <v>0</v>
      </c>
      <c r="AE125" s="2">
        <v>0</v>
      </c>
      <c r="AF125" s="2">
        <v>0</v>
      </c>
      <c r="AG125" s="2">
        <v>0</v>
      </c>
      <c r="AH125" s="2">
        <v>0</v>
      </c>
      <c r="AI125" s="2">
        <v>1</v>
      </c>
      <c r="AJ125" s="2" t="s">
        <v>117</v>
      </c>
      <c r="AK125" s="2">
        <v>0</v>
      </c>
      <c r="AL125" s="2">
        <v>0</v>
      </c>
      <c r="AM125" s="2">
        <v>1</v>
      </c>
      <c r="AN125" s="2">
        <f t="shared" si="10"/>
        <v>0</v>
      </c>
      <c r="AO125" s="2">
        <f t="shared" si="11"/>
        <v>0</v>
      </c>
      <c r="AP125" s="2">
        <f t="shared" si="12"/>
        <v>1</v>
      </c>
      <c r="AQ125" s="2">
        <v>1</v>
      </c>
      <c r="AR125" s="2">
        <v>0</v>
      </c>
      <c r="AW125" s="2">
        <v>0</v>
      </c>
      <c r="BA125" s="2">
        <v>0</v>
      </c>
      <c r="BB125" s="2">
        <v>0</v>
      </c>
      <c r="BC125" s="2">
        <f t="shared" si="14"/>
        <v>0</v>
      </c>
      <c r="BD125" s="2">
        <f t="shared" si="15"/>
        <v>0</v>
      </c>
      <c r="BE125" s="2">
        <v>0</v>
      </c>
      <c r="BF125" s="2">
        <f t="shared" si="16"/>
        <v>0</v>
      </c>
      <c r="BG125" s="2" t="s">
        <v>206</v>
      </c>
    </row>
    <row r="126" spans="1:59">
      <c r="A126" s="2">
        <v>125</v>
      </c>
      <c r="B126" s="5">
        <v>45361</v>
      </c>
      <c r="C126" s="5">
        <v>45373</v>
      </c>
      <c r="D126" s="2">
        <f t="shared" si="18"/>
        <v>12</v>
      </c>
      <c r="E126" s="2">
        <v>71</v>
      </c>
      <c r="F126" s="2">
        <v>1</v>
      </c>
      <c r="G126" s="2">
        <v>2</v>
      </c>
      <c r="H126" s="2">
        <v>1</v>
      </c>
      <c r="I126" s="2">
        <v>0</v>
      </c>
      <c r="J126" s="2">
        <v>0</v>
      </c>
      <c r="K126" s="2">
        <v>0</v>
      </c>
      <c r="L126" s="2">
        <v>1</v>
      </c>
      <c r="M126" s="2">
        <v>0</v>
      </c>
      <c r="N126" s="2">
        <v>0</v>
      </c>
      <c r="P126" t="s">
        <v>179</v>
      </c>
      <c r="Q126" s="2">
        <v>0</v>
      </c>
      <c r="R126" s="2">
        <v>0</v>
      </c>
      <c r="S126" s="2">
        <v>0</v>
      </c>
      <c r="T126" s="2">
        <v>1</v>
      </c>
      <c r="U126" s="2">
        <v>0</v>
      </c>
      <c r="V126" s="2">
        <v>1</v>
      </c>
      <c r="W126" s="5">
        <v>45361</v>
      </c>
      <c r="X126" s="5">
        <v>45361</v>
      </c>
      <c r="Y126" s="28">
        <f t="shared" si="19"/>
        <v>0</v>
      </c>
      <c r="Z126" s="2">
        <v>1</v>
      </c>
      <c r="AA126" s="2">
        <v>0</v>
      </c>
      <c r="AB126" s="2">
        <v>0</v>
      </c>
      <c r="AC126" s="2">
        <v>1</v>
      </c>
      <c r="AD126" s="2">
        <v>0</v>
      </c>
      <c r="AE126" s="2">
        <v>0</v>
      </c>
      <c r="AF126" s="2">
        <v>0</v>
      </c>
      <c r="AG126" s="2">
        <v>0</v>
      </c>
      <c r="AH126" s="2">
        <v>0</v>
      </c>
      <c r="AI126" s="2">
        <v>1</v>
      </c>
      <c r="AJ126" s="2" t="s">
        <v>237</v>
      </c>
      <c r="AK126" s="2">
        <v>0</v>
      </c>
      <c r="AL126" s="2">
        <v>1</v>
      </c>
      <c r="AM126" s="2">
        <v>1</v>
      </c>
      <c r="AN126" s="2">
        <f t="shared" si="10"/>
        <v>1</v>
      </c>
      <c r="AO126" s="2">
        <f t="shared" si="11"/>
        <v>0</v>
      </c>
      <c r="AP126" s="2">
        <f t="shared" si="12"/>
        <v>0</v>
      </c>
      <c r="AQ126" s="2">
        <v>1</v>
      </c>
      <c r="AR126" s="2">
        <v>1</v>
      </c>
      <c r="AS126" s="5">
        <v>45362</v>
      </c>
      <c r="AT126" s="2">
        <v>0</v>
      </c>
      <c r="AU126" s="2">
        <v>0</v>
      </c>
      <c r="AV126" s="2">
        <f t="shared" si="13"/>
        <v>1</v>
      </c>
      <c r="AW126" s="2">
        <v>0</v>
      </c>
      <c r="BA126" s="2">
        <v>0</v>
      </c>
      <c r="BB126" s="2">
        <v>0</v>
      </c>
      <c r="BC126" s="2">
        <f t="shared" si="14"/>
        <v>0</v>
      </c>
      <c r="BD126" s="2">
        <f t="shared" si="15"/>
        <v>0</v>
      </c>
      <c r="BE126" s="2">
        <v>0</v>
      </c>
      <c r="BF126" s="2">
        <f t="shared" si="16"/>
        <v>0</v>
      </c>
      <c r="BG126" s="2" t="s">
        <v>238</v>
      </c>
    </row>
    <row r="127" spans="1:59">
      <c r="A127" s="2">
        <v>126</v>
      </c>
      <c r="B127" s="5">
        <v>45362</v>
      </c>
      <c r="C127" s="5">
        <v>45367</v>
      </c>
      <c r="D127" s="2">
        <f t="shared" si="18"/>
        <v>5</v>
      </c>
      <c r="E127" s="2">
        <v>80</v>
      </c>
      <c r="F127" s="2">
        <v>2</v>
      </c>
      <c r="G127" s="2">
        <v>2</v>
      </c>
      <c r="H127" s="2">
        <v>1</v>
      </c>
      <c r="I127" s="2">
        <v>0</v>
      </c>
      <c r="J127" s="2">
        <v>0</v>
      </c>
      <c r="K127" s="2">
        <v>0</v>
      </c>
      <c r="L127" s="2">
        <v>0</v>
      </c>
      <c r="M127" s="2">
        <v>0</v>
      </c>
      <c r="N127" s="2">
        <v>1</v>
      </c>
      <c r="O127" s="2" t="s">
        <v>70</v>
      </c>
      <c r="P127" t="s">
        <v>195</v>
      </c>
      <c r="Q127" s="2">
        <v>0</v>
      </c>
      <c r="R127" s="2">
        <v>0</v>
      </c>
      <c r="S127" s="2">
        <v>0</v>
      </c>
      <c r="T127" s="2">
        <v>1</v>
      </c>
      <c r="U127" s="2">
        <v>0</v>
      </c>
      <c r="V127" s="2">
        <v>1</v>
      </c>
      <c r="W127" s="5">
        <v>45362</v>
      </c>
      <c r="X127" s="5">
        <v>45362</v>
      </c>
      <c r="Y127" s="28">
        <f t="shared" si="19"/>
        <v>0</v>
      </c>
      <c r="Z127" s="2">
        <v>0</v>
      </c>
      <c r="AA127" s="2">
        <v>0</v>
      </c>
      <c r="AB127" s="2">
        <v>0</v>
      </c>
      <c r="AC127" s="2">
        <v>0</v>
      </c>
      <c r="AD127" s="2">
        <v>0</v>
      </c>
      <c r="AE127" s="2">
        <v>0</v>
      </c>
      <c r="AF127" s="2">
        <v>0</v>
      </c>
      <c r="AG127" s="2">
        <v>0</v>
      </c>
      <c r="AH127" s="2">
        <v>0</v>
      </c>
      <c r="AI127" s="2">
        <v>1</v>
      </c>
      <c r="AJ127" s="2" t="s">
        <v>239</v>
      </c>
      <c r="AK127" s="2">
        <v>0</v>
      </c>
      <c r="AL127" s="2">
        <v>1</v>
      </c>
      <c r="AM127" s="2">
        <v>1</v>
      </c>
      <c r="AN127" s="2">
        <f t="shared" si="10"/>
        <v>1</v>
      </c>
      <c r="AO127" s="2">
        <f t="shared" si="11"/>
        <v>0</v>
      </c>
      <c r="AP127" s="2">
        <f t="shared" si="12"/>
        <v>0</v>
      </c>
      <c r="AQ127" s="2">
        <v>0</v>
      </c>
      <c r="AR127" s="2">
        <v>1</v>
      </c>
      <c r="AS127" s="5">
        <v>45366</v>
      </c>
      <c r="AT127" s="2">
        <v>0</v>
      </c>
      <c r="AU127" s="2">
        <v>0</v>
      </c>
      <c r="AV127" s="2">
        <f t="shared" si="13"/>
        <v>4</v>
      </c>
      <c r="AW127" s="2">
        <v>0</v>
      </c>
      <c r="BA127" s="2">
        <v>0</v>
      </c>
      <c r="BB127" s="2">
        <v>0</v>
      </c>
      <c r="BC127" s="2">
        <f t="shared" si="14"/>
        <v>0</v>
      </c>
      <c r="BD127" s="2">
        <f t="shared" si="15"/>
        <v>0</v>
      </c>
      <c r="BE127" s="2">
        <v>0</v>
      </c>
      <c r="BF127" s="2">
        <f t="shared" si="16"/>
        <v>0</v>
      </c>
      <c r="BG127" s="2" t="s">
        <v>206</v>
      </c>
    </row>
    <row r="128" spans="1:59">
      <c r="A128" s="2">
        <v>127</v>
      </c>
      <c r="B128" s="5">
        <v>45362</v>
      </c>
      <c r="C128" s="5">
        <v>45370</v>
      </c>
      <c r="D128" s="2">
        <f t="shared" si="18"/>
        <v>8</v>
      </c>
      <c r="E128" s="2">
        <v>61</v>
      </c>
      <c r="F128" s="2">
        <v>1</v>
      </c>
      <c r="G128" s="2">
        <v>3</v>
      </c>
      <c r="H128" s="2">
        <v>0</v>
      </c>
      <c r="I128" s="2">
        <v>0</v>
      </c>
      <c r="J128" s="2">
        <v>0</v>
      </c>
      <c r="K128" s="2">
        <v>0</v>
      </c>
      <c r="L128" s="2">
        <v>0</v>
      </c>
      <c r="M128" s="2">
        <v>0</v>
      </c>
      <c r="N128" s="2">
        <v>0</v>
      </c>
      <c r="P128" t="s">
        <v>195</v>
      </c>
      <c r="Q128" s="2">
        <v>0</v>
      </c>
      <c r="R128" s="2">
        <v>0</v>
      </c>
      <c r="S128" s="2">
        <v>0</v>
      </c>
      <c r="T128" s="2">
        <v>1</v>
      </c>
      <c r="U128" s="2">
        <v>0</v>
      </c>
      <c r="V128" s="2">
        <v>1</v>
      </c>
      <c r="W128" s="5">
        <v>45362</v>
      </c>
      <c r="X128" s="5">
        <v>45362</v>
      </c>
      <c r="Y128" s="28">
        <f t="shared" si="19"/>
        <v>0</v>
      </c>
      <c r="Z128" s="2">
        <v>0</v>
      </c>
      <c r="AA128" s="2">
        <v>0</v>
      </c>
      <c r="AB128" s="2">
        <v>0</v>
      </c>
      <c r="AC128" s="2">
        <v>0</v>
      </c>
      <c r="AD128" s="2">
        <v>0</v>
      </c>
      <c r="AE128" s="2">
        <v>0</v>
      </c>
      <c r="AF128" s="2">
        <v>0</v>
      </c>
      <c r="AG128" s="2">
        <v>0</v>
      </c>
      <c r="AH128" s="2">
        <v>0</v>
      </c>
      <c r="AI128" s="2">
        <v>1</v>
      </c>
      <c r="AJ128" s="2" t="s">
        <v>217</v>
      </c>
      <c r="AK128" s="2">
        <v>0</v>
      </c>
      <c r="AL128" s="2">
        <v>1</v>
      </c>
      <c r="AM128" s="2">
        <v>1</v>
      </c>
      <c r="AN128" s="2">
        <f t="shared" si="10"/>
        <v>1</v>
      </c>
      <c r="AO128" s="2">
        <f t="shared" si="11"/>
        <v>0</v>
      </c>
      <c r="AP128" s="2">
        <f t="shared" si="12"/>
        <v>0</v>
      </c>
      <c r="AQ128" s="2">
        <v>1</v>
      </c>
      <c r="AR128" s="2">
        <v>1</v>
      </c>
      <c r="AS128" s="5">
        <v>45364</v>
      </c>
      <c r="AT128" s="2">
        <v>0</v>
      </c>
      <c r="AU128" s="2">
        <v>0</v>
      </c>
      <c r="AV128" s="2">
        <f t="shared" si="13"/>
        <v>2</v>
      </c>
      <c r="AW128" s="2">
        <v>0</v>
      </c>
      <c r="BA128" s="2">
        <v>0</v>
      </c>
      <c r="BB128" s="2">
        <v>0</v>
      </c>
      <c r="BC128" s="2">
        <f t="shared" si="14"/>
        <v>0</v>
      </c>
      <c r="BD128" s="2">
        <f t="shared" si="15"/>
        <v>0</v>
      </c>
      <c r="BE128" s="2">
        <v>0</v>
      </c>
      <c r="BF128" s="2">
        <f t="shared" si="16"/>
        <v>0</v>
      </c>
      <c r="BG128" s="2" t="s">
        <v>206</v>
      </c>
    </row>
    <row r="129" spans="1:60">
      <c r="A129" s="2">
        <v>128</v>
      </c>
      <c r="B129" s="5">
        <v>45365</v>
      </c>
      <c r="C129" s="5">
        <v>45377</v>
      </c>
      <c r="D129" s="2">
        <f t="shared" si="18"/>
        <v>12</v>
      </c>
      <c r="E129" s="2">
        <v>54</v>
      </c>
      <c r="F129" s="2">
        <v>1</v>
      </c>
      <c r="G129" s="2">
        <v>2</v>
      </c>
      <c r="H129" s="2">
        <v>1</v>
      </c>
      <c r="I129" s="2">
        <v>0</v>
      </c>
      <c r="J129" s="2">
        <v>0</v>
      </c>
      <c r="K129" s="2">
        <v>0</v>
      </c>
      <c r="L129" s="2">
        <v>1</v>
      </c>
      <c r="M129" s="2">
        <v>0</v>
      </c>
      <c r="N129" s="2">
        <v>0</v>
      </c>
      <c r="P129" t="s">
        <v>179</v>
      </c>
      <c r="Q129" s="2">
        <v>0</v>
      </c>
      <c r="R129" s="2">
        <v>0</v>
      </c>
      <c r="S129" s="2">
        <v>0</v>
      </c>
      <c r="T129" s="2">
        <v>1</v>
      </c>
      <c r="U129" s="2">
        <v>0</v>
      </c>
      <c r="V129" s="2">
        <v>1</v>
      </c>
      <c r="W129" s="5">
        <v>45365</v>
      </c>
      <c r="X129" s="5">
        <v>45365</v>
      </c>
      <c r="Y129" s="28">
        <f t="shared" si="19"/>
        <v>0</v>
      </c>
      <c r="Z129" s="2">
        <v>1</v>
      </c>
      <c r="AA129" s="2">
        <v>0</v>
      </c>
      <c r="AB129" s="2">
        <v>0</v>
      </c>
      <c r="AC129" s="2">
        <v>1</v>
      </c>
      <c r="AD129" s="2">
        <v>0</v>
      </c>
      <c r="AE129" s="2">
        <v>0</v>
      </c>
      <c r="AF129" s="2">
        <v>0</v>
      </c>
      <c r="AG129" s="2">
        <v>0</v>
      </c>
      <c r="AH129" s="2">
        <v>0</v>
      </c>
      <c r="AI129" s="2">
        <v>1</v>
      </c>
      <c r="AJ129" s="2" t="s">
        <v>240</v>
      </c>
      <c r="AK129" s="2">
        <v>0</v>
      </c>
      <c r="AL129" s="2">
        <v>1</v>
      </c>
      <c r="AM129" s="2">
        <v>1</v>
      </c>
      <c r="AN129" s="2">
        <f t="shared" si="10"/>
        <v>1</v>
      </c>
      <c r="AO129" s="2">
        <f t="shared" si="11"/>
        <v>0</v>
      </c>
      <c r="AP129" s="2">
        <f t="shared" si="12"/>
        <v>0</v>
      </c>
      <c r="AQ129" s="2">
        <v>1</v>
      </c>
      <c r="AR129" s="2">
        <v>1</v>
      </c>
      <c r="AS129" s="5">
        <v>45370</v>
      </c>
      <c r="AT129" s="2">
        <v>0</v>
      </c>
      <c r="AU129" s="2">
        <v>0</v>
      </c>
      <c r="AV129" s="2">
        <f t="shared" si="13"/>
        <v>5</v>
      </c>
      <c r="AW129" s="2">
        <v>0</v>
      </c>
      <c r="BA129" s="2">
        <v>0</v>
      </c>
      <c r="BB129" s="2">
        <v>0</v>
      </c>
      <c r="BC129" s="2">
        <f t="shared" si="14"/>
        <v>0</v>
      </c>
      <c r="BD129" s="2">
        <f t="shared" si="15"/>
        <v>0</v>
      </c>
      <c r="BE129" s="2">
        <v>0</v>
      </c>
      <c r="BF129" s="2">
        <f t="shared" si="16"/>
        <v>0</v>
      </c>
      <c r="BG129" s="2" t="s">
        <v>241</v>
      </c>
    </row>
    <row r="130" spans="1:60">
      <c r="A130" s="2">
        <v>129</v>
      </c>
      <c r="B130" s="5">
        <v>45365</v>
      </c>
      <c r="C130" s="5">
        <v>45378</v>
      </c>
      <c r="D130" s="2">
        <f t="shared" si="18"/>
        <v>13</v>
      </c>
      <c r="E130" s="2">
        <v>74</v>
      </c>
      <c r="F130" s="2">
        <v>1</v>
      </c>
      <c r="G130" s="2">
        <v>2</v>
      </c>
      <c r="H130" s="2">
        <v>0</v>
      </c>
      <c r="I130" s="2">
        <v>0</v>
      </c>
      <c r="J130" s="2">
        <v>0</v>
      </c>
      <c r="K130" s="2">
        <v>0</v>
      </c>
      <c r="L130" s="2">
        <v>0</v>
      </c>
      <c r="M130" s="2">
        <v>0</v>
      </c>
      <c r="N130" s="2">
        <v>0</v>
      </c>
      <c r="P130" t="s">
        <v>179</v>
      </c>
      <c r="Q130" s="2">
        <v>0</v>
      </c>
      <c r="R130" s="2">
        <v>0</v>
      </c>
      <c r="S130" s="2">
        <v>0</v>
      </c>
      <c r="T130" s="2">
        <v>1</v>
      </c>
      <c r="U130" s="2">
        <v>0</v>
      </c>
      <c r="V130" s="2">
        <v>1</v>
      </c>
      <c r="W130" s="5">
        <v>45365</v>
      </c>
      <c r="X130" s="5">
        <v>45365</v>
      </c>
      <c r="Y130" s="28">
        <f t="shared" si="19"/>
        <v>0</v>
      </c>
      <c r="Z130" s="2">
        <v>0</v>
      </c>
      <c r="AA130" s="2">
        <v>0</v>
      </c>
      <c r="AB130" s="2">
        <v>0</v>
      </c>
      <c r="AC130" s="2">
        <v>0</v>
      </c>
      <c r="AD130" s="2">
        <v>0</v>
      </c>
      <c r="AE130" s="2">
        <v>0</v>
      </c>
      <c r="AF130" s="2">
        <v>0</v>
      </c>
      <c r="AG130" s="2">
        <v>0</v>
      </c>
      <c r="AH130" s="2">
        <v>0</v>
      </c>
      <c r="AI130" s="2">
        <v>1</v>
      </c>
      <c r="AJ130" s="2" t="s">
        <v>68</v>
      </c>
      <c r="AK130" s="2">
        <v>0</v>
      </c>
      <c r="AL130" s="2">
        <v>0</v>
      </c>
      <c r="AM130" s="2">
        <v>1</v>
      </c>
      <c r="AN130" s="2">
        <f t="shared" si="10"/>
        <v>0</v>
      </c>
      <c r="AO130" s="2">
        <f t="shared" si="11"/>
        <v>0</v>
      </c>
      <c r="AP130" s="2">
        <f t="shared" si="12"/>
        <v>1</v>
      </c>
      <c r="AQ130" s="2">
        <v>0</v>
      </c>
      <c r="AR130" s="2">
        <v>0</v>
      </c>
      <c r="AW130" s="2">
        <v>0</v>
      </c>
      <c r="BA130" s="2">
        <v>0</v>
      </c>
      <c r="BB130" s="2">
        <v>0</v>
      </c>
      <c r="BC130" s="2">
        <f t="shared" si="14"/>
        <v>0</v>
      </c>
      <c r="BD130" s="2">
        <f t="shared" si="15"/>
        <v>0</v>
      </c>
      <c r="BE130" s="2">
        <v>0</v>
      </c>
      <c r="BF130" s="2">
        <f t="shared" si="16"/>
        <v>0</v>
      </c>
      <c r="BG130" s="2" t="s">
        <v>206</v>
      </c>
    </row>
    <row r="131" spans="1:60">
      <c r="A131" s="2">
        <v>130</v>
      </c>
      <c r="B131" s="5">
        <v>45367</v>
      </c>
      <c r="C131" s="5">
        <v>45370</v>
      </c>
      <c r="D131" s="2">
        <f t="shared" si="18"/>
        <v>3</v>
      </c>
      <c r="E131" s="2">
        <v>53</v>
      </c>
      <c r="F131" s="2">
        <v>1</v>
      </c>
      <c r="G131" s="2">
        <v>5</v>
      </c>
      <c r="H131" s="2">
        <v>0</v>
      </c>
      <c r="I131" s="2">
        <v>0</v>
      </c>
      <c r="J131" s="2">
        <v>0</v>
      </c>
      <c r="K131" s="2">
        <v>0</v>
      </c>
      <c r="L131" s="2">
        <v>0</v>
      </c>
      <c r="M131" s="2">
        <v>0</v>
      </c>
      <c r="N131" s="2">
        <v>0</v>
      </c>
      <c r="P131" t="s">
        <v>179</v>
      </c>
      <c r="Q131" s="2">
        <v>0</v>
      </c>
      <c r="R131" s="2">
        <v>0</v>
      </c>
      <c r="S131" s="2">
        <v>0</v>
      </c>
      <c r="T131" s="2">
        <v>1</v>
      </c>
      <c r="U131" s="2">
        <v>0</v>
      </c>
      <c r="V131" s="2">
        <v>1</v>
      </c>
      <c r="W131" s="5">
        <v>45367</v>
      </c>
      <c r="X131" s="5">
        <v>45367</v>
      </c>
      <c r="Y131" s="28">
        <f t="shared" si="19"/>
        <v>0</v>
      </c>
      <c r="Z131" s="2">
        <v>0</v>
      </c>
      <c r="AA131" s="2">
        <v>0</v>
      </c>
      <c r="AB131" s="2">
        <v>0</v>
      </c>
      <c r="AC131" s="2">
        <v>0</v>
      </c>
      <c r="AD131" s="2">
        <v>0</v>
      </c>
      <c r="AE131" s="2">
        <v>0</v>
      </c>
      <c r="AF131" s="2">
        <v>0</v>
      </c>
      <c r="AG131" s="2">
        <v>0</v>
      </c>
      <c r="AH131" s="2">
        <v>0</v>
      </c>
      <c r="AI131" s="2">
        <v>1</v>
      </c>
      <c r="AJ131" s="2" t="s">
        <v>117</v>
      </c>
      <c r="AK131" s="2">
        <v>0</v>
      </c>
      <c r="AL131" s="2">
        <v>0</v>
      </c>
      <c r="AM131" s="2">
        <v>1</v>
      </c>
      <c r="AN131" s="2">
        <f t="shared" ref="AN131:AN135" si="20">COUNTIFS(AL131,"1",AM131,"1")</f>
        <v>0</v>
      </c>
      <c r="AO131" s="2">
        <f t="shared" ref="AO131:AO135" si="21">COUNTIFS(AL131,"1",AM131,"0")</f>
        <v>0</v>
      </c>
      <c r="AP131" s="2">
        <f t="shared" ref="AP131:AP135" si="22">COUNTIFS(AL131,"0",AM131,"1")</f>
        <v>1</v>
      </c>
      <c r="AQ131" s="2">
        <v>1</v>
      </c>
      <c r="AR131" s="2">
        <v>0</v>
      </c>
      <c r="AW131" s="2">
        <v>0</v>
      </c>
      <c r="BA131" s="2">
        <v>0</v>
      </c>
      <c r="BB131" s="2">
        <v>0</v>
      </c>
      <c r="BC131" s="2">
        <f t="shared" ref="BC131:BC135" si="23">SUM(I131:K131)</f>
        <v>0</v>
      </c>
      <c r="BD131" s="2">
        <f t="shared" ref="BD131:BD135" si="24">SUM(I131:K131)</f>
        <v>0</v>
      </c>
      <c r="BE131" s="2">
        <v>0</v>
      </c>
      <c r="BF131" s="2">
        <f>COUNTIFS(AR131, "1",AW131, "1")</f>
        <v>0</v>
      </c>
      <c r="BG131" s="2" t="s">
        <v>206</v>
      </c>
    </row>
    <row r="132" spans="1:60">
      <c r="A132" s="2">
        <v>131</v>
      </c>
      <c r="B132" s="5">
        <v>45368</v>
      </c>
      <c r="C132" s="5">
        <v>45376</v>
      </c>
      <c r="D132" s="2">
        <f t="shared" si="18"/>
        <v>8</v>
      </c>
      <c r="E132" s="2">
        <v>23</v>
      </c>
      <c r="F132" s="2">
        <v>2</v>
      </c>
      <c r="G132" s="2">
        <v>2</v>
      </c>
      <c r="H132" s="2">
        <v>0</v>
      </c>
      <c r="I132" s="2">
        <v>0</v>
      </c>
      <c r="J132" s="2">
        <v>0</v>
      </c>
      <c r="K132" s="2">
        <v>0</v>
      </c>
      <c r="L132" s="2">
        <v>0</v>
      </c>
      <c r="M132" s="2">
        <v>0</v>
      </c>
      <c r="N132" s="2">
        <v>0</v>
      </c>
      <c r="P132" t="s">
        <v>179</v>
      </c>
      <c r="Q132" s="2">
        <v>0</v>
      </c>
      <c r="R132" s="2">
        <v>0</v>
      </c>
      <c r="S132" s="2">
        <v>0</v>
      </c>
      <c r="T132" s="2">
        <v>1</v>
      </c>
      <c r="U132" s="2">
        <v>0</v>
      </c>
      <c r="V132" s="2">
        <v>1</v>
      </c>
      <c r="W132" s="5">
        <v>45368</v>
      </c>
      <c r="X132" s="5">
        <v>45368</v>
      </c>
      <c r="Y132" s="28">
        <f t="shared" si="19"/>
        <v>0</v>
      </c>
      <c r="Z132" s="2">
        <v>0</v>
      </c>
      <c r="AA132" s="2">
        <v>0</v>
      </c>
      <c r="AB132" s="2">
        <v>0</v>
      </c>
      <c r="AC132" s="2">
        <v>0</v>
      </c>
      <c r="AD132" s="2">
        <v>0</v>
      </c>
      <c r="AE132" s="2">
        <v>0</v>
      </c>
      <c r="AF132" s="2">
        <v>0</v>
      </c>
      <c r="AG132" s="2">
        <v>0</v>
      </c>
      <c r="AH132" s="2">
        <v>0</v>
      </c>
      <c r="AI132" s="2">
        <v>1</v>
      </c>
      <c r="AJ132" s="2" t="s">
        <v>91</v>
      </c>
      <c r="AK132" s="2">
        <v>0</v>
      </c>
      <c r="AL132" s="2">
        <v>1</v>
      </c>
      <c r="AM132" s="2">
        <v>0</v>
      </c>
      <c r="AN132" s="2">
        <f t="shared" si="20"/>
        <v>0</v>
      </c>
      <c r="AO132" s="2">
        <f t="shared" si="21"/>
        <v>1</v>
      </c>
      <c r="AP132" s="2">
        <f t="shared" si="22"/>
        <v>0</v>
      </c>
      <c r="AQ132" s="2">
        <v>1</v>
      </c>
      <c r="AR132" s="11">
        <v>1</v>
      </c>
      <c r="AS132" s="5">
        <v>45373</v>
      </c>
      <c r="AT132" s="2">
        <v>0</v>
      </c>
      <c r="AU132" s="2">
        <v>0</v>
      </c>
      <c r="AV132" s="2">
        <f t="shared" ref="AV131:AV135" si="25">AS132-B132</f>
        <v>5</v>
      </c>
      <c r="AW132" s="2">
        <v>0</v>
      </c>
      <c r="BA132" s="2">
        <v>0</v>
      </c>
      <c r="BB132" s="2">
        <v>0</v>
      </c>
      <c r="BC132" s="2">
        <f t="shared" si="23"/>
        <v>0</v>
      </c>
      <c r="BD132" s="2">
        <f t="shared" si="24"/>
        <v>0</v>
      </c>
      <c r="BE132" s="2">
        <v>0</v>
      </c>
      <c r="BF132" s="2">
        <f>COUNTIFS(AR132, "1",AW132, "1")</f>
        <v>0</v>
      </c>
      <c r="BG132" s="2" t="s">
        <v>206</v>
      </c>
    </row>
    <row r="133" spans="1:60">
      <c r="A133" s="2">
        <v>132</v>
      </c>
      <c r="B133" s="5">
        <v>45363</v>
      </c>
      <c r="C133" s="5">
        <v>45401</v>
      </c>
      <c r="D133" s="2">
        <f t="shared" ref="D133:D135" si="26">C133-B133</f>
        <v>38</v>
      </c>
      <c r="E133" s="2">
        <v>41</v>
      </c>
      <c r="F133" s="2">
        <v>1</v>
      </c>
      <c r="G133" s="2">
        <v>3</v>
      </c>
      <c r="H133" s="2">
        <v>1</v>
      </c>
      <c r="I133" s="2">
        <v>0</v>
      </c>
      <c r="J133" s="2">
        <v>0</v>
      </c>
      <c r="K133" s="2">
        <v>0</v>
      </c>
      <c r="L133" s="2">
        <v>1</v>
      </c>
      <c r="M133" s="2">
        <v>0</v>
      </c>
      <c r="N133" s="2">
        <v>0</v>
      </c>
      <c r="P133" t="s">
        <v>179</v>
      </c>
      <c r="Q133" s="2">
        <v>0</v>
      </c>
      <c r="R133" s="2">
        <v>0</v>
      </c>
      <c r="S133" s="2">
        <v>0</v>
      </c>
      <c r="T133" s="2">
        <v>1</v>
      </c>
      <c r="U133" s="2">
        <v>0</v>
      </c>
      <c r="V133" s="2">
        <v>1</v>
      </c>
      <c r="W133" s="5">
        <v>45370</v>
      </c>
      <c r="X133" s="5">
        <v>45370</v>
      </c>
      <c r="Y133" s="28">
        <f t="shared" si="19"/>
        <v>0</v>
      </c>
      <c r="Z133" s="2">
        <v>1</v>
      </c>
      <c r="AA133" s="2">
        <v>0</v>
      </c>
      <c r="AB133" s="2">
        <v>0</v>
      </c>
      <c r="AC133" s="2">
        <v>1</v>
      </c>
      <c r="AD133" s="2">
        <v>0</v>
      </c>
      <c r="AE133" s="2">
        <v>0</v>
      </c>
      <c r="AF133" s="2">
        <v>0</v>
      </c>
      <c r="AG133" s="2">
        <v>0</v>
      </c>
      <c r="AH133" s="2">
        <v>0</v>
      </c>
      <c r="AI133" s="2">
        <v>1</v>
      </c>
      <c r="AJ133" s="2" t="s">
        <v>91</v>
      </c>
      <c r="AK133" s="2">
        <v>1</v>
      </c>
      <c r="AL133" s="2">
        <v>1</v>
      </c>
      <c r="AM133" s="2">
        <v>1</v>
      </c>
      <c r="AN133" s="2">
        <f t="shared" si="20"/>
        <v>1</v>
      </c>
      <c r="AO133" s="2">
        <f t="shared" si="21"/>
        <v>0</v>
      </c>
      <c r="AP133" s="2">
        <f t="shared" si="22"/>
        <v>0</v>
      </c>
      <c r="AQ133" s="2">
        <v>1</v>
      </c>
      <c r="AR133" s="2">
        <v>1</v>
      </c>
      <c r="AS133" s="5">
        <v>45372</v>
      </c>
      <c r="AT133" s="2">
        <v>0</v>
      </c>
      <c r="AU133" s="2">
        <v>0</v>
      </c>
      <c r="AV133" s="2">
        <f t="shared" si="25"/>
        <v>9</v>
      </c>
      <c r="AW133" s="2">
        <v>0</v>
      </c>
      <c r="BA133" s="2">
        <v>0</v>
      </c>
      <c r="BB133" s="2">
        <v>0</v>
      </c>
      <c r="BC133" s="2">
        <f t="shared" si="23"/>
        <v>0</v>
      </c>
      <c r="BD133" s="2">
        <f t="shared" si="24"/>
        <v>0</v>
      </c>
      <c r="BE133" s="2">
        <v>0</v>
      </c>
      <c r="BF133" s="2">
        <f>COUNTIFS(AR133, "1",AW133, "1")</f>
        <v>0</v>
      </c>
      <c r="BG133" s="2" t="s">
        <v>242</v>
      </c>
    </row>
    <row r="134" spans="1:60">
      <c r="A134" s="2">
        <v>133</v>
      </c>
      <c r="B134" s="5">
        <v>45372</v>
      </c>
      <c r="C134" s="5">
        <v>45377</v>
      </c>
      <c r="D134" s="2">
        <f t="shared" si="26"/>
        <v>5</v>
      </c>
      <c r="E134" s="2">
        <v>73</v>
      </c>
      <c r="F134" s="2">
        <v>2</v>
      </c>
      <c r="G134" s="2">
        <v>2</v>
      </c>
      <c r="H134" s="2">
        <v>1</v>
      </c>
      <c r="I134" s="2">
        <v>0</v>
      </c>
      <c r="J134" s="2">
        <v>0</v>
      </c>
      <c r="K134" s="2">
        <v>0</v>
      </c>
      <c r="L134" s="2">
        <v>1</v>
      </c>
      <c r="M134" s="2">
        <v>0</v>
      </c>
      <c r="N134" s="2">
        <v>0</v>
      </c>
      <c r="P134" t="s">
        <v>195</v>
      </c>
      <c r="Q134" s="2">
        <v>0</v>
      </c>
      <c r="R134" s="2">
        <v>0</v>
      </c>
      <c r="S134" s="2">
        <v>0</v>
      </c>
      <c r="T134" s="2">
        <v>1</v>
      </c>
      <c r="U134" s="2">
        <v>0</v>
      </c>
      <c r="V134" s="2">
        <v>1</v>
      </c>
      <c r="W134" s="5">
        <v>45372</v>
      </c>
      <c r="X134" s="5">
        <v>45372</v>
      </c>
      <c r="Y134" s="28">
        <f t="shared" si="19"/>
        <v>0</v>
      </c>
      <c r="Z134" s="2">
        <v>0</v>
      </c>
      <c r="AA134" s="2">
        <v>0</v>
      </c>
      <c r="AB134" s="2">
        <v>0</v>
      </c>
      <c r="AC134" s="2">
        <v>0</v>
      </c>
      <c r="AD134" s="2">
        <v>0</v>
      </c>
      <c r="AE134" s="2">
        <v>0</v>
      </c>
      <c r="AF134" s="2">
        <v>0</v>
      </c>
      <c r="AG134" s="2">
        <v>0</v>
      </c>
      <c r="AH134" s="2">
        <v>0</v>
      </c>
      <c r="AI134" s="2">
        <v>1</v>
      </c>
      <c r="AJ134" s="2" t="s">
        <v>68</v>
      </c>
      <c r="AK134" s="2">
        <v>0</v>
      </c>
      <c r="AL134" s="2">
        <v>1</v>
      </c>
      <c r="AM134" s="2">
        <v>1</v>
      </c>
      <c r="AN134" s="2">
        <f t="shared" si="20"/>
        <v>1</v>
      </c>
      <c r="AO134" s="2">
        <f t="shared" si="21"/>
        <v>0</v>
      </c>
      <c r="AP134" s="2">
        <f t="shared" si="22"/>
        <v>0</v>
      </c>
      <c r="AQ134" s="2">
        <v>1</v>
      </c>
      <c r="AR134" s="2">
        <v>0</v>
      </c>
      <c r="AW134" s="2">
        <v>0</v>
      </c>
      <c r="BA134" s="2">
        <v>0</v>
      </c>
      <c r="BB134" s="2">
        <v>0</v>
      </c>
      <c r="BC134" s="2">
        <f t="shared" si="23"/>
        <v>0</v>
      </c>
      <c r="BD134" s="2">
        <f t="shared" si="24"/>
        <v>0</v>
      </c>
      <c r="BE134" s="2">
        <v>0</v>
      </c>
      <c r="BF134" s="2">
        <f>COUNTIFS(AR134, "1",AW134, "1")</f>
        <v>0</v>
      </c>
      <c r="BG134" s="2" t="s">
        <v>243</v>
      </c>
    </row>
    <row r="135" spans="1:60">
      <c r="A135" s="2">
        <v>134</v>
      </c>
      <c r="B135" s="5">
        <v>45378</v>
      </c>
      <c r="C135" s="5">
        <v>45387</v>
      </c>
      <c r="D135" s="2">
        <f t="shared" si="26"/>
        <v>9</v>
      </c>
      <c r="E135" s="2">
        <v>59</v>
      </c>
      <c r="F135" s="2">
        <v>2</v>
      </c>
      <c r="G135" s="2">
        <v>2</v>
      </c>
      <c r="H135" s="2">
        <v>0</v>
      </c>
      <c r="I135" s="2">
        <v>0</v>
      </c>
      <c r="J135" s="2">
        <v>0</v>
      </c>
      <c r="K135" s="2">
        <v>0</v>
      </c>
      <c r="L135" s="2">
        <v>0</v>
      </c>
      <c r="M135" s="2">
        <v>0</v>
      </c>
      <c r="N135" s="2">
        <v>0</v>
      </c>
      <c r="P135" t="s">
        <v>179</v>
      </c>
      <c r="Q135" s="2">
        <v>0</v>
      </c>
      <c r="R135" s="2">
        <v>0</v>
      </c>
      <c r="S135" s="2">
        <v>0</v>
      </c>
      <c r="T135" s="2">
        <v>1</v>
      </c>
      <c r="U135" s="2">
        <v>0</v>
      </c>
      <c r="V135" s="2">
        <v>1</v>
      </c>
      <c r="W135" s="5">
        <v>45378</v>
      </c>
      <c r="X135" s="5">
        <v>45378</v>
      </c>
      <c r="Y135" s="28">
        <f t="shared" si="19"/>
        <v>0</v>
      </c>
      <c r="Z135" s="2">
        <v>0</v>
      </c>
      <c r="AA135" s="2">
        <v>0</v>
      </c>
      <c r="AB135" s="2">
        <v>0</v>
      </c>
      <c r="AC135" s="2">
        <v>0</v>
      </c>
      <c r="AD135" s="2">
        <v>0</v>
      </c>
      <c r="AE135" s="2">
        <v>0</v>
      </c>
      <c r="AF135" s="2">
        <v>0</v>
      </c>
      <c r="AG135" s="2">
        <v>0</v>
      </c>
      <c r="AH135" s="2">
        <v>0</v>
      </c>
      <c r="AI135" s="2">
        <v>1</v>
      </c>
      <c r="AJ135" s="2" t="s">
        <v>117</v>
      </c>
      <c r="AK135" s="2">
        <v>0</v>
      </c>
      <c r="AL135" s="2">
        <v>1</v>
      </c>
      <c r="AM135" s="2">
        <v>1</v>
      </c>
      <c r="AN135" s="2">
        <f t="shared" si="20"/>
        <v>1</v>
      </c>
      <c r="AO135" s="2">
        <f t="shared" si="21"/>
        <v>0</v>
      </c>
      <c r="AP135" s="2">
        <f t="shared" si="22"/>
        <v>0</v>
      </c>
      <c r="AQ135" s="2">
        <v>1</v>
      </c>
      <c r="AR135" s="2">
        <v>0</v>
      </c>
      <c r="AW135" s="2">
        <v>0</v>
      </c>
      <c r="BA135" s="2">
        <v>0</v>
      </c>
      <c r="BB135" s="2">
        <v>0</v>
      </c>
      <c r="BC135" s="2">
        <f t="shared" si="23"/>
        <v>0</v>
      </c>
      <c r="BD135" s="2">
        <f t="shared" si="24"/>
        <v>0</v>
      </c>
      <c r="BE135" s="2">
        <v>0</v>
      </c>
      <c r="BF135" s="2">
        <f>COUNTIFS(AR135, "1",AW135, "1")</f>
        <v>0</v>
      </c>
      <c r="BG135" s="2" t="s">
        <v>206</v>
      </c>
    </row>
    <row r="137" spans="1:60">
      <c r="D137" s="2" t="s">
        <v>245</v>
      </c>
      <c r="E137" s="2">
        <f>AVERAGE(D2:D135)</f>
        <v>13.719696969696969</v>
      </c>
      <c r="F137" s="2">
        <f>AVERAGE(E2:E135)</f>
        <v>68.432835820895519</v>
      </c>
      <c r="I137" s="2">
        <f>SUM(H2:H135)</f>
        <v>67</v>
      </c>
      <c r="J137" s="2">
        <f t="shared" ref="J137:O137" si="27">SUM(I2:I135)</f>
        <v>5</v>
      </c>
      <c r="K137" s="2">
        <f t="shared" si="27"/>
        <v>5</v>
      </c>
      <c r="L137" s="2">
        <f t="shared" si="27"/>
        <v>11</v>
      </c>
      <c r="M137" s="2">
        <f t="shared" si="27"/>
        <v>22</v>
      </c>
      <c r="N137" s="2">
        <f t="shared" si="27"/>
        <v>2</v>
      </c>
      <c r="O137" s="2">
        <f t="shared" si="27"/>
        <v>54</v>
      </c>
      <c r="V137" s="2">
        <f>SUM(U2:U135)</f>
        <v>48</v>
      </c>
      <c r="W137" s="2">
        <f>SUM(V2:V135)</f>
        <v>247</v>
      </c>
      <c r="Z137" s="2">
        <f t="shared" ref="Z137:AJ137" si="28">SUM(Y2:Y135)</f>
        <v>130</v>
      </c>
      <c r="AA137" s="2">
        <f t="shared" si="28"/>
        <v>55</v>
      </c>
      <c r="AB137" s="2">
        <f t="shared" si="28"/>
        <v>9</v>
      </c>
      <c r="AC137" s="2">
        <f t="shared" si="28"/>
        <v>11</v>
      </c>
      <c r="AD137" s="2">
        <f t="shared" si="28"/>
        <v>14</v>
      </c>
      <c r="AE137" s="2">
        <f t="shared" si="28"/>
        <v>12</v>
      </c>
      <c r="AF137" s="2">
        <f t="shared" si="28"/>
        <v>6</v>
      </c>
      <c r="AG137" s="2">
        <f t="shared" si="28"/>
        <v>3</v>
      </c>
      <c r="AH137" s="2">
        <f t="shared" si="28"/>
        <v>9</v>
      </c>
      <c r="AI137" s="2">
        <f t="shared" si="28"/>
        <v>13</v>
      </c>
      <c r="AJ137" s="2">
        <f t="shared" si="28"/>
        <v>130</v>
      </c>
      <c r="AL137" s="2">
        <f t="shared" ref="AL137:BG137" si="29">SUM(AK2:AK135)</f>
        <v>55</v>
      </c>
      <c r="AM137" s="2">
        <f t="shared" si="29"/>
        <v>73</v>
      </c>
      <c r="AN137" s="2">
        <f t="shared" si="29"/>
        <v>119</v>
      </c>
      <c r="AO137" s="2">
        <f t="shared" ref="AO137:AP137" si="30">SUM(AN2:AN135)</f>
        <v>58</v>
      </c>
      <c r="AP137" s="2">
        <f t="shared" si="30"/>
        <v>15</v>
      </c>
      <c r="AQ137" s="2">
        <f t="shared" ref="AQ137" si="31">SUM(AP2:AP135)</f>
        <v>61</v>
      </c>
      <c r="AR137" s="2">
        <f t="shared" si="29"/>
        <v>116</v>
      </c>
      <c r="AS137" s="2">
        <f t="shared" si="29"/>
        <v>99</v>
      </c>
      <c r="AU137" s="2">
        <f t="shared" si="29"/>
        <v>8</v>
      </c>
      <c r="AV137" s="2">
        <f t="shared" si="29"/>
        <v>30</v>
      </c>
      <c r="AX137" s="2">
        <f t="shared" si="29"/>
        <v>21</v>
      </c>
      <c r="AZ137" s="2">
        <f t="shared" si="29"/>
        <v>4</v>
      </c>
      <c r="BA137" s="2">
        <f t="shared" si="29"/>
        <v>5</v>
      </c>
      <c r="BB137" s="2">
        <f t="shared" si="29"/>
        <v>4</v>
      </c>
      <c r="BC137" s="2">
        <f t="shared" si="29"/>
        <v>13</v>
      </c>
      <c r="BD137" s="2">
        <f t="shared" si="29"/>
        <v>59</v>
      </c>
      <c r="BE137" s="2">
        <f t="shared" si="29"/>
        <v>21</v>
      </c>
      <c r="BF137" s="2">
        <f t="shared" si="29"/>
        <v>25</v>
      </c>
      <c r="BG137" s="2">
        <f t="shared" si="29"/>
        <v>20</v>
      </c>
    </row>
    <row r="138" spans="1:60">
      <c r="D138" s="2" t="s">
        <v>246</v>
      </c>
      <c r="E138" s="2">
        <f>MEDIAN(D2:D135)</f>
        <v>9</v>
      </c>
      <c r="F138" s="2">
        <f>MEDIAN(E2:E135)</f>
        <v>71</v>
      </c>
      <c r="I138" s="2">
        <f>I137/134</f>
        <v>0.5</v>
      </c>
      <c r="J138" s="2">
        <f t="shared" ref="J138:O138" si="32">J137/134</f>
        <v>3.7313432835820892E-2</v>
      </c>
      <c r="K138" s="2">
        <f t="shared" si="32"/>
        <v>3.7313432835820892E-2</v>
      </c>
      <c r="L138" s="2">
        <f t="shared" si="32"/>
        <v>8.2089552238805971E-2</v>
      </c>
      <c r="M138" s="2">
        <f t="shared" si="32"/>
        <v>0.16417910447761194</v>
      </c>
      <c r="N138" s="2">
        <f t="shared" si="32"/>
        <v>1.4925373134328358E-2</v>
      </c>
      <c r="O138" s="2">
        <f t="shared" si="32"/>
        <v>0.40298507462686567</v>
      </c>
      <c r="V138" s="2">
        <f t="shared" ref="V138:W138" si="33">V137/134</f>
        <v>0.35820895522388058</v>
      </c>
      <c r="AA138" s="2">
        <f t="shared" ref="AA138" si="34">AA137/134</f>
        <v>0.41044776119402987</v>
      </c>
      <c r="AB138" s="2">
        <f t="shared" ref="AB138" si="35">AB137/134</f>
        <v>6.7164179104477612E-2</v>
      </c>
      <c r="AC138" s="2">
        <f t="shared" ref="AC138" si="36">AC137/134</f>
        <v>8.2089552238805971E-2</v>
      </c>
      <c r="AD138" s="2">
        <f t="shared" ref="AD138" si="37">AD137/134</f>
        <v>0.1044776119402985</v>
      </c>
      <c r="AE138" s="2">
        <f t="shared" ref="AE138" si="38">AE137/134</f>
        <v>8.9552238805970144E-2</v>
      </c>
      <c r="AF138" s="2">
        <f t="shared" ref="AF138" si="39">AF137/134</f>
        <v>4.4776119402985072E-2</v>
      </c>
      <c r="AG138" s="2">
        <f t="shared" ref="AG138" si="40">AG137/134</f>
        <v>2.2388059701492536E-2</v>
      </c>
      <c r="AH138" s="2">
        <f t="shared" ref="AH138" si="41">AH137/134</f>
        <v>6.7164179104477612E-2</v>
      </c>
      <c r="AI138" s="2">
        <f t="shared" ref="AI138:AJ138" si="42">AI137/134</f>
        <v>9.7014925373134331E-2</v>
      </c>
      <c r="AJ138" s="2">
        <f t="shared" si="42"/>
        <v>0.97014925373134331</v>
      </c>
      <c r="AL138" s="2">
        <f t="shared" ref="AL138" si="43">AL137/134</f>
        <v>0.41044776119402987</v>
      </c>
      <c r="AM138" s="2">
        <f t="shared" ref="AM138" si="44">AM137/134</f>
        <v>0.54477611940298509</v>
      </c>
      <c r="AN138" s="2">
        <f t="shared" ref="AN138:AP138" si="45">AN137/134</f>
        <v>0.88805970149253732</v>
      </c>
      <c r="AO138" s="2">
        <f t="shared" si="45"/>
        <v>0.43283582089552236</v>
      </c>
      <c r="AP138" s="2">
        <f t="shared" si="45"/>
        <v>0.11194029850746269</v>
      </c>
      <c r="AQ138" s="2">
        <f t="shared" ref="AQ138" si="46">AQ137/134</f>
        <v>0.45522388059701491</v>
      </c>
      <c r="AR138" s="2">
        <f t="shared" ref="AR138" si="47">AR137/134</f>
        <v>0.86567164179104472</v>
      </c>
      <c r="AS138" s="2">
        <f t="shared" ref="AS138" si="48">AS137/134</f>
        <v>0.73880597014925375</v>
      </c>
      <c r="AU138" s="2">
        <f>AU137/99</f>
        <v>8.0808080808080815E-2</v>
      </c>
      <c r="AV138" s="2">
        <f>AV137/99</f>
        <v>0.30303030303030304</v>
      </c>
      <c r="AX138" s="2">
        <f>AX137/134</f>
        <v>0.15671641791044777</v>
      </c>
      <c r="AZ138" s="2">
        <f>AZ137/21</f>
        <v>0.19047619047619047</v>
      </c>
      <c r="BA138" s="2">
        <f>BA137/21</f>
        <v>0.23809523809523808</v>
      </c>
      <c r="BB138" s="2">
        <f>BB137/21</f>
        <v>0.19047619047619047</v>
      </c>
      <c r="BC138" s="2">
        <f t="shared" ref="BC138:BE138" si="49">BC137/134</f>
        <v>9.7014925373134331E-2</v>
      </c>
      <c r="BD138" s="2">
        <f t="shared" si="49"/>
        <v>0.44029850746268656</v>
      </c>
      <c r="BE138" s="2">
        <f t="shared" si="49"/>
        <v>0.15671641791044777</v>
      </c>
      <c r="BF138" s="2">
        <f>BF137/134</f>
        <v>0.18656716417910449</v>
      </c>
      <c r="BG138" s="26">
        <f>BG137/134</f>
        <v>0.14925373134328357</v>
      </c>
    </row>
    <row r="139" spans="1:60">
      <c r="D139" s="2" t="s">
        <v>247</v>
      </c>
      <c r="E139" s="2">
        <f>MODE(D2:D135)</f>
        <v>7</v>
      </c>
      <c r="F139" s="2">
        <f>MODE(E2:E135)</f>
        <v>77</v>
      </c>
      <c r="I139" s="33">
        <f t="shared" ref="I139:N139" si="50">SUM(H4:H10,H12:H19,H21:H23,H25:H29,H32,H34,H35,H37:H38)</f>
        <v>23</v>
      </c>
      <c r="J139" s="34">
        <f t="shared" si="50"/>
        <v>0</v>
      </c>
      <c r="K139" s="34">
        <f t="shared" si="50"/>
        <v>0</v>
      </c>
      <c r="L139" s="34">
        <f t="shared" si="50"/>
        <v>3</v>
      </c>
      <c r="M139" s="34">
        <f t="shared" si="50"/>
        <v>6</v>
      </c>
      <c r="N139" s="34">
        <f t="shared" si="50"/>
        <v>1</v>
      </c>
      <c r="O139" s="34">
        <f t="shared" ref="O139" si="51">SUM(N4:N10,N12:N19,N21:N23,N25:N29,N32,N34,N35,N37:N38)</f>
        <v>20</v>
      </c>
      <c r="P139" s="35" t="s">
        <v>248</v>
      </c>
      <c r="Q139" s="34">
        <f>COUNTIF(P2:P135, "staphylococcus aureus")</f>
        <v>28</v>
      </c>
      <c r="R139" s="34"/>
      <c r="S139" s="34"/>
      <c r="T139" s="34"/>
      <c r="U139" s="34"/>
      <c r="V139" s="34">
        <f>COUNTIFS(P2:P135, "staphylococcus aureus", U2:U135, "1")</f>
        <v>25</v>
      </c>
      <c r="W139" s="34">
        <f>SUM(V4:V10,V12:V19,V21:V23,V25:V29,V32,V34,V35,V37:V38)</f>
        <v>71</v>
      </c>
      <c r="X139" s="34">
        <f t="shared" ref="X139:BF139" si="52">SUM(W4:W10,W12:W19,W21:W23,W25:W29,W32,W34,W35,W37:W38)</f>
        <v>1271630</v>
      </c>
      <c r="Y139" s="34">
        <f t="shared" si="52"/>
        <v>1271679</v>
      </c>
      <c r="Z139" s="34">
        <f t="shared" si="52"/>
        <v>49</v>
      </c>
      <c r="AA139" s="34">
        <f t="shared" si="52"/>
        <v>19</v>
      </c>
      <c r="AB139" s="34">
        <f t="shared" si="52"/>
        <v>4</v>
      </c>
      <c r="AC139" s="34">
        <f t="shared" si="52"/>
        <v>5</v>
      </c>
      <c r="AD139" s="34">
        <f t="shared" si="52"/>
        <v>4</v>
      </c>
      <c r="AE139" s="34">
        <f t="shared" si="52"/>
        <v>7</v>
      </c>
      <c r="AF139" s="34">
        <f t="shared" si="52"/>
        <v>1</v>
      </c>
      <c r="AG139" s="34">
        <f t="shared" si="52"/>
        <v>1</v>
      </c>
      <c r="AH139" s="34">
        <f t="shared" si="52"/>
        <v>3</v>
      </c>
      <c r="AI139" s="34">
        <f t="shared" si="52"/>
        <v>6</v>
      </c>
      <c r="AJ139" s="34">
        <f t="shared" si="52"/>
        <v>28</v>
      </c>
      <c r="AK139" s="34"/>
      <c r="AL139" s="34">
        <f t="shared" si="52"/>
        <v>24</v>
      </c>
      <c r="AM139" s="34">
        <f t="shared" si="52"/>
        <v>24</v>
      </c>
      <c r="AN139" s="34">
        <f t="shared" si="52"/>
        <v>24</v>
      </c>
      <c r="AO139" s="34"/>
      <c r="AP139" s="34"/>
      <c r="AQ139" s="34"/>
      <c r="AR139" s="34">
        <f t="shared" si="52"/>
        <v>20</v>
      </c>
      <c r="AS139" s="34">
        <f t="shared" si="52"/>
        <v>28</v>
      </c>
      <c r="AT139" s="34"/>
      <c r="AU139" s="34">
        <f t="shared" ref="AT139:BE139" si="53">SUM(AT4:AT10,AT12:AT19,AT21:AT23,AT25:AT29,AT32,AT34,AT35,AT37:AT38)</f>
        <v>4</v>
      </c>
      <c r="AV139" s="34">
        <f t="shared" si="53"/>
        <v>6</v>
      </c>
      <c r="AW139" s="34"/>
      <c r="AX139" s="34">
        <f t="shared" si="53"/>
        <v>7</v>
      </c>
      <c r="AY139" s="34"/>
      <c r="AZ139" s="34">
        <f t="shared" si="53"/>
        <v>1</v>
      </c>
      <c r="BA139" s="34">
        <f t="shared" si="53"/>
        <v>1</v>
      </c>
      <c r="BB139" s="34">
        <f t="shared" si="53"/>
        <v>1</v>
      </c>
      <c r="BC139" s="34">
        <f t="shared" si="53"/>
        <v>6</v>
      </c>
      <c r="BD139" s="34">
        <f t="shared" si="53"/>
        <v>26</v>
      </c>
      <c r="BE139" s="34">
        <f t="shared" si="53"/>
        <v>4</v>
      </c>
      <c r="BF139" s="34">
        <f t="shared" si="52"/>
        <v>10</v>
      </c>
      <c r="BG139" s="2">
        <f t="shared" ref="BG139" si="54">SUM(BF4:BF10,BF12:BF19,BF21:BF23,BF25:BF29,BF32,BF34,BF35,BF37:BF38)</f>
        <v>7</v>
      </c>
      <c r="BH139" s="35" t="s">
        <v>248</v>
      </c>
    </row>
    <row r="140" spans="1:60">
      <c r="D140" s="2" t="s">
        <v>249</v>
      </c>
      <c r="E140" s="2">
        <f>STDEV(D2:D135)</f>
        <v>14.886499029072825</v>
      </c>
      <c r="F140" s="2">
        <f>STDEV(E2:E135)</f>
        <v>16.336889278444374</v>
      </c>
      <c r="I140" s="37">
        <f t="shared" ref="I140:N140" si="55">SUM(H2:H3,H11,H20,H24,H30:H31,H33,H36,H39)</f>
        <v>7</v>
      </c>
      <c r="J140" s="2">
        <f t="shared" si="55"/>
        <v>4</v>
      </c>
      <c r="K140" s="2">
        <f t="shared" si="55"/>
        <v>1</v>
      </c>
      <c r="L140" s="2">
        <f t="shared" si="55"/>
        <v>1</v>
      </c>
      <c r="M140" s="2">
        <f t="shared" si="55"/>
        <v>2</v>
      </c>
      <c r="N140" s="2">
        <f t="shared" si="55"/>
        <v>1</v>
      </c>
      <c r="O140" s="2">
        <f t="shared" ref="O140" si="56">SUM(N2:N3,N11,N20,N24,N30:N31,N33,N36,N39)</f>
        <v>4</v>
      </c>
      <c r="P140" s="11" t="s">
        <v>250</v>
      </c>
      <c r="Q140" s="2">
        <f>COUNTIF(P2:P135, "methicillin-resistant staphylococcus aureus")</f>
        <v>10</v>
      </c>
      <c r="V140" s="2">
        <f>COUNTIFS(P2:P135, "methicillin-resistant staphylococcus aureus", U2:U135, "1")</f>
        <v>9</v>
      </c>
      <c r="W140" s="2">
        <f>SUM(V2:V3,V11,V20,V24,V30:V31,V33,V36,V39)</f>
        <v>46</v>
      </c>
      <c r="X140" s="2">
        <f t="shared" ref="X140:BF140" si="57">SUM(W2:W3,W11,W20,W24,W30:W31,W33,W36,W39)</f>
        <v>454037</v>
      </c>
      <c r="Y140" s="2">
        <f t="shared" si="57"/>
        <v>454077</v>
      </c>
      <c r="Z140" s="2">
        <f t="shared" si="57"/>
        <v>40</v>
      </c>
      <c r="AA140" s="2">
        <f t="shared" si="57"/>
        <v>6</v>
      </c>
      <c r="AB140" s="2">
        <f t="shared" si="57"/>
        <v>3</v>
      </c>
      <c r="AC140" s="2">
        <f t="shared" si="57"/>
        <v>3</v>
      </c>
      <c r="AD140" s="2">
        <f t="shared" si="57"/>
        <v>1</v>
      </c>
      <c r="AE140" s="2">
        <f t="shared" si="57"/>
        <v>1</v>
      </c>
      <c r="AF140" s="2">
        <f t="shared" si="57"/>
        <v>0</v>
      </c>
      <c r="AG140" s="2">
        <f t="shared" si="57"/>
        <v>1</v>
      </c>
      <c r="AH140" s="2">
        <f t="shared" si="57"/>
        <v>0</v>
      </c>
      <c r="AI140" s="2">
        <f t="shared" si="57"/>
        <v>1</v>
      </c>
      <c r="AJ140" s="2">
        <f t="shared" si="57"/>
        <v>10</v>
      </c>
      <c r="AL140" s="2">
        <f t="shared" si="57"/>
        <v>10</v>
      </c>
      <c r="AM140" s="2">
        <f t="shared" si="57"/>
        <v>7</v>
      </c>
      <c r="AN140" s="2">
        <f t="shared" si="57"/>
        <v>7</v>
      </c>
      <c r="AR140" s="2">
        <f t="shared" si="57"/>
        <v>10</v>
      </c>
      <c r="AS140" s="2">
        <f t="shared" si="57"/>
        <v>10</v>
      </c>
      <c r="AU140" s="2">
        <f t="shared" ref="AT140:BE140" si="58">SUM(AT2:AT3,AT11,AT20,AT24,AT30:AT31,AT33,AT36,AT39)</f>
        <v>1</v>
      </c>
      <c r="AV140" s="2">
        <f t="shared" si="58"/>
        <v>4</v>
      </c>
      <c r="AX140" s="2">
        <f t="shared" si="58"/>
        <v>6</v>
      </c>
      <c r="AZ140" s="2">
        <f t="shared" si="58"/>
        <v>0</v>
      </c>
      <c r="BA140" s="2">
        <f t="shared" si="58"/>
        <v>1</v>
      </c>
      <c r="BB140" s="2">
        <f t="shared" si="58"/>
        <v>1</v>
      </c>
      <c r="BC140" s="2">
        <f t="shared" si="58"/>
        <v>1</v>
      </c>
      <c r="BD140" s="2">
        <f t="shared" si="58"/>
        <v>10</v>
      </c>
      <c r="BE140" s="2">
        <f t="shared" si="58"/>
        <v>5</v>
      </c>
      <c r="BF140" s="2">
        <f t="shared" si="57"/>
        <v>2</v>
      </c>
      <c r="BG140" s="2">
        <f t="shared" ref="BG140" si="59">SUM(BF2:BF3,BF11,BF20,BF24,BF30:BF31,BF33,BF36,BF39)</f>
        <v>6</v>
      </c>
      <c r="BH140" s="11" t="s">
        <v>250</v>
      </c>
    </row>
    <row r="141" spans="1:60">
      <c r="D141" s="2" t="s">
        <v>251</v>
      </c>
      <c r="E141" s="2">
        <f>MAX(D2:D135)</f>
        <v>107</v>
      </c>
      <c r="F141" s="2">
        <f>MAX(E2:E135)</f>
        <v>96</v>
      </c>
      <c r="I141" s="37"/>
    </row>
    <row r="142" spans="1:60">
      <c r="D142" s="2" t="s">
        <v>252</v>
      </c>
      <c r="E142" s="2">
        <f>MIN(D2:D135)</f>
        <v>1</v>
      </c>
      <c r="F142" s="2">
        <f>MIN(E2:E135)</f>
        <v>23</v>
      </c>
      <c r="I142" s="37">
        <f t="shared" ref="I142:N142" si="60">SUM(H40,H46,H55)</f>
        <v>0</v>
      </c>
      <c r="J142" s="2">
        <f t="shared" si="60"/>
        <v>0</v>
      </c>
      <c r="K142" s="2">
        <f t="shared" si="60"/>
        <v>0</v>
      </c>
      <c r="L142" s="2">
        <f t="shared" si="60"/>
        <v>0</v>
      </c>
      <c r="M142" s="2">
        <f t="shared" si="60"/>
        <v>0</v>
      </c>
      <c r="N142" s="2">
        <f t="shared" si="60"/>
        <v>0</v>
      </c>
      <c r="O142" s="2">
        <f t="shared" ref="O142" si="61">SUM(N40,N46,N55)</f>
        <v>2</v>
      </c>
      <c r="P142" s="11" t="s">
        <v>253</v>
      </c>
      <c r="Q142" s="2">
        <f>COUNTIF(P2:P135, "streptococcus mutans")</f>
        <v>3</v>
      </c>
      <c r="V142" s="2">
        <f>COUNTIFS(P2:P135, "streptococcus mutans", U2:U135, "1")</f>
        <v>0</v>
      </c>
      <c r="W142" s="2">
        <f>SUM(V40,V46,V55)</f>
        <v>3</v>
      </c>
      <c r="X142" s="2">
        <f t="shared" ref="X142:BF142" si="62">SUM(W40,W46,W55)</f>
        <v>136224</v>
      </c>
      <c r="Y142" s="2">
        <f t="shared" si="62"/>
        <v>136224</v>
      </c>
      <c r="Z142" s="2">
        <f t="shared" si="62"/>
        <v>0</v>
      </c>
      <c r="AA142" s="2">
        <f t="shared" si="62"/>
        <v>3</v>
      </c>
      <c r="AB142" s="2">
        <f t="shared" si="62"/>
        <v>1</v>
      </c>
      <c r="AC142" s="2">
        <f t="shared" si="62"/>
        <v>0</v>
      </c>
      <c r="AD142" s="2">
        <f t="shared" si="62"/>
        <v>0</v>
      </c>
      <c r="AE142" s="2">
        <f t="shared" si="62"/>
        <v>0</v>
      </c>
      <c r="AF142" s="2">
        <f t="shared" si="62"/>
        <v>0</v>
      </c>
      <c r="AG142" s="2">
        <f t="shared" si="62"/>
        <v>0</v>
      </c>
      <c r="AH142" s="2">
        <f t="shared" si="62"/>
        <v>1</v>
      </c>
      <c r="AI142" s="2">
        <f t="shared" si="62"/>
        <v>1</v>
      </c>
      <c r="AJ142" s="2">
        <f t="shared" si="62"/>
        <v>3</v>
      </c>
      <c r="AL142" s="2">
        <f t="shared" si="62"/>
        <v>1</v>
      </c>
      <c r="AM142" s="2">
        <f t="shared" si="62"/>
        <v>2</v>
      </c>
      <c r="AN142" s="2">
        <f t="shared" si="62"/>
        <v>3</v>
      </c>
      <c r="AR142" s="2">
        <f t="shared" si="62"/>
        <v>3</v>
      </c>
      <c r="AS142" s="2">
        <f t="shared" si="62"/>
        <v>3</v>
      </c>
      <c r="AU142" s="2">
        <f t="shared" ref="AT142:BB142" si="63">SUM(AT40,AT46,AT55)</f>
        <v>0</v>
      </c>
      <c r="AV142" s="2">
        <f t="shared" si="63"/>
        <v>2</v>
      </c>
      <c r="AX142" s="2">
        <f t="shared" si="63"/>
        <v>1</v>
      </c>
      <c r="AZ142" s="2">
        <f t="shared" si="63"/>
        <v>1</v>
      </c>
      <c r="BA142" s="2">
        <f t="shared" si="63"/>
        <v>0</v>
      </c>
      <c r="BB142" s="2">
        <f t="shared" si="63"/>
        <v>1</v>
      </c>
      <c r="BC142" s="2">
        <f t="shared" ref="BC142:BE142" si="64">SUM(BB40,BB46,BB55)</f>
        <v>1</v>
      </c>
      <c r="BD142" s="2">
        <f t="shared" si="64"/>
        <v>2</v>
      </c>
      <c r="BE142" s="2">
        <f t="shared" si="64"/>
        <v>0</v>
      </c>
      <c r="BF142" s="2">
        <f t="shared" si="62"/>
        <v>0</v>
      </c>
      <c r="BG142" s="2">
        <f t="shared" ref="BG142" si="65">SUM(BF40,BF46,BF55)</f>
        <v>1</v>
      </c>
      <c r="BH142" s="11" t="s">
        <v>253</v>
      </c>
    </row>
    <row r="143" spans="1:60">
      <c r="D143" s="2" t="s">
        <v>291</v>
      </c>
      <c r="E143" s="2">
        <f>QUARTILE(D2:D135, 1)</f>
        <v>6</v>
      </c>
      <c r="F143" s="2">
        <f>QUARTILE(E2:E135, 1)</f>
        <v>58</v>
      </c>
      <c r="I143" s="37">
        <f t="shared" ref="I143:N143" si="66">SUM(H41,H43:H44,H47:H48,H52,H56)</f>
        <v>1</v>
      </c>
      <c r="J143" s="2">
        <f t="shared" si="66"/>
        <v>0</v>
      </c>
      <c r="K143" s="2">
        <f t="shared" si="66"/>
        <v>0</v>
      </c>
      <c r="L143" s="2">
        <f t="shared" si="66"/>
        <v>0</v>
      </c>
      <c r="M143" s="2">
        <f t="shared" si="66"/>
        <v>1</v>
      </c>
      <c r="N143" s="2">
        <f t="shared" si="66"/>
        <v>0</v>
      </c>
      <c r="O143" s="2">
        <f t="shared" ref="O143" si="67">SUM(N41,N43:N44,N47:N48,N52,N56)</f>
        <v>1</v>
      </c>
      <c r="P143" s="11" t="s">
        <v>254</v>
      </c>
      <c r="Q143" s="2">
        <f>COUNTIF(P2:P135, "streptococcus mitis group")</f>
        <v>7</v>
      </c>
      <c r="V143" s="2">
        <f>COUNTIFS(P2:P135, "streptococcus mitis group", U2:U135, "1")</f>
        <v>0</v>
      </c>
      <c r="W143" s="2">
        <f>SUM(V41,V43:V44,V47:V48,V52,V56)</f>
        <v>7</v>
      </c>
      <c r="X143" s="2">
        <f t="shared" ref="X143:BF143" si="68">SUM(W41,W43:W44,W47:W48,W52,W56)</f>
        <v>318005</v>
      </c>
      <c r="Y143" s="2">
        <f t="shared" si="68"/>
        <v>318005</v>
      </c>
      <c r="Z143" s="2">
        <f t="shared" si="68"/>
        <v>0</v>
      </c>
      <c r="AA143" s="2">
        <f t="shared" si="68"/>
        <v>5</v>
      </c>
      <c r="AB143" s="2">
        <f t="shared" si="68"/>
        <v>0</v>
      </c>
      <c r="AC143" s="2">
        <f t="shared" si="68"/>
        <v>0</v>
      </c>
      <c r="AD143" s="2">
        <f t="shared" si="68"/>
        <v>0</v>
      </c>
      <c r="AE143" s="2">
        <f t="shared" si="68"/>
        <v>2</v>
      </c>
      <c r="AF143" s="2">
        <f t="shared" si="68"/>
        <v>0</v>
      </c>
      <c r="AG143" s="2">
        <f t="shared" si="68"/>
        <v>1</v>
      </c>
      <c r="AH143" s="2">
        <f t="shared" si="68"/>
        <v>0</v>
      </c>
      <c r="AI143" s="2">
        <f t="shared" si="68"/>
        <v>3</v>
      </c>
      <c r="AJ143" s="2">
        <f t="shared" si="68"/>
        <v>7</v>
      </c>
      <c r="AL143" s="2">
        <f t="shared" si="68"/>
        <v>3</v>
      </c>
      <c r="AM143" s="2">
        <f t="shared" si="68"/>
        <v>3</v>
      </c>
      <c r="AN143" s="2">
        <f t="shared" si="68"/>
        <v>6</v>
      </c>
      <c r="AR143" s="2">
        <f t="shared" si="68"/>
        <v>6</v>
      </c>
      <c r="AS143" s="2">
        <f t="shared" si="68"/>
        <v>5</v>
      </c>
      <c r="AU143" s="2">
        <f t="shared" ref="AT143:BB143" si="69">SUM(AT41,AT43:AT44,AT47:AT48,AT52,AT56)</f>
        <v>1</v>
      </c>
      <c r="AV143" s="2">
        <f t="shared" si="69"/>
        <v>1</v>
      </c>
      <c r="AX143" s="2">
        <f t="shared" si="69"/>
        <v>1</v>
      </c>
      <c r="AZ143" s="2">
        <f t="shared" si="69"/>
        <v>0</v>
      </c>
      <c r="BA143" s="2">
        <f t="shared" si="69"/>
        <v>0</v>
      </c>
      <c r="BB143" s="2">
        <f t="shared" si="69"/>
        <v>0</v>
      </c>
      <c r="BC143" s="2">
        <f t="shared" ref="BC143:BE143" si="70">SUM(BB41,BB43:BB44,BB47:BB48,BB52,BB56)</f>
        <v>1</v>
      </c>
      <c r="BD143" s="2">
        <f t="shared" si="70"/>
        <v>3</v>
      </c>
      <c r="BE143" s="2">
        <f t="shared" si="70"/>
        <v>0</v>
      </c>
      <c r="BF143" s="2">
        <f t="shared" si="68"/>
        <v>1</v>
      </c>
      <c r="BG143" s="2">
        <f t="shared" ref="BG143" si="71">SUM(BF41,BF43:BF44,BF47:BF48,BF52,BF56)</f>
        <v>1</v>
      </c>
      <c r="BH143" s="11" t="s">
        <v>254</v>
      </c>
    </row>
    <row r="144" spans="1:60">
      <c r="D144" s="2" t="s">
        <v>292</v>
      </c>
      <c r="E144" s="2">
        <f>QUARTILE(D2:D135,3)</f>
        <v>16</v>
      </c>
      <c r="F144" s="2">
        <f>QUARTILE(E2:E135,3)</f>
        <v>80.75</v>
      </c>
      <c r="I144" s="37">
        <f t="shared" ref="I144:N144" si="72">SUM(H42,H53)</f>
        <v>2</v>
      </c>
      <c r="J144" s="2">
        <f t="shared" si="72"/>
        <v>0</v>
      </c>
      <c r="K144" s="2">
        <f t="shared" si="72"/>
        <v>1</v>
      </c>
      <c r="L144" s="2">
        <f t="shared" si="72"/>
        <v>0</v>
      </c>
      <c r="M144" s="2">
        <f t="shared" si="72"/>
        <v>0</v>
      </c>
      <c r="N144" s="2">
        <f t="shared" si="72"/>
        <v>0</v>
      </c>
      <c r="O144" s="2">
        <f t="shared" ref="O144" si="73">SUM(N42,N53)</f>
        <v>1</v>
      </c>
      <c r="P144" s="11" t="s">
        <v>255</v>
      </c>
      <c r="Q144" s="2">
        <f>COUNTIF(P2:P135, "streptococcus gordonii")</f>
        <v>2</v>
      </c>
      <c r="V144" s="2">
        <f>COUNTIFS(P2:P135, "streptococcus gordonii", U2:U135, "1")</f>
        <v>1</v>
      </c>
      <c r="W144" s="2">
        <f>SUM(V42,V53)</f>
        <v>3</v>
      </c>
      <c r="X144" s="2">
        <f t="shared" ref="X144:BF144" si="74">SUM(W42,W53)</f>
        <v>90806</v>
      </c>
      <c r="Y144" s="2">
        <f t="shared" si="74"/>
        <v>90807</v>
      </c>
      <c r="Z144" s="2">
        <f t="shared" si="74"/>
        <v>1</v>
      </c>
      <c r="AA144" s="2">
        <f t="shared" si="74"/>
        <v>0</v>
      </c>
      <c r="AB144" s="2">
        <f t="shared" si="74"/>
        <v>0</v>
      </c>
      <c r="AC144" s="2">
        <f t="shared" si="74"/>
        <v>0</v>
      </c>
      <c r="AD144" s="2">
        <f t="shared" si="74"/>
        <v>0</v>
      </c>
      <c r="AE144" s="2">
        <f t="shared" si="74"/>
        <v>0</v>
      </c>
      <c r="AF144" s="2">
        <f t="shared" si="74"/>
        <v>0</v>
      </c>
      <c r="AG144" s="2">
        <f t="shared" si="74"/>
        <v>0</v>
      </c>
      <c r="AH144" s="2">
        <f t="shared" si="74"/>
        <v>0</v>
      </c>
      <c r="AI144" s="2">
        <f t="shared" si="74"/>
        <v>0</v>
      </c>
      <c r="AJ144" s="2">
        <f t="shared" si="74"/>
        <v>2</v>
      </c>
      <c r="AL144" s="2">
        <f t="shared" si="74"/>
        <v>2</v>
      </c>
      <c r="AM144" s="2">
        <f t="shared" si="74"/>
        <v>2</v>
      </c>
      <c r="AN144" s="2">
        <f t="shared" si="74"/>
        <v>2</v>
      </c>
      <c r="AR144" s="2">
        <f t="shared" si="74"/>
        <v>2</v>
      </c>
      <c r="AS144" s="2">
        <f t="shared" si="74"/>
        <v>2</v>
      </c>
      <c r="AU144" s="2">
        <f t="shared" ref="AT144:BB144" si="75">SUM(AT42,AT53)</f>
        <v>1</v>
      </c>
      <c r="AV144" s="2">
        <f t="shared" si="75"/>
        <v>1</v>
      </c>
      <c r="AX144" s="2">
        <f t="shared" si="75"/>
        <v>2</v>
      </c>
      <c r="AZ144" s="2">
        <f t="shared" si="75"/>
        <v>1</v>
      </c>
      <c r="BA144" s="2">
        <f t="shared" si="75"/>
        <v>2</v>
      </c>
      <c r="BB144" s="2">
        <f t="shared" si="75"/>
        <v>0</v>
      </c>
      <c r="BC144" s="2">
        <f t="shared" ref="BC144:BE144" si="76">SUM(BB42,BB53)</f>
        <v>1</v>
      </c>
      <c r="BD144" s="2">
        <f t="shared" si="76"/>
        <v>2</v>
      </c>
      <c r="BE144" s="2">
        <f t="shared" si="76"/>
        <v>1</v>
      </c>
      <c r="BF144" s="2">
        <f t="shared" si="74"/>
        <v>0</v>
      </c>
      <c r="BG144" s="2">
        <f t="shared" ref="BG144" si="77">SUM(BF42,BF53)</f>
        <v>2</v>
      </c>
      <c r="BH144" s="11" t="s">
        <v>255</v>
      </c>
    </row>
    <row r="145" spans="3:60">
      <c r="D145" s="2" t="s">
        <v>293</v>
      </c>
      <c r="E145" s="2">
        <f>E144-E143</f>
        <v>10</v>
      </c>
      <c r="F145" s="2">
        <f>F144-F143</f>
        <v>22.75</v>
      </c>
      <c r="I145" s="37">
        <f t="shared" ref="I145:N145" si="78">SUM(H45,H49,H51)</f>
        <v>1</v>
      </c>
      <c r="J145" s="2">
        <f t="shared" si="78"/>
        <v>0</v>
      </c>
      <c r="K145" s="2">
        <f t="shared" si="78"/>
        <v>0</v>
      </c>
      <c r="L145" s="2">
        <f t="shared" si="78"/>
        <v>0</v>
      </c>
      <c r="M145" s="2">
        <f t="shared" si="78"/>
        <v>1</v>
      </c>
      <c r="N145" s="2">
        <f t="shared" si="78"/>
        <v>0</v>
      </c>
      <c r="O145" s="2">
        <f t="shared" ref="O145" si="79">SUM(N45,N49,N51)</f>
        <v>0</v>
      </c>
      <c r="P145" s="11" t="s">
        <v>256</v>
      </c>
      <c r="Q145" s="2">
        <f>COUNTIF(P2:P135, "streptococcus constellatus")</f>
        <v>3</v>
      </c>
      <c r="V145" s="2">
        <f>COUNTIFS(P2:P135, "streptococcus constellatus", U2:U135, "1")</f>
        <v>0</v>
      </c>
      <c r="W145" s="2">
        <f>SUM(V45,V49,V51)</f>
        <v>3</v>
      </c>
      <c r="X145" s="2">
        <f t="shared" ref="X145:BF145" si="80">SUM(W45,W49,W51)</f>
        <v>136323</v>
      </c>
      <c r="Y145" s="2">
        <f t="shared" si="80"/>
        <v>136323</v>
      </c>
      <c r="Z145" s="2">
        <f t="shared" si="80"/>
        <v>0</v>
      </c>
      <c r="AA145" s="2">
        <f t="shared" si="80"/>
        <v>2</v>
      </c>
      <c r="AB145" s="2">
        <f t="shared" si="80"/>
        <v>0</v>
      </c>
      <c r="AC145" s="2">
        <f t="shared" si="80"/>
        <v>0</v>
      </c>
      <c r="AD145" s="2">
        <f t="shared" si="80"/>
        <v>0</v>
      </c>
      <c r="AE145" s="2">
        <f t="shared" si="80"/>
        <v>1</v>
      </c>
      <c r="AF145" s="2">
        <f t="shared" si="80"/>
        <v>2</v>
      </c>
      <c r="AG145" s="2">
        <f t="shared" si="80"/>
        <v>0</v>
      </c>
      <c r="AH145" s="2">
        <f t="shared" si="80"/>
        <v>0</v>
      </c>
      <c r="AI145" s="2">
        <f t="shared" si="80"/>
        <v>0</v>
      </c>
      <c r="AJ145" s="2">
        <f t="shared" si="80"/>
        <v>3</v>
      </c>
      <c r="AL145" s="2">
        <f t="shared" si="80"/>
        <v>1</v>
      </c>
      <c r="AM145" s="2">
        <f t="shared" si="80"/>
        <v>2</v>
      </c>
      <c r="AN145" s="2">
        <f t="shared" si="80"/>
        <v>2</v>
      </c>
      <c r="AR145" s="2">
        <f t="shared" si="80"/>
        <v>2</v>
      </c>
      <c r="AS145" s="2">
        <f t="shared" si="80"/>
        <v>2</v>
      </c>
      <c r="AU145" s="2">
        <f t="shared" ref="AT145:BB145" si="81">SUM(AT45,AT49,AT51)</f>
        <v>0</v>
      </c>
      <c r="AV145" s="2">
        <f t="shared" si="81"/>
        <v>0</v>
      </c>
      <c r="AX145" s="2">
        <f t="shared" si="81"/>
        <v>0</v>
      </c>
      <c r="AZ145" s="2">
        <f t="shared" si="81"/>
        <v>0</v>
      </c>
      <c r="BA145" s="2">
        <f t="shared" si="81"/>
        <v>0</v>
      </c>
      <c r="BB145" s="2">
        <f t="shared" si="81"/>
        <v>0</v>
      </c>
      <c r="BC145" s="2">
        <f t="shared" ref="BC145:BE145" si="82">SUM(BB45,BB49,BB51)</f>
        <v>0</v>
      </c>
      <c r="BD145" s="2">
        <f t="shared" si="82"/>
        <v>2</v>
      </c>
      <c r="BE145" s="2">
        <f t="shared" si="82"/>
        <v>0</v>
      </c>
      <c r="BF145" s="2">
        <f t="shared" si="80"/>
        <v>1</v>
      </c>
      <c r="BG145" s="2">
        <f t="shared" ref="BG145" si="83">SUM(BF45,BF49,BF51)</f>
        <v>0</v>
      </c>
      <c r="BH145" s="11" t="s">
        <v>256</v>
      </c>
    </row>
    <row r="146" spans="3:60">
      <c r="I146" s="37">
        <f t="shared" ref="I146:N146" si="84">SUM(H54,H50)</f>
        <v>0</v>
      </c>
      <c r="J146" s="2">
        <f t="shared" si="84"/>
        <v>0</v>
      </c>
      <c r="K146" s="2">
        <f t="shared" si="84"/>
        <v>0</v>
      </c>
      <c r="L146" s="2">
        <f t="shared" si="84"/>
        <v>0</v>
      </c>
      <c r="M146" s="2">
        <f t="shared" si="84"/>
        <v>0</v>
      </c>
      <c r="N146" s="2">
        <f t="shared" si="84"/>
        <v>0</v>
      </c>
      <c r="O146" s="2">
        <f t="shared" ref="O146" si="85">SUM(N54,N50)</f>
        <v>0</v>
      </c>
      <c r="P146" s="11" t="s">
        <v>259</v>
      </c>
      <c r="Q146" s="2">
        <f>COUNTIF(P2:P135, "streptococcus anginosus")</f>
        <v>2</v>
      </c>
      <c r="V146" s="2">
        <f>COUNTIFS(P2:P135, "streptococcus anginosus", U2:U135, "1")</f>
        <v>0</v>
      </c>
      <c r="W146" s="2">
        <f>SUM(V54,V50)</f>
        <v>2</v>
      </c>
      <c r="X146" s="2">
        <f t="shared" ref="X146:BF146" si="86">SUM(W54,W50)</f>
        <v>90752</v>
      </c>
      <c r="Y146" s="2">
        <f t="shared" si="86"/>
        <v>90752</v>
      </c>
      <c r="Z146" s="2">
        <f t="shared" si="86"/>
        <v>0</v>
      </c>
      <c r="AA146" s="2">
        <f t="shared" si="86"/>
        <v>2</v>
      </c>
      <c r="AB146" s="2">
        <f t="shared" si="86"/>
        <v>0</v>
      </c>
      <c r="AC146" s="2">
        <f t="shared" si="86"/>
        <v>1</v>
      </c>
      <c r="AD146" s="2">
        <f t="shared" si="86"/>
        <v>0</v>
      </c>
      <c r="AE146" s="2">
        <f t="shared" si="86"/>
        <v>1</v>
      </c>
      <c r="AF146" s="2">
        <f t="shared" si="86"/>
        <v>0</v>
      </c>
      <c r="AG146" s="2">
        <f t="shared" si="86"/>
        <v>0</v>
      </c>
      <c r="AH146" s="2">
        <f t="shared" si="86"/>
        <v>0</v>
      </c>
      <c r="AI146" s="2">
        <f t="shared" si="86"/>
        <v>1</v>
      </c>
      <c r="AJ146" s="2">
        <f t="shared" si="86"/>
        <v>2</v>
      </c>
      <c r="AL146" s="2">
        <f t="shared" si="86"/>
        <v>2</v>
      </c>
      <c r="AM146" s="2">
        <f t="shared" si="86"/>
        <v>2</v>
      </c>
      <c r="AN146" s="2">
        <f t="shared" si="86"/>
        <v>1</v>
      </c>
      <c r="AR146" s="2">
        <f t="shared" si="86"/>
        <v>1</v>
      </c>
      <c r="AS146" s="2">
        <f t="shared" si="86"/>
        <v>2</v>
      </c>
      <c r="AU146" s="2">
        <f t="shared" ref="AT146:BB146" si="87">SUM(AT54,AT50)</f>
        <v>0</v>
      </c>
      <c r="AV146" s="2">
        <f t="shared" si="87"/>
        <v>0</v>
      </c>
      <c r="AX146" s="2">
        <f t="shared" si="87"/>
        <v>0</v>
      </c>
      <c r="AZ146" s="2">
        <f t="shared" si="87"/>
        <v>0</v>
      </c>
      <c r="BA146" s="2">
        <f t="shared" si="87"/>
        <v>0</v>
      </c>
      <c r="BB146" s="2">
        <f t="shared" si="87"/>
        <v>0</v>
      </c>
      <c r="BC146" s="2">
        <f t="shared" ref="BC146:BE146" si="88">SUM(BB54,BB50)</f>
        <v>0</v>
      </c>
      <c r="BD146" s="2">
        <f t="shared" si="88"/>
        <v>2</v>
      </c>
      <c r="BE146" s="2">
        <f t="shared" si="88"/>
        <v>0</v>
      </c>
      <c r="BF146" s="2">
        <f t="shared" si="86"/>
        <v>2</v>
      </c>
      <c r="BG146" s="2">
        <f t="shared" ref="BG146" si="89">SUM(BF54,BF50)</f>
        <v>0</v>
      </c>
      <c r="BH146" s="11" t="s">
        <v>259</v>
      </c>
    </row>
    <row r="147" spans="3:60">
      <c r="I147" s="37"/>
      <c r="P147" s="8" t="s">
        <v>260</v>
      </c>
      <c r="Q147" s="2">
        <f>COUNTIF(P2:P135, "streptococcus sanguinis")</f>
        <v>0</v>
      </c>
      <c r="V147" s="2">
        <f>COUNTIFS(P2:P135, "streptococcus sanguinis", U2:U135, "1")</f>
        <v>0</v>
      </c>
      <c r="BH147" s="8" t="s">
        <v>260</v>
      </c>
    </row>
    <row r="148" spans="3:60">
      <c r="C148" s="22" t="s">
        <v>257</v>
      </c>
      <c r="D148" s="24" t="s">
        <v>258</v>
      </c>
      <c r="I148" s="37"/>
    </row>
    <row r="149" spans="3:60">
      <c r="C149" s="25">
        <f>COUNTIF(F2:F135, "1")</f>
        <v>68</v>
      </c>
      <c r="D149" s="27">
        <f>COUNTIF(F2:F135, "2")</f>
        <v>66</v>
      </c>
      <c r="I149" s="37"/>
      <c r="P149" s="8" t="s">
        <v>265</v>
      </c>
      <c r="Q149" s="2">
        <f>COUNTIF(P2:P135, "streptococcus lutetiensis")</f>
        <v>0</v>
      </c>
      <c r="V149" s="2">
        <f>COUNTIFS(P2:P135, "streptococcus lutetiensis", U2:U135, "1")</f>
        <v>0</v>
      </c>
      <c r="BH149" s="8" t="s">
        <v>265</v>
      </c>
    </row>
    <row r="150" spans="3:60">
      <c r="C150" s="2">
        <f>(C149/134)*100</f>
        <v>50.746268656716417</v>
      </c>
      <c r="D150" s="2">
        <f>(D149/134)*100</f>
        <v>49.253731343283583</v>
      </c>
      <c r="I150" s="37"/>
    </row>
    <row r="151" spans="3:60">
      <c r="I151" s="37">
        <f t="shared" ref="I151:N151" si="90">SUM(H57:H59,H61:H66,H68)</f>
        <v>8</v>
      </c>
      <c r="J151" s="2">
        <f t="shared" si="90"/>
        <v>1</v>
      </c>
      <c r="K151" s="2">
        <f t="shared" si="90"/>
        <v>0</v>
      </c>
      <c r="L151" s="2">
        <f t="shared" si="90"/>
        <v>4</v>
      </c>
      <c r="M151" s="2">
        <f t="shared" si="90"/>
        <v>2</v>
      </c>
      <c r="N151" s="2">
        <f t="shared" si="90"/>
        <v>0</v>
      </c>
      <c r="O151" s="2">
        <f t="shared" ref="O151" si="91">SUM(N57:N59,N61:N66,N68)</f>
        <v>5</v>
      </c>
      <c r="P151" s="11" t="s">
        <v>266</v>
      </c>
      <c r="Q151" s="2">
        <f>COUNTIF(P2:P135, "enterococcus faecalis")</f>
        <v>10</v>
      </c>
      <c r="V151" s="2">
        <f>COUNTIFS(P2:P135, "enterococcus faecalis", U2:U135, "1")</f>
        <v>8</v>
      </c>
      <c r="W151" s="2">
        <f>SUM(V57:V59,V61:V66,V68)</f>
        <v>33</v>
      </c>
      <c r="X151" s="2">
        <f t="shared" ref="X151:BF151" si="92">SUM(W57:W59,W61:W66,W68)</f>
        <v>454184</v>
      </c>
      <c r="Y151" s="2">
        <f t="shared" si="92"/>
        <v>454207</v>
      </c>
      <c r="Z151" s="2">
        <f t="shared" si="92"/>
        <v>23</v>
      </c>
      <c r="AA151" s="2">
        <f t="shared" si="92"/>
        <v>8</v>
      </c>
      <c r="AB151" s="2">
        <f t="shared" si="92"/>
        <v>0</v>
      </c>
      <c r="AC151" s="2">
        <f t="shared" si="92"/>
        <v>1</v>
      </c>
      <c r="AD151" s="2">
        <f t="shared" si="92"/>
        <v>2</v>
      </c>
      <c r="AE151" s="2">
        <f t="shared" si="92"/>
        <v>0</v>
      </c>
      <c r="AF151" s="2">
        <f t="shared" si="92"/>
        <v>2</v>
      </c>
      <c r="AG151" s="2">
        <f t="shared" si="92"/>
        <v>0</v>
      </c>
      <c r="AH151" s="2">
        <f t="shared" si="92"/>
        <v>4</v>
      </c>
      <c r="AI151" s="2">
        <f t="shared" si="92"/>
        <v>0</v>
      </c>
      <c r="AJ151" s="2">
        <f t="shared" si="92"/>
        <v>10</v>
      </c>
      <c r="AL151" s="2">
        <f t="shared" si="92"/>
        <v>6</v>
      </c>
      <c r="AM151" s="2">
        <f t="shared" si="92"/>
        <v>9</v>
      </c>
      <c r="AN151" s="2">
        <f t="shared" si="92"/>
        <v>9</v>
      </c>
      <c r="AR151" s="2">
        <f t="shared" si="92"/>
        <v>10</v>
      </c>
      <c r="AS151" s="2">
        <f t="shared" si="92"/>
        <v>10</v>
      </c>
      <c r="AU151" s="2">
        <f t="shared" ref="AT151:BB151" si="93">SUM(AT57:AT59,AT61:AT66,AT68)</f>
        <v>1</v>
      </c>
      <c r="AV151" s="2">
        <f t="shared" si="93"/>
        <v>5</v>
      </c>
      <c r="AX151" s="2">
        <f t="shared" si="93"/>
        <v>1</v>
      </c>
      <c r="AZ151" s="2">
        <f t="shared" si="93"/>
        <v>0</v>
      </c>
      <c r="BA151" s="2">
        <f t="shared" si="93"/>
        <v>0</v>
      </c>
      <c r="BB151" s="2">
        <f t="shared" si="93"/>
        <v>1</v>
      </c>
      <c r="BC151" s="2">
        <f t="shared" ref="BC151:BE151" si="94">SUM(BB57:BB59,BB61:BB66,BB68)</f>
        <v>2</v>
      </c>
      <c r="BD151" s="2">
        <f t="shared" si="94"/>
        <v>10</v>
      </c>
      <c r="BE151" s="2">
        <f t="shared" si="94"/>
        <v>5</v>
      </c>
      <c r="BF151" s="2">
        <f t="shared" si="92"/>
        <v>2</v>
      </c>
      <c r="BG151" s="2">
        <f t="shared" ref="BG151" si="95">SUM(BF57:BF59,BF61:BF66,BF68)</f>
        <v>1</v>
      </c>
      <c r="BH151" s="11" t="s">
        <v>266</v>
      </c>
    </row>
    <row r="152" spans="3:60">
      <c r="I152" s="37">
        <f t="shared" ref="I152:N152" si="96">SUM(H60,H67)</f>
        <v>1</v>
      </c>
      <c r="J152" s="2">
        <f t="shared" si="96"/>
        <v>0</v>
      </c>
      <c r="K152" s="2">
        <f t="shared" si="96"/>
        <v>0</v>
      </c>
      <c r="L152" s="2">
        <f t="shared" si="96"/>
        <v>0</v>
      </c>
      <c r="M152" s="2">
        <f t="shared" si="96"/>
        <v>2</v>
      </c>
      <c r="N152" s="2">
        <f t="shared" si="96"/>
        <v>0</v>
      </c>
      <c r="O152" s="2">
        <f t="shared" ref="I152:O152" si="97">SUM(N60,N67)</f>
        <v>2</v>
      </c>
      <c r="P152" s="11" t="s">
        <v>267</v>
      </c>
      <c r="Q152" s="2">
        <f>COUNTIF(P2:P135, "vancomycin resistant enterococcus faecalis")</f>
        <v>2</v>
      </c>
      <c r="V152" s="2">
        <f>COUNTIFS(P2:P135, "vancomycin resistant enterococcus faecalis", U2:U135, "1")</f>
        <v>1</v>
      </c>
      <c r="W152" s="2">
        <f>SUM(V60,V67)</f>
        <v>5</v>
      </c>
      <c r="X152" s="2">
        <f t="shared" ref="X152:BF152" si="98">SUM(W60,W67)</f>
        <v>90854</v>
      </c>
      <c r="Y152" s="2">
        <f t="shared" si="98"/>
        <v>90861</v>
      </c>
      <c r="Z152" s="2">
        <f t="shared" si="98"/>
        <v>7</v>
      </c>
      <c r="AA152" s="2">
        <f t="shared" si="98"/>
        <v>2</v>
      </c>
      <c r="AB152" s="2">
        <f t="shared" si="98"/>
        <v>0</v>
      </c>
      <c r="AC152" s="2">
        <f t="shared" si="98"/>
        <v>0</v>
      </c>
      <c r="AD152" s="2">
        <f t="shared" si="98"/>
        <v>2</v>
      </c>
      <c r="AE152" s="2">
        <f t="shared" si="98"/>
        <v>0</v>
      </c>
      <c r="AF152" s="2">
        <f t="shared" si="98"/>
        <v>1</v>
      </c>
      <c r="AG152" s="2">
        <f t="shared" si="98"/>
        <v>0</v>
      </c>
      <c r="AH152" s="2">
        <f t="shared" si="98"/>
        <v>0</v>
      </c>
      <c r="AI152" s="2">
        <f t="shared" si="98"/>
        <v>0</v>
      </c>
      <c r="AJ152" s="2">
        <f t="shared" si="98"/>
        <v>2</v>
      </c>
      <c r="AL152" s="2">
        <f t="shared" si="98"/>
        <v>2</v>
      </c>
      <c r="AM152" s="2">
        <f t="shared" si="98"/>
        <v>0</v>
      </c>
      <c r="AN152" s="2">
        <f t="shared" si="98"/>
        <v>2</v>
      </c>
      <c r="AR152" s="2">
        <f t="shared" si="98"/>
        <v>1</v>
      </c>
      <c r="AS152" s="2">
        <f t="shared" si="98"/>
        <v>2</v>
      </c>
      <c r="AU152" s="2">
        <f t="shared" ref="AT152:BB152" si="99">SUM(AT60,AT67)</f>
        <v>0</v>
      </c>
      <c r="AV152" s="2">
        <f t="shared" si="99"/>
        <v>0</v>
      </c>
      <c r="AX152" s="2">
        <f t="shared" si="99"/>
        <v>0</v>
      </c>
      <c r="AZ152" s="2">
        <f t="shared" si="99"/>
        <v>0</v>
      </c>
      <c r="BA152" s="2">
        <f t="shared" si="99"/>
        <v>0</v>
      </c>
      <c r="BB152" s="2">
        <f t="shared" si="99"/>
        <v>0</v>
      </c>
      <c r="BC152" s="2">
        <f t="shared" ref="BC152:BE152" si="100">SUM(BB60,BB67)</f>
        <v>0</v>
      </c>
      <c r="BD152" s="2">
        <f t="shared" si="100"/>
        <v>0</v>
      </c>
      <c r="BE152" s="2">
        <f t="shared" si="100"/>
        <v>0</v>
      </c>
      <c r="BF152" s="2">
        <f t="shared" si="98"/>
        <v>1</v>
      </c>
      <c r="BG152" s="2">
        <f t="shared" ref="BG152" si="101">SUM(BF60,BF67)</f>
        <v>0</v>
      </c>
      <c r="BH152" s="11" t="s">
        <v>267</v>
      </c>
    </row>
    <row r="153" spans="3:60">
      <c r="C153" s="22" t="s">
        <v>261</v>
      </c>
      <c r="D153" s="23" t="s">
        <v>262</v>
      </c>
      <c r="E153" s="23" t="s">
        <v>263</v>
      </c>
      <c r="F153" s="24" t="s">
        <v>264</v>
      </c>
      <c r="I153" s="37"/>
    </row>
    <row r="154" spans="3:60">
      <c r="C154" s="25">
        <f>COUNTIF(G2:G135, "2")</f>
        <v>97</v>
      </c>
      <c r="D154" s="26">
        <f>COUNTIF(G2:G135, "3")</f>
        <v>28</v>
      </c>
      <c r="E154" s="26">
        <f>COUNTIF(G2:G135, "4")</f>
        <v>3</v>
      </c>
      <c r="F154" s="27">
        <f>COUNTIF(G2:G135, "5")</f>
        <v>6</v>
      </c>
      <c r="I154" s="37">
        <f t="shared" ref="I154:N154" si="102">SUM(H69:H70,H73:H74,H76:H77,H79:H85,H87:H92,H95:H96,H99,H101:H106,H108:H110,H115,H120,H122,H126,H129:H133,H135)</f>
        <v>14</v>
      </c>
      <c r="J154" s="2">
        <f t="shared" si="102"/>
        <v>0</v>
      </c>
      <c r="K154" s="2">
        <f t="shared" si="102"/>
        <v>3</v>
      </c>
      <c r="L154" s="2">
        <f t="shared" si="102"/>
        <v>2</v>
      </c>
      <c r="M154" s="2">
        <f t="shared" si="102"/>
        <v>5</v>
      </c>
      <c r="N154" s="2">
        <f t="shared" si="102"/>
        <v>0</v>
      </c>
      <c r="O154" s="2">
        <f t="shared" ref="O154" si="103">SUM(N69:N70,N73:N74,N76:N77,N79:N85,N87:N92,N95:N96,N99,N101:N106,N108:N110,N115,N120,N122,N126,N129:N133,N135)</f>
        <v>12</v>
      </c>
      <c r="P154" s="11" t="s">
        <v>268</v>
      </c>
      <c r="Q154" s="2">
        <f>COUNTIF(P2:P135, "staphylococcus epidermidis")</f>
        <v>41</v>
      </c>
      <c r="V154" s="2">
        <f>COUNTIFS(P2:P135, "staphylococcus epidermidis", U2:U135, "1")</f>
        <v>3</v>
      </c>
      <c r="W154" s="2">
        <f>SUM(V69:V70,V73:V74,V76:V77,V79:V85,V87:V92,V95:V96,V99,V101:V106,V108:V110,V115,V120,V122,V126,V129:V133,V135)</f>
        <v>47</v>
      </c>
      <c r="X154" s="2">
        <f t="shared" ref="X154:BF154" si="104">SUM(W69:W70,W73:W74,W76:W77,W79:W85,W87:W92,W95:W96,W99,W101:W106,W108:W110,W115,W120,W122,W126,W129:W133,W135)</f>
        <v>1861895</v>
      </c>
      <c r="Y154" s="2">
        <f t="shared" si="104"/>
        <v>1861904</v>
      </c>
      <c r="Z154" s="2">
        <f t="shared" si="104"/>
        <v>9</v>
      </c>
      <c r="AA154" s="2">
        <f t="shared" si="104"/>
        <v>6</v>
      </c>
      <c r="AB154" s="2">
        <f t="shared" si="104"/>
        <v>1</v>
      </c>
      <c r="AC154" s="2">
        <f t="shared" si="104"/>
        <v>1</v>
      </c>
      <c r="AD154" s="2">
        <f t="shared" si="104"/>
        <v>4</v>
      </c>
      <c r="AE154" s="2">
        <f t="shared" si="104"/>
        <v>0</v>
      </c>
      <c r="AF154" s="2">
        <f t="shared" si="104"/>
        <v>0</v>
      </c>
      <c r="AG154" s="2">
        <f t="shared" si="104"/>
        <v>0</v>
      </c>
      <c r="AH154" s="2">
        <f t="shared" si="104"/>
        <v>1</v>
      </c>
      <c r="AI154" s="2">
        <f t="shared" si="104"/>
        <v>0</v>
      </c>
      <c r="AJ154" s="2">
        <f t="shared" si="104"/>
        <v>37</v>
      </c>
      <c r="AL154" s="2">
        <f t="shared" si="104"/>
        <v>3</v>
      </c>
      <c r="AM154" s="2">
        <f t="shared" si="104"/>
        <v>12</v>
      </c>
      <c r="AN154" s="2">
        <f t="shared" si="104"/>
        <v>39</v>
      </c>
      <c r="AR154" s="2">
        <f t="shared" si="104"/>
        <v>38</v>
      </c>
      <c r="AS154" s="2">
        <f t="shared" si="104"/>
        <v>24</v>
      </c>
      <c r="AU154" s="2">
        <f t="shared" ref="AT154:BB154" si="105">SUM(AT69:AT70,AT73:AT74,AT76:AT77,AT79:AT85,AT87:AT92,AT95:AT96,AT99,AT101:AT106,AT108:AT110,AT115,AT120,AT122,AT126,AT129:AT133,AT135)</f>
        <v>0</v>
      </c>
      <c r="AV154" s="2">
        <f t="shared" si="105"/>
        <v>7</v>
      </c>
      <c r="AX154" s="2">
        <f t="shared" si="105"/>
        <v>2</v>
      </c>
      <c r="AZ154" s="2">
        <f t="shared" si="105"/>
        <v>1</v>
      </c>
      <c r="BA154" s="2">
        <f t="shared" si="105"/>
        <v>1</v>
      </c>
      <c r="BB154" s="2">
        <f t="shared" si="105"/>
        <v>0</v>
      </c>
      <c r="BC154" s="2">
        <f t="shared" ref="BC154:BE154" si="106">SUM(BB69:BB70,BB73:BB74,BB76:BB77,BB79:BB85,BB87:BB92,BB95:BB96,BB99,BB101:BB106,BB108:BB110,BB115,BB120,BB122,BB126,BB129:BB133,BB135)</f>
        <v>1</v>
      </c>
      <c r="BD154" s="2">
        <f t="shared" si="106"/>
        <v>1</v>
      </c>
      <c r="BE154" s="2">
        <f t="shared" si="106"/>
        <v>5</v>
      </c>
      <c r="BF154" s="2">
        <f t="shared" si="104"/>
        <v>5</v>
      </c>
      <c r="BG154" s="2">
        <f t="shared" ref="BG154" si="107">SUM(BF69:BF70,BF73:BF74,BF76:BF77,BF79:BF85,BF87:BF92,BF95:BF96,BF99,BF101:BF106,BF108:BF110,BF115,BF120,BF122,BF126,BF129:BF133,BF135)</f>
        <v>2</v>
      </c>
      <c r="BH154" s="11" t="s">
        <v>268</v>
      </c>
    </row>
    <row r="155" spans="3:60">
      <c r="C155" s="2">
        <f>(C154/134)*100</f>
        <v>72.388059701492537</v>
      </c>
      <c r="D155" s="2">
        <f t="shared" ref="D155:F155" si="108">(D154/134)*100</f>
        <v>20.8955223880597</v>
      </c>
      <c r="E155" s="2">
        <f t="shared" si="108"/>
        <v>2.2388059701492535</v>
      </c>
      <c r="F155" s="2">
        <f t="shared" si="108"/>
        <v>4.4776119402985071</v>
      </c>
      <c r="I155" s="37">
        <f t="shared" ref="I155:N155" si="109">SUM(H78,H93,H100,H111,H114,H119,H123:H125,H127:H128,H134)</f>
        <v>6</v>
      </c>
      <c r="J155" s="2">
        <f t="shared" si="109"/>
        <v>0</v>
      </c>
      <c r="K155" s="2">
        <f t="shared" si="109"/>
        <v>0</v>
      </c>
      <c r="L155" s="2">
        <f t="shared" si="109"/>
        <v>1</v>
      </c>
      <c r="M155" s="2">
        <f t="shared" si="109"/>
        <v>2</v>
      </c>
      <c r="N155" s="2">
        <f t="shared" si="109"/>
        <v>0</v>
      </c>
      <c r="O155" s="2">
        <f t="shared" ref="O155" si="110">SUM(N78,N93,N100,N111,N114,N119,N123:N125,N127:N128,N134)</f>
        <v>3</v>
      </c>
      <c r="P155" s="11" t="s">
        <v>269</v>
      </c>
      <c r="Q155" s="2">
        <f>COUNTIF(P2:P135, "staphylococcus hominis")</f>
        <v>12</v>
      </c>
      <c r="V155" s="2">
        <f>COUNTIFS(P2:P135, "staphylococcus hominis", U2:U135, "1")</f>
        <v>0</v>
      </c>
      <c r="W155" s="2">
        <f>SUM(V78,V93,V100,V111,V114,V119,V123:V125,V127:V128,V134)</f>
        <v>12</v>
      </c>
      <c r="X155" s="2">
        <f t="shared" ref="X155:BF155" si="111">SUM(W78,W93,W100,W111,W114,W119,W123:W125,W127:W128,W134)</f>
        <v>544659</v>
      </c>
      <c r="Y155" s="2">
        <f t="shared" si="111"/>
        <v>544659</v>
      </c>
      <c r="Z155" s="2">
        <f t="shared" si="111"/>
        <v>0</v>
      </c>
      <c r="AA155" s="2">
        <f t="shared" si="111"/>
        <v>0</v>
      </c>
      <c r="AB155" s="2">
        <f t="shared" si="111"/>
        <v>0</v>
      </c>
      <c r="AC155" s="2">
        <f t="shared" si="111"/>
        <v>0</v>
      </c>
      <c r="AD155" s="2">
        <f t="shared" si="111"/>
        <v>0</v>
      </c>
      <c r="AE155" s="2">
        <f t="shared" si="111"/>
        <v>0</v>
      </c>
      <c r="AF155" s="2">
        <f t="shared" si="111"/>
        <v>0</v>
      </c>
      <c r="AG155" s="2">
        <f t="shared" si="111"/>
        <v>0</v>
      </c>
      <c r="AH155" s="2">
        <f t="shared" si="111"/>
        <v>0</v>
      </c>
      <c r="AI155" s="2">
        <f t="shared" si="111"/>
        <v>0</v>
      </c>
      <c r="AJ155" s="2">
        <f t="shared" si="111"/>
        <v>12</v>
      </c>
      <c r="AL155" s="2">
        <f t="shared" si="111"/>
        <v>0</v>
      </c>
      <c r="AM155" s="2">
        <f t="shared" si="111"/>
        <v>6</v>
      </c>
      <c r="AN155" s="2">
        <f t="shared" si="111"/>
        <v>12</v>
      </c>
      <c r="AR155" s="2">
        <f t="shared" si="111"/>
        <v>11</v>
      </c>
      <c r="AS155" s="2">
        <f t="shared" si="111"/>
        <v>5</v>
      </c>
      <c r="AU155" s="2">
        <f t="shared" ref="AT155:BB155" si="112">SUM(AT78,AT93,AT100,AT111,AT114,AT119,AT123:AT125,AT127:AT128,AT134)</f>
        <v>0</v>
      </c>
      <c r="AV155" s="2">
        <f t="shared" si="112"/>
        <v>2</v>
      </c>
      <c r="AX155" s="2">
        <f t="shared" si="112"/>
        <v>1</v>
      </c>
      <c r="AZ155" s="2">
        <f t="shared" si="112"/>
        <v>0</v>
      </c>
      <c r="BA155" s="2">
        <f t="shared" si="112"/>
        <v>0</v>
      </c>
      <c r="BB155" s="2">
        <f t="shared" si="112"/>
        <v>0</v>
      </c>
      <c r="BC155" s="2">
        <f t="shared" ref="BC155:BE155" si="113">SUM(BB78,BB93,BB100,BB111,BB114,BB119,BB123:BB125,BB127:BB128,BB134)</f>
        <v>0</v>
      </c>
      <c r="BD155" s="2">
        <f t="shared" si="113"/>
        <v>1</v>
      </c>
      <c r="BE155" s="2">
        <f t="shared" si="113"/>
        <v>1</v>
      </c>
      <c r="BF155" s="2">
        <f t="shared" si="111"/>
        <v>0</v>
      </c>
      <c r="BG155" s="2">
        <f t="shared" ref="BG155" si="114">SUM(BF78,BF93,BF100,BF111,BF114,BF119,BF123:BF125,BF127:BF128,BF134)</f>
        <v>0</v>
      </c>
      <c r="BH155" s="11" t="s">
        <v>269</v>
      </c>
    </row>
    <row r="156" spans="3:60">
      <c r="I156" s="37">
        <f t="shared" ref="I156:N156" si="115">SUM(H86,H98,H113,H116:H118,H121)</f>
        <v>1</v>
      </c>
      <c r="J156" s="2">
        <f t="shared" si="115"/>
        <v>0</v>
      </c>
      <c r="K156" s="2">
        <f t="shared" si="115"/>
        <v>0</v>
      </c>
      <c r="L156" s="2">
        <f t="shared" si="115"/>
        <v>0</v>
      </c>
      <c r="M156" s="2">
        <f t="shared" si="115"/>
        <v>0</v>
      </c>
      <c r="N156" s="2">
        <f t="shared" si="115"/>
        <v>0</v>
      </c>
      <c r="O156" s="2">
        <f t="shared" ref="O156" si="116">SUM(N86,N98,N113,N116:N118,N121)</f>
        <v>1</v>
      </c>
      <c r="P156" s="11" t="s">
        <v>270</v>
      </c>
      <c r="Q156" s="2">
        <f>COUNTIF(P2:P135, "staphylococcus capitis")</f>
        <v>7</v>
      </c>
      <c r="V156" s="2">
        <f>COUNTIFS(P2:P135, "staphylococcus capitis", U2:U135, "1")</f>
        <v>0</v>
      </c>
      <c r="W156" s="2">
        <f>SUM(V86,V98,V113,V116:V118,V121)</f>
        <v>7</v>
      </c>
      <c r="X156" s="2">
        <f t="shared" ref="X156:BF156" si="117">SUM(W86,W98,W113,W116:W118,W121)</f>
        <v>317790</v>
      </c>
      <c r="Y156" s="2">
        <f t="shared" si="117"/>
        <v>317790</v>
      </c>
      <c r="Z156" s="2">
        <f t="shared" si="117"/>
        <v>0</v>
      </c>
      <c r="AA156" s="2">
        <f t="shared" si="117"/>
        <v>0</v>
      </c>
      <c r="AB156" s="2">
        <f t="shared" si="117"/>
        <v>0</v>
      </c>
      <c r="AC156" s="2">
        <f t="shared" si="117"/>
        <v>0</v>
      </c>
      <c r="AD156" s="2">
        <f t="shared" si="117"/>
        <v>0</v>
      </c>
      <c r="AE156" s="2">
        <f t="shared" si="117"/>
        <v>0</v>
      </c>
      <c r="AF156" s="2">
        <f t="shared" si="117"/>
        <v>0</v>
      </c>
      <c r="AG156" s="2">
        <f t="shared" si="117"/>
        <v>0</v>
      </c>
      <c r="AH156" s="2">
        <f t="shared" si="117"/>
        <v>0</v>
      </c>
      <c r="AI156" s="2">
        <f t="shared" si="117"/>
        <v>0</v>
      </c>
      <c r="AJ156" s="2">
        <f t="shared" si="117"/>
        <v>7</v>
      </c>
      <c r="AL156" s="2">
        <f t="shared" si="117"/>
        <v>1</v>
      </c>
      <c r="AM156" s="2">
        <f t="shared" si="117"/>
        <v>2</v>
      </c>
      <c r="AN156" s="2">
        <f t="shared" si="117"/>
        <v>6</v>
      </c>
      <c r="AR156" s="2">
        <f t="shared" si="117"/>
        <v>6</v>
      </c>
      <c r="AS156" s="2">
        <f t="shared" si="117"/>
        <v>3</v>
      </c>
      <c r="AU156" s="2">
        <f t="shared" ref="AT156:BB156" si="118">SUM(AT86,AT98,AT113,AT116:AT118,AT121)</f>
        <v>0</v>
      </c>
      <c r="AV156" s="2">
        <f t="shared" si="118"/>
        <v>0</v>
      </c>
      <c r="AX156" s="2">
        <f t="shared" si="118"/>
        <v>0</v>
      </c>
      <c r="AZ156" s="2">
        <f t="shared" si="118"/>
        <v>0</v>
      </c>
      <c r="BA156" s="2">
        <f t="shared" si="118"/>
        <v>0</v>
      </c>
      <c r="BB156" s="2">
        <f t="shared" si="118"/>
        <v>0</v>
      </c>
      <c r="BC156" s="2">
        <f t="shared" ref="BC156:BE156" si="119">SUM(BB86,BB98,BB113,BB116:BB118,BB121)</f>
        <v>0</v>
      </c>
      <c r="BD156" s="2">
        <f t="shared" si="119"/>
        <v>0</v>
      </c>
      <c r="BE156" s="2">
        <f t="shared" si="119"/>
        <v>0</v>
      </c>
      <c r="BF156" s="2">
        <f t="shared" si="117"/>
        <v>0</v>
      </c>
      <c r="BG156" s="2">
        <f t="shared" ref="BG156" si="120">SUM(BF86,BF98,BF113,BF116:BF118,BF121)</f>
        <v>0</v>
      </c>
      <c r="BH156" s="11" t="s">
        <v>270</v>
      </c>
    </row>
    <row r="157" spans="3:60">
      <c r="I157" s="37">
        <f t="shared" ref="I157:N157" si="121">SUM(H94,H112,H107)</f>
        <v>1</v>
      </c>
      <c r="J157" s="2">
        <f t="shared" si="121"/>
        <v>0</v>
      </c>
      <c r="K157" s="2">
        <f t="shared" si="121"/>
        <v>0</v>
      </c>
      <c r="L157" s="2">
        <f t="shared" si="121"/>
        <v>0</v>
      </c>
      <c r="M157" s="2">
        <f t="shared" si="121"/>
        <v>0</v>
      </c>
      <c r="N157" s="2">
        <f t="shared" si="121"/>
        <v>0</v>
      </c>
      <c r="O157" s="2">
        <f t="shared" ref="O157" si="122">SUM(N94,N112,N107)</f>
        <v>1</v>
      </c>
      <c r="P157" s="11" t="s">
        <v>271</v>
      </c>
      <c r="Q157" s="2">
        <f>COUNTIF(P2:P135, "staphylococcus haemolyticus")</f>
        <v>3</v>
      </c>
      <c r="V157" s="2">
        <f>COUNTIFS(P2:P135, "staphylococcus haemolyticus", U2:U135, "1")</f>
        <v>1</v>
      </c>
      <c r="W157" s="2">
        <f>SUM(V94,V112,V107)</f>
        <v>4</v>
      </c>
      <c r="X157" s="2">
        <f t="shared" ref="X157:BF157" si="123">SUM(W94,W112,W107)</f>
        <v>136231</v>
      </c>
      <c r="Y157" s="2">
        <f t="shared" si="123"/>
        <v>136232</v>
      </c>
      <c r="Z157" s="2">
        <f t="shared" si="123"/>
        <v>1</v>
      </c>
      <c r="AA157" s="2">
        <f t="shared" si="123"/>
        <v>0</v>
      </c>
      <c r="AB157" s="2">
        <f t="shared" si="123"/>
        <v>0</v>
      </c>
      <c r="AC157" s="2">
        <f t="shared" si="123"/>
        <v>0</v>
      </c>
      <c r="AD157" s="2">
        <f t="shared" si="123"/>
        <v>0</v>
      </c>
      <c r="AE157" s="2">
        <f t="shared" si="123"/>
        <v>0</v>
      </c>
      <c r="AF157" s="2">
        <f t="shared" si="123"/>
        <v>0</v>
      </c>
      <c r="AG157" s="2">
        <f t="shared" si="123"/>
        <v>0</v>
      </c>
      <c r="AH157" s="2">
        <f t="shared" si="123"/>
        <v>0</v>
      </c>
      <c r="AI157" s="2">
        <f t="shared" si="123"/>
        <v>0</v>
      </c>
      <c r="AJ157" s="2">
        <f t="shared" si="123"/>
        <v>3</v>
      </c>
      <c r="AL157" s="2">
        <f t="shared" si="123"/>
        <v>0</v>
      </c>
      <c r="AM157" s="2">
        <f t="shared" si="123"/>
        <v>1</v>
      </c>
      <c r="AN157" s="2">
        <f t="shared" si="123"/>
        <v>3</v>
      </c>
      <c r="AR157" s="2">
        <f t="shared" si="123"/>
        <v>3</v>
      </c>
      <c r="AS157" s="2">
        <f t="shared" si="123"/>
        <v>1</v>
      </c>
      <c r="AU157" s="2">
        <f t="shared" ref="AT157:BB157" si="124">SUM(AT94,AT112,AT107)</f>
        <v>0</v>
      </c>
      <c r="AV157" s="2">
        <f t="shared" si="124"/>
        <v>0</v>
      </c>
      <c r="AX157" s="2">
        <f t="shared" si="124"/>
        <v>0</v>
      </c>
      <c r="AZ157" s="2">
        <f t="shared" si="124"/>
        <v>0</v>
      </c>
      <c r="BA157" s="2">
        <f t="shared" si="124"/>
        <v>0</v>
      </c>
      <c r="BB157" s="2">
        <f t="shared" si="124"/>
        <v>0</v>
      </c>
      <c r="BC157" s="2">
        <f t="shared" ref="BC157:BE157" si="125">SUM(BB94,BB112,BB107)</f>
        <v>0</v>
      </c>
      <c r="BD157" s="2">
        <f t="shared" si="125"/>
        <v>0</v>
      </c>
      <c r="BE157" s="2">
        <f t="shared" si="125"/>
        <v>0</v>
      </c>
      <c r="BF157" s="2">
        <f t="shared" si="123"/>
        <v>0</v>
      </c>
      <c r="BG157" s="2">
        <f t="shared" ref="BG157" si="126">SUM(BF94,BF112,BF107)</f>
        <v>0</v>
      </c>
      <c r="BH157" s="11" t="s">
        <v>271</v>
      </c>
    </row>
    <row r="158" spans="3:60">
      <c r="I158" s="37">
        <f t="shared" ref="I158:N158" si="127">SUM(H72,H97,H75)</f>
        <v>2</v>
      </c>
      <c r="J158" s="2">
        <f t="shared" si="127"/>
        <v>0</v>
      </c>
      <c r="K158" s="2">
        <f t="shared" si="127"/>
        <v>0</v>
      </c>
      <c r="L158" s="2">
        <f t="shared" si="127"/>
        <v>0</v>
      </c>
      <c r="M158" s="2">
        <f t="shared" si="127"/>
        <v>1</v>
      </c>
      <c r="N158" s="2">
        <f t="shared" si="127"/>
        <v>0</v>
      </c>
      <c r="O158" s="2">
        <f t="shared" ref="O158" si="128">SUM(N72,N97,N75)</f>
        <v>2</v>
      </c>
      <c r="P158" s="11" t="s">
        <v>272</v>
      </c>
      <c r="Q158" s="2">
        <f>COUNTIF(P2:P135, "staphylococcus pettenkoferi")</f>
        <v>3</v>
      </c>
      <c r="V158" s="2">
        <f>COUNTIFS(P2:P135, "staphylococcus pettenkoferi", U2:U135, "1")</f>
        <v>0</v>
      </c>
      <c r="W158" s="2">
        <f>SUM(V72,V97,V75)</f>
        <v>3</v>
      </c>
      <c r="X158" s="2">
        <f t="shared" ref="X158:BF158" si="129">SUM(W72,W97,W75)</f>
        <v>136339</v>
      </c>
      <c r="Y158" s="2">
        <f t="shared" si="129"/>
        <v>136339</v>
      </c>
      <c r="Z158" s="2">
        <f t="shared" si="129"/>
        <v>0</v>
      </c>
      <c r="AA158" s="2">
        <f t="shared" si="129"/>
        <v>1</v>
      </c>
      <c r="AB158" s="2">
        <f t="shared" si="129"/>
        <v>0</v>
      </c>
      <c r="AC158" s="2">
        <f t="shared" si="129"/>
        <v>0</v>
      </c>
      <c r="AD158" s="2">
        <f t="shared" si="129"/>
        <v>1</v>
      </c>
      <c r="AE158" s="2">
        <f t="shared" si="129"/>
        <v>0</v>
      </c>
      <c r="AF158" s="2">
        <f t="shared" si="129"/>
        <v>0</v>
      </c>
      <c r="AG158" s="2">
        <f t="shared" si="129"/>
        <v>0</v>
      </c>
      <c r="AH158" s="2">
        <f t="shared" si="129"/>
        <v>0</v>
      </c>
      <c r="AI158" s="2">
        <f t="shared" si="129"/>
        <v>0</v>
      </c>
      <c r="AJ158" s="2">
        <f t="shared" si="129"/>
        <v>3</v>
      </c>
      <c r="AL158" s="2">
        <f t="shared" si="129"/>
        <v>0</v>
      </c>
      <c r="AM158" s="2">
        <f t="shared" si="129"/>
        <v>1</v>
      </c>
      <c r="AN158" s="2">
        <f t="shared" si="129"/>
        <v>2</v>
      </c>
      <c r="AR158" s="2">
        <f t="shared" si="129"/>
        <v>3</v>
      </c>
      <c r="AS158" s="2">
        <f t="shared" si="129"/>
        <v>1</v>
      </c>
      <c r="AU158" s="2">
        <f t="shared" ref="AT158:BB158" si="130">SUM(AT72,AT97,AT75)</f>
        <v>0</v>
      </c>
      <c r="AV158" s="2">
        <f t="shared" si="130"/>
        <v>1</v>
      </c>
      <c r="AX158" s="2">
        <f t="shared" si="130"/>
        <v>0</v>
      </c>
      <c r="AZ158" s="2">
        <f t="shared" si="130"/>
        <v>0</v>
      </c>
      <c r="BA158" s="2">
        <f t="shared" si="130"/>
        <v>0</v>
      </c>
      <c r="BB158" s="2">
        <f t="shared" si="130"/>
        <v>0</v>
      </c>
      <c r="BC158" s="2">
        <f t="shared" ref="BC158:BE158" si="131">SUM(BB72,BB97,BB75)</f>
        <v>0</v>
      </c>
      <c r="BD158" s="2">
        <f t="shared" si="131"/>
        <v>0</v>
      </c>
      <c r="BE158" s="2">
        <f t="shared" si="131"/>
        <v>0</v>
      </c>
      <c r="BF158" s="2">
        <f t="shared" si="129"/>
        <v>0</v>
      </c>
      <c r="BG158" s="2">
        <f t="shared" ref="BG158" si="132">SUM(BF72,BF97,BF75)</f>
        <v>0</v>
      </c>
      <c r="BH158" s="11" t="s">
        <v>272</v>
      </c>
    </row>
    <row r="159" spans="3:60">
      <c r="I159" s="39">
        <f t="shared" ref="I159:N159" si="133">SUM(H71)</f>
        <v>0</v>
      </c>
      <c r="J159" s="40">
        <f t="shared" si="133"/>
        <v>0</v>
      </c>
      <c r="K159" s="40">
        <f t="shared" si="133"/>
        <v>0</v>
      </c>
      <c r="L159" s="40">
        <f t="shared" si="133"/>
        <v>0</v>
      </c>
      <c r="M159" s="40">
        <f t="shared" si="133"/>
        <v>0</v>
      </c>
      <c r="N159" s="40">
        <f t="shared" si="133"/>
        <v>0</v>
      </c>
      <c r="O159" s="40">
        <f t="shared" ref="I159:O159" si="134">SUM(N71)</f>
        <v>0</v>
      </c>
      <c r="P159" s="41" t="s">
        <v>273</v>
      </c>
      <c r="Q159" s="40">
        <f>COUNTIF(P2:P135, "staphylococcus saccarolyticus")</f>
        <v>1</v>
      </c>
      <c r="R159" s="40"/>
      <c r="S159" s="40"/>
      <c r="T159" s="40"/>
      <c r="U159" s="40"/>
      <c r="V159" s="40">
        <f>COUNTIFS(P2:P135, "staphylococcus saccarolyticus", U2:U135, "1")</f>
        <v>0</v>
      </c>
      <c r="W159" s="40">
        <f>SUM(V71)</f>
        <v>1</v>
      </c>
      <c r="X159" s="40">
        <f t="shared" ref="X159:BF159" si="135">SUM(W71)</f>
        <v>45449</v>
      </c>
      <c r="Y159" s="40">
        <f t="shared" si="135"/>
        <v>45449</v>
      </c>
      <c r="Z159" s="40">
        <f t="shared" si="135"/>
        <v>0</v>
      </c>
      <c r="AA159" s="40">
        <f t="shared" si="135"/>
        <v>1</v>
      </c>
      <c r="AB159" s="40">
        <f t="shared" si="135"/>
        <v>0</v>
      </c>
      <c r="AC159" s="40">
        <f t="shared" si="135"/>
        <v>0</v>
      </c>
      <c r="AD159" s="40">
        <f t="shared" si="135"/>
        <v>0</v>
      </c>
      <c r="AE159" s="40">
        <f t="shared" si="135"/>
        <v>0</v>
      </c>
      <c r="AF159" s="40">
        <f t="shared" si="135"/>
        <v>0</v>
      </c>
      <c r="AG159" s="40">
        <f t="shared" si="135"/>
        <v>0</v>
      </c>
      <c r="AH159" s="40">
        <f t="shared" si="135"/>
        <v>0</v>
      </c>
      <c r="AI159" s="40">
        <f t="shared" si="135"/>
        <v>1</v>
      </c>
      <c r="AJ159" s="40">
        <f t="shared" si="135"/>
        <v>1</v>
      </c>
      <c r="AK159" s="40"/>
      <c r="AL159" s="40">
        <f t="shared" si="135"/>
        <v>0</v>
      </c>
      <c r="AM159" s="40">
        <f t="shared" si="135"/>
        <v>0</v>
      </c>
      <c r="AN159" s="40">
        <f t="shared" si="135"/>
        <v>1</v>
      </c>
      <c r="AO159" s="40"/>
      <c r="AP159" s="40"/>
      <c r="AQ159" s="40"/>
      <c r="AR159" s="40">
        <f t="shared" si="135"/>
        <v>0</v>
      </c>
      <c r="AS159" s="40">
        <f t="shared" si="135"/>
        <v>1</v>
      </c>
      <c r="AT159" s="40"/>
      <c r="AU159" s="40">
        <f t="shared" ref="AT159:BB159" si="136">SUM(AT71)</f>
        <v>0</v>
      </c>
      <c r="AV159" s="40">
        <f t="shared" si="136"/>
        <v>1</v>
      </c>
      <c r="AW159" s="40"/>
      <c r="AX159" s="40">
        <f t="shared" si="136"/>
        <v>0</v>
      </c>
      <c r="AY159" s="40"/>
      <c r="AZ159" s="40">
        <f t="shared" si="136"/>
        <v>0</v>
      </c>
      <c r="BA159" s="40">
        <f t="shared" si="136"/>
        <v>0</v>
      </c>
      <c r="BB159" s="40">
        <f t="shared" si="136"/>
        <v>0</v>
      </c>
      <c r="BC159" s="40">
        <f t="shared" ref="BC159:BE159" si="137">SUM(BB71)</f>
        <v>0</v>
      </c>
      <c r="BD159" s="40">
        <f t="shared" si="137"/>
        <v>0</v>
      </c>
      <c r="BE159" s="40">
        <f t="shared" si="137"/>
        <v>0</v>
      </c>
      <c r="BF159" s="40">
        <f t="shared" si="135"/>
        <v>1</v>
      </c>
      <c r="BG159" s="26">
        <f t="shared" ref="BG159" si="138">SUM(BF71)</f>
        <v>0</v>
      </c>
      <c r="BH159" s="41" t="s">
        <v>273</v>
      </c>
    </row>
    <row r="161" spans="9:60">
      <c r="I161" s="2">
        <f t="shared" ref="I161:O161" si="139">SUM(I139:I159)</f>
        <v>67</v>
      </c>
      <c r="J161" s="2">
        <f t="shared" si="139"/>
        <v>5</v>
      </c>
      <c r="K161" s="2">
        <f t="shared" si="139"/>
        <v>5</v>
      </c>
      <c r="L161" s="2">
        <f t="shared" si="139"/>
        <v>11</v>
      </c>
      <c r="M161" s="2">
        <f t="shared" si="139"/>
        <v>22</v>
      </c>
      <c r="N161" s="2">
        <f t="shared" si="139"/>
        <v>2</v>
      </c>
      <c r="O161" s="2">
        <f t="shared" si="139"/>
        <v>54</v>
      </c>
      <c r="P161" s="7" t="s">
        <v>274</v>
      </c>
      <c r="Q161" s="2">
        <f t="shared" ref="Q161:Y161" si="140">SUM(Q139:Q159)</f>
        <v>134</v>
      </c>
      <c r="V161" s="2">
        <f t="shared" si="140"/>
        <v>48</v>
      </c>
      <c r="W161" s="2">
        <f t="shared" si="140"/>
        <v>247</v>
      </c>
      <c r="Z161" s="2">
        <f t="shared" ref="Z161:BF161" si="141">SUM(Z139:Z159)</f>
        <v>130</v>
      </c>
      <c r="AA161" s="2">
        <f t="shared" si="141"/>
        <v>55</v>
      </c>
      <c r="AB161" s="2">
        <f t="shared" si="141"/>
        <v>9</v>
      </c>
      <c r="AC161" s="2">
        <f t="shared" si="141"/>
        <v>11</v>
      </c>
      <c r="AD161" s="2">
        <f t="shared" si="141"/>
        <v>14</v>
      </c>
      <c r="AE161" s="2">
        <f t="shared" si="141"/>
        <v>12</v>
      </c>
      <c r="AF161" s="2">
        <f t="shared" si="141"/>
        <v>6</v>
      </c>
      <c r="AG161" s="2">
        <f t="shared" si="141"/>
        <v>3</v>
      </c>
      <c r="AH161" s="2">
        <f t="shared" si="141"/>
        <v>9</v>
      </c>
      <c r="AI161" s="2">
        <f t="shared" si="141"/>
        <v>13</v>
      </c>
      <c r="AJ161" s="2">
        <f t="shared" si="141"/>
        <v>130</v>
      </c>
      <c r="AL161" s="2">
        <f t="shared" si="141"/>
        <v>55</v>
      </c>
      <c r="AM161" s="2">
        <f t="shared" si="141"/>
        <v>73</v>
      </c>
      <c r="AN161" s="2">
        <f t="shared" si="141"/>
        <v>119</v>
      </c>
      <c r="AR161" s="2">
        <f t="shared" si="141"/>
        <v>116</v>
      </c>
      <c r="AS161" s="2">
        <f t="shared" si="141"/>
        <v>99</v>
      </c>
      <c r="AU161" s="2">
        <f t="shared" si="141"/>
        <v>8</v>
      </c>
      <c r="AV161" s="2">
        <f t="shared" si="141"/>
        <v>30</v>
      </c>
      <c r="AX161" s="2">
        <f t="shared" si="141"/>
        <v>21</v>
      </c>
      <c r="AZ161" s="2">
        <f t="shared" si="141"/>
        <v>4</v>
      </c>
      <c r="BA161" s="2">
        <f t="shared" si="141"/>
        <v>5</v>
      </c>
      <c r="BB161" s="2">
        <f t="shared" si="141"/>
        <v>4</v>
      </c>
      <c r="BC161" s="2">
        <f t="shared" si="141"/>
        <v>13</v>
      </c>
      <c r="BD161" s="2">
        <f t="shared" si="141"/>
        <v>59</v>
      </c>
      <c r="BE161" s="2">
        <f t="shared" si="141"/>
        <v>21</v>
      </c>
      <c r="BF161" s="2">
        <f t="shared" si="141"/>
        <v>25</v>
      </c>
      <c r="BH161" s="7" t="s">
        <v>274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3F44A-93A1-458A-89E4-B92906B0ADB9}">
  <dimension ref="A1:BI159"/>
  <sheetViews>
    <sheetView workbookViewId="0">
      <pane xSplit="2" ySplit="1" topLeftCell="C115" activePane="bottomRight" state="frozen"/>
      <selection pane="bottomRight" activeCell="B1" sqref="B1:B135"/>
      <selection pane="bottomLeft"/>
      <selection pane="topRight"/>
    </sheetView>
  </sheetViews>
  <sheetFormatPr defaultRowHeight="15"/>
  <cols>
    <col min="1" max="1" width="9.7109375" style="2" bestFit="1" customWidth="1"/>
    <col min="2" max="2" width="14.42578125" style="2" customWidth="1"/>
    <col min="3" max="3" width="14.42578125" style="2" bestFit="1" customWidth="1"/>
    <col min="4" max="4" width="17.5703125" style="2" bestFit="1" customWidth="1"/>
    <col min="5" max="8" width="9.140625" style="2"/>
    <col min="9" max="9" width="15.42578125" style="2" bestFit="1" customWidth="1"/>
    <col min="10" max="10" width="13.140625" style="2" customWidth="1"/>
    <col min="11" max="12" width="15.42578125" style="2" bestFit="1" customWidth="1"/>
    <col min="13" max="13" width="17.42578125" style="2" bestFit="1" customWidth="1"/>
    <col min="14" max="14" width="15.140625" style="2" customWidth="1"/>
    <col min="15" max="15" width="18.85546875" style="2" bestFit="1" customWidth="1"/>
    <col min="16" max="16" width="40.7109375" style="2" bestFit="1" customWidth="1"/>
    <col min="17" max="17" width="40.42578125" style="2" customWidth="1"/>
    <col min="18" max="21" width="12.28515625" style="2" customWidth="1"/>
    <col min="22" max="22" width="13.7109375" style="2" bestFit="1" customWidth="1"/>
    <col min="23" max="23" width="14.42578125" style="2" bestFit="1" customWidth="1"/>
    <col min="24" max="26" width="14.7109375" style="2" bestFit="1" customWidth="1"/>
    <col min="27" max="27" width="19.7109375" style="2" bestFit="1" customWidth="1"/>
    <col min="28" max="28" width="17.42578125" style="2" customWidth="1"/>
    <col min="29" max="29" width="19.7109375" style="2" bestFit="1" customWidth="1"/>
    <col min="30" max="31" width="17.42578125" style="2" customWidth="1"/>
    <col min="32" max="32" width="18.85546875" style="2" bestFit="1" customWidth="1"/>
    <col min="33" max="36" width="17.42578125" style="2" customWidth="1"/>
    <col min="37" max="37" width="27.28515625" style="2" bestFit="1" customWidth="1"/>
    <col min="38" max="38" width="16.7109375" style="2" bestFit="1" customWidth="1"/>
    <col min="39" max="39" width="12.7109375" style="2" customWidth="1"/>
    <col min="40" max="40" width="21" style="2" bestFit="1" customWidth="1"/>
    <col min="41" max="43" width="21" style="2" customWidth="1"/>
    <col min="44" max="44" width="19.28515625" style="2" bestFit="1" customWidth="1"/>
    <col min="45" max="46" width="12.140625" style="2" customWidth="1"/>
    <col min="47" max="47" width="15.5703125" style="2" bestFit="1" customWidth="1"/>
    <col min="48" max="48" width="19.5703125" style="2" bestFit="1" customWidth="1"/>
    <col min="49" max="49" width="19.5703125" style="2" customWidth="1"/>
    <col min="50" max="50" width="11.42578125" style="2" bestFit="1" customWidth="1"/>
    <col min="51" max="51" width="11.28515625" style="2" customWidth="1"/>
    <col min="52" max="52" width="16.140625" style="2" bestFit="1" customWidth="1"/>
    <col min="53" max="53" width="18.7109375" style="2" bestFit="1" customWidth="1"/>
    <col min="54" max="54" width="17.85546875" style="2" bestFit="1" customWidth="1"/>
    <col min="55" max="55" width="17.85546875" style="2" customWidth="1"/>
    <col min="56" max="56" width="15.28515625" style="2" bestFit="1" customWidth="1"/>
    <col min="57" max="61" width="20.5703125" style="2" customWidth="1"/>
    <col min="62" max="62" width="67.7109375" style="2" customWidth="1"/>
    <col min="63" max="16384" width="9.140625" style="2"/>
  </cols>
  <sheetData>
    <row r="1" spans="1:61" s="1" customFormat="1" ht="63.75" customHeight="1">
      <c r="A1" s="1" t="s">
        <v>0</v>
      </c>
      <c r="B1" s="44" t="s">
        <v>1</v>
      </c>
      <c r="C1" s="44" t="s">
        <v>2</v>
      </c>
      <c r="D1" s="44" t="s">
        <v>3</v>
      </c>
      <c r="E1" s="44" t="s">
        <v>4</v>
      </c>
      <c r="F1" s="44" t="s">
        <v>5</v>
      </c>
      <c r="G1" s="44" t="s">
        <v>6</v>
      </c>
      <c r="H1" s="1" t="s">
        <v>7</v>
      </c>
      <c r="I1" s="1" t="s">
        <v>8</v>
      </c>
      <c r="J1" s="1" t="s">
        <v>9</v>
      </c>
      <c r="K1" s="1" t="s">
        <v>10</v>
      </c>
      <c r="L1" s="1" t="s">
        <v>11</v>
      </c>
      <c r="M1" s="1" t="s">
        <v>12</v>
      </c>
      <c r="N1" s="1" t="s">
        <v>13</v>
      </c>
      <c r="O1" s="1" t="s">
        <v>14</v>
      </c>
      <c r="P1" s="4" t="s">
        <v>15</v>
      </c>
      <c r="Q1" s="1" t="s">
        <v>276</v>
      </c>
      <c r="R1" s="1" t="s">
        <v>277</v>
      </c>
      <c r="S1" s="1" t="s">
        <v>278</v>
      </c>
      <c r="T1" s="1" t="s">
        <v>279</v>
      </c>
      <c r="U1" s="1" t="s">
        <v>16</v>
      </c>
      <c r="V1" s="1" t="s">
        <v>17</v>
      </c>
      <c r="W1" s="1" t="s">
        <v>18</v>
      </c>
      <c r="X1" s="1" t="s">
        <v>19</v>
      </c>
      <c r="Y1" s="1" t="s">
        <v>275</v>
      </c>
      <c r="Z1" s="1" t="s">
        <v>20</v>
      </c>
      <c r="AA1" s="1" t="s">
        <v>21</v>
      </c>
      <c r="AB1" s="1" t="s">
        <v>22</v>
      </c>
      <c r="AC1" s="1" t="s">
        <v>23</v>
      </c>
      <c r="AD1" s="1" t="s">
        <v>24</v>
      </c>
      <c r="AE1" s="1" t="s">
        <v>25</v>
      </c>
      <c r="AF1" s="1" t="s">
        <v>26</v>
      </c>
      <c r="AG1" s="1" t="s">
        <v>27</v>
      </c>
      <c r="AH1" s="1" t="s">
        <v>28</v>
      </c>
      <c r="AI1" s="4" t="s">
        <v>29</v>
      </c>
      <c r="AJ1" s="1" t="s">
        <v>30</v>
      </c>
      <c r="AK1" s="1" t="s">
        <v>31</v>
      </c>
      <c r="AL1" s="1" t="s">
        <v>32</v>
      </c>
      <c r="AM1" s="1" t="s">
        <v>33</v>
      </c>
      <c r="AN1" s="1" t="s">
        <v>280</v>
      </c>
      <c r="AO1" s="1" t="s">
        <v>281</v>
      </c>
      <c r="AP1" s="1" t="s">
        <v>282</v>
      </c>
      <c r="AQ1" s="1" t="s">
        <v>34</v>
      </c>
      <c r="AR1" s="4" t="s">
        <v>35</v>
      </c>
      <c r="AS1" s="4" t="s">
        <v>36</v>
      </c>
      <c r="AT1" s="1" t="s">
        <v>37</v>
      </c>
      <c r="AU1" s="1" t="s">
        <v>38</v>
      </c>
      <c r="AV1" s="1" t="s">
        <v>283</v>
      </c>
      <c r="AW1" s="44" t="s">
        <v>39</v>
      </c>
      <c r="AX1" s="44" t="s">
        <v>40</v>
      </c>
      <c r="AY1" s="1" t="s">
        <v>41</v>
      </c>
      <c r="AZ1" s="1" t="s">
        <v>42</v>
      </c>
      <c r="BA1" s="1" t="s">
        <v>43</v>
      </c>
      <c r="BB1" s="1" t="s">
        <v>294</v>
      </c>
      <c r="BC1" s="1" t="s">
        <v>44</v>
      </c>
      <c r="BD1" s="1" t="s">
        <v>295</v>
      </c>
      <c r="BE1" s="1" t="s">
        <v>296</v>
      </c>
      <c r="BF1" s="1" t="s">
        <v>284</v>
      </c>
      <c r="BG1" s="1" t="s">
        <v>297</v>
      </c>
      <c r="BH1" s="1" t="s">
        <v>286</v>
      </c>
      <c r="BI1" s="1" t="s">
        <v>45</v>
      </c>
    </row>
    <row r="2" spans="1:61">
      <c r="A2" s="2">
        <v>1</v>
      </c>
      <c r="B2" s="5">
        <v>45442</v>
      </c>
      <c r="C2" s="5">
        <v>45462</v>
      </c>
      <c r="D2" s="2">
        <f>C2-B2</f>
        <v>20</v>
      </c>
      <c r="E2" s="2">
        <v>85</v>
      </c>
      <c r="F2" s="2">
        <v>1</v>
      </c>
      <c r="G2" s="2">
        <v>2</v>
      </c>
      <c r="H2" s="2">
        <v>1</v>
      </c>
      <c r="I2" s="2">
        <v>0</v>
      </c>
      <c r="J2" s="2">
        <v>1</v>
      </c>
      <c r="K2" s="2">
        <v>1</v>
      </c>
      <c r="L2" s="2">
        <v>0</v>
      </c>
      <c r="M2" s="2">
        <v>0</v>
      </c>
      <c r="N2" s="2">
        <v>1</v>
      </c>
      <c r="O2" s="2" t="s">
        <v>46</v>
      </c>
      <c r="P2" t="s">
        <v>47</v>
      </c>
      <c r="Q2" s="51">
        <v>1</v>
      </c>
      <c r="R2" s="51">
        <v>0</v>
      </c>
      <c r="S2" s="51">
        <v>0</v>
      </c>
      <c r="T2" s="51">
        <v>0</v>
      </c>
      <c r="U2" s="2">
        <v>1</v>
      </c>
      <c r="V2" s="2">
        <v>11</v>
      </c>
      <c r="W2" s="5">
        <v>45442</v>
      </c>
      <c r="X2" s="5">
        <v>45455</v>
      </c>
      <c r="Y2" s="28">
        <f>X2-W2</f>
        <v>13</v>
      </c>
      <c r="Z2" s="2">
        <v>0</v>
      </c>
      <c r="AA2" s="2">
        <v>0</v>
      </c>
      <c r="AB2" s="2">
        <v>0</v>
      </c>
      <c r="AC2" s="2">
        <v>0</v>
      </c>
      <c r="AD2" s="2">
        <v>0</v>
      </c>
      <c r="AE2" s="2">
        <v>0</v>
      </c>
      <c r="AF2" s="2">
        <v>0</v>
      </c>
      <c r="AG2" s="2">
        <v>0</v>
      </c>
      <c r="AH2" s="2">
        <v>0</v>
      </c>
      <c r="AI2" s="2">
        <v>1</v>
      </c>
      <c r="AJ2" s="2" t="s">
        <v>48</v>
      </c>
      <c r="AK2" s="2">
        <v>1</v>
      </c>
      <c r="AL2" s="2">
        <v>0</v>
      </c>
      <c r="AM2" s="2">
        <v>1</v>
      </c>
      <c r="AN2" s="2">
        <v>0</v>
      </c>
      <c r="AO2" s="2">
        <v>0</v>
      </c>
      <c r="AP2" s="2">
        <v>1</v>
      </c>
      <c r="AQ2" s="2">
        <v>1</v>
      </c>
      <c r="AR2" s="2">
        <v>1</v>
      </c>
      <c r="AS2" s="5">
        <v>45443</v>
      </c>
      <c r="AT2" s="2">
        <v>0</v>
      </c>
      <c r="AU2" s="11">
        <v>0</v>
      </c>
      <c r="AV2" s="11">
        <f>Table2[[#This Row],[TTE date]]-Table2[[#This Row],[Date initial positive Bcx]]</f>
        <v>1</v>
      </c>
      <c r="AW2" s="2">
        <v>1</v>
      </c>
      <c r="AX2" s="5">
        <v>45446</v>
      </c>
      <c r="AY2" s="2">
        <v>0</v>
      </c>
      <c r="AZ2" s="2">
        <v>0</v>
      </c>
      <c r="BA2" s="2">
        <v>0</v>
      </c>
      <c r="BB2" s="2">
        <f>Table2[[#This Row],[TEE date]]-Table2[[#This Row],[Date initial positive Bcx]]</f>
        <v>4</v>
      </c>
      <c r="BC2" s="2">
        <v>0</v>
      </c>
      <c r="BD2" s="2">
        <f>COUNTIFS(Table2[[#This Row],[Comorbidity present (at least 1)?]], "0",Table2[[#This Row],[Alternative source of infx?]], "1",Table2[[#This Row],[Abx used?]], "1", Table2[[#This Row],[&lt; 3 days defervescence or remained afebrile?]], "1",Table2[[#This Row],[WBC downtrend or remained nrml?]], "1")</f>
        <v>0</v>
      </c>
      <c r="BE2" s="2">
        <f>COUNTIFS(Table2[[#This Row],[&lt; 3 days defervescence or remained afebrile?]], "1",Table2[[#This Row],[WBC downtrend or remained nrml?]], "1")</f>
        <v>1</v>
      </c>
      <c r="BF2" s="2">
        <v>0</v>
      </c>
      <c r="BG2" s="2">
        <v>1</v>
      </c>
      <c r="BH2" s="2">
        <v>1</v>
      </c>
      <c r="BI2" s="2" t="s">
        <v>49</v>
      </c>
    </row>
    <row r="3" spans="1:61">
      <c r="A3" s="2">
        <v>2</v>
      </c>
      <c r="B3" s="5">
        <v>45446</v>
      </c>
      <c r="E3" s="2">
        <v>78</v>
      </c>
      <c r="F3" s="2">
        <v>1</v>
      </c>
      <c r="G3" s="2">
        <v>3</v>
      </c>
      <c r="H3" s="2">
        <v>0</v>
      </c>
      <c r="I3" s="2">
        <v>0</v>
      </c>
      <c r="J3" s="2">
        <v>0</v>
      </c>
      <c r="K3" s="2">
        <v>0</v>
      </c>
      <c r="L3" s="2">
        <v>0</v>
      </c>
      <c r="M3" s="2">
        <v>0</v>
      </c>
      <c r="N3" s="2">
        <v>0</v>
      </c>
      <c r="P3" t="s">
        <v>47</v>
      </c>
      <c r="Q3" s="51">
        <v>1</v>
      </c>
      <c r="R3" s="51">
        <v>0</v>
      </c>
      <c r="S3" s="51">
        <v>0</v>
      </c>
      <c r="T3" s="51">
        <v>0</v>
      </c>
      <c r="U3" s="2">
        <v>1</v>
      </c>
      <c r="V3" s="2">
        <v>6</v>
      </c>
      <c r="W3" s="5">
        <v>45446</v>
      </c>
      <c r="X3" s="5">
        <v>45450</v>
      </c>
      <c r="Y3" s="28">
        <f t="shared" ref="Y3:Y66" si="0">X3-W3</f>
        <v>4</v>
      </c>
      <c r="Z3" s="2">
        <v>1</v>
      </c>
      <c r="AA3" s="2">
        <v>1</v>
      </c>
      <c r="AB3" s="2">
        <v>0</v>
      </c>
      <c r="AC3" s="2">
        <v>0</v>
      </c>
      <c r="AD3" s="2">
        <v>0</v>
      </c>
      <c r="AE3" s="2">
        <v>0</v>
      </c>
      <c r="AF3" s="2">
        <v>0</v>
      </c>
      <c r="AG3" s="2">
        <v>0</v>
      </c>
      <c r="AH3" s="2">
        <v>0</v>
      </c>
      <c r="AI3" s="2">
        <v>1</v>
      </c>
      <c r="AJ3" s="2" t="s">
        <v>48</v>
      </c>
      <c r="AK3" s="2">
        <v>1</v>
      </c>
      <c r="AL3" s="2">
        <v>1</v>
      </c>
      <c r="AM3" s="2">
        <v>1</v>
      </c>
      <c r="AN3" s="2">
        <v>1</v>
      </c>
      <c r="AO3" s="2">
        <v>0</v>
      </c>
      <c r="AP3" s="2">
        <v>0</v>
      </c>
      <c r="AQ3" s="2">
        <v>1</v>
      </c>
      <c r="AR3" s="2">
        <v>1</v>
      </c>
      <c r="AS3" s="5">
        <v>45448</v>
      </c>
      <c r="AT3" s="2">
        <v>0</v>
      </c>
      <c r="AU3" s="2">
        <v>0</v>
      </c>
      <c r="AV3" s="2">
        <f>Table2[[#This Row],[TTE date]]-Table2[[#This Row],[Date initial positive Bcx]]</f>
        <v>2</v>
      </c>
      <c r="AW3" s="2">
        <v>0</v>
      </c>
      <c r="BA3" s="2">
        <v>0</v>
      </c>
      <c r="BC3" s="2">
        <v>1</v>
      </c>
      <c r="BD3" s="2">
        <f>COUNTIFS(Table2[[#This Row],[Comorbidity present (at least 1)?]], "0",Table2[[#This Row],[Alternative source of infx?]], "1",Table2[[#This Row],[Abx used?]], "1", Table2[[#This Row],[&lt; 3 days defervescence or remained afebrile?]], "1",Table2[[#This Row],[WBC downtrend or remained nrml?]], "1")</f>
        <v>1</v>
      </c>
      <c r="BE3" s="2">
        <f>COUNTIFS(Table2[[#This Row],[&lt; 3 days defervescence or remained afebrile?]], "1",Table2[[#This Row],[WBC downtrend or remained nrml?]], "1")</f>
        <v>1</v>
      </c>
      <c r="BF3" s="2">
        <v>0</v>
      </c>
      <c r="BG3" s="2">
        <v>1</v>
      </c>
      <c r="BH3" s="2">
        <v>0</v>
      </c>
      <c r="BI3" s="2" t="s">
        <v>50</v>
      </c>
    </row>
    <row r="4" spans="1:61">
      <c r="A4" s="8">
        <v>3</v>
      </c>
      <c r="B4" s="5">
        <v>45448</v>
      </c>
      <c r="C4" s="6">
        <v>45465</v>
      </c>
      <c r="D4" s="2">
        <f t="shared" ref="D4:D56" si="1">C4-B4</f>
        <v>17</v>
      </c>
      <c r="E4" s="2">
        <v>62</v>
      </c>
      <c r="F4" s="2">
        <v>1</v>
      </c>
      <c r="G4" s="2">
        <v>2</v>
      </c>
      <c r="H4" s="2">
        <v>1</v>
      </c>
      <c r="I4" s="2">
        <v>0</v>
      </c>
      <c r="J4" s="2">
        <v>0</v>
      </c>
      <c r="K4" s="2">
        <v>0</v>
      </c>
      <c r="L4" s="2">
        <v>0</v>
      </c>
      <c r="M4" s="2">
        <v>0</v>
      </c>
      <c r="N4" s="2">
        <v>1</v>
      </c>
      <c r="O4" s="2" t="s">
        <v>51</v>
      </c>
      <c r="P4" t="s">
        <v>52</v>
      </c>
      <c r="Q4" s="51">
        <v>1</v>
      </c>
      <c r="R4" s="51">
        <v>0</v>
      </c>
      <c r="S4" s="51">
        <v>0</v>
      </c>
      <c r="T4" s="51">
        <v>0</v>
      </c>
      <c r="U4" s="2">
        <v>1</v>
      </c>
      <c r="V4" s="2">
        <v>5</v>
      </c>
      <c r="W4" s="5">
        <v>45448</v>
      </c>
      <c r="X4" s="5">
        <v>45454</v>
      </c>
      <c r="Y4" s="28">
        <f t="shared" si="0"/>
        <v>6</v>
      </c>
      <c r="Z4" s="2">
        <v>0</v>
      </c>
      <c r="AA4" s="2">
        <v>0</v>
      </c>
      <c r="AB4" s="2">
        <v>0</v>
      </c>
      <c r="AC4" s="2">
        <v>0</v>
      </c>
      <c r="AD4" s="2">
        <v>0</v>
      </c>
      <c r="AE4" s="2">
        <v>0</v>
      </c>
      <c r="AF4" s="2">
        <v>0</v>
      </c>
      <c r="AG4" s="2">
        <v>0</v>
      </c>
      <c r="AH4" s="2">
        <v>1</v>
      </c>
      <c r="AI4" s="2">
        <v>1</v>
      </c>
      <c r="AJ4" s="2" t="s">
        <v>53</v>
      </c>
      <c r="AK4" s="2">
        <v>0</v>
      </c>
      <c r="AL4" s="2">
        <v>1</v>
      </c>
      <c r="AM4" s="2">
        <v>0</v>
      </c>
      <c r="AN4" s="2">
        <v>0</v>
      </c>
      <c r="AO4" s="2">
        <v>1</v>
      </c>
      <c r="AP4" s="2">
        <v>0</v>
      </c>
      <c r="AQ4" s="2">
        <v>1</v>
      </c>
      <c r="AR4" s="2">
        <v>1</v>
      </c>
      <c r="AS4" s="5">
        <v>45448</v>
      </c>
      <c r="AT4" s="2">
        <v>0</v>
      </c>
      <c r="AU4" s="2">
        <v>0</v>
      </c>
      <c r="AV4" s="2">
        <f>Table2[[#This Row],[TTE date]]-Table2[[#This Row],[Date initial positive Bcx]]</f>
        <v>0</v>
      </c>
      <c r="AW4" s="2">
        <v>1</v>
      </c>
      <c r="AX4" s="5">
        <v>45455</v>
      </c>
      <c r="AY4" s="2">
        <v>0</v>
      </c>
      <c r="AZ4" s="2">
        <v>1</v>
      </c>
      <c r="BA4" s="2">
        <v>0</v>
      </c>
      <c r="BB4" s="2">
        <f>Table2[[#This Row],[TEE date]]-Table2[[#This Row],[Date initial positive Bcx]]</f>
        <v>7</v>
      </c>
      <c r="BC4" s="2">
        <v>1</v>
      </c>
      <c r="BD4" s="2">
        <f>COUNTIFS(Table2[[#This Row],[Comorbidity present (at least 1)?]], "0",Table2[[#This Row],[Alternative source of infx?]], "1",Table2[[#This Row],[Abx used?]], "1", Table2[[#This Row],[&lt; 3 days defervescence or remained afebrile?]], "1",Table2[[#This Row],[WBC downtrend or remained nrml?]], "1")</f>
        <v>0</v>
      </c>
      <c r="BE4" s="2">
        <f>COUNTIFS(Table2[[#This Row],[&lt; 3 days defervescence or remained afebrile?]], "1",Table2[[#This Row],[WBC downtrend or remained nrml?]], "1")</f>
        <v>0</v>
      </c>
      <c r="BF4" s="2">
        <v>0</v>
      </c>
      <c r="BG4" s="2">
        <v>1</v>
      </c>
      <c r="BH4" s="2">
        <v>0</v>
      </c>
      <c r="BI4" s="2" t="s">
        <v>54</v>
      </c>
    </row>
    <row r="5" spans="1:61">
      <c r="A5" s="2">
        <v>4</v>
      </c>
      <c r="B5" s="5">
        <v>45449</v>
      </c>
      <c r="C5" s="5">
        <v>45455</v>
      </c>
      <c r="D5" s="2">
        <f t="shared" si="1"/>
        <v>6</v>
      </c>
      <c r="E5" s="2">
        <v>77</v>
      </c>
      <c r="F5" s="2">
        <v>1</v>
      </c>
      <c r="G5" s="2">
        <v>2</v>
      </c>
      <c r="H5" s="2">
        <v>0</v>
      </c>
      <c r="I5" s="2">
        <v>0</v>
      </c>
      <c r="J5" s="2">
        <v>0</v>
      </c>
      <c r="K5" s="2">
        <v>0</v>
      </c>
      <c r="L5" s="2">
        <v>0</v>
      </c>
      <c r="M5" s="2">
        <v>0</v>
      </c>
      <c r="N5" s="2">
        <v>0</v>
      </c>
      <c r="P5" t="s">
        <v>52</v>
      </c>
      <c r="Q5" s="51">
        <v>1</v>
      </c>
      <c r="R5" s="51">
        <v>0</v>
      </c>
      <c r="S5" s="51">
        <v>0</v>
      </c>
      <c r="T5" s="51">
        <v>0</v>
      </c>
      <c r="U5" s="2">
        <v>1</v>
      </c>
      <c r="V5" s="2">
        <v>2</v>
      </c>
      <c r="W5" s="5">
        <v>45449</v>
      </c>
      <c r="X5" s="5">
        <v>45450</v>
      </c>
      <c r="Y5" s="28">
        <f t="shared" si="0"/>
        <v>1</v>
      </c>
      <c r="Z5" s="2">
        <v>1</v>
      </c>
      <c r="AA5" s="2">
        <v>0</v>
      </c>
      <c r="AB5" s="2">
        <v>0</v>
      </c>
      <c r="AC5" s="2">
        <v>0</v>
      </c>
      <c r="AD5" s="2">
        <v>0</v>
      </c>
      <c r="AE5" s="2">
        <v>0</v>
      </c>
      <c r="AF5" s="2">
        <v>0</v>
      </c>
      <c r="AG5" s="2">
        <v>1</v>
      </c>
      <c r="AH5" s="2">
        <v>1</v>
      </c>
      <c r="AI5" s="2">
        <v>1</v>
      </c>
      <c r="AJ5" s="2" t="s">
        <v>55</v>
      </c>
      <c r="AK5" s="2">
        <v>0</v>
      </c>
      <c r="AL5" s="2">
        <v>1</v>
      </c>
      <c r="AM5" s="2">
        <v>1</v>
      </c>
      <c r="AN5" s="2">
        <v>1</v>
      </c>
      <c r="AO5" s="2">
        <v>0</v>
      </c>
      <c r="AP5" s="2">
        <v>0</v>
      </c>
      <c r="AQ5" s="2">
        <v>1</v>
      </c>
      <c r="AR5" s="2">
        <v>1</v>
      </c>
      <c r="AS5" s="5">
        <v>45450</v>
      </c>
      <c r="AT5" s="2">
        <v>0</v>
      </c>
      <c r="AU5" s="2">
        <v>0</v>
      </c>
      <c r="AV5" s="2">
        <f>Table2[[#This Row],[TTE date]]-Table2[[#This Row],[Date initial positive Bcx]]</f>
        <v>1</v>
      </c>
      <c r="AW5" s="2">
        <v>1</v>
      </c>
      <c r="AX5" s="5">
        <v>45453</v>
      </c>
      <c r="AY5" s="2">
        <v>0</v>
      </c>
      <c r="AZ5" s="2">
        <v>0</v>
      </c>
      <c r="BA5" s="2">
        <v>0</v>
      </c>
      <c r="BB5" s="2">
        <f>Table2[[#This Row],[TEE date]]-Table2[[#This Row],[Date initial positive Bcx]]</f>
        <v>4</v>
      </c>
      <c r="BC5" s="2">
        <v>0</v>
      </c>
      <c r="BD5" s="2">
        <f>COUNTIFS(Table2[[#This Row],[Comorbidity present (at least 1)?]], "0",Table2[[#This Row],[Alternative source of infx?]], "1",Table2[[#This Row],[Abx used?]], "1", Table2[[#This Row],[&lt; 3 days defervescence or remained afebrile?]], "1",Table2[[#This Row],[WBC downtrend or remained nrml?]], "1")</f>
        <v>1</v>
      </c>
      <c r="BE5" s="2">
        <f>COUNTIFS(Table2[[#This Row],[&lt; 3 days defervescence or remained afebrile?]], "1",Table2[[#This Row],[WBC downtrend or remained nrml?]], "1")</f>
        <v>1</v>
      </c>
      <c r="BF5" s="2">
        <v>0</v>
      </c>
      <c r="BG5" s="2">
        <v>1</v>
      </c>
      <c r="BH5" s="2">
        <v>0</v>
      </c>
      <c r="BI5" s="2" t="s">
        <v>56</v>
      </c>
    </row>
    <row r="6" spans="1:61">
      <c r="A6" s="8">
        <v>5</v>
      </c>
      <c r="B6" s="5">
        <v>45453</v>
      </c>
      <c r="C6" s="6">
        <v>45456</v>
      </c>
      <c r="D6" s="2">
        <f t="shared" si="1"/>
        <v>3</v>
      </c>
      <c r="E6" s="2">
        <v>71</v>
      </c>
      <c r="F6" s="2">
        <v>1</v>
      </c>
      <c r="G6" s="2">
        <v>2</v>
      </c>
      <c r="H6" s="2">
        <v>1</v>
      </c>
      <c r="I6" s="2">
        <v>0</v>
      </c>
      <c r="J6" s="2">
        <v>0</v>
      </c>
      <c r="K6" s="2">
        <v>0</v>
      </c>
      <c r="L6" s="2">
        <v>1</v>
      </c>
      <c r="M6" s="2">
        <v>1</v>
      </c>
      <c r="N6" s="2">
        <v>1</v>
      </c>
      <c r="O6" s="2" t="s">
        <v>57</v>
      </c>
      <c r="P6" t="s">
        <v>52</v>
      </c>
      <c r="Q6" s="51">
        <v>1</v>
      </c>
      <c r="R6" s="51">
        <v>0</v>
      </c>
      <c r="S6" s="51">
        <v>0</v>
      </c>
      <c r="T6" s="51">
        <v>0</v>
      </c>
      <c r="U6" s="2">
        <v>1</v>
      </c>
      <c r="V6" s="2">
        <v>2</v>
      </c>
      <c r="W6" s="5">
        <v>45453</v>
      </c>
      <c r="X6" s="5">
        <v>45454</v>
      </c>
      <c r="Y6" s="28">
        <f t="shared" si="0"/>
        <v>1</v>
      </c>
      <c r="Z6" s="2">
        <v>1</v>
      </c>
      <c r="AA6" s="2">
        <v>0</v>
      </c>
      <c r="AB6" s="2">
        <v>0</v>
      </c>
      <c r="AC6" s="2">
        <v>0</v>
      </c>
      <c r="AD6" s="2">
        <v>1</v>
      </c>
      <c r="AE6" s="2">
        <v>0</v>
      </c>
      <c r="AF6" s="2">
        <v>0</v>
      </c>
      <c r="AG6" s="2">
        <v>0</v>
      </c>
      <c r="AH6" s="2">
        <v>0</v>
      </c>
      <c r="AI6" s="2">
        <v>1</v>
      </c>
      <c r="AJ6" s="2" t="s">
        <v>58</v>
      </c>
      <c r="AK6" s="2">
        <v>1</v>
      </c>
      <c r="AL6" s="2">
        <v>1</v>
      </c>
      <c r="AM6" s="2">
        <v>1</v>
      </c>
      <c r="AN6" s="2">
        <v>1</v>
      </c>
      <c r="AO6" s="2">
        <v>0</v>
      </c>
      <c r="AP6" s="2">
        <v>0</v>
      </c>
      <c r="AQ6" s="2">
        <v>0</v>
      </c>
      <c r="AR6" s="2">
        <v>1</v>
      </c>
      <c r="AS6" s="5">
        <v>45454</v>
      </c>
      <c r="AT6" s="2">
        <v>1</v>
      </c>
      <c r="AU6" s="2">
        <v>1</v>
      </c>
      <c r="AV6" s="2">
        <f>Table2[[#This Row],[TTE date]]-Table2[[#This Row],[Date initial positive Bcx]]</f>
        <v>1</v>
      </c>
      <c r="AW6" s="2">
        <v>0</v>
      </c>
      <c r="BA6" s="2">
        <v>0</v>
      </c>
      <c r="BC6" s="2">
        <v>1</v>
      </c>
      <c r="BD6" s="2">
        <f>COUNTIFS(Table2[[#This Row],[Comorbidity present (at least 1)?]], "0",Table2[[#This Row],[Alternative source of infx?]], "1",Table2[[#This Row],[Abx used?]], "1", Table2[[#This Row],[&lt; 3 days defervescence or remained afebrile?]], "1",Table2[[#This Row],[WBC downtrend or remained nrml?]], "1")</f>
        <v>0</v>
      </c>
      <c r="BE6" s="2">
        <f>COUNTIFS(Table2[[#This Row],[&lt; 3 days defervescence or remained afebrile?]], "1",Table2[[#This Row],[WBC downtrend or remained nrml?]], "1")</f>
        <v>0</v>
      </c>
      <c r="BF6" s="2">
        <v>1</v>
      </c>
      <c r="BG6" s="2">
        <v>1</v>
      </c>
      <c r="BH6" s="2">
        <v>0</v>
      </c>
      <c r="BI6" s="2" t="s">
        <v>59</v>
      </c>
    </row>
    <row r="7" spans="1:61">
      <c r="A7" s="8">
        <v>6</v>
      </c>
      <c r="B7" s="5">
        <v>45454</v>
      </c>
      <c r="C7" s="6">
        <v>45465</v>
      </c>
      <c r="D7" s="2">
        <f t="shared" si="1"/>
        <v>11</v>
      </c>
      <c r="E7" s="2">
        <v>81</v>
      </c>
      <c r="F7" s="2">
        <v>1</v>
      </c>
      <c r="G7" s="2">
        <v>2</v>
      </c>
      <c r="H7" s="2">
        <v>1</v>
      </c>
      <c r="I7" s="2">
        <v>0</v>
      </c>
      <c r="J7" s="2">
        <v>0</v>
      </c>
      <c r="K7" s="2">
        <v>0</v>
      </c>
      <c r="L7" s="2">
        <v>0</v>
      </c>
      <c r="M7" s="2">
        <v>0</v>
      </c>
      <c r="N7" s="2">
        <v>1</v>
      </c>
      <c r="O7" s="2" t="s">
        <v>60</v>
      </c>
      <c r="P7" t="s">
        <v>52</v>
      </c>
      <c r="Q7" s="51">
        <v>1</v>
      </c>
      <c r="R7" s="51">
        <v>0</v>
      </c>
      <c r="S7" s="51">
        <v>0</v>
      </c>
      <c r="T7" s="51">
        <v>0</v>
      </c>
      <c r="U7" s="2">
        <v>1</v>
      </c>
      <c r="V7" s="2">
        <v>4</v>
      </c>
      <c r="W7" s="5">
        <v>45454</v>
      </c>
      <c r="X7" s="5">
        <v>45458</v>
      </c>
      <c r="Y7" s="28">
        <f t="shared" si="0"/>
        <v>4</v>
      </c>
      <c r="Z7" s="2">
        <v>1</v>
      </c>
      <c r="AA7" s="2">
        <v>0</v>
      </c>
      <c r="AB7" s="2">
        <v>1</v>
      </c>
      <c r="AC7" s="2">
        <v>0</v>
      </c>
      <c r="AD7" s="2">
        <v>0</v>
      </c>
      <c r="AE7" s="2">
        <v>1</v>
      </c>
      <c r="AF7" s="2">
        <v>0</v>
      </c>
      <c r="AG7" s="2">
        <v>0</v>
      </c>
      <c r="AH7" s="2">
        <v>0</v>
      </c>
      <c r="AI7" s="2">
        <v>1</v>
      </c>
      <c r="AJ7" s="2" t="s">
        <v>61</v>
      </c>
      <c r="AK7" s="2">
        <v>0</v>
      </c>
      <c r="AL7" s="2">
        <v>1</v>
      </c>
      <c r="AM7" s="2">
        <v>1</v>
      </c>
      <c r="AN7" s="2">
        <v>1</v>
      </c>
      <c r="AO7" s="2">
        <v>0</v>
      </c>
      <c r="AP7" s="2">
        <v>0</v>
      </c>
      <c r="AQ7" s="2">
        <v>0</v>
      </c>
      <c r="AR7" s="2">
        <v>1</v>
      </c>
      <c r="AS7" s="5">
        <v>45455</v>
      </c>
      <c r="AT7" s="2">
        <v>0</v>
      </c>
      <c r="AU7" s="2">
        <v>0</v>
      </c>
      <c r="AV7" s="2">
        <f>Table2[[#This Row],[TTE date]]-Table2[[#This Row],[Date initial positive Bcx]]</f>
        <v>1</v>
      </c>
      <c r="AW7" s="2">
        <v>0</v>
      </c>
      <c r="BA7" s="2">
        <v>0</v>
      </c>
      <c r="BC7" s="2">
        <v>1</v>
      </c>
      <c r="BD7" s="2">
        <f>COUNTIFS(Table2[[#This Row],[Comorbidity present (at least 1)?]], "0",Table2[[#This Row],[Alternative source of infx?]], "1",Table2[[#This Row],[Abx used?]], "1", Table2[[#This Row],[&lt; 3 days defervescence or remained afebrile?]], "1",Table2[[#This Row],[WBC downtrend or remained nrml?]], "1")</f>
        <v>0</v>
      </c>
      <c r="BE7" s="2">
        <f>COUNTIFS(Table2[[#This Row],[&lt; 3 days defervescence or remained afebrile?]], "1",Table2[[#This Row],[WBC downtrend or remained nrml?]], "1")</f>
        <v>0</v>
      </c>
      <c r="BF7" s="2">
        <v>0</v>
      </c>
      <c r="BG7" s="2">
        <v>1</v>
      </c>
      <c r="BH7" s="2">
        <v>0</v>
      </c>
      <c r="BI7" s="2" t="s">
        <v>62</v>
      </c>
    </row>
    <row r="8" spans="1:61">
      <c r="A8" s="8">
        <v>7</v>
      </c>
      <c r="B8" s="5">
        <v>45453</v>
      </c>
      <c r="C8" s="6">
        <v>45485</v>
      </c>
      <c r="D8" s="2">
        <f t="shared" si="1"/>
        <v>32</v>
      </c>
      <c r="E8" s="2">
        <v>45</v>
      </c>
      <c r="F8" s="2">
        <v>2</v>
      </c>
      <c r="G8" s="2">
        <v>2</v>
      </c>
      <c r="H8" s="2">
        <v>0</v>
      </c>
      <c r="I8" s="2">
        <v>0</v>
      </c>
      <c r="J8" s="2">
        <v>0</v>
      </c>
      <c r="K8" s="2">
        <v>0</v>
      </c>
      <c r="L8" s="2">
        <v>0</v>
      </c>
      <c r="M8" s="2">
        <v>0</v>
      </c>
      <c r="N8" s="2">
        <v>0</v>
      </c>
      <c r="P8" t="s">
        <v>52</v>
      </c>
      <c r="Q8" s="51">
        <v>1</v>
      </c>
      <c r="R8" s="51">
        <v>0</v>
      </c>
      <c r="S8" s="51">
        <v>0</v>
      </c>
      <c r="T8" s="51">
        <v>0</v>
      </c>
      <c r="U8" s="2">
        <v>0</v>
      </c>
      <c r="V8" s="2">
        <v>1</v>
      </c>
      <c r="W8" s="5">
        <v>45455</v>
      </c>
      <c r="X8" s="5">
        <v>45455</v>
      </c>
      <c r="Y8" s="28">
        <f t="shared" si="0"/>
        <v>0</v>
      </c>
      <c r="Z8" s="2">
        <v>0</v>
      </c>
      <c r="AA8" s="2">
        <v>0</v>
      </c>
      <c r="AB8" s="2">
        <v>0</v>
      </c>
      <c r="AC8" s="2">
        <v>0</v>
      </c>
      <c r="AD8" s="2">
        <v>0</v>
      </c>
      <c r="AE8" s="2">
        <v>0</v>
      </c>
      <c r="AF8" s="2">
        <v>0</v>
      </c>
      <c r="AG8" s="2">
        <v>0</v>
      </c>
      <c r="AH8" s="2">
        <v>0</v>
      </c>
      <c r="AI8" s="2">
        <v>1</v>
      </c>
      <c r="AJ8" s="2" t="s">
        <v>55</v>
      </c>
      <c r="AK8" s="2">
        <v>1</v>
      </c>
      <c r="AL8" s="2">
        <v>0</v>
      </c>
      <c r="AM8" s="2">
        <v>1</v>
      </c>
      <c r="AN8" s="2">
        <v>0</v>
      </c>
      <c r="AO8" s="2">
        <v>0</v>
      </c>
      <c r="AP8" s="2">
        <v>1</v>
      </c>
      <c r="AQ8" s="2">
        <v>1</v>
      </c>
      <c r="AR8" s="2">
        <v>1</v>
      </c>
      <c r="AS8" s="5">
        <v>45457</v>
      </c>
      <c r="AT8" s="2">
        <v>0</v>
      </c>
      <c r="AU8" s="2">
        <v>0</v>
      </c>
      <c r="AV8" s="2">
        <f>Table2[[#This Row],[TTE date]]-Table2[[#This Row],[Date initial positive Bcx]]</f>
        <v>2</v>
      </c>
      <c r="AW8" s="2">
        <v>0</v>
      </c>
      <c r="BA8" s="2">
        <v>0</v>
      </c>
      <c r="BC8" s="2">
        <v>1</v>
      </c>
      <c r="BD8" s="2">
        <f>COUNTIFS(Table2[[#This Row],[Comorbidity present (at least 1)?]], "0",Table2[[#This Row],[Alternative source of infx?]], "1",Table2[[#This Row],[Abx used?]], "1", Table2[[#This Row],[&lt; 3 days defervescence or remained afebrile?]], "1",Table2[[#This Row],[WBC downtrend or remained nrml?]], "1")</f>
        <v>0</v>
      </c>
      <c r="BE8" s="2">
        <f>COUNTIFS(Table2[[#This Row],[&lt; 3 days defervescence or remained afebrile?]], "1",Table2[[#This Row],[WBC downtrend or remained nrml?]], "1")</f>
        <v>1</v>
      </c>
      <c r="BF8" s="2">
        <v>0</v>
      </c>
      <c r="BG8" s="2">
        <v>0</v>
      </c>
      <c r="BH8" s="2">
        <v>0</v>
      </c>
      <c r="BI8" s="2" t="s">
        <v>62</v>
      </c>
    </row>
    <row r="9" spans="1:61">
      <c r="A9" s="2">
        <v>8</v>
      </c>
      <c r="B9" s="5">
        <v>45456</v>
      </c>
      <c r="C9" s="5">
        <v>45466</v>
      </c>
      <c r="D9" s="2">
        <f t="shared" si="1"/>
        <v>10</v>
      </c>
      <c r="E9" s="2">
        <v>60</v>
      </c>
      <c r="F9" s="2">
        <v>1</v>
      </c>
      <c r="G9" s="2">
        <v>3</v>
      </c>
      <c r="H9" s="2">
        <v>1</v>
      </c>
      <c r="I9" s="2">
        <v>0</v>
      </c>
      <c r="J9" s="2">
        <v>0</v>
      </c>
      <c r="K9" s="2">
        <v>0</v>
      </c>
      <c r="L9" s="2">
        <v>0</v>
      </c>
      <c r="M9" s="2">
        <v>0</v>
      </c>
      <c r="N9" s="2">
        <v>1</v>
      </c>
      <c r="O9" s="2" t="s">
        <v>63</v>
      </c>
      <c r="P9" t="s">
        <v>52</v>
      </c>
      <c r="Q9" s="51">
        <v>1</v>
      </c>
      <c r="R9" s="51">
        <v>0</v>
      </c>
      <c r="S9" s="51">
        <v>0</v>
      </c>
      <c r="T9" s="51">
        <v>0</v>
      </c>
      <c r="U9" s="2">
        <v>1</v>
      </c>
      <c r="V9" s="2">
        <v>2</v>
      </c>
      <c r="W9" s="5">
        <v>45456</v>
      </c>
      <c r="X9" s="5">
        <v>45457</v>
      </c>
      <c r="Y9" s="28">
        <f t="shared" si="0"/>
        <v>1</v>
      </c>
      <c r="Z9" s="2">
        <v>1</v>
      </c>
      <c r="AA9" s="2">
        <v>0</v>
      </c>
      <c r="AB9" s="2">
        <v>0</v>
      </c>
      <c r="AC9" s="2">
        <v>0</v>
      </c>
      <c r="AD9" s="2">
        <v>1</v>
      </c>
      <c r="AE9" s="2">
        <v>0</v>
      </c>
      <c r="AF9" s="2">
        <v>0</v>
      </c>
      <c r="AG9" s="2">
        <v>0</v>
      </c>
      <c r="AH9" s="2">
        <v>0</v>
      </c>
      <c r="AI9" s="2">
        <v>1</v>
      </c>
      <c r="AJ9" s="2" t="s">
        <v>55</v>
      </c>
      <c r="AK9" s="2">
        <v>1</v>
      </c>
      <c r="AL9" s="2">
        <v>1</v>
      </c>
      <c r="AM9" s="2">
        <v>1</v>
      </c>
      <c r="AN9" s="2">
        <v>1</v>
      </c>
      <c r="AO9" s="2">
        <v>0</v>
      </c>
      <c r="AP9" s="2">
        <v>0</v>
      </c>
      <c r="AQ9" s="2">
        <v>1</v>
      </c>
      <c r="AR9" s="2">
        <v>1</v>
      </c>
      <c r="AS9" s="5">
        <v>45457</v>
      </c>
      <c r="AT9" s="2">
        <v>0</v>
      </c>
      <c r="AU9" s="2">
        <v>0</v>
      </c>
      <c r="AV9" s="2">
        <f>Table2[[#This Row],[TTE date]]-Table2[[#This Row],[Date initial positive Bcx]]</f>
        <v>1</v>
      </c>
      <c r="AW9" s="2">
        <v>0</v>
      </c>
      <c r="BA9" s="2">
        <v>0</v>
      </c>
      <c r="BC9" s="2">
        <v>0</v>
      </c>
      <c r="BD9" s="2">
        <f>COUNTIFS(Table2[[#This Row],[Comorbidity present (at least 1)?]], "0",Table2[[#This Row],[Alternative source of infx?]], "1",Table2[[#This Row],[Abx used?]], "1", Table2[[#This Row],[&lt; 3 days defervescence or remained afebrile?]], "1",Table2[[#This Row],[WBC downtrend or remained nrml?]], "1")</f>
        <v>0</v>
      </c>
      <c r="BE9" s="2">
        <f>COUNTIFS(Table2[[#This Row],[&lt; 3 days defervescence or remained afebrile?]], "1",Table2[[#This Row],[WBC downtrend or remained nrml?]], "1")</f>
        <v>1</v>
      </c>
      <c r="BF9" s="2">
        <v>0</v>
      </c>
      <c r="BG9" s="2">
        <v>1</v>
      </c>
      <c r="BH9" s="2">
        <v>0</v>
      </c>
    </row>
    <row r="10" spans="1:61">
      <c r="A10" s="2">
        <v>9</v>
      </c>
      <c r="B10" s="5">
        <v>45458</v>
      </c>
      <c r="C10" s="5">
        <v>45470</v>
      </c>
      <c r="D10" s="2">
        <f t="shared" si="1"/>
        <v>12</v>
      </c>
      <c r="E10" s="2">
        <v>64</v>
      </c>
      <c r="F10" s="2">
        <v>2</v>
      </c>
      <c r="G10" s="2">
        <v>2</v>
      </c>
      <c r="H10" s="2">
        <v>1</v>
      </c>
      <c r="I10" s="2">
        <v>0</v>
      </c>
      <c r="J10" s="2">
        <v>0</v>
      </c>
      <c r="K10" s="2">
        <v>0</v>
      </c>
      <c r="L10" s="2">
        <v>1</v>
      </c>
      <c r="M10" s="2">
        <v>0</v>
      </c>
      <c r="N10" s="2">
        <v>0</v>
      </c>
      <c r="P10" t="s">
        <v>52</v>
      </c>
      <c r="Q10" s="51">
        <v>1</v>
      </c>
      <c r="R10" s="51">
        <v>0</v>
      </c>
      <c r="S10" s="51">
        <v>0</v>
      </c>
      <c r="T10" s="51">
        <v>0</v>
      </c>
      <c r="U10" s="2">
        <v>1</v>
      </c>
      <c r="V10" s="2">
        <v>2</v>
      </c>
      <c r="W10" s="5">
        <v>45463</v>
      </c>
      <c r="X10" s="5">
        <v>45464</v>
      </c>
      <c r="Y10" s="28">
        <f t="shared" si="0"/>
        <v>1</v>
      </c>
      <c r="Z10" s="2">
        <v>1</v>
      </c>
      <c r="AA10" s="2">
        <v>0</v>
      </c>
      <c r="AB10" s="2">
        <v>1</v>
      </c>
      <c r="AC10" s="2">
        <v>0</v>
      </c>
      <c r="AD10" s="2">
        <v>0</v>
      </c>
      <c r="AE10" s="2">
        <v>0</v>
      </c>
      <c r="AF10" s="2">
        <v>0</v>
      </c>
      <c r="AG10" s="2">
        <v>0</v>
      </c>
      <c r="AH10" s="2">
        <v>0</v>
      </c>
      <c r="AI10" s="2">
        <v>1</v>
      </c>
      <c r="AJ10" s="2" t="s">
        <v>55</v>
      </c>
      <c r="AK10" s="2">
        <v>1</v>
      </c>
      <c r="AL10" s="2">
        <v>1</v>
      </c>
      <c r="AM10" s="2">
        <v>1</v>
      </c>
      <c r="AN10" s="2">
        <v>1</v>
      </c>
      <c r="AO10" s="2">
        <v>0</v>
      </c>
      <c r="AP10" s="2">
        <v>0</v>
      </c>
      <c r="AQ10" s="2">
        <v>1</v>
      </c>
      <c r="AR10" s="2">
        <v>1</v>
      </c>
      <c r="AS10" s="5">
        <v>45467</v>
      </c>
      <c r="AT10" s="2">
        <v>0</v>
      </c>
      <c r="AU10" s="2">
        <v>0</v>
      </c>
      <c r="AV10" s="2">
        <f>Table2[[#This Row],[TTE date]]-Table2[[#This Row],[Date initial positive Bcx]]</f>
        <v>4</v>
      </c>
      <c r="AW10" s="2">
        <v>0</v>
      </c>
      <c r="BA10" s="2">
        <v>0</v>
      </c>
      <c r="BC10" s="2">
        <v>0</v>
      </c>
      <c r="BD10" s="2">
        <f>COUNTIFS(Table2[[#This Row],[Comorbidity present (at least 1)?]], "0",Table2[[#This Row],[Alternative source of infx?]], "1",Table2[[#This Row],[Abx used?]], "1", Table2[[#This Row],[&lt; 3 days defervescence or remained afebrile?]], "1",Table2[[#This Row],[WBC downtrend or remained nrml?]], "1")</f>
        <v>0</v>
      </c>
      <c r="BE10" s="2">
        <f>COUNTIFS(Table2[[#This Row],[&lt; 3 days defervescence or remained afebrile?]], "1",Table2[[#This Row],[WBC downtrend or remained nrml?]], "1")</f>
        <v>1</v>
      </c>
      <c r="BF10" s="2">
        <v>0</v>
      </c>
      <c r="BG10" s="2">
        <v>1</v>
      </c>
      <c r="BH10" s="2">
        <v>0</v>
      </c>
      <c r="BI10" s="2" t="s">
        <v>64</v>
      </c>
    </row>
    <row r="11" spans="1:61">
      <c r="A11" s="7">
        <v>10</v>
      </c>
      <c r="B11" s="5">
        <v>45468</v>
      </c>
      <c r="C11" s="5">
        <v>45475</v>
      </c>
      <c r="D11" s="2">
        <f t="shared" si="1"/>
        <v>7</v>
      </c>
      <c r="E11" s="2">
        <v>46</v>
      </c>
      <c r="F11" s="2">
        <v>1</v>
      </c>
      <c r="G11" s="2">
        <v>2</v>
      </c>
      <c r="H11" s="2">
        <v>1</v>
      </c>
      <c r="I11" s="2">
        <v>1</v>
      </c>
      <c r="J11" s="2">
        <v>0</v>
      </c>
      <c r="K11" s="2">
        <v>0</v>
      </c>
      <c r="L11" s="2">
        <v>1</v>
      </c>
      <c r="M11" s="2">
        <v>1</v>
      </c>
      <c r="N11" s="2">
        <v>1</v>
      </c>
      <c r="O11" s="2" t="s">
        <v>65</v>
      </c>
      <c r="P11" t="s">
        <v>47</v>
      </c>
      <c r="Q11" s="51">
        <v>1</v>
      </c>
      <c r="R11" s="51">
        <v>0</v>
      </c>
      <c r="S11" s="51">
        <v>0</v>
      </c>
      <c r="T11" s="51">
        <v>0</v>
      </c>
      <c r="U11" s="2">
        <v>1</v>
      </c>
      <c r="V11" s="2">
        <v>5</v>
      </c>
      <c r="W11" s="5">
        <v>45468</v>
      </c>
      <c r="X11" s="5">
        <v>45473</v>
      </c>
      <c r="Y11" s="28">
        <f t="shared" si="0"/>
        <v>5</v>
      </c>
      <c r="Z11" s="2">
        <v>1</v>
      </c>
      <c r="AA11" s="2">
        <v>1</v>
      </c>
      <c r="AB11" s="2">
        <v>1</v>
      </c>
      <c r="AC11" s="2">
        <v>0</v>
      </c>
      <c r="AD11" s="2">
        <v>1</v>
      </c>
      <c r="AE11" s="2">
        <v>0</v>
      </c>
      <c r="AF11" s="2">
        <v>0</v>
      </c>
      <c r="AG11" s="2">
        <v>0</v>
      </c>
      <c r="AH11" s="2">
        <v>0</v>
      </c>
      <c r="AI11" s="2">
        <v>1</v>
      </c>
      <c r="AJ11" s="2" t="s">
        <v>48</v>
      </c>
      <c r="AK11" s="2">
        <v>1</v>
      </c>
      <c r="AL11" s="2">
        <v>1</v>
      </c>
      <c r="AM11" s="2">
        <v>1</v>
      </c>
      <c r="AN11" s="2">
        <v>1</v>
      </c>
      <c r="AO11" s="2">
        <v>0</v>
      </c>
      <c r="AP11" s="2">
        <v>0</v>
      </c>
      <c r="AQ11" s="2">
        <v>1</v>
      </c>
      <c r="AR11" s="2">
        <v>1</v>
      </c>
      <c r="AS11" s="5">
        <v>45468</v>
      </c>
      <c r="AT11" s="2">
        <v>1</v>
      </c>
      <c r="AU11" s="2">
        <v>1</v>
      </c>
      <c r="AV11" s="2">
        <f>Table2[[#This Row],[TTE date]]-Table2[[#This Row],[Date initial positive Bcx]]</f>
        <v>0</v>
      </c>
      <c r="AW11" s="2">
        <v>0</v>
      </c>
      <c r="BA11" s="2">
        <v>0</v>
      </c>
      <c r="BC11" s="2">
        <v>0</v>
      </c>
      <c r="BD11" s="2">
        <f>COUNTIFS(Table2[[#This Row],[Comorbidity present (at least 1)?]], "0",Table2[[#This Row],[Alternative source of infx?]], "1",Table2[[#This Row],[Abx used?]], "1", Table2[[#This Row],[&lt; 3 days defervescence or remained afebrile?]], "1",Table2[[#This Row],[WBC downtrend or remained nrml?]], "1")</f>
        <v>0</v>
      </c>
      <c r="BE11" s="2">
        <f>COUNTIFS(Table2[[#This Row],[&lt; 3 days defervescence or remained afebrile?]], "1",Table2[[#This Row],[WBC downtrend or remained nrml?]], "1")</f>
        <v>1</v>
      </c>
      <c r="BF11" s="2">
        <v>1</v>
      </c>
      <c r="BG11" s="2">
        <v>1</v>
      </c>
      <c r="BH11" s="2">
        <v>1</v>
      </c>
      <c r="BI11" s="2" t="s">
        <v>66</v>
      </c>
    </row>
    <row r="12" spans="1:61">
      <c r="A12" s="2">
        <v>11</v>
      </c>
      <c r="B12" s="5">
        <v>45470</v>
      </c>
      <c r="C12" s="5">
        <v>45501</v>
      </c>
      <c r="D12" s="2">
        <f t="shared" si="1"/>
        <v>31</v>
      </c>
      <c r="E12" s="2">
        <v>74</v>
      </c>
      <c r="F12" s="2">
        <v>1</v>
      </c>
      <c r="G12" s="2">
        <v>2</v>
      </c>
      <c r="H12" s="2">
        <v>1</v>
      </c>
      <c r="I12" s="2">
        <v>0</v>
      </c>
      <c r="J12" s="2">
        <v>0</v>
      </c>
      <c r="K12" s="2">
        <v>0</v>
      </c>
      <c r="L12" s="2">
        <v>0</v>
      </c>
      <c r="M12" s="2">
        <v>0</v>
      </c>
      <c r="N12" s="2">
        <v>1</v>
      </c>
      <c r="O12" s="2" t="s">
        <v>67</v>
      </c>
      <c r="P12" t="s">
        <v>52</v>
      </c>
      <c r="Q12" s="51">
        <v>1</v>
      </c>
      <c r="R12" s="51">
        <v>0</v>
      </c>
      <c r="S12" s="51">
        <v>0</v>
      </c>
      <c r="T12" s="51">
        <v>0</v>
      </c>
      <c r="U12" s="2">
        <v>0</v>
      </c>
      <c r="V12" s="2">
        <v>1</v>
      </c>
      <c r="W12" s="5">
        <v>45470</v>
      </c>
      <c r="X12" s="5">
        <v>45470</v>
      </c>
      <c r="Y12" s="28">
        <f t="shared" si="0"/>
        <v>0</v>
      </c>
      <c r="Z12" s="2">
        <v>1</v>
      </c>
      <c r="AA12" s="2">
        <v>0</v>
      </c>
      <c r="AB12" s="2">
        <v>1</v>
      </c>
      <c r="AC12" s="2">
        <v>0</v>
      </c>
      <c r="AD12" s="2">
        <v>0</v>
      </c>
      <c r="AE12" s="2">
        <v>0</v>
      </c>
      <c r="AF12" s="2">
        <v>1</v>
      </c>
      <c r="AG12" s="2">
        <v>0</v>
      </c>
      <c r="AH12" s="2">
        <v>0</v>
      </c>
      <c r="AI12" s="2">
        <v>1</v>
      </c>
      <c r="AJ12" s="2" t="s">
        <v>68</v>
      </c>
      <c r="AK12" s="2">
        <v>0</v>
      </c>
      <c r="AL12" s="2">
        <v>1</v>
      </c>
      <c r="AM12" s="2">
        <v>1</v>
      </c>
      <c r="AN12" s="2">
        <v>1</v>
      </c>
      <c r="AO12" s="2">
        <v>0</v>
      </c>
      <c r="AP12" s="2">
        <v>0</v>
      </c>
      <c r="AQ12" s="2">
        <v>0</v>
      </c>
      <c r="AR12" s="2">
        <v>1</v>
      </c>
      <c r="AS12" s="5">
        <v>45471</v>
      </c>
      <c r="AT12" s="2">
        <v>0</v>
      </c>
      <c r="AU12" s="2">
        <v>1</v>
      </c>
      <c r="AV12" s="2">
        <f>Table2[[#This Row],[TTE date]]-Table2[[#This Row],[Date initial positive Bcx]]</f>
        <v>1</v>
      </c>
      <c r="AW12" s="2">
        <v>0</v>
      </c>
      <c r="BA12" s="2">
        <v>0</v>
      </c>
      <c r="BC12" s="2">
        <v>1</v>
      </c>
      <c r="BD12" s="2">
        <f>COUNTIFS(Table2[[#This Row],[Comorbidity present (at least 1)?]], "0",Table2[[#This Row],[Alternative source of infx?]], "1",Table2[[#This Row],[Abx used?]], "1", Table2[[#This Row],[&lt; 3 days defervescence or remained afebrile?]], "1",Table2[[#This Row],[WBC downtrend or remained nrml?]], "1")</f>
        <v>0</v>
      </c>
      <c r="BE12" s="2">
        <f>COUNTIFS(Table2[[#This Row],[&lt; 3 days defervescence or remained afebrile?]], "1",Table2[[#This Row],[WBC downtrend or remained nrml?]], "1")</f>
        <v>0</v>
      </c>
      <c r="BF12" s="2">
        <v>0</v>
      </c>
      <c r="BG12" s="2">
        <v>1</v>
      </c>
      <c r="BH12" s="2">
        <v>0</v>
      </c>
      <c r="BI12" s="2" t="s">
        <v>69</v>
      </c>
    </row>
    <row r="13" spans="1:61">
      <c r="A13" s="2">
        <v>12</v>
      </c>
      <c r="B13" s="5">
        <v>45413</v>
      </c>
      <c r="C13" s="5">
        <v>45423</v>
      </c>
      <c r="D13" s="2">
        <f t="shared" si="1"/>
        <v>10</v>
      </c>
      <c r="E13" s="2">
        <v>70</v>
      </c>
      <c r="F13" s="2">
        <v>1</v>
      </c>
      <c r="G13" s="2">
        <v>5</v>
      </c>
      <c r="H13" s="2">
        <v>1</v>
      </c>
      <c r="I13" s="2">
        <v>0</v>
      </c>
      <c r="J13" s="2">
        <v>0</v>
      </c>
      <c r="K13" s="2">
        <v>0</v>
      </c>
      <c r="L13" s="2">
        <v>1</v>
      </c>
      <c r="M13" s="2">
        <v>0</v>
      </c>
      <c r="N13" s="2">
        <v>1</v>
      </c>
      <c r="O13" s="2" t="s">
        <v>70</v>
      </c>
      <c r="P13" t="s">
        <v>52</v>
      </c>
      <c r="Q13" s="51">
        <v>1</v>
      </c>
      <c r="R13" s="51">
        <v>0</v>
      </c>
      <c r="S13" s="51">
        <v>0</v>
      </c>
      <c r="T13" s="51">
        <v>0</v>
      </c>
      <c r="U13" s="2">
        <v>1</v>
      </c>
      <c r="V13" s="2">
        <v>2</v>
      </c>
      <c r="W13" s="5">
        <v>45413</v>
      </c>
      <c r="X13" s="5">
        <v>45415</v>
      </c>
      <c r="Y13" s="28">
        <f t="shared" si="0"/>
        <v>2</v>
      </c>
      <c r="Z13" s="2">
        <v>1</v>
      </c>
      <c r="AA13" s="2">
        <v>0</v>
      </c>
      <c r="AB13" s="2">
        <v>0</v>
      </c>
      <c r="AC13" s="2">
        <v>1</v>
      </c>
      <c r="AD13" s="2">
        <v>0</v>
      </c>
      <c r="AE13" s="2">
        <v>0</v>
      </c>
      <c r="AF13" s="2">
        <v>0</v>
      </c>
      <c r="AG13" s="2">
        <v>0</v>
      </c>
      <c r="AH13" s="2">
        <v>0</v>
      </c>
      <c r="AI13" s="2">
        <v>1</v>
      </c>
      <c r="AJ13" s="2" t="s">
        <v>55</v>
      </c>
      <c r="AK13" s="2">
        <v>1</v>
      </c>
      <c r="AL13" s="2">
        <v>1</v>
      </c>
      <c r="AM13" s="2">
        <v>1</v>
      </c>
      <c r="AN13" s="2">
        <v>1</v>
      </c>
      <c r="AO13" s="2">
        <v>0</v>
      </c>
      <c r="AP13" s="2">
        <v>0</v>
      </c>
      <c r="AQ13" s="2">
        <v>1</v>
      </c>
      <c r="AR13" s="2">
        <v>1</v>
      </c>
      <c r="AS13" s="5">
        <v>45419</v>
      </c>
      <c r="AT13" s="2">
        <v>0</v>
      </c>
      <c r="AU13" s="2">
        <v>1</v>
      </c>
      <c r="AV13" s="2">
        <f>Table2[[#This Row],[TTE date]]-Table2[[#This Row],[Date initial positive Bcx]]</f>
        <v>6</v>
      </c>
      <c r="AW13" s="2">
        <v>0</v>
      </c>
      <c r="BA13" s="2">
        <v>0</v>
      </c>
      <c r="BC13" s="2">
        <v>0</v>
      </c>
      <c r="BD13" s="2">
        <f>COUNTIFS(Table2[[#This Row],[Comorbidity present (at least 1)?]], "0",Table2[[#This Row],[Alternative source of infx?]], "1",Table2[[#This Row],[Abx used?]], "1", Table2[[#This Row],[&lt; 3 days defervescence or remained afebrile?]], "1",Table2[[#This Row],[WBC downtrend or remained nrml?]], "1")</f>
        <v>0</v>
      </c>
      <c r="BE13" s="2">
        <f>COUNTIFS(Table2[[#This Row],[&lt; 3 days defervescence or remained afebrile?]], "1",Table2[[#This Row],[WBC downtrend or remained nrml?]], "1")</f>
        <v>1</v>
      </c>
      <c r="BF13" s="2">
        <v>0</v>
      </c>
      <c r="BG13" s="2">
        <v>1</v>
      </c>
      <c r="BH13" s="2">
        <v>0</v>
      </c>
      <c r="BI13" s="2" t="s">
        <v>71</v>
      </c>
    </row>
    <row r="14" spans="1:61">
      <c r="A14" s="2">
        <v>13</v>
      </c>
      <c r="B14" s="5">
        <v>45414</v>
      </c>
      <c r="C14" s="5">
        <v>45436</v>
      </c>
      <c r="D14" s="2">
        <f t="shared" si="1"/>
        <v>22</v>
      </c>
      <c r="E14" s="2">
        <v>91</v>
      </c>
      <c r="F14" s="2">
        <v>2</v>
      </c>
      <c r="G14" s="2">
        <v>2</v>
      </c>
      <c r="H14" s="2">
        <v>1</v>
      </c>
      <c r="I14" s="2">
        <v>0</v>
      </c>
      <c r="J14" s="2">
        <v>0</v>
      </c>
      <c r="K14" s="2">
        <v>0</v>
      </c>
      <c r="L14" s="2">
        <v>0</v>
      </c>
      <c r="M14" s="2">
        <v>0</v>
      </c>
      <c r="N14" s="2">
        <v>1</v>
      </c>
      <c r="O14" s="2" t="s">
        <v>72</v>
      </c>
      <c r="P14" t="s">
        <v>52</v>
      </c>
      <c r="Q14" s="51">
        <v>1</v>
      </c>
      <c r="R14" s="51">
        <v>0</v>
      </c>
      <c r="S14" s="51">
        <v>0</v>
      </c>
      <c r="T14" s="51">
        <v>0</v>
      </c>
      <c r="U14" s="2">
        <v>1</v>
      </c>
      <c r="V14" s="2">
        <v>2</v>
      </c>
      <c r="W14" s="5">
        <v>45414</v>
      </c>
      <c r="X14" s="5">
        <v>45415</v>
      </c>
      <c r="Y14" s="28">
        <f t="shared" si="0"/>
        <v>1</v>
      </c>
      <c r="Z14" s="2">
        <v>1</v>
      </c>
      <c r="AA14" s="2">
        <v>0</v>
      </c>
      <c r="AB14" s="2">
        <v>0</v>
      </c>
      <c r="AC14" s="2">
        <v>0</v>
      </c>
      <c r="AD14" s="2">
        <v>1</v>
      </c>
      <c r="AE14" s="2">
        <v>0</v>
      </c>
      <c r="AF14" s="2">
        <v>0</v>
      </c>
      <c r="AG14" s="2">
        <v>0</v>
      </c>
      <c r="AH14" s="2">
        <v>0</v>
      </c>
      <c r="AI14" s="2">
        <v>1</v>
      </c>
      <c r="AJ14" s="2" t="s">
        <v>55</v>
      </c>
      <c r="AK14" s="11">
        <v>1</v>
      </c>
      <c r="AL14" s="2">
        <v>1</v>
      </c>
      <c r="AM14" s="2">
        <v>1</v>
      </c>
      <c r="AN14" s="2">
        <v>1</v>
      </c>
      <c r="AO14" s="2">
        <v>0</v>
      </c>
      <c r="AP14" s="2">
        <v>0</v>
      </c>
      <c r="AQ14" s="2">
        <v>1</v>
      </c>
      <c r="AR14" s="2">
        <v>1</v>
      </c>
      <c r="AS14" s="5">
        <v>45418</v>
      </c>
      <c r="AT14" s="2">
        <v>0</v>
      </c>
      <c r="AU14" s="2">
        <v>0</v>
      </c>
      <c r="AV14" s="2">
        <f>Table2[[#This Row],[TTE date]]-Table2[[#This Row],[Date initial positive Bcx]]</f>
        <v>4</v>
      </c>
      <c r="AW14" s="2">
        <v>0</v>
      </c>
      <c r="BA14" s="2">
        <v>0</v>
      </c>
      <c r="BC14" s="2">
        <v>0</v>
      </c>
      <c r="BD14" s="2">
        <f>COUNTIFS(Table2[[#This Row],[Comorbidity present (at least 1)?]], "0",Table2[[#This Row],[Alternative source of infx?]], "1",Table2[[#This Row],[Abx used?]], "1", Table2[[#This Row],[&lt; 3 days defervescence or remained afebrile?]], "1",Table2[[#This Row],[WBC downtrend or remained nrml?]], "1")</f>
        <v>0</v>
      </c>
      <c r="BE14" s="2">
        <f>COUNTIFS(Table2[[#This Row],[&lt; 3 days defervescence or remained afebrile?]], "1",Table2[[#This Row],[WBC downtrend or remained nrml?]], "1")</f>
        <v>1</v>
      </c>
      <c r="BF14" s="2">
        <v>0</v>
      </c>
      <c r="BG14" s="2">
        <v>1</v>
      </c>
      <c r="BH14" s="2">
        <v>0</v>
      </c>
      <c r="BI14" s="2" t="s">
        <v>73</v>
      </c>
    </row>
    <row r="15" spans="1:61">
      <c r="A15" s="2">
        <v>14</v>
      </c>
      <c r="B15" s="5">
        <v>45419</v>
      </c>
      <c r="C15" s="5">
        <v>45433</v>
      </c>
      <c r="D15" s="2">
        <f t="shared" si="1"/>
        <v>14</v>
      </c>
      <c r="E15" s="2">
        <v>71</v>
      </c>
      <c r="F15" s="2">
        <v>2</v>
      </c>
      <c r="G15" s="2">
        <v>2</v>
      </c>
      <c r="H15" s="2">
        <v>1</v>
      </c>
      <c r="I15" s="2">
        <v>0</v>
      </c>
      <c r="J15" s="2">
        <v>0</v>
      </c>
      <c r="K15" s="2">
        <v>0</v>
      </c>
      <c r="L15" s="2">
        <v>1</v>
      </c>
      <c r="M15" s="2">
        <v>0</v>
      </c>
      <c r="N15" s="2">
        <v>0</v>
      </c>
      <c r="P15" t="s">
        <v>52</v>
      </c>
      <c r="Q15" s="51">
        <v>1</v>
      </c>
      <c r="R15" s="51">
        <v>0</v>
      </c>
      <c r="S15" s="51">
        <v>0</v>
      </c>
      <c r="T15" s="51">
        <v>0</v>
      </c>
      <c r="U15" s="2">
        <v>1</v>
      </c>
      <c r="V15" s="2">
        <v>3</v>
      </c>
      <c r="W15" s="5">
        <v>45419</v>
      </c>
      <c r="X15" s="5">
        <v>45422</v>
      </c>
      <c r="Y15" s="28">
        <f t="shared" si="0"/>
        <v>3</v>
      </c>
      <c r="Z15" s="2">
        <v>1</v>
      </c>
      <c r="AA15" s="2">
        <v>0</v>
      </c>
      <c r="AB15" s="2">
        <v>1</v>
      </c>
      <c r="AC15" s="2">
        <v>1</v>
      </c>
      <c r="AD15" s="2">
        <v>0</v>
      </c>
      <c r="AE15" s="2">
        <v>0</v>
      </c>
      <c r="AF15" s="2">
        <v>0</v>
      </c>
      <c r="AG15" s="2">
        <v>0</v>
      </c>
      <c r="AH15" s="2">
        <v>0</v>
      </c>
      <c r="AI15" s="2">
        <v>1</v>
      </c>
      <c r="AJ15" s="2" t="s">
        <v>55</v>
      </c>
      <c r="AK15" s="2">
        <v>1</v>
      </c>
      <c r="AL15" s="2">
        <v>1</v>
      </c>
      <c r="AM15" s="2">
        <v>0</v>
      </c>
      <c r="AN15" s="2">
        <v>0</v>
      </c>
      <c r="AO15" s="2">
        <v>1</v>
      </c>
      <c r="AP15" s="2">
        <v>0</v>
      </c>
      <c r="AQ15" s="2">
        <v>1</v>
      </c>
      <c r="AR15" s="2">
        <v>1</v>
      </c>
      <c r="AS15" s="5">
        <v>45420</v>
      </c>
      <c r="AT15" s="2">
        <v>0</v>
      </c>
      <c r="AU15" s="2">
        <v>0</v>
      </c>
      <c r="AV15" s="2">
        <f>Table2[[#This Row],[TTE date]]-Table2[[#This Row],[Date initial positive Bcx]]</f>
        <v>1</v>
      </c>
      <c r="AW15" s="2">
        <v>0</v>
      </c>
      <c r="BA15" s="2">
        <v>0</v>
      </c>
      <c r="BC15" s="2">
        <v>0</v>
      </c>
      <c r="BD15" s="2">
        <f>COUNTIFS(Table2[[#This Row],[Comorbidity present (at least 1)?]], "0",Table2[[#This Row],[Alternative source of infx?]], "1",Table2[[#This Row],[Abx used?]], "1", Table2[[#This Row],[&lt; 3 days defervescence or remained afebrile?]], "1",Table2[[#This Row],[WBC downtrend or remained nrml?]], "1")</f>
        <v>0</v>
      </c>
      <c r="BE15" s="2">
        <f>COUNTIFS(Table2[[#This Row],[&lt; 3 days defervescence or remained afebrile?]], "1",Table2[[#This Row],[WBC downtrend or remained nrml?]], "1")</f>
        <v>0</v>
      </c>
      <c r="BF15" s="2">
        <v>0</v>
      </c>
      <c r="BG15" s="2">
        <v>1</v>
      </c>
      <c r="BH15" s="2">
        <v>0</v>
      </c>
      <c r="BI15" s="2" t="s">
        <v>75</v>
      </c>
    </row>
    <row r="16" spans="1:61">
      <c r="A16" s="2">
        <v>15</v>
      </c>
      <c r="B16" s="5">
        <v>45420</v>
      </c>
      <c r="C16" s="5">
        <v>45432</v>
      </c>
      <c r="D16" s="2">
        <f t="shared" si="1"/>
        <v>12</v>
      </c>
      <c r="E16" s="2">
        <v>77</v>
      </c>
      <c r="F16" s="2">
        <v>1</v>
      </c>
      <c r="G16" s="2">
        <v>2</v>
      </c>
      <c r="H16" s="2">
        <v>1</v>
      </c>
      <c r="I16" s="2">
        <v>0</v>
      </c>
      <c r="J16" s="2">
        <v>0</v>
      </c>
      <c r="K16" s="2">
        <v>0</v>
      </c>
      <c r="L16" s="2">
        <v>0</v>
      </c>
      <c r="M16" s="2">
        <v>0</v>
      </c>
      <c r="N16" s="2">
        <v>1</v>
      </c>
      <c r="O16" s="10" t="s">
        <v>76</v>
      </c>
      <c r="P16" t="s">
        <v>52</v>
      </c>
      <c r="Q16" s="51">
        <v>1</v>
      </c>
      <c r="R16" s="51">
        <v>0</v>
      </c>
      <c r="S16" s="51">
        <v>0</v>
      </c>
      <c r="T16" s="51">
        <v>0</v>
      </c>
      <c r="U16" s="2">
        <v>0</v>
      </c>
      <c r="V16" s="2">
        <v>1</v>
      </c>
      <c r="W16" s="5">
        <v>45420</v>
      </c>
      <c r="X16" s="5">
        <v>45420</v>
      </c>
      <c r="Y16" s="28">
        <f t="shared" si="0"/>
        <v>0</v>
      </c>
      <c r="Z16" s="2">
        <v>1</v>
      </c>
      <c r="AA16" s="2">
        <v>0</v>
      </c>
      <c r="AB16" s="2">
        <v>0</v>
      </c>
      <c r="AC16" s="2">
        <v>0</v>
      </c>
      <c r="AD16" s="2">
        <v>1</v>
      </c>
      <c r="AE16" s="2">
        <v>0</v>
      </c>
      <c r="AF16" s="2">
        <v>0</v>
      </c>
      <c r="AG16" s="2">
        <v>1</v>
      </c>
      <c r="AH16" s="2">
        <v>0</v>
      </c>
      <c r="AI16" s="2">
        <v>1</v>
      </c>
      <c r="AJ16" s="2" t="s">
        <v>55</v>
      </c>
      <c r="AK16" s="2">
        <v>1</v>
      </c>
      <c r="AL16" s="2">
        <v>1</v>
      </c>
      <c r="AM16" s="2">
        <v>1</v>
      </c>
      <c r="AN16" s="2">
        <v>1</v>
      </c>
      <c r="AO16" s="2">
        <v>0</v>
      </c>
      <c r="AP16" s="2">
        <v>0</v>
      </c>
      <c r="AQ16" s="2">
        <v>1</v>
      </c>
      <c r="AR16" s="2">
        <v>1</v>
      </c>
      <c r="AS16" s="5">
        <v>45421</v>
      </c>
      <c r="AT16" s="2">
        <v>0</v>
      </c>
      <c r="AU16" s="2">
        <v>0</v>
      </c>
      <c r="AV16" s="2">
        <f>Table2[[#This Row],[TTE date]]-Table2[[#This Row],[Date initial positive Bcx]]</f>
        <v>1</v>
      </c>
      <c r="AW16" s="2">
        <v>1</v>
      </c>
      <c r="AX16" s="5">
        <v>45425</v>
      </c>
      <c r="AY16" s="2">
        <v>0</v>
      </c>
      <c r="AZ16" s="2">
        <v>0</v>
      </c>
      <c r="BA16" s="2">
        <v>0</v>
      </c>
      <c r="BB16" s="2">
        <f>Table2[[#This Row],[TEE date]]-Table2[[#This Row],[Date initial positive Bcx]]</f>
        <v>5</v>
      </c>
      <c r="BC16" s="2">
        <v>0</v>
      </c>
      <c r="BD16" s="2">
        <f>COUNTIFS(Table2[[#This Row],[Comorbidity present (at least 1)?]], "0",Table2[[#This Row],[Alternative source of infx?]], "1",Table2[[#This Row],[Abx used?]], "1", Table2[[#This Row],[&lt; 3 days defervescence or remained afebrile?]], "1",Table2[[#This Row],[WBC downtrend or remained nrml?]], "1")</f>
        <v>0</v>
      </c>
      <c r="BE16" s="2">
        <f>COUNTIFS(Table2[[#This Row],[&lt; 3 days defervescence or remained afebrile?]], "1",Table2[[#This Row],[WBC downtrend or remained nrml?]], "1")</f>
        <v>1</v>
      </c>
      <c r="BF16" s="2">
        <v>0</v>
      </c>
      <c r="BG16" s="2">
        <v>1</v>
      </c>
      <c r="BH16" s="2">
        <v>0</v>
      </c>
      <c r="BI16" s="2" t="s">
        <v>77</v>
      </c>
    </row>
    <row r="17" spans="1:61">
      <c r="A17" s="8">
        <v>16</v>
      </c>
      <c r="B17" s="5">
        <v>45420</v>
      </c>
      <c r="C17" s="6">
        <v>45435</v>
      </c>
      <c r="D17" s="2">
        <f t="shared" si="1"/>
        <v>15</v>
      </c>
      <c r="E17" s="2">
        <v>83</v>
      </c>
      <c r="F17" s="2">
        <v>2</v>
      </c>
      <c r="G17" s="2">
        <v>2</v>
      </c>
      <c r="H17" s="2">
        <v>1</v>
      </c>
      <c r="I17" s="2">
        <v>0</v>
      </c>
      <c r="J17" s="2">
        <v>0</v>
      </c>
      <c r="K17" s="2">
        <v>0</v>
      </c>
      <c r="L17" s="2">
        <v>0</v>
      </c>
      <c r="M17" s="2">
        <v>0</v>
      </c>
      <c r="N17" s="2">
        <v>1</v>
      </c>
      <c r="O17" s="2" t="s">
        <v>78</v>
      </c>
      <c r="P17" t="s">
        <v>52</v>
      </c>
      <c r="Q17" s="51">
        <v>1</v>
      </c>
      <c r="R17" s="51">
        <v>0</v>
      </c>
      <c r="S17" s="51">
        <v>0</v>
      </c>
      <c r="T17" s="51">
        <v>0</v>
      </c>
      <c r="U17" s="2">
        <v>1</v>
      </c>
      <c r="V17" s="2">
        <v>3</v>
      </c>
      <c r="W17" s="5">
        <v>45429</v>
      </c>
      <c r="X17" s="5">
        <v>45431</v>
      </c>
      <c r="Y17" s="28">
        <f t="shared" si="0"/>
        <v>2</v>
      </c>
      <c r="Z17" s="2">
        <v>0</v>
      </c>
      <c r="AA17" s="2">
        <v>0</v>
      </c>
      <c r="AB17" s="2">
        <v>0</v>
      </c>
      <c r="AC17" s="2">
        <v>0</v>
      </c>
      <c r="AD17" s="2">
        <v>0</v>
      </c>
      <c r="AE17" s="2">
        <v>0</v>
      </c>
      <c r="AF17" s="2">
        <v>0</v>
      </c>
      <c r="AG17" s="2">
        <v>0</v>
      </c>
      <c r="AH17" s="2">
        <v>0</v>
      </c>
      <c r="AI17" s="2">
        <v>1</v>
      </c>
      <c r="AJ17" s="2" t="s">
        <v>79</v>
      </c>
      <c r="AK17" s="2">
        <v>1</v>
      </c>
      <c r="AL17" s="2">
        <v>1</v>
      </c>
      <c r="AM17" s="2">
        <v>1</v>
      </c>
      <c r="AN17" s="2">
        <v>1</v>
      </c>
      <c r="AO17" s="2">
        <v>0</v>
      </c>
      <c r="AP17" s="2">
        <v>0</v>
      </c>
      <c r="AQ17" s="2">
        <v>1</v>
      </c>
      <c r="AR17" s="2">
        <v>1</v>
      </c>
      <c r="AS17" s="5">
        <v>45432</v>
      </c>
      <c r="AT17" s="2">
        <v>0</v>
      </c>
      <c r="AU17" s="2">
        <v>0</v>
      </c>
      <c r="AV17" s="2">
        <f>Table2[[#This Row],[TTE date]]-Table2[[#This Row],[Date initial positive Bcx]]</f>
        <v>3</v>
      </c>
      <c r="AW17" s="2">
        <v>0</v>
      </c>
      <c r="BA17" s="2">
        <v>0</v>
      </c>
      <c r="BC17" s="2">
        <v>1</v>
      </c>
      <c r="BD17" s="2">
        <f>COUNTIFS(Table2[[#This Row],[Comorbidity present (at least 1)?]], "0",Table2[[#This Row],[Alternative source of infx?]], "1",Table2[[#This Row],[Abx used?]], "1", Table2[[#This Row],[&lt; 3 days defervescence or remained afebrile?]], "1",Table2[[#This Row],[WBC downtrend or remained nrml?]], "1")</f>
        <v>0</v>
      </c>
      <c r="BE17" s="2">
        <f>COUNTIFS(Table2[[#This Row],[&lt; 3 days defervescence or remained afebrile?]], "1",Table2[[#This Row],[WBC downtrend or remained nrml?]], "1")</f>
        <v>1</v>
      </c>
      <c r="BF17" s="2">
        <v>0</v>
      </c>
      <c r="BG17" s="2">
        <v>1</v>
      </c>
      <c r="BH17" s="2">
        <v>0</v>
      </c>
      <c r="BI17" s="2" t="s">
        <v>80</v>
      </c>
    </row>
    <row r="18" spans="1:61">
      <c r="A18" s="2">
        <v>17</v>
      </c>
      <c r="B18" s="5">
        <v>45438</v>
      </c>
      <c r="C18" s="5">
        <v>45458</v>
      </c>
      <c r="D18" s="2">
        <f t="shared" si="1"/>
        <v>20</v>
      </c>
      <c r="E18" s="2">
        <v>59</v>
      </c>
      <c r="F18" s="2">
        <v>1</v>
      </c>
      <c r="G18" s="2">
        <v>3</v>
      </c>
      <c r="H18" s="2">
        <v>1</v>
      </c>
      <c r="I18" s="2">
        <v>0</v>
      </c>
      <c r="J18" s="2">
        <v>0</v>
      </c>
      <c r="K18" s="2">
        <v>0</v>
      </c>
      <c r="L18" s="2">
        <v>0</v>
      </c>
      <c r="M18" s="2">
        <v>0</v>
      </c>
      <c r="N18" s="2">
        <v>1</v>
      </c>
      <c r="O18" s="2" t="s">
        <v>81</v>
      </c>
      <c r="P18" t="s">
        <v>52</v>
      </c>
      <c r="Q18" s="51">
        <v>1</v>
      </c>
      <c r="R18" s="51">
        <v>0</v>
      </c>
      <c r="S18" s="51">
        <v>0</v>
      </c>
      <c r="T18" s="51">
        <v>0</v>
      </c>
      <c r="U18" s="2">
        <v>1</v>
      </c>
      <c r="V18" s="2">
        <v>2</v>
      </c>
      <c r="W18" s="5">
        <v>45440</v>
      </c>
      <c r="X18" s="5">
        <v>45441</v>
      </c>
      <c r="Y18" s="28">
        <f t="shared" si="0"/>
        <v>1</v>
      </c>
      <c r="Z18" s="2">
        <v>1</v>
      </c>
      <c r="AA18" s="2">
        <v>0</v>
      </c>
      <c r="AB18" s="2">
        <v>1</v>
      </c>
      <c r="AC18" s="2">
        <v>0</v>
      </c>
      <c r="AD18" s="2">
        <v>0</v>
      </c>
      <c r="AE18" s="2">
        <v>0</v>
      </c>
      <c r="AF18" s="2">
        <v>0</v>
      </c>
      <c r="AG18" s="2">
        <v>0</v>
      </c>
      <c r="AH18" s="2">
        <v>0</v>
      </c>
      <c r="AI18" s="2">
        <v>1</v>
      </c>
      <c r="AJ18" s="2" t="s">
        <v>55</v>
      </c>
      <c r="AK18" s="2">
        <v>1</v>
      </c>
      <c r="AL18" s="2">
        <v>1</v>
      </c>
      <c r="AM18" s="2">
        <v>1</v>
      </c>
      <c r="AN18" s="2">
        <v>1</v>
      </c>
      <c r="AO18" s="2">
        <v>0</v>
      </c>
      <c r="AP18" s="2">
        <v>0</v>
      </c>
      <c r="AQ18" s="2">
        <v>1</v>
      </c>
      <c r="AR18" s="2">
        <v>1</v>
      </c>
      <c r="AS18" s="5">
        <v>45442</v>
      </c>
      <c r="AT18" s="2">
        <v>1</v>
      </c>
      <c r="AU18" s="2">
        <v>0</v>
      </c>
      <c r="AV18" s="2">
        <f>Table2[[#This Row],[TTE date]]-Table2[[#This Row],[Date initial positive Bcx]]</f>
        <v>2</v>
      </c>
      <c r="AW18" s="11">
        <v>0</v>
      </c>
      <c r="BA18" s="2">
        <v>0</v>
      </c>
      <c r="BC18" s="2">
        <v>0</v>
      </c>
      <c r="BD18" s="2">
        <f>COUNTIFS(Table2[[#This Row],[Comorbidity present (at least 1)?]], "0",Table2[[#This Row],[Alternative source of infx?]], "1",Table2[[#This Row],[Abx used?]], "1", Table2[[#This Row],[&lt; 3 days defervescence or remained afebrile?]], "1",Table2[[#This Row],[WBC downtrend or remained nrml?]], "1")</f>
        <v>0</v>
      </c>
      <c r="BE18" s="2">
        <f>COUNTIFS(Table2[[#This Row],[&lt; 3 days defervescence or remained afebrile?]], "1",Table2[[#This Row],[WBC downtrend or remained nrml?]], "1")</f>
        <v>1</v>
      </c>
      <c r="BF18" s="2">
        <v>1</v>
      </c>
      <c r="BG18" s="2">
        <v>1</v>
      </c>
      <c r="BH18" s="2">
        <v>0</v>
      </c>
      <c r="BI18" s="2" t="s">
        <v>82</v>
      </c>
    </row>
    <row r="19" spans="1:61">
      <c r="A19" s="2">
        <v>18</v>
      </c>
      <c r="B19" s="5">
        <v>45385</v>
      </c>
      <c r="C19" s="5">
        <v>45395</v>
      </c>
      <c r="D19" s="2">
        <f t="shared" si="1"/>
        <v>10</v>
      </c>
      <c r="E19" s="2">
        <v>51</v>
      </c>
      <c r="F19" s="2">
        <v>1</v>
      </c>
      <c r="G19" s="2">
        <v>3</v>
      </c>
      <c r="H19" s="2">
        <v>0</v>
      </c>
      <c r="I19" s="2">
        <v>0</v>
      </c>
      <c r="J19" s="2">
        <v>0</v>
      </c>
      <c r="K19" s="2">
        <v>0</v>
      </c>
      <c r="L19" s="2">
        <v>0</v>
      </c>
      <c r="M19" s="2">
        <v>0</v>
      </c>
      <c r="N19" s="2">
        <v>0</v>
      </c>
      <c r="P19" t="s">
        <v>52</v>
      </c>
      <c r="Q19" s="51">
        <v>1</v>
      </c>
      <c r="R19" s="51">
        <v>0</v>
      </c>
      <c r="S19" s="51">
        <v>0</v>
      </c>
      <c r="T19" s="51">
        <v>0</v>
      </c>
      <c r="U19" s="2">
        <v>1</v>
      </c>
      <c r="V19" s="2">
        <v>3</v>
      </c>
      <c r="W19" s="5">
        <v>45385</v>
      </c>
      <c r="X19" s="5">
        <v>45388</v>
      </c>
      <c r="Y19" s="28">
        <f t="shared" si="0"/>
        <v>3</v>
      </c>
      <c r="Z19" s="2">
        <v>1</v>
      </c>
      <c r="AA19" s="2">
        <v>1</v>
      </c>
      <c r="AB19" s="2">
        <v>0</v>
      </c>
      <c r="AC19" s="2">
        <v>0</v>
      </c>
      <c r="AD19" s="2">
        <v>0</v>
      </c>
      <c r="AE19" s="2">
        <v>0</v>
      </c>
      <c r="AF19" s="2">
        <v>0</v>
      </c>
      <c r="AG19" s="2">
        <v>0</v>
      </c>
      <c r="AH19" s="2">
        <v>0</v>
      </c>
      <c r="AI19" s="2">
        <v>1</v>
      </c>
      <c r="AJ19" s="2" t="s">
        <v>55</v>
      </c>
      <c r="AK19" s="2">
        <v>1</v>
      </c>
      <c r="AL19" s="2">
        <v>1</v>
      </c>
      <c r="AM19" s="2">
        <v>1</v>
      </c>
      <c r="AN19" s="2">
        <v>1</v>
      </c>
      <c r="AO19" s="2">
        <v>0</v>
      </c>
      <c r="AP19" s="2">
        <v>0</v>
      </c>
      <c r="AQ19" s="2">
        <v>1</v>
      </c>
      <c r="AR19" s="2">
        <v>1</v>
      </c>
      <c r="AS19" s="5">
        <v>45387</v>
      </c>
      <c r="AT19" s="2">
        <v>0</v>
      </c>
      <c r="AU19" s="2">
        <v>0</v>
      </c>
      <c r="AV19" s="2">
        <f>Table2[[#This Row],[TTE date]]-Table2[[#This Row],[Date initial positive Bcx]]</f>
        <v>2</v>
      </c>
      <c r="AW19" s="2">
        <v>1</v>
      </c>
      <c r="AX19" s="5">
        <v>45391</v>
      </c>
      <c r="AY19" s="2">
        <v>0</v>
      </c>
      <c r="AZ19" s="2">
        <v>0</v>
      </c>
      <c r="BA19" s="2">
        <v>0</v>
      </c>
      <c r="BB19" s="2">
        <f>Table2[[#This Row],[TEE date]]-Table2[[#This Row],[Date initial positive Bcx]]</f>
        <v>6</v>
      </c>
      <c r="BC19" s="2">
        <v>0</v>
      </c>
      <c r="BD19" s="2">
        <f>COUNTIFS(Table2[[#This Row],[Comorbidity present (at least 1)?]], "0",Table2[[#This Row],[Alternative source of infx?]], "1",Table2[[#This Row],[Abx used?]], "1", Table2[[#This Row],[&lt; 3 days defervescence or remained afebrile?]], "1",Table2[[#This Row],[WBC downtrend or remained nrml?]], "1")</f>
        <v>1</v>
      </c>
      <c r="BE19" s="2">
        <f>COUNTIFS(Table2[[#This Row],[&lt; 3 days defervescence or remained afebrile?]], "1",Table2[[#This Row],[WBC downtrend or remained nrml?]], "1")</f>
        <v>1</v>
      </c>
      <c r="BF19" s="2">
        <v>0</v>
      </c>
      <c r="BG19" s="2">
        <v>1</v>
      </c>
      <c r="BH19" s="2">
        <v>0</v>
      </c>
      <c r="BI19" s="2" t="s">
        <v>83</v>
      </c>
    </row>
    <row r="20" spans="1:61">
      <c r="A20" s="8">
        <v>19</v>
      </c>
      <c r="B20" s="5">
        <v>45393</v>
      </c>
      <c r="C20" s="6">
        <v>45398</v>
      </c>
      <c r="D20" s="2">
        <f t="shared" si="1"/>
        <v>5</v>
      </c>
      <c r="E20" s="2">
        <v>65</v>
      </c>
      <c r="F20" s="2">
        <v>2</v>
      </c>
      <c r="G20" s="2">
        <v>2</v>
      </c>
      <c r="H20" s="2">
        <v>1</v>
      </c>
      <c r="I20" s="2">
        <v>0</v>
      </c>
      <c r="J20" s="2">
        <v>0</v>
      </c>
      <c r="K20" s="2">
        <v>0</v>
      </c>
      <c r="L20" s="2">
        <v>0</v>
      </c>
      <c r="M20" s="2">
        <v>0</v>
      </c>
      <c r="N20" s="2">
        <v>1</v>
      </c>
      <c r="O20" s="2" t="s">
        <v>51</v>
      </c>
      <c r="P20" t="s">
        <v>47</v>
      </c>
      <c r="Q20" s="51">
        <v>1</v>
      </c>
      <c r="R20" s="51">
        <v>0</v>
      </c>
      <c r="S20" s="51">
        <v>0</v>
      </c>
      <c r="T20" s="51">
        <v>0</v>
      </c>
      <c r="U20" s="2">
        <v>1</v>
      </c>
      <c r="V20" s="2">
        <v>3</v>
      </c>
      <c r="W20" s="5">
        <v>45393</v>
      </c>
      <c r="X20" s="5">
        <v>45394</v>
      </c>
      <c r="Y20" s="28">
        <f t="shared" si="0"/>
        <v>1</v>
      </c>
      <c r="Z20" s="2">
        <v>0</v>
      </c>
      <c r="AA20" s="2">
        <v>0</v>
      </c>
      <c r="AB20" s="2">
        <v>0</v>
      </c>
      <c r="AC20" s="2">
        <v>0</v>
      </c>
      <c r="AD20" s="2">
        <v>0</v>
      </c>
      <c r="AE20" s="2">
        <v>0</v>
      </c>
      <c r="AF20" s="2">
        <v>0</v>
      </c>
      <c r="AG20" s="2">
        <v>0</v>
      </c>
      <c r="AH20" s="2">
        <v>1</v>
      </c>
      <c r="AI20" s="2">
        <v>1</v>
      </c>
      <c r="AJ20" s="2" t="s">
        <v>48</v>
      </c>
      <c r="AK20" s="2">
        <v>1</v>
      </c>
      <c r="AL20" s="2">
        <v>0</v>
      </c>
      <c r="AM20" s="2">
        <v>1</v>
      </c>
      <c r="AN20" s="2">
        <v>0</v>
      </c>
      <c r="AO20" s="2">
        <v>0</v>
      </c>
      <c r="AP20" s="2">
        <v>1</v>
      </c>
      <c r="AQ20" s="2">
        <v>1</v>
      </c>
      <c r="AR20" s="2">
        <v>1</v>
      </c>
      <c r="AS20" s="5">
        <v>45394</v>
      </c>
      <c r="AT20" s="2">
        <v>0</v>
      </c>
      <c r="AU20" s="2">
        <v>1</v>
      </c>
      <c r="AV20" s="2">
        <f>Table2[[#This Row],[TTE date]]-Table2[[#This Row],[Date initial positive Bcx]]</f>
        <v>1</v>
      </c>
      <c r="AW20" s="2">
        <v>0</v>
      </c>
      <c r="BA20" s="2">
        <v>0</v>
      </c>
      <c r="BC20" s="2">
        <v>0</v>
      </c>
      <c r="BD20" s="2">
        <f>COUNTIFS(Table2[[#This Row],[Comorbidity present (at least 1)?]], "0",Table2[[#This Row],[Alternative source of infx?]], "1",Table2[[#This Row],[Abx used?]], "1", Table2[[#This Row],[&lt; 3 days defervescence or remained afebrile?]], "1",Table2[[#This Row],[WBC downtrend or remained nrml?]], "1")</f>
        <v>0</v>
      </c>
      <c r="BE20" s="2">
        <f>COUNTIFS(Table2[[#This Row],[&lt; 3 days defervescence or remained afebrile?]], "1",Table2[[#This Row],[WBC downtrend or remained nrml?]], "1")</f>
        <v>1</v>
      </c>
      <c r="BF20" s="2">
        <v>0</v>
      </c>
      <c r="BG20" s="2">
        <v>1</v>
      </c>
      <c r="BH20" s="2">
        <v>0</v>
      </c>
      <c r="BI20" s="2" t="s">
        <v>86</v>
      </c>
    </row>
    <row r="21" spans="1:61">
      <c r="A21" s="2">
        <v>20</v>
      </c>
      <c r="B21" s="5">
        <v>45392</v>
      </c>
      <c r="C21" s="5">
        <v>45401</v>
      </c>
      <c r="D21" s="2">
        <f t="shared" si="1"/>
        <v>9</v>
      </c>
      <c r="E21" s="2">
        <v>85</v>
      </c>
      <c r="F21" s="2">
        <v>1</v>
      </c>
      <c r="G21" s="2">
        <v>2</v>
      </c>
      <c r="H21" s="2">
        <v>0</v>
      </c>
      <c r="I21" s="2">
        <v>0</v>
      </c>
      <c r="J21" s="2">
        <v>0</v>
      </c>
      <c r="K21" s="2">
        <v>0</v>
      </c>
      <c r="L21" s="2">
        <v>0</v>
      </c>
      <c r="M21" s="2">
        <v>0</v>
      </c>
      <c r="N21" s="2">
        <v>0</v>
      </c>
      <c r="P21" t="s">
        <v>52</v>
      </c>
      <c r="Q21" s="51">
        <v>1</v>
      </c>
      <c r="R21" s="51">
        <v>0</v>
      </c>
      <c r="S21" s="51">
        <v>0</v>
      </c>
      <c r="T21" s="51">
        <v>0</v>
      </c>
      <c r="U21" s="2">
        <v>1</v>
      </c>
      <c r="V21" s="2">
        <v>2</v>
      </c>
      <c r="W21" s="5">
        <v>45396</v>
      </c>
      <c r="X21" s="5">
        <v>45396</v>
      </c>
      <c r="Y21" s="28">
        <f t="shared" si="0"/>
        <v>0</v>
      </c>
      <c r="Z21" s="2">
        <v>0</v>
      </c>
      <c r="AA21" s="2">
        <v>0</v>
      </c>
      <c r="AB21" s="2">
        <v>0</v>
      </c>
      <c r="AC21" s="2">
        <v>0</v>
      </c>
      <c r="AD21" s="2">
        <v>0</v>
      </c>
      <c r="AE21" s="2">
        <v>0</v>
      </c>
      <c r="AF21" s="2">
        <v>0</v>
      </c>
      <c r="AG21" s="2">
        <v>0</v>
      </c>
      <c r="AH21" s="2">
        <v>0</v>
      </c>
      <c r="AI21" s="2">
        <v>1</v>
      </c>
      <c r="AJ21" s="2" t="s">
        <v>55</v>
      </c>
      <c r="AK21" s="11">
        <v>1</v>
      </c>
      <c r="AL21" s="2">
        <v>1</v>
      </c>
      <c r="AM21" s="2">
        <v>1</v>
      </c>
      <c r="AN21" s="2">
        <v>1</v>
      </c>
      <c r="AO21" s="2">
        <v>0</v>
      </c>
      <c r="AP21" s="2">
        <v>0</v>
      </c>
      <c r="AQ21" s="2">
        <v>1</v>
      </c>
      <c r="AR21" s="2">
        <v>1</v>
      </c>
      <c r="AS21" s="5">
        <v>45400</v>
      </c>
      <c r="AT21" s="2">
        <v>0</v>
      </c>
      <c r="AU21" s="2">
        <v>0</v>
      </c>
      <c r="AV21" s="2">
        <f>Table2[[#This Row],[TTE date]]-Table2[[#This Row],[Date initial positive Bcx]]</f>
        <v>4</v>
      </c>
      <c r="AW21" s="2">
        <v>0</v>
      </c>
      <c r="BA21" s="2">
        <v>0</v>
      </c>
      <c r="BC21" s="2">
        <v>0</v>
      </c>
      <c r="BD21" s="2">
        <f>COUNTIFS(Table2[[#This Row],[Comorbidity present (at least 1)?]], "0",Table2[[#This Row],[Alternative source of infx?]], "1",Table2[[#This Row],[Abx used?]], "1", Table2[[#This Row],[&lt; 3 days defervescence or remained afebrile?]], "1",Table2[[#This Row],[WBC downtrend or remained nrml?]], "1")</f>
        <v>0</v>
      </c>
      <c r="BE21" s="2">
        <f>COUNTIFS(Table2[[#This Row],[&lt; 3 days defervescence or remained afebrile?]], "1",Table2[[#This Row],[WBC downtrend or remained nrml?]], "1")</f>
        <v>1</v>
      </c>
      <c r="BF21" s="2">
        <v>0</v>
      </c>
      <c r="BG21" s="2">
        <v>1</v>
      </c>
      <c r="BH21" s="2">
        <v>0</v>
      </c>
      <c r="BI21" s="2" t="s">
        <v>88</v>
      </c>
    </row>
    <row r="22" spans="1:61">
      <c r="A22" s="2">
        <v>21</v>
      </c>
      <c r="B22" s="5">
        <v>45400</v>
      </c>
      <c r="C22" s="5">
        <v>45408</v>
      </c>
      <c r="D22" s="2">
        <f t="shared" si="1"/>
        <v>8</v>
      </c>
      <c r="E22" s="2">
        <v>85</v>
      </c>
      <c r="F22" s="2">
        <v>2</v>
      </c>
      <c r="G22" s="2">
        <v>2</v>
      </c>
      <c r="H22" s="2">
        <v>1</v>
      </c>
      <c r="I22" s="2">
        <v>0</v>
      </c>
      <c r="J22" s="2">
        <v>0</v>
      </c>
      <c r="K22" s="2">
        <v>0</v>
      </c>
      <c r="L22" s="2">
        <v>0</v>
      </c>
      <c r="M22" s="2">
        <v>0</v>
      </c>
      <c r="N22" s="2">
        <v>1</v>
      </c>
      <c r="O22" s="2" t="s">
        <v>70</v>
      </c>
      <c r="P22" t="s">
        <v>52</v>
      </c>
      <c r="Q22" s="51">
        <v>1</v>
      </c>
      <c r="R22" s="51">
        <v>0</v>
      </c>
      <c r="S22" s="51">
        <v>0</v>
      </c>
      <c r="T22" s="51">
        <v>0</v>
      </c>
      <c r="U22" s="2">
        <v>1</v>
      </c>
      <c r="V22" s="2">
        <v>3</v>
      </c>
      <c r="W22" s="5">
        <v>45400</v>
      </c>
      <c r="X22" s="5">
        <v>45402</v>
      </c>
      <c r="Y22" s="28">
        <f t="shared" si="0"/>
        <v>2</v>
      </c>
      <c r="Z22" s="2">
        <v>1</v>
      </c>
      <c r="AA22" s="2">
        <v>0</v>
      </c>
      <c r="AB22" s="2">
        <v>0</v>
      </c>
      <c r="AC22" s="2">
        <v>0</v>
      </c>
      <c r="AD22" s="2">
        <v>1</v>
      </c>
      <c r="AE22" s="2">
        <v>0</v>
      </c>
      <c r="AF22" s="2">
        <v>0</v>
      </c>
      <c r="AG22" s="2">
        <v>0</v>
      </c>
      <c r="AH22" s="2">
        <v>0</v>
      </c>
      <c r="AI22" s="2">
        <v>1</v>
      </c>
      <c r="AJ22" s="2" t="s">
        <v>55</v>
      </c>
      <c r="AK22" s="2">
        <v>1</v>
      </c>
      <c r="AL22" s="2">
        <v>1</v>
      </c>
      <c r="AM22" s="11">
        <v>0</v>
      </c>
      <c r="AN22" s="11">
        <v>0</v>
      </c>
      <c r="AO22" s="11">
        <v>1</v>
      </c>
      <c r="AP22" s="11">
        <v>0</v>
      </c>
      <c r="AQ22" s="2">
        <v>1</v>
      </c>
      <c r="AR22" s="2">
        <v>1</v>
      </c>
      <c r="AS22" s="5">
        <v>45404</v>
      </c>
      <c r="AT22" s="2">
        <v>0</v>
      </c>
      <c r="AU22" s="2">
        <v>1</v>
      </c>
      <c r="AV22" s="2">
        <f>Table2[[#This Row],[TTE date]]-Table2[[#This Row],[Date initial positive Bcx]]</f>
        <v>4</v>
      </c>
      <c r="AW22" s="2">
        <v>0</v>
      </c>
      <c r="BA22" s="2">
        <v>0</v>
      </c>
      <c r="BC22" s="2">
        <v>0</v>
      </c>
      <c r="BD22" s="2">
        <f>COUNTIFS(Table2[[#This Row],[Comorbidity present (at least 1)?]], "0",Table2[[#This Row],[Alternative source of infx?]], "1",Table2[[#This Row],[Abx used?]], "1", Table2[[#This Row],[&lt; 3 days defervescence or remained afebrile?]], "1",Table2[[#This Row],[WBC downtrend or remained nrml?]], "1")</f>
        <v>0</v>
      </c>
      <c r="BE22" s="2">
        <f>COUNTIFS(Table2[[#This Row],[&lt; 3 days defervescence or remained afebrile?]], "1",Table2[[#This Row],[WBC downtrend or remained nrml?]], "1")</f>
        <v>0</v>
      </c>
      <c r="BF22" s="2">
        <v>0</v>
      </c>
      <c r="BG22" s="2">
        <v>1</v>
      </c>
      <c r="BH22" s="2">
        <v>0</v>
      </c>
      <c r="BI22" s="2" t="s">
        <v>89</v>
      </c>
    </row>
    <row r="23" spans="1:61">
      <c r="A23" s="2">
        <v>22</v>
      </c>
      <c r="B23" s="5">
        <v>45401</v>
      </c>
      <c r="C23" s="5">
        <v>45408</v>
      </c>
      <c r="D23" s="2">
        <f t="shared" si="1"/>
        <v>7</v>
      </c>
      <c r="E23" s="2">
        <v>79</v>
      </c>
      <c r="F23" s="2">
        <v>1</v>
      </c>
      <c r="G23" s="2">
        <v>2</v>
      </c>
      <c r="H23" s="2">
        <v>1</v>
      </c>
      <c r="I23" s="2">
        <v>0</v>
      </c>
      <c r="J23" s="2">
        <v>0</v>
      </c>
      <c r="K23" s="2">
        <v>1</v>
      </c>
      <c r="L23" s="2">
        <v>0</v>
      </c>
      <c r="M23" s="2">
        <v>0</v>
      </c>
      <c r="N23" s="2">
        <v>1</v>
      </c>
      <c r="O23" s="2" t="s">
        <v>63</v>
      </c>
      <c r="P23" t="s">
        <v>52</v>
      </c>
      <c r="Q23" s="51">
        <v>1</v>
      </c>
      <c r="R23" s="51">
        <v>0</v>
      </c>
      <c r="S23" s="51">
        <v>0</v>
      </c>
      <c r="T23" s="51">
        <v>0</v>
      </c>
      <c r="U23" s="2">
        <v>1</v>
      </c>
      <c r="V23" s="2">
        <v>1</v>
      </c>
      <c r="W23" s="5">
        <v>45401</v>
      </c>
      <c r="X23" s="5">
        <v>45401</v>
      </c>
      <c r="Y23" s="28">
        <f t="shared" si="0"/>
        <v>0</v>
      </c>
      <c r="Z23" s="2">
        <v>0</v>
      </c>
      <c r="AA23" s="2">
        <v>0</v>
      </c>
      <c r="AB23" s="2">
        <v>0</v>
      </c>
      <c r="AC23" s="2">
        <v>0</v>
      </c>
      <c r="AD23" s="2">
        <v>0</v>
      </c>
      <c r="AE23" s="2">
        <v>0</v>
      </c>
      <c r="AF23" s="2">
        <v>0</v>
      </c>
      <c r="AG23" s="2">
        <v>0</v>
      </c>
      <c r="AH23" s="2">
        <v>1</v>
      </c>
      <c r="AI23" s="2">
        <v>1</v>
      </c>
      <c r="AJ23" s="2" t="s">
        <v>55</v>
      </c>
      <c r="AK23" s="2">
        <v>1</v>
      </c>
      <c r="AL23" s="2">
        <v>1</v>
      </c>
      <c r="AM23" s="2">
        <v>1</v>
      </c>
      <c r="AN23" s="2">
        <v>1</v>
      </c>
      <c r="AO23" s="2">
        <v>0</v>
      </c>
      <c r="AP23" s="2">
        <v>0</v>
      </c>
      <c r="AQ23" s="2">
        <v>0</v>
      </c>
      <c r="AR23" s="2">
        <v>1</v>
      </c>
      <c r="AS23" s="5">
        <v>45406</v>
      </c>
      <c r="AT23" s="2">
        <v>0</v>
      </c>
      <c r="AU23" s="2">
        <v>0</v>
      </c>
      <c r="AV23" s="2">
        <f>Table2[[#This Row],[TTE date]]-Table2[[#This Row],[Date initial positive Bcx]]</f>
        <v>5</v>
      </c>
      <c r="AW23" s="2">
        <v>1</v>
      </c>
      <c r="AX23" s="5">
        <v>45408</v>
      </c>
      <c r="AY23" s="2">
        <v>0</v>
      </c>
      <c r="AZ23" s="2">
        <v>0</v>
      </c>
      <c r="BA23" s="2">
        <v>0</v>
      </c>
      <c r="BB23" s="2">
        <f>Table2[[#This Row],[TEE date]]-Table2[[#This Row],[Date initial positive Bcx]]</f>
        <v>7</v>
      </c>
      <c r="BC23" s="2">
        <v>0</v>
      </c>
      <c r="BD23" s="2">
        <f>COUNTIFS(Table2[[#This Row],[Comorbidity present (at least 1)?]], "0",Table2[[#This Row],[Alternative source of infx?]], "1",Table2[[#This Row],[Abx used?]], "1", Table2[[#This Row],[&lt; 3 days defervescence or remained afebrile?]], "1",Table2[[#This Row],[WBC downtrend or remained nrml?]], "1")</f>
        <v>0</v>
      </c>
      <c r="BE23" s="2">
        <f>COUNTIFS(Table2[[#This Row],[&lt; 3 days defervescence or remained afebrile?]], "1",Table2[[#This Row],[WBC downtrend or remained nrml?]], "1")</f>
        <v>0</v>
      </c>
      <c r="BF23" s="2">
        <v>0</v>
      </c>
      <c r="BG23" s="2">
        <v>1</v>
      </c>
      <c r="BH23" s="2">
        <v>1</v>
      </c>
      <c r="BI23" s="2" t="s">
        <v>90</v>
      </c>
    </row>
    <row r="24" spans="1:61">
      <c r="A24" s="2">
        <v>23</v>
      </c>
      <c r="B24" s="5">
        <v>45401</v>
      </c>
      <c r="C24" s="5">
        <v>45447</v>
      </c>
      <c r="D24" s="2">
        <f t="shared" si="1"/>
        <v>46</v>
      </c>
      <c r="E24" s="2">
        <v>46</v>
      </c>
      <c r="F24" s="2">
        <v>2</v>
      </c>
      <c r="G24" s="2">
        <v>2</v>
      </c>
      <c r="H24" s="2">
        <v>1</v>
      </c>
      <c r="I24" s="2">
        <v>1</v>
      </c>
      <c r="J24" s="2">
        <v>0</v>
      </c>
      <c r="K24" s="2">
        <v>0</v>
      </c>
      <c r="L24" s="2">
        <v>1</v>
      </c>
      <c r="M24" s="2">
        <v>0</v>
      </c>
      <c r="N24" s="2">
        <v>0</v>
      </c>
      <c r="P24" t="s">
        <v>47</v>
      </c>
      <c r="Q24" s="51">
        <v>1</v>
      </c>
      <c r="R24" s="51">
        <v>0</v>
      </c>
      <c r="S24" s="51">
        <v>0</v>
      </c>
      <c r="T24" s="51">
        <v>0</v>
      </c>
      <c r="U24" s="2">
        <v>1</v>
      </c>
      <c r="V24" s="2">
        <v>3</v>
      </c>
      <c r="W24" s="5">
        <v>45401</v>
      </c>
      <c r="X24" s="5">
        <v>45404</v>
      </c>
      <c r="Y24" s="28">
        <f t="shared" si="0"/>
        <v>3</v>
      </c>
      <c r="Z24" s="2">
        <v>1</v>
      </c>
      <c r="AA24" s="2">
        <v>0</v>
      </c>
      <c r="AB24" s="2">
        <v>0</v>
      </c>
      <c r="AC24" s="2">
        <v>1</v>
      </c>
      <c r="AD24" s="2">
        <v>0</v>
      </c>
      <c r="AE24" s="2">
        <v>0</v>
      </c>
      <c r="AF24" s="2">
        <v>0</v>
      </c>
      <c r="AG24" s="2">
        <v>0</v>
      </c>
      <c r="AH24" s="2">
        <v>0</v>
      </c>
      <c r="AI24" s="2">
        <v>1</v>
      </c>
      <c r="AJ24" s="2" t="s">
        <v>91</v>
      </c>
      <c r="AK24" s="2">
        <v>1</v>
      </c>
      <c r="AL24" s="2">
        <v>0</v>
      </c>
      <c r="AM24" s="2">
        <v>1</v>
      </c>
      <c r="AN24" s="2">
        <v>0</v>
      </c>
      <c r="AO24" s="2">
        <v>0</v>
      </c>
      <c r="AP24" s="2">
        <v>1</v>
      </c>
      <c r="AQ24" s="2">
        <v>1</v>
      </c>
      <c r="AR24" s="2">
        <v>1</v>
      </c>
      <c r="AS24" s="5">
        <v>45406</v>
      </c>
      <c r="AT24" s="2">
        <v>0</v>
      </c>
      <c r="AU24" s="2">
        <v>0</v>
      </c>
      <c r="AV24" s="2">
        <f>Table2[[#This Row],[TTE date]]-Table2[[#This Row],[Date initial positive Bcx]]</f>
        <v>5</v>
      </c>
      <c r="AW24" s="2">
        <v>1</v>
      </c>
      <c r="AX24" s="5">
        <v>45408</v>
      </c>
      <c r="AY24" s="2">
        <v>0</v>
      </c>
      <c r="AZ24" s="2">
        <v>0</v>
      </c>
      <c r="BA24" s="2">
        <v>0</v>
      </c>
      <c r="BB24" s="2">
        <f>Table2[[#This Row],[TEE date]]-Table2[[#This Row],[Date initial positive Bcx]]</f>
        <v>7</v>
      </c>
      <c r="BC24" s="2">
        <v>0</v>
      </c>
      <c r="BD24" s="2">
        <f>COUNTIFS(Table2[[#This Row],[Comorbidity present (at least 1)?]], "0",Table2[[#This Row],[Alternative source of infx?]], "1",Table2[[#This Row],[Abx used?]], "1", Table2[[#This Row],[&lt; 3 days defervescence or remained afebrile?]], "1",Table2[[#This Row],[WBC downtrend or remained nrml?]], "1")</f>
        <v>0</v>
      </c>
      <c r="BE24" s="2">
        <f>COUNTIFS(Table2[[#This Row],[&lt; 3 days defervescence or remained afebrile?]], "1",Table2[[#This Row],[WBC downtrend or remained nrml?]], "1")</f>
        <v>1</v>
      </c>
      <c r="BF24" s="2">
        <v>0</v>
      </c>
      <c r="BG24" s="2">
        <v>1</v>
      </c>
      <c r="BH24" s="2">
        <v>1</v>
      </c>
      <c r="BI24" s="2" t="s">
        <v>92</v>
      </c>
    </row>
    <row r="25" spans="1:61">
      <c r="A25" s="2">
        <v>24</v>
      </c>
      <c r="B25" s="5">
        <v>45402</v>
      </c>
      <c r="C25" s="5">
        <v>45412</v>
      </c>
      <c r="D25" s="2">
        <f t="shared" si="1"/>
        <v>10</v>
      </c>
      <c r="E25" s="2">
        <v>87</v>
      </c>
      <c r="F25" s="2">
        <v>2</v>
      </c>
      <c r="G25" s="2">
        <v>2</v>
      </c>
      <c r="H25" s="2">
        <v>1</v>
      </c>
      <c r="I25" s="2">
        <v>0</v>
      </c>
      <c r="J25" s="2">
        <v>0</v>
      </c>
      <c r="K25" s="2">
        <v>0</v>
      </c>
      <c r="L25" s="2">
        <v>0</v>
      </c>
      <c r="M25" s="2">
        <v>0</v>
      </c>
      <c r="N25" s="2">
        <v>1</v>
      </c>
      <c r="O25" s="2" t="s">
        <v>93</v>
      </c>
      <c r="P25" t="s">
        <v>52</v>
      </c>
      <c r="Q25" s="51">
        <v>1</v>
      </c>
      <c r="R25" s="51">
        <v>0</v>
      </c>
      <c r="S25" s="51">
        <v>0</v>
      </c>
      <c r="T25" s="51">
        <v>0</v>
      </c>
      <c r="U25" s="2">
        <v>1</v>
      </c>
      <c r="V25" s="2">
        <v>2</v>
      </c>
      <c r="W25" s="5">
        <v>45402</v>
      </c>
      <c r="X25" s="5">
        <v>45403</v>
      </c>
      <c r="Y25" s="28">
        <f t="shared" si="0"/>
        <v>1</v>
      </c>
      <c r="Z25" s="2">
        <v>0</v>
      </c>
      <c r="AA25" s="2">
        <v>0</v>
      </c>
      <c r="AB25" s="2">
        <v>0</v>
      </c>
      <c r="AC25" s="2">
        <v>0</v>
      </c>
      <c r="AD25" s="2">
        <v>0</v>
      </c>
      <c r="AE25" s="2">
        <v>0</v>
      </c>
      <c r="AF25" s="2">
        <v>0</v>
      </c>
      <c r="AG25" s="2">
        <v>0</v>
      </c>
      <c r="AH25" s="2">
        <v>0</v>
      </c>
      <c r="AI25" s="2">
        <v>1</v>
      </c>
      <c r="AJ25" s="2" t="s">
        <v>55</v>
      </c>
      <c r="AK25" s="11">
        <v>1</v>
      </c>
      <c r="AL25" s="2">
        <v>1</v>
      </c>
      <c r="AM25" s="2">
        <v>1</v>
      </c>
      <c r="AN25" s="2">
        <v>1</v>
      </c>
      <c r="AO25" s="2">
        <v>0</v>
      </c>
      <c r="AP25" s="2">
        <v>0</v>
      </c>
      <c r="AQ25" s="2">
        <v>1</v>
      </c>
      <c r="AR25" s="2">
        <v>1</v>
      </c>
      <c r="AS25" s="5">
        <v>45406</v>
      </c>
      <c r="AT25" s="2">
        <v>0</v>
      </c>
      <c r="AU25" s="2">
        <v>0</v>
      </c>
      <c r="AV25" s="2">
        <f>Table2[[#This Row],[TTE date]]-Table2[[#This Row],[Date initial positive Bcx]]</f>
        <v>4</v>
      </c>
      <c r="AW25" s="2">
        <v>1</v>
      </c>
      <c r="AX25" s="5">
        <v>45411</v>
      </c>
      <c r="AY25" s="2">
        <v>0</v>
      </c>
      <c r="AZ25" s="2">
        <v>0</v>
      </c>
      <c r="BA25" s="2">
        <v>1</v>
      </c>
      <c r="BB25" s="2">
        <f>Table2[[#This Row],[TEE date]]-Table2[[#This Row],[Date initial positive Bcx]]</f>
        <v>9</v>
      </c>
      <c r="BC25" s="2">
        <v>0</v>
      </c>
      <c r="BD25" s="2">
        <f>COUNTIFS(Table2[[#This Row],[Comorbidity present (at least 1)?]], "0",Table2[[#This Row],[Alternative source of infx?]], "1",Table2[[#This Row],[Abx used?]], "1", Table2[[#This Row],[&lt; 3 days defervescence or remained afebrile?]], "1",Table2[[#This Row],[WBC downtrend or remained nrml?]], "1")</f>
        <v>0</v>
      </c>
      <c r="BE25" s="2">
        <f>COUNTIFS(Table2[[#This Row],[&lt; 3 days defervescence or remained afebrile?]], "1",Table2[[#This Row],[WBC downtrend or remained nrml?]], "1")</f>
        <v>1</v>
      </c>
      <c r="BF25" s="2">
        <v>0</v>
      </c>
      <c r="BG25" s="2">
        <v>1</v>
      </c>
      <c r="BH25" s="2">
        <v>0</v>
      </c>
      <c r="BI25" s="2" t="s">
        <v>94</v>
      </c>
    </row>
    <row r="26" spans="1:61">
      <c r="A26" s="2">
        <v>25</v>
      </c>
      <c r="B26" s="5">
        <v>45405</v>
      </c>
      <c r="C26" s="5">
        <v>45423</v>
      </c>
      <c r="D26" s="2">
        <f t="shared" si="1"/>
        <v>18</v>
      </c>
      <c r="E26" s="2">
        <v>66</v>
      </c>
      <c r="F26" s="2">
        <v>1</v>
      </c>
      <c r="G26" s="2">
        <v>2</v>
      </c>
      <c r="H26" s="2">
        <v>1</v>
      </c>
      <c r="I26" s="2">
        <v>0</v>
      </c>
      <c r="J26" s="2">
        <v>0</v>
      </c>
      <c r="K26" s="2">
        <v>0</v>
      </c>
      <c r="L26" s="2">
        <v>0</v>
      </c>
      <c r="M26" s="2">
        <v>0</v>
      </c>
      <c r="N26" s="2">
        <v>1</v>
      </c>
      <c r="O26" s="2" t="s">
        <v>63</v>
      </c>
      <c r="P26" t="s">
        <v>52</v>
      </c>
      <c r="Q26" s="51">
        <v>1</v>
      </c>
      <c r="R26" s="51">
        <v>0</v>
      </c>
      <c r="S26" s="51">
        <v>0</v>
      </c>
      <c r="T26" s="51">
        <v>0</v>
      </c>
      <c r="U26" s="2">
        <v>1</v>
      </c>
      <c r="V26" s="2">
        <v>4</v>
      </c>
      <c r="W26" s="5">
        <v>45405</v>
      </c>
      <c r="X26" s="5">
        <v>45408</v>
      </c>
      <c r="Y26" s="28">
        <f t="shared" si="0"/>
        <v>3</v>
      </c>
      <c r="Z26" s="2">
        <v>1</v>
      </c>
      <c r="AA26" s="2">
        <v>1</v>
      </c>
      <c r="AB26" s="2">
        <v>0</v>
      </c>
      <c r="AC26" s="2">
        <v>0</v>
      </c>
      <c r="AD26" s="2">
        <v>1</v>
      </c>
      <c r="AE26" s="2">
        <v>0</v>
      </c>
      <c r="AF26" s="2">
        <v>0</v>
      </c>
      <c r="AG26" s="2">
        <v>0</v>
      </c>
      <c r="AH26" s="2">
        <v>0</v>
      </c>
      <c r="AI26" s="2">
        <v>1</v>
      </c>
      <c r="AJ26" s="2" t="s">
        <v>55</v>
      </c>
      <c r="AK26" s="11">
        <v>1</v>
      </c>
      <c r="AL26" s="2">
        <v>0</v>
      </c>
      <c r="AM26" s="2">
        <v>1</v>
      </c>
      <c r="AN26" s="2">
        <v>0</v>
      </c>
      <c r="AO26" s="2">
        <v>0</v>
      </c>
      <c r="AP26" s="2">
        <v>1</v>
      </c>
      <c r="AQ26" s="2">
        <v>0</v>
      </c>
      <c r="AR26" s="2">
        <v>1</v>
      </c>
      <c r="AS26" s="5">
        <v>45411</v>
      </c>
      <c r="AT26" s="2">
        <v>0</v>
      </c>
      <c r="AU26" s="2">
        <v>0</v>
      </c>
      <c r="AV26" s="2">
        <f>Table2[[#This Row],[TTE date]]-Table2[[#This Row],[Date initial positive Bcx]]</f>
        <v>6</v>
      </c>
      <c r="AW26" s="2">
        <v>0</v>
      </c>
      <c r="BA26" s="2">
        <v>0</v>
      </c>
      <c r="BC26" s="2">
        <v>1</v>
      </c>
      <c r="BD26" s="2">
        <f>COUNTIFS(Table2[[#This Row],[Comorbidity present (at least 1)?]], "0",Table2[[#This Row],[Alternative source of infx?]], "1",Table2[[#This Row],[Abx used?]], "1", Table2[[#This Row],[&lt; 3 days defervescence or remained afebrile?]], "1",Table2[[#This Row],[WBC downtrend or remained nrml?]], "1")</f>
        <v>0</v>
      </c>
      <c r="BE26" s="2">
        <f>COUNTIFS(Table2[[#This Row],[&lt; 3 days defervescence or remained afebrile?]], "1",Table2[[#This Row],[WBC downtrend or remained nrml?]], "1")</f>
        <v>0</v>
      </c>
      <c r="BF26" s="2">
        <v>0</v>
      </c>
      <c r="BG26" s="2">
        <v>0</v>
      </c>
      <c r="BH26" s="2">
        <v>0</v>
      </c>
      <c r="BI26" s="2" t="s">
        <v>95</v>
      </c>
    </row>
    <row r="27" spans="1:61">
      <c r="A27" s="2">
        <v>26</v>
      </c>
      <c r="B27" s="5">
        <v>45406</v>
      </c>
      <c r="C27" s="5">
        <v>45424</v>
      </c>
      <c r="D27" s="2">
        <f t="shared" si="1"/>
        <v>18</v>
      </c>
      <c r="E27" s="2">
        <v>59</v>
      </c>
      <c r="F27" s="2">
        <v>2</v>
      </c>
      <c r="G27" s="2">
        <v>2</v>
      </c>
      <c r="H27" s="2">
        <v>1</v>
      </c>
      <c r="I27" s="2">
        <v>0</v>
      </c>
      <c r="J27" s="2">
        <v>0</v>
      </c>
      <c r="K27" s="2">
        <v>0</v>
      </c>
      <c r="L27" s="2">
        <v>1</v>
      </c>
      <c r="M27" s="2">
        <v>0</v>
      </c>
      <c r="N27" s="2">
        <v>1</v>
      </c>
      <c r="O27" s="2" t="s">
        <v>70</v>
      </c>
      <c r="P27" t="s">
        <v>52</v>
      </c>
      <c r="Q27" s="51">
        <v>1</v>
      </c>
      <c r="R27" s="51">
        <v>0</v>
      </c>
      <c r="S27" s="51">
        <v>0</v>
      </c>
      <c r="T27" s="51">
        <v>0</v>
      </c>
      <c r="U27" s="2">
        <v>1</v>
      </c>
      <c r="V27" s="2">
        <v>3</v>
      </c>
      <c r="W27" s="5">
        <v>45406</v>
      </c>
      <c r="X27" s="5">
        <v>45409</v>
      </c>
      <c r="Y27" s="28">
        <f t="shared" si="0"/>
        <v>3</v>
      </c>
      <c r="Z27" s="2">
        <v>1</v>
      </c>
      <c r="AA27" s="2">
        <v>0</v>
      </c>
      <c r="AB27" s="2">
        <v>0</v>
      </c>
      <c r="AC27" s="2">
        <v>1</v>
      </c>
      <c r="AD27" s="2">
        <v>0</v>
      </c>
      <c r="AE27" s="2">
        <v>0</v>
      </c>
      <c r="AF27" s="2">
        <v>0</v>
      </c>
      <c r="AG27" s="2">
        <v>0</v>
      </c>
      <c r="AH27" s="2">
        <v>0</v>
      </c>
      <c r="AI27" s="2">
        <v>1</v>
      </c>
      <c r="AJ27" s="2" t="s">
        <v>55</v>
      </c>
      <c r="AK27" s="2">
        <v>1</v>
      </c>
      <c r="AL27" s="2">
        <v>1</v>
      </c>
      <c r="AM27" s="2">
        <v>1</v>
      </c>
      <c r="AN27" s="2">
        <v>1</v>
      </c>
      <c r="AO27" s="2">
        <v>0</v>
      </c>
      <c r="AP27" s="2">
        <v>0</v>
      </c>
      <c r="AQ27" s="2">
        <v>1</v>
      </c>
      <c r="AR27" s="2">
        <v>1</v>
      </c>
      <c r="AS27" s="5">
        <v>45415</v>
      </c>
      <c r="AT27" s="2">
        <v>1</v>
      </c>
      <c r="AU27" s="2">
        <v>0</v>
      </c>
      <c r="AV27" s="2">
        <f>Table2[[#This Row],[TTE date]]-Table2[[#This Row],[Date initial positive Bcx]]</f>
        <v>9</v>
      </c>
      <c r="AW27" s="2">
        <v>0</v>
      </c>
      <c r="BA27" s="2">
        <v>0</v>
      </c>
      <c r="BC27" s="2">
        <v>1</v>
      </c>
      <c r="BD27" s="2">
        <f>COUNTIFS(Table2[[#This Row],[Comorbidity present (at least 1)?]], "0",Table2[[#This Row],[Alternative source of infx?]], "1",Table2[[#This Row],[Abx used?]], "1", Table2[[#This Row],[&lt; 3 days defervescence or remained afebrile?]], "1",Table2[[#This Row],[WBC downtrend or remained nrml?]], "1")</f>
        <v>0</v>
      </c>
      <c r="BE27" s="2">
        <f>COUNTIFS(Table2[[#This Row],[&lt; 3 days defervescence or remained afebrile?]], "1",Table2[[#This Row],[WBC downtrend or remained nrml?]], "1")</f>
        <v>1</v>
      </c>
      <c r="BF27" s="2">
        <v>1</v>
      </c>
      <c r="BG27" s="2">
        <v>1</v>
      </c>
      <c r="BH27" s="2">
        <v>0</v>
      </c>
      <c r="BI27" s="2" t="s">
        <v>96</v>
      </c>
    </row>
    <row r="28" spans="1:61">
      <c r="A28" s="8">
        <v>27</v>
      </c>
      <c r="B28" s="5">
        <v>45403</v>
      </c>
      <c r="C28" s="6">
        <v>45412</v>
      </c>
      <c r="D28" s="2">
        <f t="shared" si="1"/>
        <v>9</v>
      </c>
      <c r="E28" s="2">
        <v>72</v>
      </c>
      <c r="F28" s="2">
        <v>1</v>
      </c>
      <c r="G28" s="2">
        <v>2</v>
      </c>
      <c r="H28" s="2">
        <v>1</v>
      </c>
      <c r="I28" s="2">
        <v>0</v>
      </c>
      <c r="J28" s="2">
        <v>0</v>
      </c>
      <c r="K28" s="2">
        <v>0</v>
      </c>
      <c r="L28" s="2">
        <v>0</v>
      </c>
      <c r="M28" s="2">
        <v>0</v>
      </c>
      <c r="N28" s="2">
        <v>1</v>
      </c>
      <c r="O28" s="2" t="s">
        <v>97</v>
      </c>
      <c r="P28" t="s">
        <v>52</v>
      </c>
      <c r="Q28" s="51">
        <v>1</v>
      </c>
      <c r="R28" s="51">
        <v>0</v>
      </c>
      <c r="S28" s="51">
        <v>0</v>
      </c>
      <c r="T28" s="51">
        <v>0</v>
      </c>
      <c r="U28" s="2">
        <v>1</v>
      </c>
      <c r="V28" s="2">
        <v>2</v>
      </c>
      <c r="W28" s="5">
        <v>45407</v>
      </c>
      <c r="X28" s="5">
        <v>45409</v>
      </c>
      <c r="Y28" s="28">
        <f t="shared" si="0"/>
        <v>2</v>
      </c>
      <c r="Z28" s="2">
        <v>1</v>
      </c>
      <c r="AA28" s="2">
        <v>1</v>
      </c>
      <c r="AB28" s="2">
        <v>0</v>
      </c>
      <c r="AC28" s="2">
        <v>0</v>
      </c>
      <c r="AD28" s="2">
        <v>0</v>
      </c>
      <c r="AE28" s="2">
        <v>0</v>
      </c>
      <c r="AF28" s="2">
        <v>0</v>
      </c>
      <c r="AG28" s="2">
        <v>0</v>
      </c>
      <c r="AH28" s="2">
        <v>1</v>
      </c>
      <c r="AI28" s="2">
        <v>1</v>
      </c>
      <c r="AJ28" s="2" t="s">
        <v>55</v>
      </c>
      <c r="AK28" s="2">
        <v>1</v>
      </c>
      <c r="AL28" s="2">
        <v>1</v>
      </c>
      <c r="AM28" s="2">
        <v>1</v>
      </c>
      <c r="AN28" s="2">
        <v>1</v>
      </c>
      <c r="AO28" s="2">
        <v>0</v>
      </c>
      <c r="AP28" s="2">
        <v>0</v>
      </c>
      <c r="AQ28" s="2">
        <v>1</v>
      </c>
      <c r="AR28" s="2">
        <v>1</v>
      </c>
      <c r="AS28" s="5">
        <v>45408</v>
      </c>
      <c r="AT28" s="2">
        <v>0</v>
      </c>
      <c r="AU28" s="2">
        <v>0</v>
      </c>
      <c r="AV28" s="2">
        <f>Table2[[#This Row],[TTE date]]-Table2[[#This Row],[Date initial positive Bcx]]</f>
        <v>1</v>
      </c>
      <c r="AW28" s="2">
        <v>0</v>
      </c>
      <c r="BA28" s="2">
        <v>0</v>
      </c>
      <c r="BC28" s="2">
        <v>0</v>
      </c>
      <c r="BD28" s="2">
        <f>COUNTIFS(Table2[[#This Row],[Comorbidity present (at least 1)?]], "0",Table2[[#This Row],[Alternative source of infx?]], "1",Table2[[#This Row],[Abx used?]], "1", Table2[[#This Row],[&lt; 3 days defervescence or remained afebrile?]], "1",Table2[[#This Row],[WBC downtrend or remained nrml?]], "1")</f>
        <v>0</v>
      </c>
      <c r="BE28" s="2">
        <f>COUNTIFS(Table2[[#This Row],[&lt; 3 days defervescence or remained afebrile?]], "1",Table2[[#This Row],[WBC downtrend or remained nrml?]], "1")</f>
        <v>1</v>
      </c>
      <c r="BF28" s="2">
        <v>0</v>
      </c>
      <c r="BG28" s="2">
        <v>1</v>
      </c>
      <c r="BH28" s="2">
        <v>0</v>
      </c>
      <c r="BI28" s="2" t="s">
        <v>98</v>
      </c>
    </row>
    <row r="29" spans="1:61">
      <c r="A29" s="2">
        <v>28</v>
      </c>
      <c r="B29" s="5">
        <v>45406</v>
      </c>
      <c r="C29" s="5">
        <v>45422</v>
      </c>
      <c r="D29" s="2">
        <f t="shared" si="1"/>
        <v>16</v>
      </c>
      <c r="E29" s="2">
        <v>71</v>
      </c>
      <c r="F29" s="2">
        <v>2</v>
      </c>
      <c r="G29" s="2">
        <v>2</v>
      </c>
      <c r="H29" s="2">
        <v>1</v>
      </c>
      <c r="I29" s="2">
        <v>0</v>
      </c>
      <c r="J29" s="2">
        <v>0</v>
      </c>
      <c r="K29" s="2">
        <v>0</v>
      </c>
      <c r="L29" s="2">
        <v>0</v>
      </c>
      <c r="M29" s="2">
        <v>0</v>
      </c>
      <c r="N29" s="2">
        <v>1</v>
      </c>
      <c r="O29" s="2" t="s">
        <v>99</v>
      </c>
      <c r="P29" t="s">
        <v>52</v>
      </c>
      <c r="Q29" s="51">
        <v>1</v>
      </c>
      <c r="R29" s="51">
        <v>0</v>
      </c>
      <c r="S29" s="51">
        <v>0</v>
      </c>
      <c r="T29" s="51">
        <v>0</v>
      </c>
      <c r="U29" s="2">
        <v>1</v>
      </c>
      <c r="V29" s="2">
        <v>2</v>
      </c>
      <c r="W29" s="5">
        <v>45409</v>
      </c>
      <c r="X29" s="5">
        <v>45410</v>
      </c>
      <c r="Y29" s="28">
        <f t="shared" si="0"/>
        <v>1</v>
      </c>
      <c r="Z29" s="2">
        <v>1</v>
      </c>
      <c r="AA29" s="2">
        <v>1</v>
      </c>
      <c r="AB29" s="2">
        <v>0</v>
      </c>
      <c r="AC29" s="2">
        <v>0</v>
      </c>
      <c r="AD29" s="2">
        <v>1</v>
      </c>
      <c r="AE29" s="2">
        <v>0</v>
      </c>
      <c r="AF29" s="2">
        <v>0</v>
      </c>
      <c r="AG29" s="2">
        <v>0</v>
      </c>
      <c r="AH29" s="2">
        <v>1</v>
      </c>
      <c r="AI29" s="2">
        <v>1</v>
      </c>
      <c r="AJ29" s="2" t="s">
        <v>79</v>
      </c>
      <c r="AK29" s="2">
        <v>1</v>
      </c>
      <c r="AL29" s="2">
        <v>1</v>
      </c>
      <c r="AM29" s="2">
        <v>1</v>
      </c>
      <c r="AN29" s="2">
        <v>1</v>
      </c>
      <c r="AO29" s="2">
        <v>0</v>
      </c>
      <c r="AP29" s="2">
        <v>0</v>
      </c>
      <c r="AQ29" s="2">
        <v>1</v>
      </c>
      <c r="AR29" s="2">
        <v>1</v>
      </c>
      <c r="AS29" s="5">
        <v>45414</v>
      </c>
      <c r="AT29" s="2">
        <v>0</v>
      </c>
      <c r="AU29" s="2">
        <v>0</v>
      </c>
      <c r="AV29" s="2">
        <f>Table2[[#This Row],[TTE date]]-Table2[[#This Row],[Date initial positive Bcx]]</f>
        <v>5</v>
      </c>
      <c r="AW29" s="2">
        <v>0</v>
      </c>
      <c r="BA29" s="2">
        <v>0</v>
      </c>
      <c r="BC29" s="2">
        <v>0</v>
      </c>
      <c r="BD29" s="2">
        <f>COUNTIFS(Table2[[#This Row],[Comorbidity present (at least 1)?]], "0",Table2[[#This Row],[Alternative source of infx?]], "1",Table2[[#This Row],[Abx used?]], "1", Table2[[#This Row],[&lt; 3 days defervescence or remained afebrile?]], "1",Table2[[#This Row],[WBC downtrend or remained nrml?]], "1")</f>
        <v>0</v>
      </c>
      <c r="BE29" s="2">
        <f>COUNTIFS(Table2[[#This Row],[&lt; 3 days defervescence or remained afebrile?]], "1",Table2[[#This Row],[WBC downtrend or remained nrml?]], "1")</f>
        <v>1</v>
      </c>
      <c r="BF29" s="2">
        <v>0</v>
      </c>
      <c r="BG29" s="2">
        <v>1</v>
      </c>
      <c r="BH29" s="2">
        <v>0</v>
      </c>
      <c r="BI29" s="2" t="s">
        <v>100</v>
      </c>
    </row>
    <row r="30" spans="1:61">
      <c r="A30" s="2">
        <v>29</v>
      </c>
      <c r="B30" s="5">
        <v>45347</v>
      </c>
      <c r="C30" s="5">
        <v>45454</v>
      </c>
      <c r="D30" s="2">
        <f t="shared" si="1"/>
        <v>107</v>
      </c>
      <c r="E30" s="2">
        <v>54</v>
      </c>
      <c r="F30" s="2">
        <v>1</v>
      </c>
      <c r="G30" s="2">
        <v>3</v>
      </c>
      <c r="H30" s="2">
        <v>0</v>
      </c>
      <c r="I30" s="2">
        <v>0</v>
      </c>
      <c r="J30" s="2">
        <v>0</v>
      </c>
      <c r="K30" s="2">
        <v>0</v>
      </c>
      <c r="L30" s="2">
        <v>0</v>
      </c>
      <c r="M30" s="2">
        <v>0</v>
      </c>
      <c r="N30" s="2">
        <v>0</v>
      </c>
      <c r="P30" t="s">
        <v>47</v>
      </c>
      <c r="Q30" s="51">
        <v>1</v>
      </c>
      <c r="R30" s="51">
        <v>0</v>
      </c>
      <c r="S30" s="51">
        <v>0</v>
      </c>
      <c r="T30" s="51">
        <v>0</v>
      </c>
      <c r="U30" s="2">
        <v>1</v>
      </c>
      <c r="V30" s="2">
        <v>4</v>
      </c>
      <c r="W30" s="5">
        <v>45407</v>
      </c>
      <c r="X30" s="5">
        <v>45410</v>
      </c>
      <c r="Y30" s="28">
        <f t="shared" si="0"/>
        <v>3</v>
      </c>
      <c r="Z30" s="2">
        <v>1</v>
      </c>
      <c r="AA30" s="2">
        <v>0</v>
      </c>
      <c r="AB30" s="2">
        <v>1</v>
      </c>
      <c r="AC30" s="2">
        <v>0</v>
      </c>
      <c r="AD30" s="2">
        <v>0</v>
      </c>
      <c r="AE30" s="2">
        <v>0</v>
      </c>
      <c r="AF30" s="2">
        <v>0</v>
      </c>
      <c r="AG30" s="2">
        <v>0</v>
      </c>
      <c r="AH30" s="2">
        <v>0</v>
      </c>
      <c r="AI30" s="2">
        <v>1</v>
      </c>
      <c r="AJ30" s="2" t="s">
        <v>91</v>
      </c>
      <c r="AK30" s="2">
        <v>1</v>
      </c>
      <c r="AL30" s="2">
        <v>1</v>
      </c>
      <c r="AM30" s="2">
        <v>0</v>
      </c>
      <c r="AN30" s="2">
        <v>0</v>
      </c>
      <c r="AO30" s="2">
        <v>1</v>
      </c>
      <c r="AP30" s="2">
        <v>0</v>
      </c>
      <c r="AQ30" s="2">
        <v>1</v>
      </c>
      <c r="AR30" s="2">
        <v>1</v>
      </c>
      <c r="AS30" s="5">
        <v>45411</v>
      </c>
      <c r="AT30" s="2">
        <v>0</v>
      </c>
      <c r="AU30" s="2">
        <v>0</v>
      </c>
      <c r="AV30" s="2">
        <f>Table2[[#This Row],[TTE date]]-Table2[[#This Row],[Date initial positive Bcx]]</f>
        <v>4</v>
      </c>
      <c r="AW30" s="2">
        <v>0</v>
      </c>
      <c r="BA30" s="2">
        <v>0</v>
      </c>
      <c r="BC30" s="2">
        <v>1</v>
      </c>
      <c r="BD30" s="2">
        <f>COUNTIFS(Table2[[#This Row],[Comorbidity present (at least 1)?]], "0",Table2[[#This Row],[Alternative source of infx?]], "1",Table2[[#This Row],[Abx used?]], "1", Table2[[#This Row],[&lt; 3 days defervescence or remained afebrile?]], "1",Table2[[#This Row],[WBC downtrend or remained nrml?]], "1")</f>
        <v>0</v>
      </c>
      <c r="BE30" s="2">
        <f>COUNTIFS(Table2[[#This Row],[&lt; 3 days defervescence or remained afebrile?]], "1",Table2[[#This Row],[WBC downtrend or remained nrml?]], "1")</f>
        <v>0</v>
      </c>
      <c r="BF30" s="2">
        <v>0</v>
      </c>
      <c r="BG30" s="2">
        <v>1</v>
      </c>
      <c r="BH30" s="2">
        <v>0</v>
      </c>
      <c r="BI30" s="2" t="s">
        <v>101</v>
      </c>
    </row>
    <row r="31" spans="1:61">
      <c r="A31" s="2">
        <v>30</v>
      </c>
      <c r="B31" s="5">
        <v>45351</v>
      </c>
      <c r="C31" s="5">
        <v>45379</v>
      </c>
      <c r="D31" s="2">
        <f t="shared" si="1"/>
        <v>28</v>
      </c>
      <c r="E31" s="2">
        <v>28</v>
      </c>
      <c r="F31" s="2">
        <v>2</v>
      </c>
      <c r="G31" s="2">
        <v>2</v>
      </c>
      <c r="H31" s="2">
        <v>1</v>
      </c>
      <c r="I31" s="2">
        <v>1</v>
      </c>
      <c r="J31" s="2">
        <v>0</v>
      </c>
      <c r="K31" s="2">
        <v>0</v>
      </c>
      <c r="L31" s="2">
        <v>0</v>
      </c>
      <c r="M31" s="2">
        <v>0</v>
      </c>
      <c r="N31" s="2">
        <v>0</v>
      </c>
      <c r="P31" t="s">
        <v>47</v>
      </c>
      <c r="Q31" s="51">
        <v>1</v>
      </c>
      <c r="R31" s="51">
        <v>0</v>
      </c>
      <c r="S31" s="51">
        <v>0</v>
      </c>
      <c r="T31" s="51">
        <v>0</v>
      </c>
      <c r="U31" s="2">
        <v>1</v>
      </c>
      <c r="V31" s="2">
        <v>3</v>
      </c>
      <c r="W31" s="5">
        <v>45351</v>
      </c>
      <c r="X31" s="5">
        <v>45353</v>
      </c>
      <c r="Y31" s="28">
        <f t="shared" si="0"/>
        <v>2</v>
      </c>
      <c r="Z31" s="2">
        <v>1</v>
      </c>
      <c r="AA31" s="2">
        <v>0</v>
      </c>
      <c r="AB31" s="2">
        <v>0</v>
      </c>
      <c r="AC31" s="2">
        <v>0</v>
      </c>
      <c r="AD31" s="2">
        <v>0</v>
      </c>
      <c r="AE31" s="2">
        <v>0</v>
      </c>
      <c r="AF31" s="2">
        <v>1</v>
      </c>
      <c r="AG31" s="2">
        <v>0</v>
      </c>
      <c r="AH31" s="2">
        <v>0</v>
      </c>
      <c r="AI31" s="2">
        <v>1</v>
      </c>
      <c r="AJ31" s="2" t="s">
        <v>91</v>
      </c>
      <c r="AK31" s="2">
        <v>1</v>
      </c>
      <c r="AL31" s="2">
        <v>1</v>
      </c>
      <c r="AM31" s="2">
        <v>0</v>
      </c>
      <c r="AN31" s="2">
        <v>0</v>
      </c>
      <c r="AO31" s="2">
        <v>1</v>
      </c>
      <c r="AP31" s="2">
        <v>0</v>
      </c>
      <c r="AQ31" s="2">
        <v>1</v>
      </c>
      <c r="AR31" s="2">
        <v>1</v>
      </c>
      <c r="AS31" s="5">
        <v>45352</v>
      </c>
      <c r="AT31" s="2">
        <v>0</v>
      </c>
      <c r="AU31" s="2">
        <v>1</v>
      </c>
      <c r="AV31" s="2">
        <f>Table2[[#This Row],[TTE date]]-Table2[[#This Row],[Date initial positive Bcx]]</f>
        <v>1</v>
      </c>
      <c r="AW31" s="2">
        <v>1</v>
      </c>
      <c r="AX31" s="5">
        <v>45365</v>
      </c>
      <c r="AY31" s="2">
        <v>0</v>
      </c>
      <c r="AZ31" s="2">
        <v>1</v>
      </c>
      <c r="BA31" s="2">
        <v>0</v>
      </c>
      <c r="BB31" s="2">
        <f>Table2[[#This Row],[TEE date]]-Table2[[#This Row],[Date initial positive Bcx]]</f>
        <v>14</v>
      </c>
      <c r="BC31" s="2">
        <v>0</v>
      </c>
      <c r="BD31" s="2">
        <f>COUNTIFS(Table2[[#This Row],[Comorbidity present (at least 1)?]], "0",Table2[[#This Row],[Alternative source of infx?]], "1",Table2[[#This Row],[Abx used?]], "1", Table2[[#This Row],[&lt; 3 days defervescence or remained afebrile?]], "1",Table2[[#This Row],[WBC downtrend or remained nrml?]], "1")</f>
        <v>0</v>
      </c>
      <c r="BE31" s="2">
        <f>COUNTIFS(Table2[[#This Row],[&lt; 3 days defervescence or remained afebrile?]], "1",Table2[[#This Row],[WBC downtrend or remained nrml?]], "1")</f>
        <v>0</v>
      </c>
      <c r="BF31" s="2">
        <v>0</v>
      </c>
      <c r="BG31" s="2">
        <v>1</v>
      </c>
      <c r="BH31" s="2">
        <v>1</v>
      </c>
      <c r="BI31" s="2" t="s">
        <v>102</v>
      </c>
    </row>
    <row r="32" spans="1:61">
      <c r="A32" s="8">
        <v>31</v>
      </c>
      <c r="B32" s="5">
        <v>45343</v>
      </c>
      <c r="C32" s="6">
        <v>45368</v>
      </c>
      <c r="D32" s="2">
        <f t="shared" si="1"/>
        <v>25</v>
      </c>
      <c r="E32" s="2">
        <v>82</v>
      </c>
      <c r="F32" s="2">
        <v>1</v>
      </c>
      <c r="G32" s="2">
        <v>2</v>
      </c>
      <c r="H32" s="2">
        <v>1</v>
      </c>
      <c r="I32" s="2">
        <v>0</v>
      </c>
      <c r="J32" s="2">
        <v>0</v>
      </c>
      <c r="K32" s="2">
        <v>0</v>
      </c>
      <c r="L32" s="2">
        <v>1</v>
      </c>
      <c r="M32" s="2">
        <v>0</v>
      </c>
      <c r="N32" s="2">
        <v>1</v>
      </c>
      <c r="O32" s="2" t="s">
        <v>103</v>
      </c>
      <c r="P32" t="s">
        <v>52</v>
      </c>
      <c r="Q32" s="51">
        <v>1</v>
      </c>
      <c r="R32" s="51">
        <v>0</v>
      </c>
      <c r="S32" s="51">
        <v>0</v>
      </c>
      <c r="T32" s="51">
        <v>0</v>
      </c>
      <c r="U32" s="2">
        <v>1</v>
      </c>
      <c r="V32" s="2">
        <v>2</v>
      </c>
      <c r="W32" s="5">
        <v>45351</v>
      </c>
      <c r="X32" s="5">
        <v>45352</v>
      </c>
      <c r="Y32" s="28">
        <f t="shared" si="0"/>
        <v>1</v>
      </c>
      <c r="Z32" s="2">
        <v>1</v>
      </c>
      <c r="AA32" s="2">
        <v>0</v>
      </c>
      <c r="AB32" s="2">
        <v>0</v>
      </c>
      <c r="AC32" s="2">
        <v>1</v>
      </c>
      <c r="AD32" s="2">
        <v>0</v>
      </c>
      <c r="AE32" s="2">
        <v>0</v>
      </c>
      <c r="AF32" s="2">
        <v>0</v>
      </c>
      <c r="AG32" s="2">
        <v>1</v>
      </c>
      <c r="AH32" s="2">
        <v>0</v>
      </c>
      <c r="AI32" s="2">
        <v>1</v>
      </c>
      <c r="AJ32" s="2" t="s">
        <v>91</v>
      </c>
      <c r="AK32" s="2">
        <v>1</v>
      </c>
      <c r="AL32" s="2">
        <v>0</v>
      </c>
      <c r="AM32" s="2">
        <v>1</v>
      </c>
      <c r="AN32" s="2">
        <v>0</v>
      </c>
      <c r="AO32" s="2">
        <v>0</v>
      </c>
      <c r="AP32" s="2">
        <v>1</v>
      </c>
      <c r="AQ32" s="2">
        <v>0</v>
      </c>
      <c r="AR32" s="2">
        <v>1</v>
      </c>
      <c r="AS32" s="5">
        <v>45352</v>
      </c>
      <c r="AT32" s="2">
        <v>0</v>
      </c>
      <c r="AU32" s="2">
        <v>1</v>
      </c>
      <c r="AV32" s="2">
        <f>Table2[[#This Row],[TTE date]]-Table2[[#This Row],[Date initial positive Bcx]]</f>
        <v>1</v>
      </c>
      <c r="AW32" s="2">
        <v>0</v>
      </c>
      <c r="BA32" s="2">
        <v>0</v>
      </c>
      <c r="BC32" s="2">
        <v>1</v>
      </c>
      <c r="BD32" s="2">
        <f>COUNTIFS(Table2[[#This Row],[Comorbidity present (at least 1)?]], "0",Table2[[#This Row],[Alternative source of infx?]], "1",Table2[[#This Row],[Abx used?]], "1", Table2[[#This Row],[&lt; 3 days defervescence or remained afebrile?]], "1",Table2[[#This Row],[WBC downtrend or remained nrml?]], "1")</f>
        <v>0</v>
      </c>
      <c r="BE32" s="2">
        <f>COUNTIFS(Table2[[#This Row],[&lt; 3 days defervescence or remained afebrile?]], "1",Table2[[#This Row],[WBC downtrend or remained nrml?]], "1")</f>
        <v>0</v>
      </c>
      <c r="BF32" s="2">
        <v>0</v>
      </c>
      <c r="BG32" s="2">
        <v>1</v>
      </c>
      <c r="BH32" s="2">
        <v>1</v>
      </c>
      <c r="BI32" s="2" t="s">
        <v>104</v>
      </c>
    </row>
    <row r="33" spans="1:61">
      <c r="A33" s="2">
        <v>32</v>
      </c>
      <c r="B33" s="5">
        <v>45355</v>
      </c>
      <c r="C33" s="5">
        <v>45378</v>
      </c>
      <c r="D33" s="2">
        <f t="shared" si="1"/>
        <v>23</v>
      </c>
      <c r="E33" s="2">
        <v>79</v>
      </c>
      <c r="F33" s="2">
        <v>2</v>
      </c>
      <c r="G33" s="2">
        <v>2</v>
      </c>
      <c r="H33" s="2">
        <v>1</v>
      </c>
      <c r="I33" s="2">
        <v>0</v>
      </c>
      <c r="J33" s="2">
        <v>0</v>
      </c>
      <c r="K33" s="2">
        <v>0</v>
      </c>
      <c r="L33" s="2">
        <v>0</v>
      </c>
      <c r="M33" s="2">
        <v>0</v>
      </c>
      <c r="N33" s="2">
        <v>1</v>
      </c>
      <c r="O33" s="2" t="s">
        <v>106</v>
      </c>
      <c r="P33" t="s">
        <v>47</v>
      </c>
      <c r="Q33" s="51">
        <v>1</v>
      </c>
      <c r="R33" s="51">
        <v>0</v>
      </c>
      <c r="S33" s="51">
        <v>0</v>
      </c>
      <c r="T33" s="51">
        <v>0</v>
      </c>
      <c r="U33" s="2">
        <v>1</v>
      </c>
      <c r="V33" s="2">
        <v>5</v>
      </c>
      <c r="W33" s="5">
        <v>45355</v>
      </c>
      <c r="X33" s="5">
        <v>45359</v>
      </c>
      <c r="Y33" s="28">
        <f t="shared" si="0"/>
        <v>4</v>
      </c>
      <c r="Z33" s="2">
        <v>0</v>
      </c>
      <c r="AA33" s="2">
        <v>0</v>
      </c>
      <c r="AB33" s="2">
        <v>0</v>
      </c>
      <c r="AC33" s="2">
        <v>0</v>
      </c>
      <c r="AD33" s="2">
        <v>0</v>
      </c>
      <c r="AE33" s="2">
        <v>0</v>
      </c>
      <c r="AF33" s="2">
        <v>0</v>
      </c>
      <c r="AG33" s="2">
        <v>0</v>
      </c>
      <c r="AH33" s="2">
        <v>0</v>
      </c>
      <c r="AI33" s="2">
        <v>1</v>
      </c>
      <c r="AJ33" s="2" t="s">
        <v>48</v>
      </c>
      <c r="AK33" s="2">
        <v>1</v>
      </c>
      <c r="AL33" s="2">
        <v>1</v>
      </c>
      <c r="AM33" s="2">
        <v>1</v>
      </c>
      <c r="AN33" s="2">
        <v>1</v>
      </c>
      <c r="AO33" s="2">
        <v>0</v>
      </c>
      <c r="AP33" s="2">
        <v>0</v>
      </c>
      <c r="AQ33" s="2">
        <v>1</v>
      </c>
      <c r="AR33" s="2">
        <v>1</v>
      </c>
      <c r="AS33" s="5">
        <v>45357</v>
      </c>
      <c r="AT33" s="2">
        <v>0</v>
      </c>
      <c r="AU33" s="2">
        <v>0</v>
      </c>
      <c r="AV33" s="2">
        <f>Table2[[#This Row],[TTE date]]-Table2[[#This Row],[Date initial positive Bcx]]</f>
        <v>2</v>
      </c>
      <c r="AW33" s="2">
        <v>1</v>
      </c>
      <c r="AX33" s="5">
        <v>45364</v>
      </c>
      <c r="AY33" s="2">
        <v>0</v>
      </c>
      <c r="AZ33" s="2">
        <v>0</v>
      </c>
      <c r="BA33" s="2">
        <v>0</v>
      </c>
      <c r="BB33" s="2">
        <f>Table2[[#This Row],[TEE date]]-Table2[[#This Row],[Date initial positive Bcx]]</f>
        <v>9</v>
      </c>
      <c r="BC33" s="2">
        <v>0</v>
      </c>
      <c r="BD33" s="2">
        <f>COUNTIFS(Table2[[#This Row],[Comorbidity present (at least 1)?]], "0",Table2[[#This Row],[Alternative source of infx?]], "1",Table2[[#This Row],[Abx used?]], "1", Table2[[#This Row],[&lt; 3 days defervescence or remained afebrile?]], "1",Table2[[#This Row],[WBC downtrend or remained nrml?]], "1")</f>
        <v>0</v>
      </c>
      <c r="BE33" s="2">
        <f>COUNTIFS(Table2[[#This Row],[&lt; 3 days defervescence or remained afebrile?]], "1",Table2[[#This Row],[WBC downtrend or remained nrml?]], "1")</f>
        <v>1</v>
      </c>
      <c r="BF33" s="2">
        <v>0</v>
      </c>
      <c r="BG33" s="2">
        <v>1</v>
      </c>
      <c r="BH33" s="2">
        <v>0</v>
      </c>
      <c r="BI33" s="2" t="s">
        <v>107</v>
      </c>
    </row>
    <row r="34" spans="1:61">
      <c r="A34" s="8">
        <v>33</v>
      </c>
      <c r="B34" s="5">
        <v>45356</v>
      </c>
      <c r="C34" s="6">
        <v>45383</v>
      </c>
      <c r="D34" s="2">
        <f t="shared" si="1"/>
        <v>27</v>
      </c>
      <c r="E34" s="2">
        <v>77</v>
      </c>
      <c r="F34" s="2">
        <v>2</v>
      </c>
      <c r="G34" s="2">
        <v>3</v>
      </c>
      <c r="H34" s="2">
        <v>1</v>
      </c>
      <c r="I34" s="2">
        <v>0</v>
      </c>
      <c r="J34" s="2">
        <v>0</v>
      </c>
      <c r="K34" s="2">
        <v>1</v>
      </c>
      <c r="L34" s="2">
        <v>0</v>
      </c>
      <c r="M34" s="2">
        <v>0</v>
      </c>
      <c r="N34" s="2">
        <v>1</v>
      </c>
      <c r="O34" s="2" t="s">
        <v>108</v>
      </c>
      <c r="P34" t="s">
        <v>52</v>
      </c>
      <c r="Q34" s="51">
        <v>1</v>
      </c>
      <c r="R34" s="51">
        <v>0</v>
      </c>
      <c r="S34" s="51">
        <v>0</v>
      </c>
      <c r="T34" s="51">
        <v>0</v>
      </c>
      <c r="U34" s="2">
        <v>1</v>
      </c>
      <c r="V34" s="2">
        <v>3</v>
      </c>
      <c r="W34" s="5">
        <v>45364</v>
      </c>
      <c r="X34" s="5">
        <v>45366</v>
      </c>
      <c r="Y34" s="28">
        <f t="shared" si="0"/>
        <v>2</v>
      </c>
      <c r="Z34" s="2">
        <v>0</v>
      </c>
      <c r="AA34" s="2">
        <v>0</v>
      </c>
      <c r="AB34" s="2">
        <v>0</v>
      </c>
      <c r="AC34" s="2">
        <v>0</v>
      </c>
      <c r="AD34" s="2">
        <v>0</v>
      </c>
      <c r="AE34" s="2">
        <v>0</v>
      </c>
      <c r="AF34" s="2">
        <v>0</v>
      </c>
      <c r="AG34" s="2">
        <v>0</v>
      </c>
      <c r="AH34" s="2">
        <v>0</v>
      </c>
      <c r="AI34" s="2">
        <v>1</v>
      </c>
      <c r="AJ34" s="2" t="s">
        <v>55</v>
      </c>
      <c r="AK34" s="2">
        <v>1</v>
      </c>
      <c r="AL34" s="2">
        <v>0</v>
      </c>
      <c r="AM34" s="2">
        <v>1</v>
      </c>
      <c r="AN34" s="2">
        <v>0</v>
      </c>
      <c r="AO34" s="2">
        <v>0</v>
      </c>
      <c r="AP34" s="2">
        <v>1</v>
      </c>
      <c r="AQ34" s="2">
        <v>1</v>
      </c>
      <c r="AR34" s="2">
        <v>1</v>
      </c>
      <c r="AS34" s="5">
        <v>45365</v>
      </c>
      <c r="AT34" s="2">
        <v>0</v>
      </c>
      <c r="AU34" s="2">
        <v>0</v>
      </c>
      <c r="AV34" s="2">
        <f>Table2[[#This Row],[TTE date]]-Table2[[#This Row],[Date initial positive Bcx]]</f>
        <v>1</v>
      </c>
      <c r="AW34" s="2">
        <v>1</v>
      </c>
      <c r="AX34" s="5">
        <v>45366</v>
      </c>
      <c r="AY34" s="2">
        <v>1</v>
      </c>
      <c r="AZ34" s="2">
        <v>0</v>
      </c>
      <c r="BA34" s="2">
        <v>0</v>
      </c>
      <c r="BB34" s="2">
        <f>Table2[[#This Row],[TEE date]]-Table2[[#This Row],[Date initial positive Bcx]]</f>
        <v>2</v>
      </c>
      <c r="BC34" s="2">
        <v>0</v>
      </c>
      <c r="BD34" s="2">
        <f>COUNTIFS(Table2[[#This Row],[Comorbidity present (at least 1)?]], "0",Table2[[#This Row],[Alternative source of infx?]], "1",Table2[[#This Row],[Abx used?]], "1", Table2[[#This Row],[&lt; 3 days defervescence or remained afebrile?]], "1",Table2[[#This Row],[WBC downtrend or remained nrml?]], "1")</f>
        <v>0</v>
      </c>
      <c r="BE34" s="2">
        <f>COUNTIFS(Table2[[#This Row],[&lt; 3 days defervescence or remained afebrile?]], "1",Table2[[#This Row],[WBC downtrend or remained nrml?]], "1")</f>
        <v>1</v>
      </c>
      <c r="BF34" s="2">
        <v>1</v>
      </c>
      <c r="BG34" s="2">
        <v>1</v>
      </c>
      <c r="BH34" s="2">
        <v>1</v>
      </c>
      <c r="BI34" s="2" t="s">
        <v>109</v>
      </c>
    </row>
    <row r="35" spans="1:61">
      <c r="A35" s="2">
        <v>34</v>
      </c>
      <c r="B35" s="5">
        <v>45364</v>
      </c>
      <c r="C35" s="5">
        <v>45377</v>
      </c>
      <c r="D35" s="2">
        <f t="shared" si="1"/>
        <v>13</v>
      </c>
      <c r="E35" s="2">
        <v>95</v>
      </c>
      <c r="F35" s="2">
        <v>2</v>
      </c>
      <c r="G35" s="2">
        <v>4</v>
      </c>
      <c r="H35" s="2">
        <v>0</v>
      </c>
      <c r="I35" s="2">
        <v>0</v>
      </c>
      <c r="J35" s="2">
        <v>0</v>
      </c>
      <c r="K35" s="2">
        <v>0</v>
      </c>
      <c r="L35" s="2">
        <v>0</v>
      </c>
      <c r="M35" s="2">
        <v>0</v>
      </c>
      <c r="N35" s="2">
        <v>0</v>
      </c>
      <c r="P35" t="s">
        <v>52</v>
      </c>
      <c r="Q35" s="51">
        <v>1</v>
      </c>
      <c r="R35" s="51">
        <v>0</v>
      </c>
      <c r="S35" s="51">
        <v>0</v>
      </c>
      <c r="T35" s="51">
        <v>0</v>
      </c>
      <c r="U35" s="2">
        <v>1</v>
      </c>
      <c r="V35" s="2">
        <v>5</v>
      </c>
      <c r="W35" s="5">
        <v>45364</v>
      </c>
      <c r="X35" s="5">
        <v>45368</v>
      </c>
      <c r="Y35" s="28">
        <f t="shared" si="0"/>
        <v>4</v>
      </c>
      <c r="Z35" s="2">
        <v>1</v>
      </c>
      <c r="AA35" s="2">
        <v>0</v>
      </c>
      <c r="AB35" s="2">
        <v>0</v>
      </c>
      <c r="AC35" s="2">
        <v>0</v>
      </c>
      <c r="AD35" s="2">
        <v>0</v>
      </c>
      <c r="AE35" s="2">
        <v>0</v>
      </c>
      <c r="AF35" s="2">
        <v>0</v>
      </c>
      <c r="AG35" s="2">
        <v>0</v>
      </c>
      <c r="AH35" s="2">
        <v>1</v>
      </c>
      <c r="AI35" s="2">
        <v>1</v>
      </c>
      <c r="AJ35" s="2" t="s">
        <v>55</v>
      </c>
      <c r="AK35" s="2">
        <v>1</v>
      </c>
      <c r="AL35" s="2">
        <v>1</v>
      </c>
      <c r="AM35" s="2">
        <v>1</v>
      </c>
      <c r="AN35" s="2">
        <v>1</v>
      </c>
      <c r="AO35" s="2">
        <v>0</v>
      </c>
      <c r="AP35" s="2">
        <v>0</v>
      </c>
      <c r="AQ35" s="2">
        <v>1</v>
      </c>
      <c r="AR35" s="2">
        <v>1</v>
      </c>
      <c r="AS35" s="5">
        <v>45366</v>
      </c>
      <c r="AT35" s="2">
        <v>0</v>
      </c>
      <c r="AU35" s="2">
        <v>0</v>
      </c>
      <c r="AV35" s="2">
        <f>Table2[[#This Row],[TTE date]]-Table2[[#This Row],[Date initial positive Bcx]]</f>
        <v>2</v>
      </c>
      <c r="AW35" s="2">
        <v>0</v>
      </c>
      <c r="BA35" s="2">
        <v>0</v>
      </c>
      <c r="BC35" s="2">
        <v>0</v>
      </c>
      <c r="BD35" s="2">
        <f>COUNTIFS(Table2[[#This Row],[Comorbidity present (at least 1)?]], "0",Table2[[#This Row],[Alternative source of infx?]], "1",Table2[[#This Row],[Abx used?]], "1", Table2[[#This Row],[&lt; 3 days defervescence or remained afebrile?]], "1",Table2[[#This Row],[WBC downtrend or remained nrml?]], "1")</f>
        <v>1</v>
      </c>
      <c r="BE35" s="2">
        <f>COUNTIFS(Table2[[#This Row],[&lt; 3 days defervescence or remained afebrile?]], "1",Table2[[#This Row],[WBC downtrend or remained nrml?]], "1")</f>
        <v>1</v>
      </c>
      <c r="BF35" s="2">
        <v>0</v>
      </c>
      <c r="BG35" s="2">
        <v>1</v>
      </c>
      <c r="BH35" s="2">
        <v>0</v>
      </c>
      <c r="BI35" s="2" t="s">
        <v>110</v>
      </c>
    </row>
    <row r="36" spans="1:61">
      <c r="A36" s="2">
        <v>35</v>
      </c>
      <c r="B36" s="5">
        <v>45390</v>
      </c>
      <c r="C36" s="5">
        <v>45425</v>
      </c>
      <c r="D36" s="2">
        <f t="shared" si="1"/>
        <v>35</v>
      </c>
      <c r="E36" s="2">
        <v>42</v>
      </c>
      <c r="F36" s="2">
        <v>2</v>
      </c>
      <c r="G36" s="2">
        <v>4</v>
      </c>
      <c r="H36" s="2">
        <v>1</v>
      </c>
      <c r="I36" s="2">
        <v>1</v>
      </c>
      <c r="J36" s="2">
        <v>0</v>
      </c>
      <c r="K36" s="2">
        <v>0</v>
      </c>
      <c r="L36" s="2">
        <v>0</v>
      </c>
      <c r="M36" s="2">
        <v>0</v>
      </c>
      <c r="N36" s="2">
        <v>0</v>
      </c>
      <c r="P36" t="s">
        <v>47</v>
      </c>
      <c r="Q36" s="51">
        <v>1</v>
      </c>
      <c r="R36" s="51">
        <v>0</v>
      </c>
      <c r="S36" s="51">
        <v>0</v>
      </c>
      <c r="T36" s="51">
        <v>0</v>
      </c>
      <c r="U36" s="2">
        <v>1</v>
      </c>
      <c r="V36" s="11">
        <v>5</v>
      </c>
      <c r="W36" s="5">
        <v>45393</v>
      </c>
      <c r="X36" s="5">
        <v>45398</v>
      </c>
      <c r="Y36" s="28">
        <f t="shared" si="0"/>
        <v>5</v>
      </c>
      <c r="Z36" s="2">
        <v>1</v>
      </c>
      <c r="AA36" s="2">
        <v>1</v>
      </c>
      <c r="AB36" s="2">
        <v>1</v>
      </c>
      <c r="AC36" s="2">
        <v>0</v>
      </c>
      <c r="AD36" s="2">
        <v>0</v>
      </c>
      <c r="AE36" s="2">
        <v>0</v>
      </c>
      <c r="AF36" s="2">
        <v>0</v>
      </c>
      <c r="AG36" s="2">
        <v>0</v>
      </c>
      <c r="AH36" s="2">
        <v>0</v>
      </c>
      <c r="AI36" s="2">
        <v>1</v>
      </c>
      <c r="AJ36" s="2" t="s">
        <v>48</v>
      </c>
      <c r="AK36" s="2">
        <v>1</v>
      </c>
      <c r="AL36" s="2">
        <v>1</v>
      </c>
      <c r="AM36" s="2">
        <v>0</v>
      </c>
      <c r="AN36" s="2">
        <v>0</v>
      </c>
      <c r="AO36" s="2">
        <v>1</v>
      </c>
      <c r="AP36" s="2">
        <v>0</v>
      </c>
      <c r="AQ36" s="2">
        <v>1</v>
      </c>
      <c r="AR36" s="2">
        <v>1</v>
      </c>
      <c r="AS36" s="5">
        <v>45397</v>
      </c>
      <c r="AT36" s="2">
        <v>0</v>
      </c>
      <c r="AU36" s="2">
        <v>0</v>
      </c>
      <c r="AV36" s="2">
        <f>Table2[[#This Row],[TTE date]]-Table2[[#This Row],[Date initial positive Bcx]]</f>
        <v>4</v>
      </c>
      <c r="AW36" s="2">
        <v>1</v>
      </c>
      <c r="AX36" s="5">
        <v>45397</v>
      </c>
      <c r="AY36" s="2">
        <v>0</v>
      </c>
      <c r="AZ36" s="2">
        <v>0</v>
      </c>
      <c r="BA36" s="2">
        <v>0</v>
      </c>
      <c r="BB36" s="2">
        <f>Table2[[#This Row],[TEE date]]-Table2[[#This Row],[Date initial positive Bcx]]</f>
        <v>4</v>
      </c>
      <c r="BC36" s="2">
        <v>0</v>
      </c>
      <c r="BD36" s="2">
        <f>COUNTIFS(Table2[[#This Row],[Comorbidity present (at least 1)?]], "0",Table2[[#This Row],[Alternative source of infx?]], "1",Table2[[#This Row],[Abx used?]], "1", Table2[[#This Row],[&lt; 3 days defervescence or remained afebrile?]], "1",Table2[[#This Row],[WBC downtrend or remained nrml?]], "1")</f>
        <v>0</v>
      </c>
      <c r="BE36" s="2">
        <f>COUNTIFS(Table2[[#This Row],[&lt; 3 days defervescence or remained afebrile?]], "1",Table2[[#This Row],[WBC downtrend or remained nrml?]], "1")</f>
        <v>0</v>
      </c>
      <c r="BF36" s="2">
        <v>0</v>
      </c>
      <c r="BG36" s="2">
        <v>1</v>
      </c>
      <c r="BH36" s="2">
        <v>1</v>
      </c>
      <c r="BI36" s="2" t="s">
        <v>111</v>
      </c>
    </row>
    <row r="37" spans="1:61">
      <c r="A37" s="8">
        <v>36</v>
      </c>
      <c r="B37" s="5">
        <v>45378</v>
      </c>
      <c r="C37" s="6">
        <v>45380</v>
      </c>
      <c r="D37" s="2">
        <f t="shared" si="1"/>
        <v>2</v>
      </c>
      <c r="E37" s="2">
        <v>64</v>
      </c>
      <c r="F37" s="2">
        <v>2</v>
      </c>
      <c r="G37" s="2">
        <v>2</v>
      </c>
      <c r="H37" s="2">
        <v>1</v>
      </c>
      <c r="I37" s="2">
        <v>0</v>
      </c>
      <c r="J37" s="2">
        <v>0</v>
      </c>
      <c r="K37" s="2">
        <v>0</v>
      </c>
      <c r="L37" s="2">
        <v>0</v>
      </c>
      <c r="M37" s="2">
        <v>0</v>
      </c>
      <c r="N37" s="2">
        <v>1</v>
      </c>
      <c r="O37" s="2" t="s">
        <v>63</v>
      </c>
      <c r="P37" t="s">
        <v>52</v>
      </c>
      <c r="Q37" s="51">
        <v>1</v>
      </c>
      <c r="R37" s="51">
        <v>0</v>
      </c>
      <c r="S37" s="51">
        <v>0</v>
      </c>
      <c r="T37" s="51">
        <v>0</v>
      </c>
      <c r="U37" s="2">
        <v>1</v>
      </c>
      <c r="V37" s="2">
        <v>3</v>
      </c>
      <c r="W37" s="5">
        <v>45378</v>
      </c>
      <c r="X37" s="5">
        <v>45379</v>
      </c>
      <c r="Y37" s="28">
        <f t="shared" si="0"/>
        <v>1</v>
      </c>
      <c r="Z37" s="2">
        <v>0</v>
      </c>
      <c r="AA37" s="2">
        <v>0</v>
      </c>
      <c r="AB37" s="2">
        <v>0</v>
      </c>
      <c r="AC37" s="2">
        <v>0</v>
      </c>
      <c r="AD37" s="2">
        <v>0</v>
      </c>
      <c r="AE37" s="2">
        <v>0</v>
      </c>
      <c r="AF37" s="2">
        <v>0</v>
      </c>
      <c r="AG37" s="2">
        <v>0</v>
      </c>
      <c r="AH37" s="2">
        <v>0</v>
      </c>
      <c r="AI37" s="2">
        <v>1</v>
      </c>
      <c r="AJ37" s="2" t="s">
        <v>55</v>
      </c>
      <c r="AK37" s="2">
        <v>1</v>
      </c>
      <c r="AL37" s="2">
        <v>1</v>
      </c>
      <c r="AM37" s="2">
        <v>1</v>
      </c>
      <c r="AN37" s="2">
        <v>1</v>
      </c>
      <c r="AO37" s="2">
        <v>0</v>
      </c>
      <c r="AP37" s="2">
        <v>0</v>
      </c>
      <c r="AQ37" s="2">
        <v>0</v>
      </c>
      <c r="AR37" s="2">
        <v>1</v>
      </c>
      <c r="AS37" s="5">
        <v>45379</v>
      </c>
      <c r="AT37" s="2">
        <v>1</v>
      </c>
      <c r="AU37" s="2">
        <v>1</v>
      </c>
      <c r="AV37" s="2">
        <f>Table2[[#This Row],[TTE date]]-Table2[[#This Row],[Date initial positive Bcx]]</f>
        <v>1</v>
      </c>
      <c r="AW37" s="2">
        <v>0</v>
      </c>
      <c r="BA37" s="2">
        <v>0</v>
      </c>
      <c r="BC37" s="2">
        <v>1</v>
      </c>
      <c r="BD37" s="2">
        <f>COUNTIFS(Table2[[#This Row],[Comorbidity present (at least 1)?]], "0",Table2[[#This Row],[Alternative source of infx?]], "1",Table2[[#This Row],[Abx used?]], "1", Table2[[#This Row],[&lt; 3 days defervescence or remained afebrile?]], "1",Table2[[#This Row],[WBC downtrend or remained nrml?]], "1")</f>
        <v>0</v>
      </c>
      <c r="BE37" s="2">
        <f>COUNTIFS(Table2[[#This Row],[&lt; 3 days defervescence or remained afebrile?]], "1",Table2[[#This Row],[WBC downtrend or remained nrml?]], "1")</f>
        <v>0</v>
      </c>
      <c r="BF37" s="2">
        <v>1</v>
      </c>
      <c r="BG37" s="2">
        <v>1</v>
      </c>
      <c r="BH37" s="2">
        <v>0</v>
      </c>
      <c r="BI37" s="2" t="s">
        <v>112</v>
      </c>
    </row>
    <row r="38" spans="1:61">
      <c r="A38" s="2">
        <v>37</v>
      </c>
      <c r="B38" s="5">
        <v>45379</v>
      </c>
      <c r="C38" s="5">
        <v>45390</v>
      </c>
      <c r="D38" s="2">
        <f t="shared" si="1"/>
        <v>11</v>
      </c>
      <c r="E38" s="2">
        <v>87</v>
      </c>
      <c r="F38" s="2">
        <v>2</v>
      </c>
      <c r="G38" s="2">
        <v>2</v>
      </c>
      <c r="H38" s="2">
        <v>1</v>
      </c>
      <c r="I38" s="2">
        <v>0</v>
      </c>
      <c r="J38" s="2">
        <v>0</v>
      </c>
      <c r="K38" s="2">
        <v>1</v>
      </c>
      <c r="L38" s="2">
        <v>0</v>
      </c>
      <c r="M38" s="2">
        <v>0</v>
      </c>
      <c r="N38" s="2">
        <v>0</v>
      </c>
      <c r="O38" s="2" t="s">
        <v>72</v>
      </c>
      <c r="P38" t="s">
        <v>52</v>
      </c>
      <c r="Q38" s="51">
        <v>1</v>
      </c>
      <c r="R38" s="51">
        <v>0</v>
      </c>
      <c r="S38" s="51">
        <v>0</v>
      </c>
      <c r="T38" s="51">
        <v>0</v>
      </c>
      <c r="U38" s="2">
        <v>1</v>
      </c>
      <c r="V38" s="2">
        <v>4</v>
      </c>
      <c r="W38" s="5">
        <v>45379</v>
      </c>
      <c r="X38" s="5">
        <v>45382</v>
      </c>
      <c r="Y38" s="28">
        <f t="shared" si="0"/>
        <v>3</v>
      </c>
      <c r="Z38" s="2">
        <v>0</v>
      </c>
      <c r="AA38" s="2">
        <v>0</v>
      </c>
      <c r="AB38" s="2">
        <v>0</v>
      </c>
      <c r="AC38" s="2">
        <v>0</v>
      </c>
      <c r="AD38" s="2">
        <v>0</v>
      </c>
      <c r="AE38" s="2">
        <v>0</v>
      </c>
      <c r="AF38" s="2">
        <v>0</v>
      </c>
      <c r="AG38" s="2">
        <v>0</v>
      </c>
      <c r="AH38" s="2">
        <v>0</v>
      </c>
      <c r="AI38" s="2">
        <v>1</v>
      </c>
      <c r="AJ38" s="2" t="s">
        <v>79</v>
      </c>
      <c r="AK38" s="2">
        <v>1</v>
      </c>
      <c r="AL38" s="2">
        <v>1</v>
      </c>
      <c r="AM38" s="2">
        <v>0</v>
      </c>
      <c r="AN38" s="2">
        <v>0</v>
      </c>
      <c r="AO38" s="2">
        <v>1</v>
      </c>
      <c r="AP38" s="2">
        <v>0</v>
      </c>
      <c r="AQ38" s="2">
        <v>0</v>
      </c>
      <c r="AR38" s="2">
        <v>1</v>
      </c>
      <c r="AS38" s="5">
        <v>45383</v>
      </c>
      <c r="AT38" s="2">
        <v>0</v>
      </c>
      <c r="AU38" s="2">
        <v>0</v>
      </c>
      <c r="AV38" s="2">
        <f>Table2[[#This Row],[TTE date]]-Table2[[#This Row],[Date initial positive Bcx]]</f>
        <v>4</v>
      </c>
      <c r="AW38" s="2">
        <v>0</v>
      </c>
      <c r="BA38" s="2">
        <v>0</v>
      </c>
      <c r="BC38" s="2">
        <v>0</v>
      </c>
      <c r="BD38" s="2">
        <f>COUNTIFS(Table2[[#This Row],[Comorbidity present (at least 1)?]], "0",Table2[[#This Row],[Alternative source of infx?]], "1",Table2[[#This Row],[Abx used?]], "1", Table2[[#This Row],[&lt; 3 days defervescence or remained afebrile?]], "1",Table2[[#This Row],[WBC downtrend or remained nrml?]], "1")</f>
        <v>0</v>
      </c>
      <c r="BE38" s="2">
        <f>COUNTIFS(Table2[[#This Row],[&lt; 3 days defervescence or remained afebrile?]], "1",Table2[[#This Row],[WBC downtrend or remained nrml?]], "1")</f>
        <v>0</v>
      </c>
      <c r="BF38" s="2">
        <v>1</v>
      </c>
      <c r="BG38" s="2">
        <v>1</v>
      </c>
      <c r="BH38" s="2">
        <v>1</v>
      </c>
      <c r="BI38" s="2" t="s">
        <v>113</v>
      </c>
    </row>
    <row r="39" spans="1:61" s="13" customFormat="1">
      <c r="A39" s="2">
        <v>38</v>
      </c>
      <c r="B39" s="18">
        <v>45381</v>
      </c>
      <c r="C39" s="18">
        <v>45412</v>
      </c>
      <c r="D39" s="13">
        <f t="shared" si="1"/>
        <v>31</v>
      </c>
      <c r="E39" s="13">
        <v>69</v>
      </c>
      <c r="F39" s="13">
        <v>2</v>
      </c>
      <c r="G39" s="13">
        <v>3</v>
      </c>
      <c r="H39" s="13">
        <v>0</v>
      </c>
      <c r="I39" s="13">
        <v>0</v>
      </c>
      <c r="J39" s="13">
        <v>0</v>
      </c>
      <c r="K39" s="13">
        <v>0</v>
      </c>
      <c r="L39" s="13">
        <v>0</v>
      </c>
      <c r="M39" s="13">
        <v>0</v>
      </c>
      <c r="N39" s="13">
        <v>0</v>
      </c>
      <c r="P39" s="14" t="s">
        <v>114</v>
      </c>
      <c r="Q39" s="52">
        <v>1</v>
      </c>
      <c r="R39" s="52">
        <v>0</v>
      </c>
      <c r="S39" s="52">
        <v>0</v>
      </c>
      <c r="T39" s="52">
        <v>0</v>
      </c>
      <c r="U39" s="13">
        <v>0</v>
      </c>
      <c r="V39" s="13">
        <v>1</v>
      </c>
      <c r="W39" s="18">
        <v>45381</v>
      </c>
      <c r="X39" s="18">
        <v>45381</v>
      </c>
      <c r="Y39" s="28">
        <f t="shared" si="0"/>
        <v>0</v>
      </c>
      <c r="Z39" s="13">
        <v>0</v>
      </c>
      <c r="AA39" s="13">
        <v>0</v>
      </c>
      <c r="AB39" s="13">
        <v>0</v>
      </c>
      <c r="AC39" s="13">
        <v>0</v>
      </c>
      <c r="AD39" s="13">
        <v>0</v>
      </c>
      <c r="AE39" s="13">
        <v>0</v>
      </c>
      <c r="AF39" s="13">
        <v>0</v>
      </c>
      <c r="AG39" s="13">
        <v>0</v>
      </c>
      <c r="AH39" s="13">
        <v>0</v>
      </c>
      <c r="AI39" s="13">
        <v>1</v>
      </c>
      <c r="AJ39" s="13" t="s">
        <v>48</v>
      </c>
      <c r="AK39" s="13">
        <v>1</v>
      </c>
      <c r="AL39" s="13">
        <v>1</v>
      </c>
      <c r="AM39" s="13">
        <v>1</v>
      </c>
      <c r="AN39" s="13">
        <v>1</v>
      </c>
      <c r="AO39" s="13">
        <v>0</v>
      </c>
      <c r="AP39" s="13">
        <v>0</v>
      </c>
      <c r="AQ39" s="13">
        <v>1</v>
      </c>
      <c r="AR39" s="13">
        <v>1</v>
      </c>
      <c r="AS39" s="18">
        <v>45383</v>
      </c>
      <c r="AT39" s="13">
        <v>0</v>
      </c>
      <c r="AU39" s="13">
        <v>1</v>
      </c>
      <c r="AV39" s="13">
        <f>Table2[[#This Row],[TTE date]]-Table2[[#This Row],[Date initial positive Bcx]]</f>
        <v>2</v>
      </c>
      <c r="AW39" s="13">
        <v>1</v>
      </c>
      <c r="AX39" s="18">
        <v>45385</v>
      </c>
      <c r="AY39" s="13">
        <v>0</v>
      </c>
      <c r="AZ39" s="13">
        <v>0</v>
      </c>
      <c r="BA39" s="13">
        <v>1</v>
      </c>
      <c r="BB39" s="13">
        <f>Table2[[#This Row],[TEE date]]-Table2[[#This Row],[Date initial positive Bcx]]</f>
        <v>4</v>
      </c>
      <c r="BC39" s="13">
        <v>0</v>
      </c>
      <c r="BD39" s="13">
        <f>COUNTIFS(Table2[[#This Row],[Comorbidity present (at least 1)?]], "0",Table2[[#This Row],[Alternative source of infx?]], "1",Table2[[#This Row],[Abx used?]], "1", Table2[[#This Row],[&lt; 3 days defervescence or remained afebrile?]], "1",Table2[[#This Row],[WBC downtrend or remained nrml?]], "1")</f>
        <v>0</v>
      </c>
      <c r="BE39" s="13">
        <f>COUNTIFS(Table2[[#This Row],[&lt; 3 days defervescence or remained afebrile?]], "1",Table2[[#This Row],[WBC downtrend or remained nrml?]], "1")</f>
        <v>1</v>
      </c>
      <c r="BF39" s="13">
        <v>0</v>
      </c>
      <c r="BG39" s="13">
        <v>1</v>
      </c>
      <c r="BH39" s="13">
        <v>0</v>
      </c>
      <c r="BI39" s="13" t="s">
        <v>115</v>
      </c>
    </row>
    <row r="40" spans="1:61">
      <c r="A40" s="2">
        <v>39</v>
      </c>
      <c r="B40" s="5">
        <v>45443</v>
      </c>
      <c r="C40" s="5">
        <v>45455</v>
      </c>
      <c r="D40" s="2">
        <f t="shared" si="1"/>
        <v>12</v>
      </c>
      <c r="E40" s="2">
        <v>70</v>
      </c>
      <c r="F40" s="2">
        <v>2</v>
      </c>
      <c r="G40" s="2">
        <v>2</v>
      </c>
      <c r="H40" s="2">
        <v>0</v>
      </c>
      <c r="I40" s="2">
        <v>0</v>
      </c>
      <c r="J40" s="2">
        <v>0</v>
      </c>
      <c r="K40" s="2">
        <v>0</v>
      </c>
      <c r="L40" s="2">
        <v>0</v>
      </c>
      <c r="M40" s="2">
        <v>0</v>
      </c>
      <c r="N40" s="2">
        <v>0</v>
      </c>
      <c r="P40" t="s">
        <v>116</v>
      </c>
      <c r="Q40" s="51">
        <v>0</v>
      </c>
      <c r="R40" s="51">
        <v>1</v>
      </c>
      <c r="S40" s="51">
        <v>0</v>
      </c>
      <c r="T40" s="51">
        <v>0</v>
      </c>
      <c r="U40" s="2">
        <v>0</v>
      </c>
      <c r="V40" s="2">
        <v>1</v>
      </c>
      <c r="W40" s="5">
        <v>45444</v>
      </c>
      <c r="X40" s="5">
        <v>45444</v>
      </c>
      <c r="Y40" s="28">
        <f t="shared" si="0"/>
        <v>0</v>
      </c>
      <c r="Z40" s="2">
        <v>1</v>
      </c>
      <c r="AA40" s="2">
        <v>1</v>
      </c>
      <c r="AB40" s="2">
        <v>0</v>
      </c>
      <c r="AC40" s="2">
        <v>0</v>
      </c>
      <c r="AD40" s="2">
        <v>0</v>
      </c>
      <c r="AE40" s="2">
        <v>0</v>
      </c>
      <c r="AF40" s="2">
        <v>0</v>
      </c>
      <c r="AG40" s="2">
        <v>0</v>
      </c>
      <c r="AH40" s="2">
        <v>0</v>
      </c>
      <c r="AI40" s="2">
        <v>1</v>
      </c>
      <c r="AJ40" s="2" t="s">
        <v>117</v>
      </c>
      <c r="AK40" s="2">
        <v>1</v>
      </c>
      <c r="AL40" s="2">
        <v>1</v>
      </c>
      <c r="AM40" s="2">
        <v>1</v>
      </c>
      <c r="AN40" s="2">
        <v>1</v>
      </c>
      <c r="AO40" s="2">
        <v>0</v>
      </c>
      <c r="AP40" s="2">
        <v>0</v>
      </c>
      <c r="AQ40" s="2">
        <v>1</v>
      </c>
      <c r="AR40" s="2">
        <v>1</v>
      </c>
      <c r="AS40" s="5">
        <v>45448</v>
      </c>
      <c r="AT40" s="2">
        <v>0</v>
      </c>
      <c r="AU40" s="2">
        <v>1</v>
      </c>
      <c r="AV40" s="2">
        <f>Table2[[#This Row],[TTE date]]-Table2[[#This Row],[Date initial positive Bcx]]</f>
        <v>4</v>
      </c>
      <c r="AW40" s="2">
        <v>0</v>
      </c>
      <c r="BA40" s="2">
        <v>0</v>
      </c>
      <c r="BC40" s="2">
        <v>0</v>
      </c>
      <c r="BD40" s="2">
        <f>COUNTIFS(Table2[[#This Row],[Comorbidity present (at least 1)?]], "0",Table2[[#This Row],[Alternative source of infx?]], "1",Table2[[#This Row],[Abx used?]], "1", Table2[[#This Row],[&lt; 3 days defervescence or remained afebrile?]], "1",Table2[[#This Row],[WBC downtrend or remained nrml?]], "1")</f>
        <v>1</v>
      </c>
      <c r="BE40" s="2">
        <f>COUNTIFS(Table2[[#This Row],[&lt; 3 days defervescence or remained afebrile?]], "1",Table2[[#This Row],[WBC downtrend or remained nrml?]], "1")</f>
        <v>1</v>
      </c>
      <c r="BF40" s="2">
        <v>0</v>
      </c>
      <c r="BG40" s="2">
        <v>1</v>
      </c>
      <c r="BH40" s="2">
        <v>0</v>
      </c>
      <c r="BI40" s="2" t="s">
        <v>118</v>
      </c>
    </row>
    <row r="41" spans="1:61">
      <c r="A41" s="2">
        <v>40</v>
      </c>
      <c r="B41" s="5">
        <v>45449</v>
      </c>
      <c r="C41" s="5">
        <v>45453</v>
      </c>
      <c r="D41" s="2">
        <f t="shared" si="1"/>
        <v>4</v>
      </c>
      <c r="E41" s="2">
        <v>78</v>
      </c>
      <c r="F41" s="2">
        <v>2</v>
      </c>
      <c r="G41" s="2">
        <v>2</v>
      </c>
      <c r="H41" s="2">
        <v>1</v>
      </c>
      <c r="I41" s="2">
        <v>0</v>
      </c>
      <c r="J41" s="2">
        <v>0</v>
      </c>
      <c r="K41" s="2">
        <v>0</v>
      </c>
      <c r="L41" s="2">
        <v>1</v>
      </c>
      <c r="M41" s="2">
        <v>0</v>
      </c>
      <c r="N41" s="2">
        <v>0</v>
      </c>
      <c r="P41" t="s">
        <v>119</v>
      </c>
      <c r="Q41" s="51">
        <v>0</v>
      </c>
      <c r="R41" s="51">
        <v>1</v>
      </c>
      <c r="S41" s="51">
        <v>0</v>
      </c>
      <c r="T41" s="51">
        <v>0</v>
      </c>
      <c r="U41" s="2">
        <v>0</v>
      </c>
      <c r="V41" s="2">
        <v>1</v>
      </c>
      <c r="W41" s="5">
        <v>45449</v>
      </c>
      <c r="X41" s="5">
        <v>45449</v>
      </c>
      <c r="Y41" s="28">
        <f t="shared" si="0"/>
        <v>0</v>
      </c>
      <c r="Z41" s="2">
        <v>1</v>
      </c>
      <c r="AA41" s="2">
        <v>0</v>
      </c>
      <c r="AB41" s="2">
        <v>0</v>
      </c>
      <c r="AC41" s="2">
        <v>0</v>
      </c>
      <c r="AD41" s="2">
        <v>0</v>
      </c>
      <c r="AE41" s="2">
        <v>0</v>
      </c>
      <c r="AF41" s="2">
        <v>0</v>
      </c>
      <c r="AG41" s="2">
        <v>0</v>
      </c>
      <c r="AH41" s="2">
        <v>1</v>
      </c>
      <c r="AI41" s="2">
        <v>1</v>
      </c>
      <c r="AJ41" s="2" t="s">
        <v>117</v>
      </c>
      <c r="AK41" s="11">
        <v>0</v>
      </c>
      <c r="AL41" s="2">
        <v>1</v>
      </c>
      <c r="AM41" s="2">
        <v>1</v>
      </c>
      <c r="AN41" s="2">
        <v>1</v>
      </c>
      <c r="AO41" s="2">
        <v>0</v>
      </c>
      <c r="AP41" s="2">
        <v>0</v>
      </c>
      <c r="AQ41" s="11">
        <v>1</v>
      </c>
      <c r="AR41" s="2">
        <v>0</v>
      </c>
      <c r="AW41" s="2">
        <v>0</v>
      </c>
      <c r="BA41" s="2">
        <v>0</v>
      </c>
      <c r="BC41" s="2">
        <v>0</v>
      </c>
      <c r="BD41" s="2">
        <f>COUNTIFS(Table2[[#This Row],[Comorbidity present (at least 1)?]], "0",Table2[[#This Row],[Alternative source of infx?]], "1",Table2[[#This Row],[Abx used?]], "1", Table2[[#This Row],[&lt; 3 days defervescence or remained afebrile?]], "1",Table2[[#This Row],[WBC downtrend or remained nrml?]], "1")</f>
        <v>0</v>
      </c>
      <c r="BE41" s="2">
        <f>COUNTIFS(Table2[[#This Row],[&lt; 3 days defervescence or remained afebrile?]], "1",Table2[[#This Row],[WBC downtrend or remained nrml?]], "1")</f>
        <v>1</v>
      </c>
      <c r="BF41" s="2">
        <v>0</v>
      </c>
      <c r="BG41" s="2">
        <v>1</v>
      </c>
      <c r="BH41" s="2">
        <v>0</v>
      </c>
      <c r="BI41" s="2" t="s">
        <v>120</v>
      </c>
    </row>
    <row r="42" spans="1:61">
      <c r="A42" s="2">
        <v>41</v>
      </c>
      <c r="B42" s="5">
        <v>45450</v>
      </c>
      <c r="C42" s="5">
        <v>45456</v>
      </c>
      <c r="D42" s="2">
        <f t="shared" si="1"/>
        <v>6</v>
      </c>
      <c r="E42" s="2">
        <v>71</v>
      </c>
      <c r="F42" s="2">
        <v>1</v>
      </c>
      <c r="G42" s="2">
        <v>2</v>
      </c>
      <c r="H42" s="2">
        <v>1</v>
      </c>
      <c r="I42" s="2">
        <v>0</v>
      </c>
      <c r="J42" s="2">
        <v>1</v>
      </c>
      <c r="K42" s="2">
        <v>0</v>
      </c>
      <c r="L42" s="2">
        <v>0</v>
      </c>
      <c r="M42" s="2">
        <v>0</v>
      </c>
      <c r="N42" s="2">
        <v>0</v>
      </c>
      <c r="P42" t="s">
        <v>121</v>
      </c>
      <c r="Q42" s="51">
        <v>0</v>
      </c>
      <c r="R42" s="51">
        <v>1</v>
      </c>
      <c r="S42" s="51">
        <v>0</v>
      </c>
      <c r="T42" s="51">
        <v>0</v>
      </c>
      <c r="U42" s="2">
        <v>0</v>
      </c>
      <c r="V42" s="2">
        <v>1</v>
      </c>
      <c r="W42" s="5">
        <v>45450</v>
      </c>
      <c r="X42" s="5">
        <v>45450</v>
      </c>
      <c r="Y42" s="28">
        <f t="shared" si="0"/>
        <v>0</v>
      </c>
      <c r="Z42" s="2">
        <v>0</v>
      </c>
      <c r="AA42" s="2">
        <v>0</v>
      </c>
      <c r="AB42" s="2">
        <v>0</v>
      </c>
      <c r="AC42" s="2">
        <v>0</v>
      </c>
      <c r="AD42" s="2">
        <v>0</v>
      </c>
      <c r="AE42" s="2">
        <v>0</v>
      </c>
      <c r="AF42" s="2">
        <v>0</v>
      </c>
      <c r="AG42" s="2">
        <v>0</v>
      </c>
      <c r="AH42" s="2">
        <v>0</v>
      </c>
      <c r="AI42" s="2">
        <v>1</v>
      </c>
      <c r="AJ42" s="2" t="s">
        <v>117</v>
      </c>
      <c r="AK42" s="2">
        <v>1</v>
      </c>
      <c r="AL42" s="2">
        <v>1</v>
      </c>
      <c r="AM42" s="2">
        <v>1</v>
      </c>
      <c r="AN42" s="2">
        <v>1</v>
      </c>
      <c r="AO42" s="2">
        <v>0</v>
      </c>
      <c r="AP42" s="2">
        <v>0</v>
      </c>
      <c r="AQ42" s="2">
        <v>1</v>
      </c>
      <c r="AR42" s="2">
        <v>1</v>
      </c>
      <c r="AS42" s="5">
        <v>45453</v>
      </c>
      <c r="AT42" s="2">
        <v>0</v>
      </c>
      <c r="AU42" s="2">
        <v>0</v>
      </c>
      <c r="AV42" s="2">
        <f>Table2[[#This Row],[TTE date]]-Table2[[#This Row],[Date initial positive Bcx]]</f>
        <v>3</v>
      </c>
      <c r="AW42" s="2">
        <v>1</v>
      </c>
      <c r="AX42" s="5">
        <v>45455</v>
      </c>
      <c r="AY42" s="2">
        <v>0</v>
      </c>
      <c r="AZ42" s="2">
        <v>1</v>
      </c>
      <c r="BA42" s="2">
        <v>0</v>
      </c>
      <c r="BB42" s="2">
        <f>Table2[[#This Row],[TEE date]]-Table2[[#This Row],[Date initial positive Bcx]]</f>
        <v>5</v>
      </c>
      <c r="BC42" s="2">
        <v>0</v>
      </c>
      <c r="BD42" s="2">
        <f>COUNTIFS(Table2[[#This Row],[Comorbidity present (at least 1)?]], "0",Table2[[#This Row],[Alternative source of infx?]], "1",Table2[[#This Row],[Abx used?]], "1", Table2[[#This Row],[&lt; 3 days defervescence or remained afebrile?]], "1",Table2[[#This Row],[WBC downtrend or remained nrml?]], "1")</f>
        <v>0</v>
      </c>
      <c r="BE42" s="2">
        <f>COUNTIFS(Table2[[#This Row],[&lt; 3 days defervescence or remained afebrile?]], "1",Table2[[#This Row],[WBC downtrend or remained nrml?]], "1")</f>
        <v>1</v>
      </c>
      <c r="BF42" s="2">
        <v>0</v>
      </c>
      <c r="BG42" s="2">
        <v>1</v>
      </c>
      <c r="BH42" s="2">
        <v>1</v>
      </c>
      <c r="BI42" s="2" t="s">
        <v>122</v>
      </c>
    </row>
    <row r="43" spans="1:61">
      <c r="A43" s="2">
        <v>42</v>
      </c>
      <c r="B43" s="5">
        <v>45455</v>
      </c>
      <c r="C43" s="5">
        <v>45462</v>
      </c>
      <c r="D43" s="2">
        <f t="shared" si="1"/>
        <v>7</v>
      </c>
      <c r="E43" s="2">
        <v>83</v>
      </c>
      <c r="F43" s="2">
        <v>1</v>
      </c>
      <c r="G43" s="2">
        <v>5</v>
      </c>
      <c r="H43" s="2">
        <v>0</v>
      </c>
      <c r="I43" s="2">
        <v>0</v>
      </c>
      <c r="J43" s="2">
        <v>0</v>
      </c>
      <c r="K43" s="2">
        <v>0</v>
      </c>
      <c r="L43" s="2">
        <v>0</v>
      </c>
      <c r="M43" s="2">
        <v>0</v>
      </c>
      <c r="N43" s="2">
        <v>0</v>
      </c>
      <c r="P43" t="s">
        <v>119</v>
      </c>
      <c r="Q43" s="51">
        <v>0</v>
      </c>
      <c r="R43" s="51">
        <v>1</v>
      </c>
      <c r="S43" s="51">
        <v>0</v>
      </c>
      <c r="T43" s="51">
        <v>0</v>
      </c>
      <c r="U43" s="2">
        <v>0</v>
      </c>
      <c r="V43" s="2">
        <v>1</v>
      </c>
      <c r="W43" s="5">
        <v>45455</v>
      </c>
      <c r="X43" s="5">
        <v>45455</v>
      </c>
      <c r="Y43" s="28">
        <f t="shared" si="0"/>
        <v>0</v>
      </c>
      <c r="Z43" s="2">
        <v>1</v>
      </c>
      <c r="AA43" s="2">
        <v>0</v>
      </c>
      <c r="AB43" s="2">
        <v>0</v>
      </c>
      <c r="AC43" s="2">
        <v>0</v>
      </c>
      <c r="AD43" s="2">
        <v>1</v>
      </c>
      <c r="AE43" s="2">
        <v>0</v>
      </c>
      <c r="AF43" s="2">
        <v>0</v>
      </c>
      <c r="AG43" s="2">
        <v>0</v>
      </c>
      <c r="AH43" s="2">
        <v>0</v>
      </c>
      <c r="AI43" s="2">
        <v>1</v>
      </c>
      <c r="AJ43" s="2" t="s">
        <v>117</v>
      </c>
      <c r="AK43" s="2">
        <v>1</v>
      </c>
      <c r="AL43" s="2">
        <v>1</v>
      </c>
      <c r="AM43" s="2">
        <v>1</v>
      </c>
      <c r="AN43" s="2">
        <v>1</v>
      </c>
      <c r="AO43" s="2">
        <v>0</v>
      </c>
      <c r="AP43" s="2">
        <v>0</v>
      </c>
      <c r="AQ43" s="2">
        <v>1</v>
      </c>
      <c r="AR43" s="2">
        <v>1</v>
      </c>
      <c r="AS43" s="5">
        <v>45457</v>
      </c>
      <c r="AT43" s="2">
        <v>1</v>
      </c>
      <c r="AU43" s="2">
        <v>0</v>
      </c>
      <c r="AV43" s="2">
        <f>Table2[[#This Row],[TTE date]]-Table2[[#This Row],[Date initial positive Bcx]]</f>
        <v>2</v>
      </c>
      <c r="AW43" s="2">
        <v>0</v>
      </c>
      <c r="AX43" s="5"/>
      <c r="BA43" s="2">
        <v>0</v>
      </c>
      <c r="BC43" s="2">
        <v>0</v>
      </c>
      <c r="BD43" s="2">
        <f>COUNTIFS(Table2[[#This Row],[Comorbidity present (at least 1)?]], "0",Table2[[#This Row],[Alternative source of infx?]], "1",Table2[[#This Row],[Abx used?]], "1", Table2[[#This Row],[&lt; 3 days defervescence or remained afebrile?]], "1",Table2[[#This Row],[WBC downtrend or remained nrml?]], "1")</f>
        <v>1</v>
      </c>
      <c r="BE43" s="2">
        <f>COUNTIFS(Table2[[#This Row],[&lt; 3 days defervescence or remained afebrile?]], "1",Table2[[#This Row],[WBC downtrend or remained nrml?]], "1")</f>
        <v>1</v>
      </c>
      <c r="BF43" s="2">
        <v>1</v>
      </c>
      <c r="BG43" s="2">
        <v>1</v>
      </c>
      <c r="BH43" s="2">
        <v>0</v>
      </c>
      <c r="BI43" s="2" t="s">
        <v>123</v>
      </c>
    </row>
    <row r="44" spans="1:61">
      <c r="A44" s="2">
        <v>43</v>
      </c>
      <c r="B44" s="5">
        <v>45460</v>
      </c>
      <c r="C44" s="5">
        <v>45465</v>
      </c>
      <c r="D44" s="2">
        <f t="shared" si="1"/>
        <v>5</v>
      </c>
      <c r="E44" s="2">
        <v>65</v>
      </c>
      <c r="F44" s="2">
        <v>1</v>
      </c>
      <c r="G44" s="2">
        <v>3</v>
      </c>
      <c r="H44" s="2">
        <v>0</v>
      </c>
      <c r="I44" s="2">
        <v>0</v>
      </c>
      <c r="J44" s="2">
        <v>0</v>
      </c>
      <c r="K44" s="2">
        <v>0</v>
      </c>
      <c r="L44" s="2">
        <v>0</v>
      </c>
      <c r="M44" s="2">
        <v>0</v>
      </c>
      <c r="N44" s="2">
        <v>0</v>
      </c>
      <c r="P44" t="s">
        <v>119</v>
      </c>
      <c r="Q44" s="51">
        <v>0</v>
      </c>
      <c r="R44" s="51">
        <v>1</v>
      </c>
      <c r="S44" s="51">
        <v>0</v>
      </c>
      <c r="T44" s="51">
        <v>0</v>
      </c>
      <c r="U44" s="2">
        <v>0</v>
      </c>
      <c r="V44" s="2">
        <v>1</v>
      </c>
      <c r="W44" s="5">
        <v>45460</v>
      </c>
      <c r="X44" s="5">
        <v>45460</v>
      </c>
      <c r="Y44" s="28">
        <f t="shared" si="0"/>
        <v>0</v>
      </c>
      <c r="Z44" s="2">
        <v>1</v>
      </c>
      <c r="AA44" s="2">
        <v>0</v>
      </c>
      <c r="AB44" s="2">
        <v>0</v>
      </c>
      <c r="AC44" s="2">
        <v>0</v>
      </c>
      <c r="AD44" s="2">
        <v>0</v>
      </c>
      <c r="AE44" s="2">
        <v>0</v>
      </c>
      <c r="AF44" s="2">
        <v>1</v>
      </c>
      <c r="AG44" s="2">
        <v>0</v>
      </c>
      <c r="AH44" s="2">
        <v>0</v>
      </c>
      <c r="AI44" s="2">
        <v>1</v>
      </c>
      <c r="AJ44" s="2" t="s">
        <v>117</v>
      </c>
      <c r="AK44" s="11">
        <v>0</v>
      </c>
      <c r="AL44" s="2">
        <v>0</v>
      </c>
      <c r="AM44" s="2">
        <v>1</v>
      </c>
      <c r="AN44" s="2">
        <v>0</v>
      </c>
      <c r="AO44" s="2">
        <v>0</v>
      </c>
      <c r="AP44" s="2">
        <v>1</v>
      </c>
      <c r="AQ44" s="2">
        <v>1</v>
      </c>
      <c r="AR44" s="2">
        <v>1</v>
      </c>
      <c r="AS44" s="5">
        <v>45463</v>
      </c>
      <c r="AT44" s="2">
        <v>0</v>
      </c>
      <c r="AU44" s="2">
        <v>1</v>
      </c>
      <c r="AV44" s="2">
        <f>Table2[[#This Row],[TTE date]]-Table2[[#This Row],[Date initial positive Bcx]]</f>
        <v>3</v>
      </c>
      <c r="AW44" s="2">
        <v>0</v>
      </c>
      <c r="BA44" s="2">
        <v>0</v>
      </c>
      <c r="BC44" s="2">
        <v>0</v>
      </c>
      <c r="BD44" s="2">
        <f>COUNTIFS(Table2[[#This Row],[Comorbidity present (at least 1)?]], "0",Table2[[#This Row],[Alternative source of infx?]], "1",Table2[[#This Row],[Abx used?]], "1", Table2[[#This Row],[&lt; 3 days defervescence or remained afebrile?]], "1",Table2[[#This Row],[WBC downtrend or remained nrml?]], "1")</f>
        <v>1</v>
      </c>
      <c r="BE44" s="2">
        <f>COUNTIFS(Table2[[#This Row],[&lt; 3 days defervescence or remained afebrile?]], "1",Table2[[#This Row],[WBC downtrend or remained nrml?]], "1")</f>
        <v>1</v>
      </c>
      <c r="BF44" s="2">
        <v>0</v>
      </c>
      <c r="BG44" s="2">
        <v>0</v>
      </c>
      <c r="BH44" s="2">
        <v>0</v>
      </c>
      <c r="BI44" s="2" t="s">
        <v>124</v>
      </c>
    </row>
    <row r="45" spans="1:61">
      <c r="A45" s="2">
        <v>44</v>
      </c>
      <c r="B45" s="5">
        <v>45473</v>
      </c>
      <c r="C45" s="5">
        <v>45483</v>
      </c>
      <c r="D45" s="2">
        <f t="shared" si="1"/>
        <v>10</v>
      </c>
      <c r="E45" s="2">
        <v>55</v>
      </c>
      <c r="F45" s="2">
        <v>2</v>
      </c>
      <c r="G45" s="2">
        <v>2</v>
      </c>
      <c r="H45" s="2">
        <v>1</v>
      </c>
      <c r="I45" s="2">
        <v>0</v>
      </c>
      <c r="J45" s="2">
        <v>0</v>
      </c>
      <c r="K45" s="2">
        <v>0</v>
      </c>
      <c r="L45" s="2">
        <v>1</v>
      </c>
      <c r="M45" s="2">
        <v>0</v>
      </c>
      <c r="N45" s="2">
        <v>0</v>
      </c>
      <c r="P45" t="s">
        <v>125</v>
      </c>
      <c r="Q45" s="51">
        <v>0</v>
      </c>
      <c r="R45" s="51">
        <v>1</v>
      </c>
      <c r="S45" s="51">
        <v>0</v>
      </c>
      <c r="T45" s="51">
        <v>0</v>
      </c>
      <c r="U45" s="2">
        <v>0</v>
      </c>
      <c r="V45" s="2">
        <v>1</v>
      </c>
      <c r="W45" s="5">
        <v>45473</v>
      </c>
      <c r="X45" s="5">
        <v>45473</v>
      </c>
      <c r="Y45" s="28">
        <f t="shared" si="0"/>
        <v>0</v>
      </c>
      <c r="Z45" s="2">
        <v>0</v>
      </c>
      <c r="AA45" s="2">
        <v>0</v>
      </c>
      <c r="AB45" s="2">
        <v>0</v>
      </c>
      <c r="AC45" s="2">
        <v>0</v>
      </c>
      <c r="AD45" s="2">
        <v>0</v>
      </c>
      <c r="AE45" s="2">
        <v>0</v>
      </c>
      <c r="AF45" s="2">
        <v>0</v>
      </c>
      <c r="AG45" s="2">
        <v>0</v>
      </c>
      <c r="AH45" s="2">
        <v>0</v>
      </c>
      <c r="AI45" s="2">
        <v>1</v>
      </c>
      <c r="AJ45" s="2" t="s">
        <v>126</v>
      </c>
      <c r="AK45" s="11">
        <v>0</v>
      </c>
      <c r="AL45" s="2">
        <v>1</v>
      </c>
      <c r="AM45" s="2">
        <v>0</v>
      </c>
      <c r="AN45" s="2">
        <v>0</v>
      </c>
      <c r="AO45" s="2">
        <v>1</v>
      </c>
      <c r="AP45" s="2">
        <v>0</v>
      </c>
      <c r="AQ45" s="2">
        <v>1</v>
      </c>
      <c r="AR45" s="2">
        <v>1</v>
      </c>
      <c r="AS45" s="5">
        <v>45475</v>
      </c>
      <c r="AT45" s="2">
        <v>0</v>
      </c>
      <c r="AU45" s="2">
        <v>0</v>
      </c>
      <c r="AV45" s="2">
        <f>Table2[[#This Row],[TTE date]]-Table2[[#This Row],[Date initial positive Bcx]]</f>
        <v>2</v>
      </c>
      <c r="AW45" s="2">
        <v>0</v>
      </c>
      <c r="BA45" s="2">
        <v>0</v>
      </c>
      <c r="BC45" s="2">
        <v>0</v>
      </c>
      <c r="BD45" s="2">
        <f>COUNTIFS(Table2[[#This Row],[Comorbidity present (at least 1)?]], "0",Table2[[#This Row],[Alternative source of infx?]], "1",Table2[[#This Row],[Abx used?]], "1", Table2[[#This Row],[&lt; 3 days defervescence or remained afebrile?]], "1",Table2[[#This Row],[WBC downtrend or remained nrml?]], "1")</f>
        <v>0</v>
      </c>
      <c r="BE45" s="2">
        <f>COUNTIFS(Table2[[#This Row],[&lt; 3 days defervescence or remained afebrile?]], "1",Table2[[#This Row],[WBC downtrend or remained nrml?]], "1")</f>
        <v>0</v>
      </c>
      <c r="BF45" s="2">
        <v>0</v>
      </c>
      <c r="BG45" s="2">
        <v>1</v>
      </c>
      <c r="BH45" s="2">
        <v>0</v>
      </c>
      <c r="BI45" s="2" t="s">
        <v>127</v>
      </c>
    </row>
    <row r="46" spans="1:61">
      <c r="A46" s="2">
        <v>45</v>
      </c>
      <c r="B46" s="5">
        <v>45421</v>
      </c>
      <c r="C46" s="5">
        <v>45426</v>
      </c>
      <c r="D46" s="2">
        <f t="shared" si="1"/>
        <v>5</v>
      </c>
      <c r="E46" s="2">
        <v>58</v>
      </c>
      <c r="F46" s="2">
        <v>1</v>
      </c>
      <c r="G46" s="2">
        <v>3</v>
      </c>
      <c r="H46" s="2">
        <v>0</v>
      </c>
      <c r="I46" s="2">
        <v>0</v>
      </c>
      <c r="J46" s="2">
        <v>0</v>
      </c>
      <c r="K46" s="2">
        <v>0</v>
      </c>
      <c r="L46" s="2">
        <v>0</v>
      </c>
      <c r="M46" s="2">
        <v>0</v>
      </c>
      <c r="N46" s="2">
        <v>1</v>
      </c>
      <c r="O46" s="2" t="s">
        <v>128</v>
      </c>
      <c r="P46" t="s">
        <v>116</v>
      </c>
      <c r="Q46" s="51">
        <v>0</v>
      </c>
      <c r="R46" s="51">
        <v>1</v>
      </c>
      <c r="S46" s="51">
        <v>0</v>
      </c>
      <c r="T46" s="51">
        <v>0</v>
      </c>
      <c r="U46" s="2">
        <v>0</v>
      </c>
      <c r="V46" s="2">
        <v>1</v>
      </c>
      <c r="W46" s="5">
        <v>45421</v>
      </c>
      <c r="X46" s="5">
        <v>45421</v>
      </c>
      <c r="Y46" s="28">
        <f t="shared" si="0"/>
        <v>0</v>
      </c>
      <c r="Z46" s="2">
        <v>1</v>
      </c>
      <c r="AA46" s="2">
        <v>0</v>
      </c>
      <c r="AB46" s="2">
        <v>0</v>
      </c>
      <c r="AC46" s="2">
        <v>0</v>
      </c>
      <c r="AD46" s="2">
        <v>0</v>
      </c>
      <c r="AE46" s="2">
        <v>0</v>
      </c>
      <c r="AF46" s="2">
        <v>0</v>
      </c>
      <c r="AG46" s="2">
        <v>0</v>
      </c>
      <c r="AH46" s="2">
        <v>1</v>
      </c>
      <c r="AI46" s="2">
        <v>1</v>
      </c>
      <c r="AJ46" s="2" t="s">
        <v>129</v>
      </c>
      <c r="AK46" s="11">
        <v>0</v>
      </c>
      <c r="AL46" s="2">
        <v>1</v>
      </c>
      <c r="AM46" s="2">
        <v>1</v>
      </c>
      <c r="AN46" s="2">
        <v>1</v>
      </c>
      <c r="AO46" s="2">
        <v>0</v>
      </c>
      <c r="AP46" s="2">
        <v>0</v>
      </c>
      <c r="AQ46" s="2">
        <v>1</v>
      </c>
      <c r="AR46" s="2">
        <v>1</v>
      </c>
      <c r="AS46" s="5">
        <v>45422</v>
      </c>
      <c r="AT46" s="2">
        <v>0</v>
      </c>
      <c r="AU46" s="2">
        <v>0</v>
      </c>
      <c r="AV46" s="2">
        <f>Table2[[#This Row],[TTE date]]-Table2[[#This Row],[Date initial positive Bcx]]</f>
        <v>1</v>
      </c>
      <c r="AW46" s="2">
        <v>1</v>
      </c>
      <c r="AX46" s="5">
        <v>45425</v>
      </c>
      <c r="AY46" s="2">
        <v>1</v>
      </c>
      <c r="AZ46" s="2">
        <v>0</v>
      </c>
      <c r="BA46" s="2">
        <v>1</v>
      </c>
      <c r="BB46" s="2">
        <f>Table2[[#This Row],[TEE date]]-Table2[[#This Row],[Date initial positive Bcx]]</f>
        <v>4</v>
      </c>
      <c r="BC46" s="2">
        <v>0</v>
      </c>
      <c r="BD46" s="2">
        <f>COUNTIFS(Table2[[#This Row],[Comorbidity present (at least 1)?]], "0",Table2[[#This Row],[Alternative source of infx?]], "1",Table2[[#This Row],[Abx used?]], "1", Table2[[#This Row],[&lt; 3 days defervescence or remained afebrile?]], "1",Table2[[#This Row],[WBC downtrend or remained nrml?]], "1")</f>
        <v>1</v>
      </c>
      <c r="BE46" s="2">
        <f>COUNTIFS(Table2[[#This Row],[&lt; 3 days defervescence or remained afebrile?]], "1",Table2[[#This Row],[WBC downtrend or remained nrml?]], "1")</f>
        <v>1</v>
      </c>
      <c r="BF46" s="2">
        <v>1</v>
      </c>
      <c r="BG46" s="2">
        <v>1</v>
      </c>
      <c r="BH46" s="2">
        <v>0</v>
      </c>
      <c r="BI46" s="2" t="s">
        <v>130</v>
      </c>
    </row>
    <row r="47" spans="1:61">
      <c r="A47" s="8">
        <v>46</v>
      </c>
      <c r="B47" s="5">
        <v>45428</v>
      </c>
      <c r="C47" s="6">
        <v>45448</v>
      </c>
      <c r="D47" s="2">
        <f t="shared" si="1"/>
        <v>20</v>
      </c>
      <c r="E47" s="2">
        <v>77</v>
      </c>
      <c r="F47" s="2">
        <v>1</v>
      </c>
      <c r="G47" s="2">
        <v>2</v>
      </c>
      <c r="H47" s="2">
        <v>0</v>
      </c>
      <c r="I47" s="2">
        <v>0</v>
      </c>
      <c r="J47" s="2">
        <v>0</v>
      </c>
      <c r="K47" s="2">
        <v>0</v>
      </c>
      <c r="L47" s="2">
        <v>0</v>
      </c>
      <c r="M47" s="2">
        <v>0</v>
      </c>
      <c r="N47" s="2">
        <v>0</v>
      </c>
      <c r="P47" t="s">
        <v>119</v>
      </c>
      <c r="Q47" s="51">
        <v>0</v>
      </c>
      <c r="R47" s="51">
        <v>1</v>
      </c>
      <c r="S47" s="51">
        <v>0</v>
      </c>
      <c r="T47" s="51">
        <v>0</v>
      </c>
      <c r="U47" s="2">
        <v>0</v>
      </c>
      <c r="V47" s="2">
        <v>1</v>
      </c>
      <c r="W47" s="5">
        <v>45429</v>
      </c>
      <c r="X47" s="5">
        <v>45429</v>
      </c>
      <c r="Y47" s="28">
        <f t="shared" si="0"/>
        <v>0</v>
      </c>
      <c r="Z47" s="2">
        <v>1</v>
      </c>
      <c r="AA47" s="2">
        <v>0</v>
      </c>
      <c r="AB47" s="2">
        <v>0</v>
      </c>
      <c r="AC47" s="2">
        <v>0</v>
      </c>
      <c r="AD47" s="2">
        <v>0</v>
      </c>
      <c r="AE47" s="2">
        <v>0</v>
      </c>
      <c r="AF47" s="2">
        <v>0</v>
      </c>
      <c r="AG47" s="2">
        <v>0</v>
      </c>
      <c r="AH47" s="2">
        <v>1</v>
      </c>
      <c r="AI47" s="2">
        <v>1</v>
      </c>
      <c r="AJ47" s="11" t="s">
        <v>91</v>
      </c>
      <c r="AK47" s="2">
        <v>1</v>
      </c>
      <c r="AL47" s="2">
        <v>1</v>
      </c>
      <c r="AM47" s="2">
        <v>0</v>
      </c>
      <c r="AN47" s="2">
        <v>0</v>
      </c>
      <c r="AO47" s="2">
        <v>1</v>
      </c>
      <c r="AP47" s="2">
        <v>0</v>
      </c>
      <c r="AQ47" s="2">
        <v>0</v>
      </c>
      <c r="AR47" s="2">
        <v>1</v>
      </c>
      <c r="AS47" s="5">
        <v>45433</v>
      </c>
      <c r="AT47" s="2">
        <v>0</v>
      </c>
      <c r="AU47" s="2">
        <v>0</v>
      </c>
      <c r="AV47" s="2">
        <f>Table2[[#This Row],[TTE date]]-Table2[[#This Row],[Date initial positive Bcx]]</f>
        <v>4</v>
      </c>
      <c r="AW47" s="2">
        <v>1</v>
      </c>
      <c r="AX47" s="5">
        <v>45434</v>
      </c>
      <c r="AY47" s="2">
        <v>0</v>
      </c>
      <c r="AZ47" s="2">
        <v>0</v>
      </c>
      <c r="BA47" s="2">
        <v>0</v>
      </c>
      <c r="BB47" s="2">
        <f>Table2[[#This Row],[TEE date]]-Table2[[#This Row],[Date initial positive Bcx]]</f>
        <v>5</v>
      </c>
      <c r="BC47" s="2">
        <v>1</v>
      </c>
      <c r="BD47" s="2">
        <f>COUNTIFS(Table2[[#This Row],[Comorbidity present (at least 1)?]], "0",Table2[[#This Row],[Alternative source of infx?]], "1",Table2[[#This Row],[Abx used?]], "1", Table2[[#This Row],[&lt; 3 days defervescence or remained afebrile?]], "1",Table2[[#This Row],[WBC downtrend or remained nrml?]], "1")</f>
        <v>0</v>
      </c>
      <c r="BE47" s="2">
        <f>COUNTIFS(Table2[[#This Row],[&lt; 3 days defervescence or remained afebrile?]], "1",Table2[[#This Row],[WBC downtrend or remained nrml?]], "1")</f>
        <v>0</v>
      </c>
      <c r="BF47" s="2">
        <v>0</v>
      </c>
      <c r="BG47" s="2">
        <v>1</v>
      </c>
      <c r="BH47" s="2">
        <v>0</v>
      </c>
      <c r="BI47" s="2" t="s">
        <v>132</v>
      </c>
    </row>
    <row r="48" spans="1:61">
      <c r="A48" s="8">
        <v>47</v>
      </c>
      <c r="B48" s="5">
        <v>45433</v>
      </c>
      <c r="C48" s="6">
        <v>45447</v>
      </c>
      <c r="D48" s="2">
        <f t="shared" si="1"/>
        <v>14</v>
      </c>
      <c r="E48" s="2">
        <v>75</v>
      </c>
      <c r="F48" s="2">
        <v>1</v>
      </c>
      <c r="G48" s="2">
        <v>2</v>
      </c>
      <c r="H48" s="2">
        <v>0</v>
      </c>
      <c r="I48" s="2">
        <v>0</v>
      </c>
      <c r="J48" s="2">
        <v>0</v>
      </c>
      <c r="K48" s="2">
        <v>0</v>
      </c>
      <c r="L48" s="2">
        <v>0</v>
      </c>
      <c r="M48" s="2">
        <v>0</v>
      </c>
      <c r="N48" s="2">
        <v>0</v>
      </c>
      <c r="P48" t="s">
        <v>119</v>
      </c>
      <c r="Q48" s="51">
        <v>0</v>
      </c>
      <c r="R48" s="51">
        <v>1</v>
      </c>
      <c r="S48" s="51">
        <v>0</v>
      </c>
      <c r="T48" s="51">
        <v>0</v>
      </c>
      <c r="U48" s="2">
        <v>0</v>
      </c>
      <c r="V48" s="2">
        <v>1</v>
      </c>
      <c r="W48" s="5">
        <v>45433</v>
      </c>
      <c r="X48" s="5">
        <v>45433</v>
      </c>
      <c r="Y48" s="28">
        <f t="shared" si="0"/>
        <v>0</v>
      </c>
      <c r="Z48" s="2">
        <v>0</v>
      </c>
      <c r="AA48" s="2">
        <v>0</v>
      </c>
      <c r="AB48" s="2">
        <v>0</v>
      </c>
      <c r="AC48" s="2">
        <v>0</v>
      </c>
      <c r="AD48" s="2">
        <v>0</v>
      </c>
      <c r="AE48" s="2">
        <v>0</v>
      </c>
      <c r="AF48" s="2">
        <v>0</v>
      </c>
      <c r="AG48" s="2">
        <v>0</v>
      </c>
      <c r="AH48" s="2">
        <v>0</v>
      </c>
      <c r="AI48" s="2">
        <v>1</v>
      </c>
      <c r="AJ48" s="2" t="s">
        <v>117</v>
      </c>
      <c r="AK48" s="11">
        <v>0</v>
      </c>
      <c r="AL48" s="2">
        <v>0</v>
      </c>
      <c r="AM48" s="2">
        <v>1</v>
      </c>
      <c r="AN48" s="2">
        <v>0</v>
      </c>
      <c r="AO48" s="2">
        <v>0</v>
      </c>
      <c r="AP48" s="2">
        <v>1</v>
      </c>
      <c r="AQ48" s="2">
        <v>1</v>
      </c>
      <c r="AR48" s="2">
        <v>1</v>
      </c>
      <c r="AS48" s="5">
        <v>45436</v>
      </c>
      <c r="AT48" s="2">
        <v>0</v>
      </c>
      <c r="AU48" s="2">
        <v>0</v>
      </c>
      <c r="AV48" s="2">
        <f>Table2[[#This Row],[TTE date]]-Table2[[#This Row],[Date initial positive Bcx]]</f>
        <v>3</v>
      </c>
      <c r="AW48" s="2">
        <v>0</v>
      </c>
      <c r="BA48" s="2">
        <v>0</v>
      </c>
      <c r="BC48" s="2">
        <v>0</v>
      </c>
      <c r="BD48" s="2">
        <f>COUNTIFS(Table2[[#This Row],[Comorbidity present (at least 1)?]], "0",Table2[[#This Row],[Alternative source of infx?]], "1",Table2[[#This Row],[Abx used?]], "1", Table2[[#This Row],[&lt; 3 days defervescence or remained afebrile?]], "1",Table2[[#This Row],[WBC downtrend or remained nrml?]], "1")</f>
        <v>0</v>
      </c>
      <c r="BE48" s="2">
        <f>COUNTIFS(Table2[[#This Row],[&lt; 3 days defervescence or remained afebrile?]], "1",Table2[[#This Row],[WBC downtrend or remained nrml?]], "1")</f>
        <v>1</v>
      </c>
      <c r="BF48" s="2">
        <v>0</v>
      </c>
      <c r="BG48" s="2">
        <v>0</v>
      </c>
      <c r="BH48" s="2">
        <v>0</v>
      </c>
      <c r="BI48" s="2" t="s">
        <v>133</v>
      </c>
    </row>
    <row r="49" spans="1:61">
      <c r="A49" s="2">
        <v>48</v>
      </c>
      <c r="B49" s="5">
        <v>45441</v>
      </c>
      <c r="C49" s="5">
        <v>45448</v>
      </c>
      <c r="D49" s="2">
        <f t="shared" si="1"/>
        <v>7</v>
      </c>
      <c r="E49" s="2">
        <v>54</v>
      </c>
      <c r="F49" s="2">
        <v>1</v>
      </c>
      <c r="G49" s="2">
        <v>3</v>
      </c>
      <c r="H49" s="2">
        <v>0</v>
      </c>
      <c r="I49" s="2">
        <v>0</v>
      </c>
      <c r="J49" s="2">
        <v>0</v>
      </c>
      <c r="K49" s="2">
        <v>0</v>
      </c>
      <c r="L49" s="2">
        <v>0</v>
      </c>
      <c r="M49" s="2">
        <v>0</v>
      </c>
      <c r="N49" s="2">
        <v>0</v>
      </c>
      <c r="P49" t="s">
        <v>125</v>
      </c>
      <c r="Q49" s="51">
        <v>0</v>
      </c>
      <c r="R49" s="51">
        <v>1</v>
      </c>
      <c r="S49" s="51">
        <v>0</v>
      </c>
      <c r="T49" s="51">
        <v>0</v>
      </c>
      <c r="U49" s="2">
        <v>0</v>
      </c>
      <c r="V49" s="2">
        <v>1</v>
      </c>
      <c r="W49" s="5">
        <v>45441</v>
      </c>
      <c r="X49" s="5">
        <v>45441</v>
      </c>
      <c r="Y49" s="28">
        <f t="shared" si="0"/>
        <v>0</v>
      </c>
      <c r="Z49" s="2">
        <v>1</v>
      </c>
      <c r="AA49" s="2">
        <v>0</v>
      </c>
      <c r="AB49" s="2">
        <v>0</v>
      </c>
      <c r="AC49" s="2">
        <v>0</v>
      </c>
      <c r="AD49" s="2">
        <v>0</v>
      </c>
      <c r="AE49" s="2">
        <v>1</v>
      </c>
      <c r="AF49" s="2">
        <v>0</v>
      </c>
      <c r="AG49" s="2">
        <v>0</v>
      </c>
      <c r="AH49" s="2">
        <v>0</v>
      </c>
      <c r="AI49" s="2">
        <v>1</v>
      </c>
      <c r="AJ49" s="2" t="s">
        <v>134</v>
      </c>
      <c r="AK49" s="2">
        <v>0</v>
      </c>
      <c r="AL49" s="2">
        <v>0</v>
      </c>
      <c r="AM49" s="2">
        <v>1</v>
      </c>
      <c r="AN49" s="2">
        <v>0</v>
      </c>
      <c r="AO49" s="2">
        <v>0</v>
      </c>
      <c r="AP49" s="2">
        <v>1</v>
      </c>
      <c r="AQ49" s="2">
        <v>1</v>
      </c>
      <c r="AR49" s="2">
        <v>0</v>
      </c>
      <c r="AW49" s="2">
        <v>0</v>
      </c>
      <c r="BA49" s="2">
        <v>0</v>
      </c>
      <c r="BC49" s="2">
        <v>0</v>
      </c>
      <c r="BD49" s="2">
        <f>COUNTIFS(Table2[[#This Row],[Comorbidity present (at least 1)?]], "0",Table2[[#This Row],[Alternative source of infx?]], "1",Table2[[#This Row],[Abx used?]], "1", Table2[[#This Row],[&lt; 3 days defervescence or remained afebrile?]], "1",Table2[[#This Row],[WBC downtrend or remained nrml?]], "1")</f>
        <v>1</v>
      </c>
      <c r="BE49" s="2">
        <f>COUNTIFS(Table2[[#This Row],[&lt; 3 days defervescence or remained afebrile?]], "1",Table2[[#This Row],[WBC downtrend or remained nrml?]], "1")</f>
        <v>1</v>
      </c>
      <c r="BF49" s="2">
        <v>0</v>
      </c>
      <c r="BG49" s="2">
        <v>0</v>
      </c>
      <c r="BH49" s="2">
        <v>0</v>
      </c>
      <c r="BI49" s="2" t="s">
        <v>135</v>
      </c>
    </row>
    <row r="50" spans="1:61">
      <c r="A50" s="8">
        <v>49</v>
      </c>
      <c r="B50" s="5">
        <v>45395</v>
      </c>
      <c r="C50" s="6">
        <v>45420</v>
      </c>
      <c r="D50" s="2">
        <f t="shared" si="1"/>
        <v>25</v>
      </c>
      <c r="E50" s="2">
        <v>78</v>
      </c>
      <c r="F50" s="2">
        <v>2</v>
      </c>
      <c r="G50" s="2">
        <v>2</v>
      </c>
      <c r="H50" s="2">
        <v>0</v>
      </c>
      <c r="I50" s="2">
        <v>0</v>
      </c>
      <c r="J50" s="2">
        <v>0</v>
      </c>
      <c r="K50" s="2">
        <v>0</v>
      </c>
      <c r="L50" s="2">
        <v>0</v>
      </c>
      <c r="M50" s="2">
        <v>0</v>
      </c>
      <c r="N50" s="2">
        <v>0</v>
      </c>
      <c r="P50" t="s">
        <v>136</v>
      </c>
      <c r="Q50" s="51">
        <v>0</v>
      </c>
      <c r="R50" s="51">
        <v>1</v>
      </c>
      <c r="S50" s="51">
        <v>0</v>
      </c>
      <c r="T50" s="51">
        <v>0</v>
      </c>
      <c r="U50" s="2">
        <v>0</v>
      </c>
      <c r="V50" s="2">
        <v>1</v>
      </c>
      <c r="W50" s="5">
        <v>45395</v>
      </c>
      <c r="X50" s="5">
        <v>45395</v>
      </c>
      <c r="Y50" s="28">
        <f t="shared" si="0"/>
        <v>0</v>
      </c>
      <c r="Z50" s="2">
        <v>1</v>
      </c>
      <c r="AA50" s="2">
        <v>0</v>
      </c>
      <c r="AB50" s="2">
        <v>0</v>
      </c>
      <c r="AC50" s="2">
        <v>0</v>
      </c>
      <c r="AD50" s="2">
        <v>0</v>
      </c>
      <c r="AE50" s="2">
        <v>0</v>
      </c>
      <c r="AF50" s="2">
        <v>0</v>
      </c>
      <c r="AG50" s="2">
        <v>0</v>
      </c>
      <c r="AH50" s="2">
        <v>1</v>
      </c>
      <c r="AI50" s="2">
        <v>1</v>
      </c>
      <c r="AJ50" s="2" t="s">
        <v>137</v>
      </c>
      <c r="AK50" s="2">
        <v>1</v>
      </c>
      <c r="AL50" s="2">
        <v>1</v>
      </c>
      <c r="AM50" s="2">
        <v>0</v>
      </c>
      <c r="AN50" s="2">
        <v>0</v>
      </c>
      <c r="AO50" s="2">
        <v>1</v>
      </c>
      <c r="AP50" s="2">
        <v>0</v>
      </c>
      <c r="AQ50" s="2">
        <v>0</v>
      </c>
      <c r="AR50" s="2">
        <v>1</v>
      </c>
      <c r="AS50" s="5">
        <v>45402</v>
      </c>
      <c r="AT50" s="2">
        <v>0</v>
      </c>
      <c r="AU50" s="2">
        <v>0</v>
      </c>
      <c r="AV50" s="2">
        <f>Table2[[#This Row],[TTE date]]-Table2[[#This Row],[Date initial positive Bcx]]</f>
        <v>7</v>
      </c>
      <c r="AW50" s="2">
        <v>0</v>
      </c>
      <c r="BA50" s="2">
        <v>0</v>
      </c>
      <c r="BC50" s="2">
        <v>1</v>
      </c>
      <c r="BD50" s="2">
        <f>COUNTIFS(Table2[[#This Row],[Comorbidity present (at least 1)?]], "0",Table2[[#This Row],[Alternative source of infx?]], "1",Table2[[#This Row],[Abx used?]], "1", Table2[[#This Row],[&lt; 3 days defervescence or remained afebrile?]], "1",Table2[[#This Row],[WBC downtrend or remained nrml?]], "1")</f>
        <v>0</v>
      </c>
      <c r="BE50" s="2">
        <f>COUNTIFS(Table2[[#This Row],[&lt; 3 days defervescence or remained afebrile?]], "1",Table2[[#This Row],[WBC downtrend or remained nrml?]], "1")</f>
        <v>0</v>
      </c>
      <c r="BF50" s="2">
        <v>0</v>
      </c>
      <c r="BG50" s="2">
        <v>1</v>
      </c>
      <c r="BH50" s="2">
        <v>0</v>
      </c>
      <c r="BI50" s="2" t="s">
        <v>138</v>
      </c>
    </row>
    <row r="51" spans="1:61">
      <c r="A51" s="2">
        <v>50</v>
      </c>
      <c r="B51" s="5">
        <v>45409</v>
      </c>
      <c r="C51" s="5">
        <v>45435</v>
      </c>
      <c r="D51" s="2">
        <f t="shared" si="1"/>
        <v>26</v>
      </c>
      <c r="E51" s="2">
        <v>36</v>
      </c>
      <c r="F51" s="2">
        <v>1</v>
      </c>
      <c r="G51" s="2">
        <v>3</v>
      </c>
      <c r="H51" s="2">
        <v>0</v>
      </c>
      <c r="I51" s="2">
        <v>0</v>
      </c>
      <c r="J51" s="2">
        <v>0</v>
      </c>
      <c r="K51" s="2">
        <v>0</v>
      </c>
      <c r="L51" s="2">
        <v>0</v>
      </c>
      <c r="M51" s="2">
        <v>0</v>
      </c>
      <c r="N51" s="2">
        <v>0</v>
      </c>
      <c r="P51" t="s">
        <v>125</v>
      </c>
      <c r="Q51" s="51">
        <v>0</v>
      </c>
      <c r="R51" s="51">
        <v>1</v>
      </c>
      <c r="S51" s="51">
        <v>0</v>
      </c>
      <c r="T51" s="51">
        <v>0</v>
      </c>
      <c r="U51" s="2">
        <v>0</v>
      </c>
      <c r="V51" s="2">
        <v>1</v>
      </c>
      <c r="W51" s="5">
        <v>45409</v>
      </c>
      <c r="X51" s="5">
        <v>45409</v>
      </c>
      <c r="Y51" s="28">
        <f t="shared" si="0"/>
        <v>0</v>
      </c>
      <c r="Z51" s="2">
        <v>1</v>
      </c>
      <c r="AA51" s="2">
        <v>0</v>
      </c>
      <c r="AB51" s="2">
        <v>0</v>
      </c>
      <c r="AC51" s="2">
        <v>0</v>
      </c>
      <c r="AD51" s="2">
        <v>1</v>
      </c>
      <c r="AE51" s="2">
        <v>1</v>
      </c>
      <c r="AF51" s="2">
        <v>0</v>
      </c>
      <c r="AG51" s="2">
        <v>0</v>
      </c>
      <c r="AH51" s="2">
        <v>0</v>
      </c>
      <c r="AI51" s="2">
        <v>1</v>
      </c>
      <c r="AJ51" s="2" t="s">
        <v>117</v>
      </c>
      <c r="AK51" s="2">
        <v>1</v>
      </c>
      <c r="AL51" s="2">
        <v>1</v>
      </c>
      <c r="AM51" s="11">
        <v>1</v>
      </c>
      <c r="AN51" s="11">
        <v>1</v>
      </c>
      <c r="AO51" s="11">
        <v>0</v>
      </c>
      <c r="AP51" s="11">
        <v>0</v>
      </c>
      <c r="AQ51" s="2">
        <v>0</v>
      </c>
      <c r="AR51" s="2">
        <v>1</v>
      </c>
      <c r="AS51" s="5">
        <v>45413</v>
      </c>
      <c r="AT51" s="2">
        <v>0</v>
      </c>
      <c r="AU51" s="2">
        <v>0</v>
      </c>
      <c r="AV51" s="2">
        <f>Table2[[#This Row],[TTE date]]-Table2[[#This Row],[Date initial positive Bcx]]</f>
        <v>4</v>
      </c>
      <c r="AW51" s="2">
        <v>0</v>
      </c>
      <c r="BA51" s="2">
        <v>0</v>
      </c>
      <c r="BC51" s="2">
        <v>1</v>
      </c>
      <c r="BD51" s="2">
        <f>COUNTIFS(Table2[[#This Row],[Comorbidity present (at least 1)?]], "0",Table2[[#This Row],[Alternative source of infx?]], "1",Table2[[#This Row],[Abx used?]], "1", Table2[[#This Row],[&lt; 3 days defervescence or remained afebrile?]], "1",Table2[[#This Row],[WBC downtrend or remained nrml?]], "1")</f>
        <v>0</v>
      </c>
      <c r="BE51" s="2">
        <f>COUNTIFS(Table2[[#This Row],[&lt; 3 days defervescence or remained afebrile?]], "1",Table2[[#This Row],[WBC downtrend or remained nrml?]], "1")</f>
        <v>0</v>
      </c>
      <c r="BF51" s="2">
        <v>0</v>
      </c>
      <c r="BG51" s="2">
        <v>1</v>
      </c>
      <c r="BH51" s="2">
        <v>0</v>
      </c>
      <c r="BI51" s="2" t="s">
        <v>139</v>
      </c>
    </row>
    <row r="52" spans="1:61">
      <c r="A52" s="2">
        <v>51</v>
      </c>
      <c r="B52" s="5">
        <v>45410</v>
      </c>
      <c r="C52" s="5">
        <v>45415</v>
      </c>
      <c r="D52" s="2">
        <f t="shared" si="1"/>
        <v>5</v>
      </c>
      <c r="E52" s="2">
        <v>95</v>
      </c>
      <c r="F52" s="2">
        <v>2</v>
      </c>
      <c r="G52" s="2">
        <v>2</v>
      </c>
      <c r="H52" s="2">
        <v>0</v>
      </c>
      <c r="I52" s="2">
        <v>0</v>
      </c>
      <c r="J52" s="2">
        <v>0</v>
      </c>
      <c r="K52" s="2">
        <v>0</v>
      </c>
      <c r="L52" s="2">
        <v>0</v>
      </c>
      <c r="M52" s="2">
        <v>0</v>
      </c>
      <c r="N52" s="2">
        <v>0</v>
      </c>
      <c r="P52" t="s">
        <v>119</v>
      </c>
      <c r="Q52" s="51">
        <v>0</v>
      </c>
      <c r="R52" s="51">
        <v>1</v>
      </c>
      <c r="S52" s="51">
        <v>0</v>
      </c>
      <c r="T52" s="51">
        <v>0</v>
      </c>
      <c r="U52" s="2">
        <v>0</v>
      </c>
      <c r="V52" s="2">
        <v>1</v>
      </c>
      <c r="W52" s="5">
        <v>45410</v>
      </c>
      <c r="X52" s="5">
        <v>45410</v>
      </c>
      <c r="Y52" s="28">
        <f t="shared" si="0"/>
        <v>0</v>
      </c>
      <c r="Z52" s="2">
        <v>0</v>
      </c>
      <c r="AA52" s="2">
        <v>0</v>
      </c>
      <c r="AB52" s="2">
        <v>0</v>
      </c>
      <c r="AC52" s="2">
        <v>0</v>
      </c>
      <c r="AD52" s="2">
        <v>0</v>
      </c>
      <c r="AE52" s="2">
        <v>0</v>
      </c>
      <c r="AF52" s="2">
        <v>0</v>
      </c>
      <c r="AG52" s="2">
        <v>0</v>
      </c>
      <c r="AH52" s="2">
        <v>0</v>
      </c>
      <c r="AI52" s="2">
        <v>1</v>
      </c>
      <c r="AJ52" s="2" t="s">
        <v>117</v>
      </c>
      <c r="AK52" s="2">
        <v>0</v>
      </c>
      <c r="AL52" s="2">
        <v>0</v>
      </c>
      <c r="AM52" s="2">
        <v>1</v>
      </c>
      <c r="AN52" s="2">
        <v>0</v>
      </c>
      <c r="AO52" s="2">
        <v>0</v>
      </c>
      <c r="AP52" s="2">
        <v>1</v>
      </c>
      <c r="AQ52" s="2">
        <v>1</v>
      </c>
      <c r="AR52" s="2">
        <v>1</v>
      </c>
      <c r="AS52" s="5">
        <v>45414</v>
      </c>
      <c r="AT52" s="2">
        <v>0</v>
      </c>
      <c r="AU52" s="2">
        <v>0</v>
      </c>
      <c r="AV52" s="2">
        <f>Table2[[#This Row],[TTE date]]-Table2[[#This Row],[Date initial positive Bcx]]</f>
        <v>4</v>
      </c>
      <c r="AW52" s="2">
        <v>0</v>
      </c>
      <c r="BA52" s="2">
        <v>0</v>
      </c>
      <c r="BC52" s="2">
        <v>0</v>
      </c>
      <c r="BD52" s="2">
        <f>COUNTIFS(Table2[[#This Row],[Comorbidity present (at least 1)?]], "0",Table2[[#This Row],[Alternative source of infx?]], "1",Table2[[#This Row],[Abx used?]], "1", Table2[[#This Row],[&lt; 3 days defervescence or remained afebrile?]], "1",Table2[[#This Row],[WBC downtrend or remained nrml?]], "1")</f>
        <v>0</v>
      </c>
      <c r="BE52" s="2">
        <f>COUNTIFS(Table2[[#This Row],[&lt; 3 days defervescence or remained afebrile?]], "1",Table2[[#This Row],[WBC downtrend or remained nrml?]], "1")</f>
        <v>1</v>
      </c>
      <c r="BF52" s="2">
        <v>0</v>
      </c>
      <c r="BG52" s="2">
        <v>0</v>
      </c>
      <c r="BH52" s="2">
        <v>0</v>
      </c>
      <c r="BI52" s="2" t="s">
        <v>140</v>
      </c>
    </row>
    <row r="53" spans="1:61">
      <c r="A53" s="2">
        <v>52</v>
      </c>
      <c r="B53" s="5">
        <v>45356</v>
      </c>
      <c r="C53" s="5">
        <v>45366</v>
      </c>
      <c r="D53" s="2">
        <f t="shared" si="1"/>
        <v>10</v>
      </c>
      <c r="E53" s="2">
        <v>42</v>
      </c>
      <c r="F53" s="2">
        <v>1</v>
      </c>
      <c r="G53" s="2">
        <v>2</v>
      </c>
      <c r="H53" s="2">
        <v>1</v>
      </c>
      <c r="I53" s="2">
        <v>0</v>
      </c>
      <c r="J53" s="2">
        <v>0</v>
      </c>
      <c r="K53" s="2">
        <v>0</v>
      </c>
      <c r="L53" s="2">
        <v>0</v>
      </c>
      <c r="M53" s="2">
        <v>0</v>
      </c>
      <c r="N53" s="2">
        <v>1</v>
      </c>
      <c r="O53" s="2" t="s">
        <v>141</v>
      </c>
      <c r="P53" t="s">
        <v>121</v>
      </c>
      <c r="Q53" s="51">
        <v>0</v>
      </c>
      <c r="R53" s="51">
        <v>1</v>
      </c>
      <c r="S53" s="51">
        <v>0</v>
      </c>
      <c r="T53" s="51">
        <v>0</v>
      </c>
      <c r="U53" s="2">
        <v>1</v>
      </c>
      <c r="V53" s="2">
        <v>2</v>
      </c>
      <c r="W53" s="5">
        <v>45356</v>
      </c>
      <c r="X53" s="5">
        <v>45357</v>
      </c>
      <c r="Y53" s="28">
        <f t="shared" si="0"/>
        <v>1</v>
      </c>
      <c r="Z53" s="2">
        <v>0</v>
      </c>
      <c r="AA53" s="2">
        <v>0</v>
      </c>
      <c r="AB53" s="2">
        <v>0</v>
      </c>
      <c r="AC53" s="2">
        <v>0</v>
      </c>
      <c r="AD53" s="2">
        <v>0</v>
      </c>
      <c r="AE53" s="2">
        <v>0</v>
      </c>
      <c r="AF53" s="2">
        <v>0</v>
      </c>
      <c r="AG53" s="2">
        <v>0</v>
      </c>
      <c r="AH53" s="2">
        <v>0</v>
      </c>
      <c r="AI53" s="2">
        <v>1</v>
      </c>
      <c r="AJ53" s="2" t="s">
        <v>117</v>
      </c>
      <c r="AK53" s="2">
        <v>1</v>
      </c>
      <c r="AL53" s="2">
        <v>1</v>
      </c>
      <c r="AM53" s="2">
        <v>1</v>
      </c>
      <c r="AN53" s="2">
        <v>1</v>
      </c>
      <c r="AO53" s="2">
        <v>0</v>
      </c>
      <c r="AP53" s="2">
        <v>0</v>
      </c>
      <c r="AQ53" s="2">
        <v>1</v>
      </c>
      <c r="AR53" s="2">
        <v>1</v>
      </c>
      <c r="AS53" s="5">
        <v>45357</v>
      </c>
      <c r="AT53" s="2">
        <v>1</v>
      </c>
      <c r="AU53" s="11">
        <v>1</v>
      </c>
      <c r="AV53" s="11">
        <f>Table2[[#This Row],[TTE date]]-Table2[[#This Row],[Date initial positive Bcx]]</f>
        <v>1</v>
      </c>
      <c r="AW53" s="11">
        <v>1</v>
      </c>
      <c r="AX53" s="5">
        <v>45359</v>
      </c>
      <c r="AY53" s="2">
        <v>1</v>
      </c>
      <c r="AZ53" s="2">
        <v>1</v>
      </c>
      <c r="BA53" s="2">
        <v>0</v>
      </c>
      <c r="BB53" s="2">
        <f>Table2[[#This Row],[TEE date]]-Table2[[#This Row],[Date initial positive Bcx]]</f>
        <v>3</v>
      </c>
      <c r="BC53" s="2">
        <v>0</v>
      </c>
      <c r="BD53" s="2">
        <f>COUNTIFS(Table2[[#This Row],[Comorbidity present (at least 1)?]], "0",Table2[[#This Row],[Alternative source of infx?]], "1",Table2[[#This Row],[Abx used?]], "1", Table2[[#This Row],[&lt; 3 days defervescence or remained afebrile?]], "1",Table2[[#This Row],[WBC downtrend or remained nrml?]], "1")</f>
        <v>0</v>
      </c>
      <c r="BE53" s="2">
        <f>COUNTIFS(Table2[[#This Row],[&lt; 3 days defervescence or remained afebrile?]], "1",Table2[[#This Row],[WBC downtrend or remained nrml?]], "1")</f>
        <v>1</v>
      </c>
      <c r="BF53" s="2">
        <v>1</v>
      </c>
      <c r="BG53" s="2">
        <v>1</v>
      </c>
      <c r="BH53" s="2">
        <v>0</v>
      </c>
      <c r="BI53" s="2" t="s">
        <v>142</v>
      </c>
    </row>
    <row r="54" spans="1:61">
      <c r="A54" s="2">
        <v>53</v>
      </c>
      <c r="B54" s="5">
        <v>45357</v>
      </c>
      <c r="C54" s="5">
        <v>45385</v>
      </c>
      <c r="D54" s="2">
        <f t="shared" si="1"/>
        <v>28</v>
      </c>
      <c r="E54" s="2">
        <v>37</v>
      </c>
      <c r="F54" s="2">
        <v>2</v>
      </c>
      <c r="G54" s="2">
        <v>2</v>
      </c>
      <c r="H54" s="2">
        <v>0</v>
      </c>
      <c r="I54" s="2">
        <v>0</v>
      </c>
      <c r="J54" s="2">
        <v>0</v>
      </c>
      <c r="K54" s="2">
        <v>0</v>
      </c>
      <c r="L54" s="2">
        <v>0</v>
      </c>
      <c r="M54" s="2">
        <v>0</v>
      </c>
      <c r="N54" s="2">
        <v>0</v>
      </c>
      <c r="P54" t="s">
        <v>136</v>
      </c>
      <c r="Q54" s="51">
        <v>0</v>
      </c>
      <c r="R54" s="51">
        <v>1</v>
      </c>
      <c r="S54" s="51">
        <v>0</v>
      </c>
      <c r="T54" s="51">
        <v>0</v>
      </c>
      <c r="U54" s="2">
        <v>0</v>
      </c>
      <c r="V54" s="2">
        <v>1</v>
      </c>
      <c r="W54" s="5">
        <v>45357</v>
      </c>
      <c r="X54" s="5">
        <v>45357</v>
      </c>
      <c r="Y54" s="28">
        <f t="shared" si="0"/>
        <v>0</v>
      </c>
      <c r="Z54" s="2">
        <v>1</v>
      </c>
      <c r="AA54" s="2">
        <v>0</v>
      </c>
      <c r="AB54" s="2">
        <v>1</v>
      </c>
      <c r="AC54" s="2">
        <v>0</v>
      </c>
      <c r="AD54" s="2">
        <v>1</v>
      </c>
      <c r="AE54" s="2">
        <v>0</v>
      </c>
      <c r="AF54" s="2">
        <v>0</v>
      </c>
      <c r="AG54" s="2">
        <v>0</v>
      </c>
      <c r="AH54" s="2">
        <v>0</v>
      </c>
      <c r="AI54" s="2">
        <v>1</v>
      </c>
      <c r="AJ54" s="2" t="s">
        <v>143</v>
      </c>
      <c r="AK54" s="2">
        <v>1</v>
      </c>
      <c r="AL54" s="2">
        <v>1</v>
      </c>
      <c r="AM54" s="2">
        <v>1</v>
      </c>
      <c r="AN54" s="2">
        <v>1</v>
      </c>
      <c r="AO54" s="2">
        <v>0</v>
      </c>
      <c r="AP54" s="2">
        <v>0</v>
      </c>
      <c r="AQ54" s="2">
        <v>1</v>
      </c>
      <c r="AR54" s="2">
        <v>1</v>
      </c>
      <c r="AS54" s="5">
        <v>45359</v>
      </c>
      <c r="AT54" s="2">
        <v>0</v>
      </c>
      <c r="AU54" s="2">
        <v>0</v>
      </c>
      <c r="AV54" s="2">
        <f>Table2[[#This Row],[TTE date]]-Table2[[#This Row],[Date initial positive Bcx]]</f>
        <v>2</v>
      </c>
      <c r="AW54" s="2">
        <v>0</v>
      </c>
      <c r="BA54" s="2">
        <v>0</v>
      </c>
      <c r="BC54" s="2">
        <v>1</v>
      </c>
      <c r="BD54" s="2">
        <f>COUNTIFS(Table2[[#This Row],[Comorbidity present (at least 1)?]], "0",Table2[[#This Row],[Alternative source of infx?]], "1",Table2[[#This Row],[Abx used?]], "1", Table2[[#This Row],[&lt; 3 days defervescence or remained afebrile?]], "1",Table2[[#This Row],[WBC downtrend or remained nrml?]], "1")</f>
        <v>1</v>
      </c>
      <c r="BE54" s="2">
        <f>COUNTIFS(Table2[[#This Row],[&lt; 3 days defervescence or remained afebrile?]], "1",Table2[[#This Row],[WBC downtrend or remained nrml?]], "1")</f>
        <v>1</v>
      </c>
      <c r="BF54" s="2">
        <v>0</v>
      </c>
      <c r="BG54" s="2">
        <v>1</v>
      </c>
      <c r="BH54" s="2">
        <v>0</v>
      </c>
      <c r="BI54" s="2" t="s">
        <v>144</v>
      </c>
    </row>
    <row r="55" spans="1:61">
      <c r="A55" s="2">
        <v>54</v>
      </c>
      <c r="B55" s="5">
        <v>45359</v>
      </c>
      <c r="C55" s="5">
        <v>45366</v>
      </c>
      <c r="D55" s="2">
        <f t="shared" si="1"/>
        <v>7</v>
      </c>
      <c r="E55" s="2">
        <v>86</v>
      </c>
      <c r="F55" s="2">
        <v>1</v>
      </c>
      <c r="G55" s="2">
        <v>2</v>
      </c>
      <c r="H55" s="2">
        <v>0</v>
      </c>
      <c r="I55" s="2">
        <v>0</v>
      </c>
      <c r="J55" s="2">
        <v>0</v>
      </c>
      <c r="K55" s="2">
        <v>0</v>
      </c>
      <c r="L55" s="2">
        <v>0</v>
      </c>
      <c r="M55" s="2">
        <v>0</v>
      </c>
      <c r="N55" s="2">
        <v>1</v>
      </c>
      <c r="O55" s="2" t="s">
        <v>145</v>
      </c>
      <c r="P55" t="s">
        <v>116</v>
      </c>
      <c r="Q55" s="51">
        <v>0</v>
      </c>
      <c r="R55" s="51">
        <v>1</v>
      </c>
      <c r="S55" s="51">
        <v>0</v>
      </c>
      <c r="T55" s="51">
        <v>0</v>
      </c>
      <c r="U55" s="2">
        <v>0</v>
      </c>
      <c r="V55" s="2">
        <v>1</v>
      </c>
      <c r="W55" s="5">
        <v>45359</v>
      </c>
      <c r="X55" s="5">
        <v>45359</v>
      </c>
      <c r="Y55" s="28">
        <f t="shared" si="0"/>
        <v>0</v>
      </c>
      <c r="Z55" s="2">
        <v>1</v>
      </c>
      <c r="AA55" s="2">
        <v>0</v>
      </c>
      <c r="AB55" s="2">
        <v>0</v>
      </c>
      <c r="AC55" s="2">
        <v>0</v>
      </c>
      <c r="AD55" s="2">
        <v>0</v>
      </c>
      <c r="AE55" s="2">
        <v>0</v>
      </c>
      <c r="AF55" s="2">
        <v>0</v>
      </c>
      <c r="AG55" s="2">
        <v>1</v>
      </c>
      <c r="AH55" s="2">
        <v>0</v>
      </c>
      <c r="AI55" s="2">
        <v>1</v>
      </c>
      <c r="AJ55" s="2" t="s">
        <v>146</v>
      </c>
      <c r="AK55" s="2">
        <v>0</v>
      </c>
      <c r="AL55" s="2">
        <v>0</v>
      </c>
      <c r="AM55" s="2">
        <v>1</v>
      </c>
      <c r="AN55" s="2">
        <v>0</v>
      </c>
      <c r="AO55" s="2">
        <v>0</v>
      </c>
      <c r="AP55" s="2">
        <v>1</v>
      </c>
      <c r="AQ55" s="2">
        <v>1</v>
      </c>
      <c r="AR55" s="2">
        <v>1</v>
      </c>
      <c r="AS55" s="5">
        <v>45363</v>
      </c>
      <c r="AT55" s="2">
        <v>0</v>
      </c>
      <c r="AU55" s="2">
        <v>1</v>
      </c>
      <c r="AV55" s="2">
        <f>Table2[[#This Row],[TTE date]]-Table2[[#This Row],[Date initial positive Bcx]]</f>
        <v>4</v>
      </c>
      <c r="AW55" s="2">
        <v>0</v>
      </c>
      <c r="BA55" s="2">
        <v>0</v>
      </c>
      <c r="BC55" s="2">
        <v>0</v>
      </c>
      <c r="BD55" s="2">
        <f>COUNTIFS(Table2[[#This Row],[Comorbidity present (at least 1)?]], "0",Table2[[#This Row],[Alternative source of infx?]], "1",Table2[[#This Row],[Abx used?]], "1", Table2[[#This Row],[&lt; 3 days defervescence or remained afebrile?]], "1",Table2[[#This Row],[WBC downtrend or remained nrml?]], "1")</f>
        <v>1</v>
      </c>
      <c r="BE55" s="2">
        <f>COUNTIFS(Table2[[#This Row],[&lt; 3 days defervescence or remained afebrile?]], "1",Table2[[#This Row],[WBC downtrend or remained nrml?]], "1")</f>
        <v>1</v>
      </c>
      <c r="BF55" s="2">
        <v>0</v>
      </c>
      <c r="BG55" s="2">
        <v>0</v>
      </c>
      <c r="BH55" s="2">
        <v>0</v>
      </c>
      <c r="BI55" s="2" t="s">
        <v>147</v>
      </c>
    </row>
    <row r="56" spans="1:61" s="13" customFormat="1">
      <c r="A56" s="13">
        <v>55</v>
      </c>
      <c r="B56" s="18">
        <v>45369</v>
      </c>
      <c r="C56" s="43">
        <v>45377</v>
      </c>
      <c r="D56" s="13">
        <f t="shared" si="1"/>
        <v>8</v>
      </c>
      <c r="E56" s="13">
        <v>74</v>
      </c>
      <c r="F56" s="13">
        <v>2</v>
      </c>
      <c r="G56" s="13">
        <v>2</v>
      </c>
      <c r="H56" s="13">
        <v>0</v>
      </c>
      <c r="I56" s="13">
        <v>0</v>
      </c>
      <c r="J56" s="13">
        <v>0</v>
      </c>
      <c r="K56" s="13">
        <v>0</v>
      </c>
      <c r="L56" s="13">
        <v>0</v>
      </c>
      <c r="M56" s="13">
        <v>0</v>
      </c>
      <c r="N56" s="13">
        <v>1</v>
      </c>
      <c r="O56" s="13" t="s">
        <v>70</v>
      </c>
      <c r="P56" s="14" t="s">
        <v>119</v>
      </c>
      <c r="Q56" s="52">
        <v>0</v>
      </c>
      <c r="R56" s="52">
        <v>1</v>
      </c>
      <c r="S56" s="52">
        <v>0</v>
      </c>
      <c r="T56" s="52">
        <v>0</v>
      </c>
      <c r="U56" s="13">
        <v>0</v>
      </c>
      <c r="V56" s="13">
        <v>1</v>
      </c>
      <c r="W56" s="18">
        <v>45369</v>
      </c>
      <c r="X56" s="18">
        <v>45369</v>
      </c>
      <c r="Y56" s="31">
        <f t="shared" si="0"/>
        <v>0</v>
      </c>
      <c r="Z56" s="13">
        <v>1</v>
      </c>
      <c r="AA56" s="13">
        <v>0</v>
      </c>
      <c r="AB56" s="13">
        <v>0</v>
      </c>
      <c r="AC56" s="13">
        <v>0</v>
      </c>
      <c r="AD56" s="13">
        <v>1</v>
      </c>
      <c r="AE56" s="13">
        <v>0</v>
      </c>
      <c r="AF56" s="13">
        <v>0</v>
      </c>
      <c r="AG56" s="13">
        <v>0</v>
      </c>
      <c r="AH56" s="13">
        <v>1</v>
      </c>
      <c r="AI56" s="13">
        <v>1</v>
      </c>
      <c r="AJ56" s="13" t="s">
        <v>117</v>
      </c>
      <c r="AK56" s="13">
        <v>1</v>
      </c>
      <c r="AL56" s="13">
        <v>0</v>
      </c>
      <c r="AM56" s="13">
        <v>1</v>
      </c>
      <c r="AN56" s="13">
        <v>0</v>
      </c>
      <c r="AO56" s="13">
        <v>0</v>
      </c>
      <c r="AP56" s="13">
        <v>1</v>
      </c>
      <c r="AQ56" s="13">
        <v>1</v>
      </c>
      <c r="AR56" s="13">
        <v>0</v>
      </c>
      <c r="AW56" s="13">
        <v>0</v>
      </c>
      <c r="BA56" s="13">
        <v>0</v>
      </c>
      <c r="BC56" s="13">
        <v>0</v>
      </c>
      <c r="BD56" s="13">
        <f>COUNTIFS(Table2[[#This Row],[Comorbidity present (at least 1)?]], "0",Table2[[#This Row],[Alternative source of infx?]], "1",Table2[[#This Row],[Abx used?]], "1", Table2[[#This Row],[&lt; 3 days defervescence or remained afebrile?]], "1",Table2[[#This Row],[WBC downtrend or remained nrml?]], "1")</f>
        <v>1</v>
      </c>
      <c r="BE56" s="13">
        <f>COUNTIFS(Table2[[#This Row],[&lt; 3 days defervescence or remained afebrile?]], "1",Table2[[#This Row],[WBC downtrend or remained nrml?]], "1")</f>
        <v>1</v>
      </c>
      <c r="BF56" s="13">
        <v>0</v>
      </c>
      <c r="BG56" s="13">
        <v>0</v>
      </c>
      <c r="BH56" s="13">
        <v>0</v>
      </c>
      <c r="BI56" s="13" t="s">
        <v>148</v>
      </c>
    </row>
    <row r="57" spans="1:61">
      <c r="A57" s="2">
        <v>56</v>
      </c>
      <c r="B57" s="5">
        <v>45458</v>
      </c>
      <c r="C57" s="5">
        <v>45467</v>
      </c>
      <c r="D57" s="2">
        <f>C57-B57</f>
        <v>9</v>
      </c>
      <c r="E57" s="2">
        <v>87</v>
      </c>
      <c r="F57" s="2">
        <v>2</v>
      </c>
      <c r="G57" s="2">
        <v>5</v>
      </c>
      <c r="H57" s="2">
        <v>0</v>
      </c>
      <c r="I57" s="2">
        <v>0</v>
      </c>
      <c r="J57" s="2">
        <v>0</v>
      </c>
      <c r="K57" s="2">
        <v>0</v>
      </c>
      <c r="L57" s="2">
        <v>0</v>
      </c>
      <c r="M57" s="2">
        <v>0</v>
      </c>
      <c r="N57" s="2">
        <v>0</v>
      </c>
      <c r="O57" s="2" t="s">
        <v>70</v>
      </c>
      <c r="P57" t="s">
        <v>155</v>
      </c>
      <c r="Q57" s="51">
        <v>0</v>
      </c>
      <c r="R57" s="51">
        <v>0</v>
      </c>
      <c r="S57" s="51">
        <v>1</v>
      </c>
      <c r="T57" s="51">
        <v>0</v>
      </c>
      <c r="U57" s="2">
        <v>1</v>
      </c>
      <c r="V57" s="2">
        <v>2</v>
      </c>
      <c r="W57" s="5">
        <v>45457</v>
      </c>
      <c r="X57" s="5">
        <v>45458</v>
      </c>
      <c r="Y57" s="28">
        <f t="shared" si="0"/>
        <v>1</v>
      </c>
      <c r="Z57" s="2">
        <v>1</v>
      </c>
      <c r="AA57" s="2">
        <v>0</v>
      </c>
      <c r="AB57" s="2">
        <v>0</v>
      </c>
      <c r="AC57" s="2">
        <v>0</v>
      </c>
      <c r="AD57" s="2">
        <v>0</v>
      </c>
      <c r="AE57" s="2">
        <v>0</v>
      </c>
      <c r="AF57" s="2">
        <v>0</v>
      </c>
      <c r="AG57" s="2">
        <v>1</v>
      </c>
      <c r="AH57" s="2">
        <v>0</v>
      </c>
      <c r="AI57" s="2">
        <v>1</v>
      </c>
      <c r="AJ57" s="2" t="s">
        <v>146</v>
      </c>
      <c r="AK57" s="2">
        <v>0</v>
      </c>
      <c r="AL57" s="2">
        <v>1</v>
      </c>
      <c r="AM57" s="2">
        <v>1</v>
      </c>
      <c r="AN57" s="2">
        <v>1</v>
      </c>
      <c r="AO57" s="2">
        <v>0</v>
      </c>
      <c r="AP57" s="2">
        <v>0</v>
      </c>
      <c r="AQ57" s="2">
        <v>1</v>
      </c>
      <c r="AR57" s="2">
        <v>1</v>
      </c>
      <c r="AS57" s="5">
        <v>45462</v>
      </c>
      <c r="AT57" s="2">
        <v>0</v>
      </c>
      <c r="AU57" s="2">
        <v>0</v>
      </c>
      <c r="AV57" s="2">
        <f>Table2[[#This Row],[TTE date]]-Table2[[#This Row],[Date initial positive Bcx]]</f>
        <v>5</v>
      </c>
      <c r="AW57" s="2">
        <v>0</v>
      </c>
      <c r="BA57" s="2">
        <v>0</v>
      </c>
      <c r="BC57" s="2">
        <v>0</v>
      </c>
      <c r="BD57" s="2">
        <f>COUNTIFS(Table2[[#This Row],[Comorbidity present (at least 1)?]], "0",Table2[[#This Row],[Alternative source of infx?]], "1",Table2[[#This Row],[Abx used?]], "1", Table2[[#This Row],[&lt; 3 days defervescence or remained afebrile?]], "1",Table2[[#This Row],[WBC downtrend or remained nrml?]], "1")</f>
        <v>1</v>
      </c>
      <c r="BE57" s="2">
        <f>COUNTIFS(Table2[[#This Row],[&lt; 3 days defervescence or remained afebrile?]], "1",Table2[[#This Row],[WBC downtrend or remained nrml?]], "1")</f>
        <v>1</v>
      </c>
      <c r="BF57" s="2">
        <v>0</v>
      </c>
      <c r="BG57" s="2">
        <v>1</v>
      </c>
      <c r="BH57" s="2">
        <v>0</v>
      </c>
      <c r="BI57" s="2" t="s">
        <v>156</v>
      </c>
    </row>
    <row r="58" spans="1:61">
      <c r="A58" s="2">
        <v>57</v>
      </c>
      <c r="B58" s="5">
        <v>45459</v>
      </c>
      <c r="E58" s="2">
        <v>55</v>
      </c>
      <c r="F58" s="2">
        <v>2</v>
      </c>
      <c r="G58" s="2">
        <v>2</v>
      </c>
      <c r="H58" s="2">
        <v>1</v>
      </c>
      <c r="I58" s="2">
        <v>0</v>
      </c>
      <c r="J58" s="2">
        <v>0</v>
      </c>
      <c r="K58" s="2">
        <v>1</v>
      </c>
      <c r="L58" s="2">
        <v>0</v>
      </c>
      <c r="M58" s="2">
        <v>0</v>
      </c>
      <c r="N58" s="2">
        <v>1</v>
      </c>
      <c r="O58" s="2" t="s">
        <v>157</v>
      </c>
      <c r="P58" t="s">
        <v>155</v>
      </c>
      <c r="Q58" s="51">
        <v>0</v>
      </c>
      <c r="R58" s="51">
        <v>0</v>
      </c>
      <c r="S58" s="51">
        <v>1</v>
      </c>
      <c r="T58" s="51">
        <v>0</v>
      </c>
      <c r="U58" s="2">
        <v>1</v>
      </c>
      <c r="V58" s="2">
        <v>4</v>
      </c>
      <c r="W58" s="5">
        <v>45469</v>
      </c>
      <c r="X58" s="5">
        <v>45472</v>
      </c>
      <c r="Y58" s="28">
        <f t="shared" si="0"/>
        <v>3</v>
      </c>
      <c r="Z58" s="2">
        <v>0</v>
      </c>
      <c r="AA58" s="2">
        <v>0</v>
      </c>
      <c r="AB58" s="2">
        <v>0</v>
      </c>
      <c r="AC58" s="2">
        <v>0</v>
      </c>
      <c r="AD58" s="2">
        <v>0</v>
      </c>
      <c r="AE58" s="2">
        <v>0</v>
      </c>
      <c r="AF58" s="2">
        <v>0</v>
      </c>
      <c r="AG58" s="2">
        <v>0</v>
      </c>
      <c r="AH58" s="2">
        <v>0</v>
      </c>
      <c r="AI58" s="2">
        <v>1</v>
      </c>
      <c r="AJ58" s="2" t="s">
        <v>158</v>
      </c>
      <c r="AK58" s="2">
        <v>1</v>
      </c>
      <c r="AL58" s="2">
        <v>1</v>
      </c>
      <c r="AM58" s="2">
        <v>1</v>
      </c>
      <c r="AN58" s="2">
        <v>1</v>
      </c>
      <c r="AO58" s="2">
        <v>0</v>
      </c>
      <c r="AP58" s="2">
        <v>0</v>
      </c>
      <c r="AQ58" s="2">
        <v>1</v>
      </c>
      <c r="AR58" s="2">
        <v>1</v>
      </c>
      <c r="AS58" s="5">
        <v>45485</v>
      </c>
      <c r="AT58" s="2">
        <v>0</v>
      </c>
      <c r="AU58" s="2">
        <v>1</v>
      </c>
      <c r="AV58" s="2">
        <f>Table2[[#This Row],[TTE date]]-Table2[[#This Row],[Date initial positive Bcx]]</f>
        <v>16</v>
      </c>
      <c r="AW58" s="11">
        <v>0</v>
      </c>
      <c r="BA58" s="2">
        <v>0</v>
      </c>
      <c r="BC58" s="2">
        <v>1</v>
      </c>
      <c r="BD58" s="2">
        <f>COUNTIFS(Table2[[#This Row],[Comorbidity present (at least 1)?]], "0",Table2[[#This Row],[Alternative source of infx?]], "1",Table2[[#This Row],[Abx used?]], "1", Table2[[#This Row],[&lt; 3 days defervescence or remained afebrile?]], "1",Table2[[#This Row],[WBC downtrend or remained nrml?]], "1")</f>
        <v>0</v>
      </c>
      <c r="BE58" s="2">
        <f>COUNTIFS(Table2[[#This Row],[&lt; 3 days defervescence or remained afebrile?]], "1",Table2[[#This Row],[WBC downtrend or remained nrml?]], "1")</f>
        <v>1</v>
      </c>
      <c r="BF58" s="2">
        <v>1</v>
      </c>
      <c r="BG58" s="2">
        <v>1</v>
      </c>
      <c r="BH58" s="2">
        <v>1</v>
      </c>
      <c r="BI58" s="2" t="s">
        <v>159</v>
      </c>
    </row>
    <row r="59" spans="1:61">
      <c r="A59" s="2">
        <v>58</v>
      </c>
      <c r="B59" s="5">
        <v>45469</v>
      </c>
      <c r="C59" s="5">
        <v>45484</v>
      </c>
      <c r="D59" s="2">
        <f>C59-B59</f>
        <v>15</v>
      </c>
      <c r="E59" s="2">
        <v>86</v>
      </c>
      <c r="F59" s="2">
        <v>2</v>
      </c>
      <c r="G59" s="2">
        <v>2</v>
      </c>
      <c r="H59" s="2">
        <v>1</v>
      </c>
      <c r="I59" s="2">
        <v>0</v>
      </c>
      <c r="J59" s="2">
        <v>0</v>
      </c>
      <c r="K59" s="2">
        <v>1</v>
      </c>
      <c r="L59" s="2">
        <v>0</v>
      </c>
      <c r="M59" s="2">
        <v>0</v>
      </c>
      <c r="N59" s="2">
        <v>0</v>
      </c>
      <c r="P59" t="s">
        <v>155</v>
      </c>
      <c r="Q59" s="51">
        <v>0</v>
      </c>
      <c r="R59" s="51">
        <v>0</v>
      </c>
      <c r="S59" s="51">
        <v>1</v>
      </c>
      <c r="T59" s="51">
        <v>0</v>
      </c>
      <c r="U59" s="2">
        <v>0</v>
      </c>
      <c r="V59" s="2">
        <v>1</v>
      </c>
      <c r="W59" s="5">
        <v>45471</v>
      </c>
      <c r="X59" s="5">
        <v>45471</v>
      </c>
      <c r="Y59" s="28">
        <f t="shared" si="0"/>
        <v>0</v>
      </c>
      <c r="Z59" s="2">
        <v>1</v>
      </c>
      <c r="AA59" s="2">
        <v>0</v>
      </c>
      <c r="AB59" s="2">
        <v>0</v>
      </c>
      <c r="AC59" s="2">
        <v>0</v>
      </c>
      <c r="AD59" s="2">
        <v>0</v>
      </c>
      <c r="AE59" s="2">
        <v>0</v>
      </c>
      <c r="AF59" s="2">
        <v>0</v>
      </c>
      <c r="AG59" s="2">
        <v>1</v>
      </c>
      <c r="AH59" s="2">
        <v>0</v>
      </c>
      <c r="AI59" s="2">
        <v>1</v>
      </c>
      <c r="AJ59" s="2" t="s">
        <v>146</v>
      </c>
      <c r="AK59" s="2">
        <v>0</v>
      </c>
      <c r="AL59" s="2">
        <v>1</v>
      </c>
      <c r="AM59" s="2">
        <v>1</v>
      </c>
      <c r="AN59" s="2">
        <v>1</v>
      </c>
      <c r="AO59" s="2">
        <v>0</v>
      </c>
      <c r="AP59" s="2">
        <v>0</v>
      </c>
      <c r="AQ59" s="2">
        <v>1</v>
      </c>
      <c r="AR59" s="2">
        <v>1</v>
      </c>
      <c r="AS59" s="5">
        <v>45474</v>
      </c>
      <c r="AT59" s="2">
        <v>0</v>
      </c>
      <c r="AU59" s="2">
        <v>1</v>
      </c>
      <c r="AV59" s="2">
        <f>Table2[[#This Row],[TTE date]]-Table2[[#This Row],[Date initial positive Bcx]]</f>
        <v>3</v>
      </c>
      <c r="AW59" s="2">
        <v>0</v>
      </c>
      <c r="BA59" s="2">
        <v>0</v>
      </c>
      <c r="BC59" s="2">
        <v>0</v>
      </c>
      <c r="BD59" s="2">
        <f>COUNTIFS(Table2[[#This Row],[Comorbidity present (at least 1)?]], "0",Table2[[#This Row],[Alternative source of infx?]], "1",Table2[[#This Row],[Abx used?]], "1", Table2[[#This Row],[&lt; 3 days defervescence or remained afebrile?]], "1",Table2[[#This Row],[WBC downtrend or remained nrml?]], "1")</f>
        <v>0</v>
      </c>
      <c r="BE59" s="2">
        <f>COUNTIFS(Table2[[#This Row],[&lt; 3 days defervescence or remained afebrile?]], "1",Table2[[#This Row],[WBC downtrend or remained nrml?]], "1")</f>
        <v>1</v>
      </c>
      <c r="BF59" s="2">
        <v>0</v>
      </c>
      <c r="BG59" s="2">
        <v>1</v>
      </c>
      <c r="BH59" s="2">
        <v>1</v>
      </c>
      <c r="BI59" s="2" t="s">
        <v>160</v>
      </c>
    </row>
    <row r="60" spans="1:61">
      <c r="A60" s="8">
        <v>59</v>
      </c>
      <c r="B60" s="5">
        <v>45421</v>
      </c>
      <c r="C60" s="6">
        <v>45428</v>
      </c>
      <c r="D60" s="2">
        <f>C60-B60</f>
        <v>7</v>
      </c>
      <c r="E60" s="2">
        <v>77</v>
      </c>
      <c r="F60" s="2">
        <v>2</v>
      </c>
      <c r="G60" s="2">
        <v>5</v>
      </c>
      <c r="H60" s="2">
        <v>0</v>
      </c>
      <c r="I60" s="2">
        <v>0</v>
      </c>
      <c r="J60" s="2">
        <v>0</v>
      </c>
      <c r="K60" s="2">
        <v>0</v>
      </c>
      <c r="L60" s="2">
        <v>1</v>
      </c>
      <c r="M60" s="2">
        <v>0</v>
      </c>
      <c r="N60" s="2">
        <v>1</v>
      </c>
      <c r="O60" s="2" t="s">
        <v>70</v>
      </c>
      <c r="P60" t="s">
        <v>163</v>
      </c>
      <c r="Q60" s="51">
        <v>0</v>
      </c>
      <c r="R60" s="51">
        <v>0</v>
      </c>
      <c r="S60" s="51">
        <v>1</v>
      </c>
      <c r="T60" s="51">
        <v>0</v>
      </c>
      <c r="U60" s="2">
        <v>1</v>
      </c>
      <c r="V60" s="2">
        <v>4</v>
      </c>
      <c r="W60" s="5">
        <v>45421</v>
      </c>
      <c r="X60" s="5">
        <v>45428</v>
      </c>
      <c r="Y60" s="28">
        <f t="shared" si="0"/>
        <v>7</v>
      </c>
      <c r="Z60" s="2">
        <v>1</v>
      </c>
      <c r="AA60" s="2">
        <v>0</v>
      </c>
      <c r="AB60" s="2">
        <v>0</v>
      </c>
      <c r="AC60" s="2">
        <v>1</v>
      </c>
      <c r="AD60" s="2">
        <v>0</v>
      </c>
      <c r="AE60" s="2">
        <v>1</v>
      </c>
      <c r="AF60" s="2">
        <v>0</v>
      </c>
      <c r="AG60" s="2">
        <v>0</v>
      </c>
      <c r="AH60" s="2">
        <v>0</v>
      </c>
      <c r="AI60" s="2">
        <v>1</v>
      </c>
      <c r="AJ60" s="2" t="s">
        <v>48</v>
      </c>
      <c r="AK60" s="2">
        <v>1</v>
      </c>
      <c r="AL60" s="2">
        <v>0</v>
      </c>
      <c r="AM60" s="2">
        <v>1</v>
      </c>
      <c r="AN60" s="2">
        <v>0</v>
      </c>
      <c r="AO60" s="2">
        <v>0</v>
      </c>
      <c r="AP60" s="2">
        <v>1</v>
      </c>
      <c r="AQ60" s="2">
        <v>0</v>
      </c>
      <c r="AR60" s="2">
        <v>1</v>
      </c>
      <c r="AS60" s="5">
        <v>45425</v>
      </c>
      <c r="AT60" s="2">
        <v>0</v>
      </c>
      <c r="AU60" s="2">
        <v>0</v>
      </c>
      <c r="AV60" s="2">
        <f>Table2[[#This Row],[TTE date]]-Table2[[#This Row],[Date initial positive Bcx]]</f>
        <v>4</v>
      </c>
      <c r="AW60" s="2">
        <v>0</v>
      </c>
      <c r="BA60" s="2">
        <v>0</v>
      </c>
      <c r="BC60" s="2">
        <v>1</v>
      </c>
      <c r="BD60" s="2">
        <f>COUNTIFS(Table2[[#This Row],[Comorbidity present (at least 1)?]], "0",Table2[[#This Row],[Alternative source of infx?]], "1",Table2[[#This Row],[Abx used?]], "1", Table2[[#This Row],[&lt; 3 days defervescence or remained afebrile?]], "1",Table2[[#This Row],[WBC downtrend or remained nrml?]], "1")</f>
        <v>0</v>
      </c>
      <c r="BE60" s="2">
        <f>COUNTIFS(Table2[[#This Row],[&lt; 3 days defervescence or remained afebrile?]], "1",Table2[[#This Row],[WBC downtrend or remained nrml?]], "1")</f>
        <v>0</v>
      </c>
      <c r="BF60" s="2">
        <v>0</v>
      </c>
      <c r="BG60" s="2">
        <v>0</v>
      </c>
      <c r="BH60" s="2">
        <v>0</v>
      </c>
      <c r="BI60" s="2" t="s">
        <v>164</v>
      </c>
    </row>
    <row r="61" spans="1:61">
      <c r="A61" s="2">
        <v>60</v>
      </c>
      <c r="B61" s="5">
        <v>45425</v>
      </c>
      <c r="C61" s="5">
        <v>45444</v>
      </c>
      <c r="D61" s="2">
        <f>C61-B61</f>
        <v>19</v>
      </c>
      <c r="E61" s="2">
        <v>81</v>
      </c>
      <c r="F61" s="2">
        <v>1</v>
      </c>
      <c r="G61" s="2">
        <v>2</v>
      </c>
      <c r="H61" s="2">
        <v>1</v>
      </c>
      <c r="I61" s="2">
        <v>0</v>
      </c>
      <c r="J61" s="2">
        <v>0</v>
      </c>
      <c r="K61" s="2">
        <v>1</v>
      </c>
      <c r="L61" s="2">
        <v>0</v>
      </c>
      <c r="M61" s="2">
        <v>0</v>
      </c>
      <c r="N61" s="2">
        <v>1</v>
      </c>
      <c r="O61" s="2" t="s">
        <v>72</v>
      </c>
      <c r="P61" t="s">
        <v>155</v>
      </c>
      <c r="Q61" s="51">
        <v>0</v>
      </c>
      <c r="R61" s="51">
        <v>0</v>
      </c>
      <c r="S61" s="51">
        <v>1</v>
      </c>
      <c r="T61" s="51">
        <v>0</v>
      </c>
      <c r="U61" s="2">
        <v>1</v>
      </c>
      <c r="V61" s="2">
        <v>2</v>
      </c>
      <c r="W61" s="5">
        <v>45425</v>
      </c>
      <c r="X61" s="5">
        <v>45426</v>
      </c>
      <c r="Y61" s="28">
        <f t="shared" si="0"/>
        <v>1</v>
      </c>
      <c r="Z61" s="2">
        <v>1</v>
      </c>
      <c r="AA61" s="2">
        <v>0</v>
      </c>
      <c r="AB61" s="2">
        <v>0</v>
      </c>
      <c r="AC61" s="2">
        <v>0</v>
      </c>
      <c r="AD61" s="2">
        <v>0</v>
      </c>
      <c r="AE61" s="2">
        <v>1</v>
      </c>
      <c r="AF61" s="2">
        <v>0</v>
      </c>
      <c r="AG61" s="2">
        <v>0</v>
      </c>
      <c r="AH61" s="2">
        <v>0</v>
      </c>
      <c r="AI61" s="2">
        <v>1</v>
      </c>
      <c r="AJ61" s="2" t="s">
        <v>158</v>
      </c>
      <c r="AK61" s="2">
        <v>1</v>
      </c>
      <c r="AL61" s="2">
        <v>1</v>
      </c>
      <c r="AM61" s="2">
        <v>1</v>
      </c>
      <c r="AN61" s="2">
        <v>1</v>
      </c>
      <c r="AO61" s="2">
        <v>0</v>
      </c>
      <c r="AP61" s="2">
        <v>0</v>
      </c>
      <c r="AQ61" s="2">
        <v>1</v>
      </c>
      <c r="AR61" s="2">
        <v>1</v>
      </c>
      <c r="AS61" s="5">
        <v>45429</v>
      </c>
      <c r="AT61" s="2">
        <v>0</v>
      </c>
      <c r="AU61" s="2">
        <v>1</v>
      </c>
      <c r="AV61" s="2">
        <f>Table2[[#This Row],[TTE date]]-Table2[[#This Row],[Date initial positive Bcx]]</f>
        <v>4</v>
      </c>
      <c r="AW61" s="2">
        <v>0</v>
      </c>
      <c r="BA61" s="2">
        <v>0</v>
      </c>
      <c r="BC61" s="2">
        <v>0</v>
      </c>
      <c r="BD61" s="2">
        <f>COUNTIFS(Table2[[#This Row],[Comorbidity present (at least 1)?]], "0",Table2[[#This Row],[Alternative source of infx?]], "1",Table2[[#This Row],[Abx used?]], "1", Table2[[#This Row],[&lt; 3 days defervescence or remained afebrile?]], "1",Table2[[#This Row],[WBC downtrend or remained nrml?]], "1")</f>
        <v>0</v>
      </c>
      <c r="BE61" s="2">
        <f>COUNTIFS(Table2[[#This Row],[&lt; 3 days defervescence or remained afebrile?]], "1",Table2[[#This Row],[WBC downtrend or remained nrml?]], "1")</f>
        <v>1</v>
      </c>
      <c r="BF61" s="2">
        <v>0</v>
      </c>
      <c r="BG61" s="2">
        <v>1</v>
      </c>
      <c r="BH61" s="2">
        <v>1</v>
      </c>
      <c r="BI61" s="2" t="s">
        <v>165</v>
      </c>
    </row>
    <row r="62" spans="1:61">
      <c r="A62" s="2">
        <v>61</v>
      </c>
      <c r="B62" s="5">
        <v>45381</v>
      </c>
      <c r="C62" s="5">
        <v>45387</v>
      </c>
      <c r="D62" s="2">
        <f>C62-B62</f>
        <v>6</v>
      </c>
      <c r="E62" s="2">
        <v>87</v>
      </c>
      <c r="F62" s="2">
        <v>2</v>
      </c>
      <c r="G62" s="2">
        <v>3</v>
      </c>
      <c r="H62" s="2">
        <v>1</v>
      </c>
      <c r="I62" s="2">
        <v>0</v>
      </c>
      <c r="J62" s="2">
        <v>0</v>
      </c>
      <c r="K62" s="2">
        <v>1</v>
      </c>
      <c r="L62" s="2">
        <v>0</v>
      </c>
      <c r="M62" s="2">
        <v>0</v>
      </c>
      <c r="N62" s="2">
        <v>1</v>
      </c>
      <c r="O62" s="2" t="s">
        <v>166</v>
      </c>
      <c r="P62" t="s">
        <v>155</v>
      </c>
      <c r="Q62" s="51">
        <v>0</v>
      </c>
      <c r="R62" s="51">
        <v>0</v>
      </c>
      <c r="S62" s="51">
        <v>1</v>
      </c>
      <c r="T62" s="51">
        <v>0</v>
      </c>
      <c r="U62" s="2">
        <v>1</v>
      </c>
      <c r="V62" s="2">
        <v>3</v>
      </c>
      <c r="W62" s="5">
        <v>45382</v>
      </c>
      <c r="X62" s="5">
        <v>45384</v>
      </c>
      <c r="Y62" s="28">
        <f t="shared" si="0"/>
        <v>2</v>
      </c>
      <c r="Z62" s="2">
        <v>0</v>
      </c>
      <c r="AA62" s="2">
        <v>0</v>
      </c>
      <c r="AB62" s="2">
        <v>0</v>
      </c>
      <c r="AC62" s="2">
        <v>0</v>
      </c>
      <c r="AD62" s="2">
        <v>0</v>
      </c>
      <c r="AE62" s="2">
        <v>0</v>
      </c>
      <c r="AF62" s="2">
        <v>0</v>
      </c>
      <c r="AG62" s="2">
        <v>0</v>
      </c>
      <c r="AH62" s="2">
        <v>0</v>
      </c>
      <c r="AI62" s="2">
        <v>1</v>
      </c>
      <c r="AJ62" s="2" t="s">
        <v>167</v>
      </c>
      <c r="AK62" s="2">
        <v>1</v>
      </c>
      <c r="AL62" s="2">
        <v>0</v>
      </c>
      <c r="AM62" s="2">
        <v>1</v>
      </c>
      <c r="AN62" s="2">
        <v>0</v>
      </c>
      <c r="AO62" s="2">
        <v>0</v>
      </c>
      <c r="AP62" s="2">
        <v>1</v>
      </c>
      <c r="AQ62" s="2">
        <v>1</v>
      </c>
      <c r="AR62" s="2">
        <v>1</v>
      </c>
      <c r="AS62" s="5">
        <v>45383</v>
      </c>
      <c r="AT62" s="2">
        <v>0</v>
      </c>
      <c r="AU62" s="2">
        <v>1</v>
      </c>
      <c r="AV62" s="2">
        <f>Table2[[#This Row],[TTE date]]-Table2[[#This Row],[Date initial positive Bcx]]</f>
        <v>1</v>
      </c>
      <c r="AW62" s="2">
        <v>0</v>
      </c>
      <c r="BA62" s="2">
        <v>0</v>
      </c>
      <c r="BC62" s="2">
        <v>0</v>
      </c>
      <c r="BD62" s="2">
        <f>COUNTIFS(Table2[[#This Row],[Comorbidity present (at least 1)?]], "0",Table2[[#This Row],[Alternative source of infx?]], "1",Table2[[#This Row],[Abx used?]], "1", Table2[[#This Row],[&lt; 3 days defervescence or remained afebrile?]], "1",Table2[[#This Row],[WBC downtrend or remained nrml?]], "1")</f>
        <v>0</v>
      </c>
      <c r="BE62" s="2">
        <f>COUNTIFS(Table2[[#This Row],[&lt; 3 days defervescence or remained afebrile?]], "1",Table2[[#This Row],[WBC downtrend or remained nrml?]], "1")</f>
        <v>1</v>
      </c>
      <c r="BF62" s="2">
        <v>0</v>
      </c>
      <c r="BG62" s="2">
        <v>1</v>
      </c>
      <c r="BH62" s="2">
        <v>1</v>
      </c>
      <c r="BI62" s="2" t="s">
        <v>168</v>
      </c>
    </row>
    <row r="63" spans="1:61">
      <c r="A63" s="2">
        <v>62</v>
      </c>
      <c r="B63" s="5">
        <v>45398</v>
      </c>
      <c r="C63" s="5">
        <v>45403</v>
      </c>
      <c r="D63" s="11">
        <f>C63-B63</f>
        <v>5</v>
      </c>
      <c r="E63" s="2">
        <v>47</v>
      </c>
      <c r="F63" s="2">
        <v>1</v>
      </c>
      <c r="G63" s="2">
        <v>2</v>
      </c>
      <c r="H63" s="2">
        <v>1</v>
      </c>
      <c r="I63" s="2">
        <v>1</v>
      </c>
      <c r="J63" s="2">
        <v>0</v>
      </c>
      <c r="K63" s="2">
        <v>0</v>
      </c>
      <c r="L63" s="2">
        <v>0</v>
      </c>
      <c r="M63" s="2">
        <v>0</v>
      </c>
      <c r="N63" s="2">
        <v>1</v>
      </c>
      <c r="O63" s="2" t="s">
        <v>169</v>
      </c>
      <c r="P63" t="s">
        <v>155</v>
      </c>
      <c r="Q63" s="51">
        <v>0</v>
      </c>
      <c r="R63" s="51">
        <v>0</v>
      </c>
      <c r="S63" s="51">
        <v>1</v>
      </c>
      <c r="T63" s="51">
        <v>0</v>
      </c>
      <c r="U63" s="2">
        <v>1</v>
      </c>
      <c r="V63" s="2">
        <v>4</v>
      </c>
      <c r="W63" s="5">
        <v>45398</v>
      </c>
      <c r="X63" s="5">
        <v>45403</v>
      </c>
      <c r="Y63" s="28">
        <f t="shared" si="0"/>
        <v>5</v>
      </c>
      <c r="Z63" s="2">
        <v>1</v>
      </c>
      <c r="AA63" s="2">
        <v>0</v>
      </c>
      <c r="AB63" s="2">
        <v>1</v>
      </c>
      <c r="AC63" s="2">
        <v>0</v>
      </c>
      <c r="AD63" s="2">
        <v>0</v>
      </c>
      <c r="AE63" s="2">
        <v>0</v>
      </c>
      <c r="AF63" s="2">
        <v>0</v>
      </c>
      <c r="AG63" s="2">
        <v>0</v>
      </c>
      <c r="AH63" s="2">
        <v>0</v>
      </c>
      <c r="AI63" s="2">
        <v>1</v>
      </c>
      <c r="AJ63" s="2" t="s">
        <v>158</v>
      </c>
      <c r="AK63" s="2">
        <v>1</v>
      </c>
      <c r="AL63" s="2">
        <v>1</v>
      </c>
      <c r="AM63" s="2">
        <v>1</v>
      </c>
      <c r="AN63" s="2">
        <v>1</v>
      </c>
      <c r="AO63" s="2">
        <v>0</v>
      </c>
      <c r="AP63" s="2">
        <v>0</v>
      </c>
      <c r="AQ63" s="2">
        <v>1</v>
      </c>
      <c r="AR63" s="2">
        <v>1</v>
      </c>
      <c r="AS63" s="5">
        <v>45400</v>
      </c>
      <c r="AT63" s="2">
        <v>1</v>
      </c>
      <c r="AU63" s="2">
        <v>0</v>
      </c>
      <c r="AV63" s="2">
        <f>Table2[[#This Row],[TTE date]]-Table2[[#This Row],[Date initial positive Bcx]]</f>
        <v>2</v>
      </c>
      <c r="AW63" s="2">
        <v>0</v>
      </c>
      <c r="BA63" s="2">
        <v>0</v>
      </c>
      <c r="BC63" s="2">
        <v>0</v>
      </c>
      <c r="BD63" s="2">
        <f>COUNTIFS(Table2[[#This Row],[Comorbidity present (at least 1)?]], "0",Table2[[#This Row],[Alternative source of infx?]], "1",Table2[[#This Row],[Abx used?]], "1", Table2[[#This Row],[&lt; 3 days defervescence or remained afebrile?]], "1",Table2[[#This Row],[WBC downtrend or remained nrml?]], "1")</f>
        <v>0</v>
      </c>
      <c r="BE63" s="2">
        <f>COUNTIFS(Table2[[#This Row],[&lt; 3 days defervescence or remained afebrile?]], "1",Table2[[#This Row],[WBC downtrend or remained nrml?]], "1")</f>
        <v>1</v>
      </c>
      <c r="BF63" s="2">
        <v>1</v>
      </c>
      <c r="BG63" s="2">
        <v>1</v>
      </c>
      <c r="BH63" s="2">
        <v>1</v>
      </c>
      <c r="BI63" s="2" t="s">
        <v>170</v>
      </c>
    </row>
    <row r="64" spans="1:61">
      <c r="A64" s="2">
        <v>63</v>
      </c>
      <c r="B64" s="5">
        <v>45398</v>
      </c>
      <c r="C64" s="5">
        <v>45442</v>
      </c>
      <c r="D64" s="2">
        <f>C64-B64</f>
        <v>44</v>
      </c>
      <c r="E64" s="2">
        <v>54</v>
      </c>
      <c r="F64" s="2">
        <v>1</v>
      </c>
      <c r="G64" s="2">
        <v>2</v>
      </c>
      <c r="H64" s="2">
        <v>1</v>
      </c>
      <c r="I64" s="2">
        <v>0</v>
      </c>
      <c r="J64" s="2">
        <v>0</v>
      </c>
      <c r="K64" s="2">
        <v>0</v>
      </c>
      <c r="L64" s="2">
        <v>1</v>
      </c>
      <c r="M64" s="2">
        <v>0</v>
      </c>
      <c r="N64" s="2">
        <v>0</v>
      </c>
      <c r="P64" t="s">
        <v>155</v>
      </c>
      <c r="Q64" s="51">
        <v>0</v>
      </c>
      <c r="R64" s="51">
        <v>0</v>
      </c>
      <c r="S64" s="51">
        <v>1</v>
      </c>
      <c r="T64" s="51">
        <v>0</v>
      </c>
      <c r="U64" s="2">
        <v>1</v>
      </c>
      <c r="V64" s="2">
        <v>5</v>
      </c>
      <c r="W64" s="5">
        <v>45398</v>
      </c>
      <c r="X64" s="5">
        <v>45401</v>
      </c>
      <c r="Y64" s="28">
        <f t="shared" si="0"/>
        <v>3</v>
      </c>
      <c r="Z64" s="2">
        <v>1</v>
      </c>
      <c r="AA64" s="2">
        <v>0</v>
      </c>
      <c r="AB64" s="2">
        <v>0</v>
      </c>
      <c r="AC64" s="2">
        <v>1</v>
      </c>
      <c r="AD64" s="2">
        <v>0</v>
      </c>
      <c r="AE64" s="2">
        <v>0</v>
      </c>
      <c r="AF64" s="2">
        <v>0</v>
      </c>
      <c r="AG64" s="2">
        <v>0</v>
      </c>
      <c r="AH64" s="2">
        <v>0</v>
      </c>
      <c r="AI64" s="2">
        <v>1</v>
      </c>
      <c r="AJ64" s="2" t="s">
        <v>158</v>
      </c>
      <c r="AK64" s="2">
        <v>1</v>
      </c>
      <c r="AL64" s="2">
        <v>1</v>
      </c>
      <c r="AM64" s="2">
        <v>1</v>
      </c>
      <c r="AN64" s="2">
        <v>1</v>
      </c>
      <c r="AO64" s="2">
        <v>0</v>
      </c>
      <c r="AP64" s="2">
        <v>0</v>
      </c>
      <c r="AQ64" s="2">
        <v>1</v>
      </c>
      <c r="AR64" s="2">
        <v>1</v>
      </c>
      <c r="AS64" s="5">
        <v>45401</v>
      </c>
      <c r="AT64" s="2">
        <v>0</v>
      </c>
      <c r="AU64" s="2">
        <v>0</v>
      </c>
      <c r="AV64" s="2">
        <f>Table2[[#This Row],[TTE date]]-Table2[[#This Row],[Date initial positive Bcx]]</f>
        <v>3</v>
      </c>
      <c r="AW64" s="2">
        <v>0</v>
      </c>
      <c r="BA64" s="2">
        <v>0</v>
      </c>
      <c r="BC64" s="2">
        <v>1</v>
      </c>
      <c r="BD64" s="2">
        <f>COUNTIFS(Table2[[#This Row],[Comorbidity present (at least 1)?]], "0",Table2[[#This Row],[Alternative source of infx?]], "1",Table2[[#This Row],[Abx used?]], "1", Table2[[#This Row],[&lt; 3 days defervescence or remained afebrile?]], "1",Table2[[#This Row],[WBC downtrend or remained nrml?]], "1")</f>
        <v>0</v>
      </c>
      <c r="BE64" s="2">
        <f>COUNTIFS(Table2[[#This Row],[&lt; 3 days defervescence or remained afebrile?]], "1",Table2[[#This Row],[WBC downtrend or remained nrml?]], "1")</f>
        <v>1</v>
      </c>
      <c r="BF64" s="2">
        <v>0</v>
      </c>
      <c r="BG64" s="2">
        <v>1</v>
      </c>
      <c r="BH64" s="2">
        <v>0</v>
      </c>
      <c r="BI64" s="2" t="s">
        <v>171</v>
      </c>
    </row>
    <row r="65" spans="1:61">
      <c r="A65" s="2">
        <v>64</v>
      </c>
      <c r="B65" s="5">
        <v>45409</v>
      </c>
      <c r="C65" s="5">
        <v>45419</v>
      </c>
      <c r="D65" s="2">
        <f>C65-B65</f>
        <v>10</v>
      </c>
      <c r="E65" s="2">
        <v>82</v>
      </c>
      <c r="F65" s="2">
        <v>1</v>
      </c>
      <c r="G65" s="2">
        <v>2</v>
      </c>
      <c r="H65" s="2">
        <v>1</v>
      </c>
      <c r="I65" s="2">
        <v>0</v>
      </c>
      <c r="J65" s="2">
        <v>0</v>
      </c>
      <c r="K65" s="2">
        <v>0</v>
      </c>
      <c r="L65" s="2">
        <v>0</v>
      </c>
      <c r="M65" s="2">
        <v>0</v>
      </c>
      <c r="N65" s="2">
        <v>1</v>
      </c>
      <c r="O65" s="2" t="s">
        <v>172</v>
      </c>
      <c r="P65" t="s">
        <v>155</v>
      </c>
      <c r="Q65" s="51">
        <v>0</v>
      </c>
      <c r="R65" s="51">
        <v>0</v>
      </c>
      <c r="S65" s="51">
        <v>1</v>
      </c>
      <c r="T65" s="51">
        <v>0</v>
      </c>
      <c r="U65" s="2">
        <v>0</v>
      </c>
      <c r="V65" s="2">
        <v>1</v>
      </c>
      <c r="W65" s="5">
        <v>45411</v>
      </c>
      <c r="X65" s="5">
        <v>45411</v>
      </c>
      <c r="Y65" s="28">
        <f t="shared" si="0"/>
        <v>0</v>
      </c>
      <c r="Z65" s="2">
        <v>1</v>
      </c>
      <c r="AA65" s="2">
        <v>0</v>
      </c>
      <c r="AB65" s="2">
        <v>0</v>
      </c>
      <c r="AC65" s="2">
        <v>0</v>
      </c>
      <c r="AD65" s="2">
        <v>0</v>
      </c>
      <c r="AE65" s="2">
        <v>0</v>
      </c>
      <c r="AF65" s="2">
        <v>0</v>
      </c>
      <c r="AG65" s="2">
        <v>1</v>
      </c>
      <c r="AH65" s="2">
        <v>0</v>
      </c>
      <c r="AI65" s="2">
        <v>1</v>
      </c>
      <c r="AJ65" s="2" t="s">
        <v>173</v>
      </c>
      <c r="AK65" s="2">
        <v>0</v>
      </c>
      <c r="AL65" s="2">
        <v>1</v>
      </c>
      <c r="AM65" s="2">
        <v>1</v>
      </c>
      <c r="AN65" s="2">
        <v>1</v>
      </c>
      <c r="AO65" s="2">
        <v>0</v>
      </c>
      <c r="AP65" s="2">
        <v>0</v>
      </c>
      <c r="AQ65" s="2">
        <v>1</v>
      </c>
      <c r="AR65" s="2">
        <v>1</v>
      </c>
      <c r="AS65" s="5">
        <v>45411</v>
      </c>
      <c r="AT65" s="2">
        <v>0</v>
      </c>
      <c r="AU65" s="2">
        <v>1</v>
      </c>
      <c r="AV65" s="2">
        <f>Table2[[#This Row],[TTE date]]-Table2[[#This Row],[Date initial positive Bcx]]</f>
        <v>0</v>
      </c>
      <c r="AW65" s="2">
        <v>0</v>
      </c>
      <c r="BA65" s="2">
        <v>0</v>
      </c>
      <c r="BC65" s="2">
        <v>0</v>
      </c>
      <c r="BD65" s="2">
        <f>COUNTIFS(Table2[[#This Row],[Comorbidity present (at least 1)?]], "0",Table2[[#This Row],[Alternative source of infx?]], "1",Table2[[#This Row],[Abx used?]], "1", Table2[[#This Row],[&lt; 3 days defervescence or remained afebrile?]], "1",Table2[[#This Row],[WBC downtrend or remained nrml?]], "1")</f>
        <v>0</v>
      </c>
      <c r="BE65" s="2">
        <f>COUNTIFS(Table2[[#This Row],[&lt; 3 days defervescence or remained afebrile?]], "1",Table2[[#This Row],[WBC downtrend or remained nrml?]], "1")</f>
        <v>1</v>
      </c>
      <c r="BF65" s="2">
        <v>0</v>
      </c>
      <c r="BG65" s="2">
        <v>1</v>
      </c>
      <c r="BH65" s="2">
        <v>0</v>
      </c>
      <c r="BI65" s="2" t="s">
        <v>174</v>
      </c>
    </row>
    <row r="66" spans="1:61">
      <c r="A66" s="2">
        <v>65</v>
      </c>
      <c r="B66" s="5">
        <v>45375</v>
      </c>
      <c r="C66" s="5">
        <v>45388</v>
      </c>
      <c r="D66" s="2">
        <f>C66-B66</f>
        <v>13</v>
      </c>
      <c r="E66" s="2">
        <v>54</v>
      </c>
      <c r="F66" s="2">
        <v>2</v>
      </c>
      <c r="G66" s="2">
        <v>2</v>
      </c>
      <c r="H66" s="2">
        <v>0</v>
      </c>
      <c r="I66" s="2">
        <v>0</v>
      </c>
      <c r="J66" s="2">
        <v>0</v>
      </c>
      <c r="K66" s="2">
        <v>0</v>
      </c>
      <c r="L66" s="2">
        <v>0</v>
      </c>
      <c r="M66" s="2">
        <v>0</v>
      </c>
      <c r="N66" s="2">
        <v>0</v>
      </c>
      <c r="P66" t="s">
        <v>155</v>
      </c>
      <c r="Q66" s="51">
        <v>0</v>
      </c>
      <c r="R66" s="51">
        <v>0</v>
      </c>
      <c r="S66" s="51">
        <v>1</v>
      </c>
      <c r="T66" s="51">
        <v>0</v>
      </c>
      <c r="U66" s="2">
        <v>1</v>
      </c>
      <c r="V66" s="2">
        <v>6</v>
      </c>
      <c r="W66" s="5">
        <v>45375</v>
      </c>
      <c r="X66" s="5">
        <v>45380</v>
      </c>
      <c r="Y66" s="28">
        <f t="shared" si="0"/>
        <v>5</v>
      </c>
      <c r="Z66" s="2">
        <v>1</v>
      </c>
      <c r="AA66" s="2">
        <v>0</v>
      </c>
      <c r="AB66" s="2">
        <v>0</v>
      </c>
      <c r="AC66" s="2">
        <v>0</v>
      </c>
      <c r="AD66" s="2">
        <v>0</v>
      </c>
      <c r="AE66" s="2">
        <v>0</v>
      </c>
      <c r="AF66" s="2">
        <v>0</v>
      </c>
      <c r="AG66" s="2">
        <v>1</v>
      </c>
      <c r="AH66" s="2">
        <v>0</v>
      </c>
      <c r="AI66" s="2">
        <v>1</v>
      </c>
      <c r="AJ66" s="2" t="s">
        <v>175</v>
      </c>
      <c r="AK66" s="2">
        <v>0</v>
      </c>
      <c r="AL66" s="2">
        <v>1</v>
      </c>
      <c r="AM66" s="2">
        <v>0</v>
      </c>
      <c r="AN66" s="2">
        <v>0</v>
      </c>
      <c r="AO66" s="2">
        <v>1</v>
      </c>
      <c r="AP66" s="2">
        <v>0</v>
      </c>
      <c r="AQ66" s="2">
        <v>1</v>
      </c>
      <c r="AR66" s="2">
        <v>1</v>
      </c>
      <c r="AS66" s="5">
        <v>45380</v>
      </c>
      <c r="AT66" s="2">
        <v>0</v>
      </c>
      <c r="AU66" s="2">
        <v>0</v>
      </c>
      <c r="AV66" s="2">
        <f>Table2[[#This Row],[TTE date]]-Table2[[#This Row],[Date initial positive Bcx]]</f>
        <v>5</v>
      </c>
      <c r="AW66" s="2">
        <v>1</v>
      </c>
      <c r="AX66" s="5">
        <v>45383</v>
      </c>
      <c r="AY66" s="2">
        <v>0</v>
      </c>
      <c r="AZ66" s="2">
        <v>0</v>
      </c>
      <c r="BA66" s="2">
        <v>1</v>
      </c>
      <c r="BB66" s="2">
        <f>Table2[[#This Row],[TEE date]]-Table2[[#This Row],[Date initial positive Bcx]]</f>
        <v>8</v>
      </c>
      <c r="BC66" s="2">
        <v>0</v>
      </c>
      <c r="BD66" s="2">
        <f>COUNTIFS(Table2[[#This Row],[Comorbidity present (at least 1)?]], "0",Table2[[#This Row],[Alternative source of infx?]], "1",Table2[[#This Row],[Abx used?]], "1", Table2[[#This Row],[&lt; 3 days defervescence or remained afebrile?]], "1",Table2[[#This Row],[WBC downtrend or remained nrml?]], "1")</f>
        <v>0</v>
      </c>
      <c r="BE66" s="2">
        <f>COUNTIFS(Table2[[#This Row],[&lt; 3 days defervescence or remained afebrile?]], "1",Table2[[#This Row],[WBC downtrend or remained nrml?]], "1")</f>
        <v>0</v>
      </c>
      <c r="BF66" s="2">
        <v>0</v>
      </c>
      <c r="BG66" s="2">
        <v>1</v>
      </c>
      <c r="BH66" s="2">
        <v>0</v>
      </c>
      <c r="BI66" s="2" t="s">
        <v>176</v>
      </c>
    </row>
    <row r="67" spans="1:61">
      <c r="A67" s="2">
        <v>66</v>
      </c>
      <c r="B67" s="5">
        <v>45433</v>
      </c>
      <c r="C67" s="5">
        <v>45443</v>
      </c>
      <c r="D67" s="2">
        <f>C67-B67</f>
        <v>10</v>
      </c>
      <c r="E67" s="2">
        <v>71</v>
      </c>
      <c r="F67" s="2">
        <v>2</v>
      </c>
      <c r="G67" s="2">
        <v>2</v>
      </c>
      <c r="H67" s="2">
        <v>1</v>
      </c>
      <c r="I67" s="2">
        <v>0</v>
      </c>
      <c r="J67" s="2">
        <v>0</v>
      </c>
      <c r="K67" s="2">
        <v>0</v>
      </c>
      <c r="L67" s="2">
        <v>1</v>
      </c>
      <c r="M67" s="2">
        <v>0</v>
      </c>
      <c r="N67" s="2">
        <v>1</v>
      </c>
      <c r="O67" s="2" t="s">
        <v>99</v>
      </c>
      <c r="P67" t="s">
        <v>163</v>
      </c>
      <c r="Q67" s="51">
        <v>0</v>
      </c>
      <c r="R67" s="51">
        <v>0</v>
      </c>
      <c r="S67" s="51">
        <v>1</v>
      </c>
      <c r="T67" s="51">
        <v>0</v>
      </c>
      <c r="U67" s="2">
        <v>0</v>
      </c>
      <c r="V67" s="2">
        <v>1</v>
      </c>
      <c r="W67" s="5">
        <v>45433</v>
      </c>
      <c r="X67" s="5">
        <v>45433</v>
      </c>
      <c r="Y67" s="28">
        <f t="shared" ref="Y67:Y130" si="2">X67-W67</f>
        <v>0</v>
      </c>
      <c r="Z67" s="2">
        <v>1</v>
      </c>
      <c r="AA67" s="2">
        <v>0</v>
      </c>
      <c r="AB67" s="2">
        <v>0</v>
      </c>
      <c r="AC67" s="2">
        <v>1</v>
      </c>
      <c r="AD67" s="2">
        <v>0</v>
      </c>
      <c r="AE67" s="2">
        <v>0</v>
      </c>
      <c r="AF67" s="2">
        <v>0</v>
      </c>
      <c r="AG67" s="2">
        <v>0</v>
      </c>
      <c r="AH67" s="2">
        <v>0</v>
      </c>
      <c r="AI67" s="2">
        <v>1</v>
      </c>
      <c r="AJ67" s="2" t="s">
        <v>48</v>
      </c>
      <c r="AK67" s="2">
        <v>1</v>
      </c>
      <c r="AL67" s="2">
        <v>0</v>
      </c>
      <c r="AM67" s="2">
        <v>1</v>
      </c>
      <c r="AN67" s="2">
        <v>0</v>
      </c>
      <c r="AO67" s="2">
        <v>0</v>
      </c>
      <c r="AP67" s="2">
        <v>1</v>
      </c>
      <c r="AQ67" s="2">
        <v>1</v>
      </c>
      <c r="AR67" s="2">
        <v>1</v>
      </c>
      <c r="AS67" s="5">
        <v>45436</v>
      </c>
      <c r="AT67" s="2">
        <v>0</v>
      </c>
      <c r="AU67" s="2">
        <v>0</v>
      </c>
      <c r="AV67" s="2">
        <f>Table2[[#This Row],[TTE date]]-Table2[[#This Row],[Date initial positive Bcx]]</f>
        <v>3</v>
      </c>
      <c r="AW67" s="2">
        <v>0</v>
      </c>
      <c r="BA67" s="2">
        <v>0</v>
      </c>
      <c r="BC67" s="2">
        <v>0</v>
      </c>
      <c r="BD67" s="2">
        <f>COUNTIFS(Table2[[#This Row],[Comorbidity present (at least 1)?]], "0",Table2[[#This Row],[Alternative source of infx?]], "1",Table2[[#This Row],[Abx used?]], "1", Table2[[#This Row],[&lt; 3 days defervescence or remained afebrile?]], "1",Table2[[#This Row],[WBC downtrend or remained nrml?]], "1")</f>
        <v>0</v>
      </c>
      <c r="BE67" s="2">
        <f>COUNTIFS(Table2[[#This Row],[&lt; 3 days defervescence or remained afebrile?]], "1",Table2[[#This Row],[WBC downtrend or remained nrml?]], "1")</f>
        <v>1</v>
      </c>
      <c r="BF67" s="2">
        <v>0</v>
      </c>
      <c r="BG67" s="2">
        <v>0</v>
      </c>
      <c r="BH67" s="2">
        <v>0</v>
      </c>
      <c r="BI67" s="2" t="s">
        <v>177</v>
      </c>
    </row>
    <row r="68" spans="1:61" s="13" customFormat="1">
      <c r="A68" s="2">
        <v>67</v>
      </c>
      <c r="B68" s="18">
        <v>45398</v>
      </c>
      <c r="C68" s="18">
        <v>45442</v>
      </c>
      <c r="D68" s="13">
        <f t="shared" ref="D68" si="3">C68-B68</f>
        <v>44</v>
      </c>
      <c r="E68" s="13">
        <v>54</v>
      </c>
      <c r="F68" s="13">
        <v>1</v>
      </c>
      <c r="G68" s="13">
        <v>2</v>
      </c>
      <c r="H68" s="13">
        <v>1</v>
      </c>
      <c r="I68" s="13">
        <v>0</v>
      </c>
      <c r="J68" s="13">
        <v>0</v>
      </c>
      <c r="K68" s="13">
        <v>0</v>
      </c>
      <c r="L68" s="13">
        <v>1</v>
      </c>
      <c r="M68" s="13">
        <v>0</v>
      </c>
      <c r="N68" s="13">
        <v>0</v>
      </c>
      <c r="P68" s="14" t="s">
        <v>155</v>
      </c>
      <c r="Q68" s="52">
        <v>0</v>
      </c>
      <c r="R68" s="52">
        <v>0</v>
      </c>
      <c r="S68" s="52">
        <v>1</v>
      </c>
      <c r="T68" s="52">
        <v>0</v>
      </c>
      <c r="U68" s="13">
        <v>1</v>
      </c>
      <c r="V68" s="13">
        <v>5</v>
      </c>
      <c r="W68" s="18">
        <v>45398</v>
      </c>
      <c r="X68" s="18">
        <v>45401</v>
      </c>
      <c r="Y68" s="28">
        <f t="shared" si="2"/>
        <v>3</v>
      </c>
      <c r="Z68" s="13">
        <v>1</v>
      </c>
      <c r="AA68" s="13">
        <v>0</v>
      </c>
      <c r="AB68" s="13">
        <v>0</v>
      </c>
      <c r="AC68" s="13">
        <v>1</v>
      </c>
      <c r="AD68" s="13">
        <v>0</v>
      </c>
      <c r="AE68" s="13">
        <v>1</v>
      </c>
      <c r="AF68" s="13">
        <v>0</v>
      </c>
      <c r="AG68" s="13">
        <v>0</v>
      </c>
      <c r="AH68" s="13">
        <v>0</v>
      </c>
      <c r="AI68" s="13">
        <v>1</v>
      </c>
      <c r="AJ68" s="13" t="s">
        <v>158</v>
      </c>
      <c r="AK68" s="13">
        <v>1</v>
      </c>
      <c r="AL68" s="13">
        <v>1</v>
      </c>
      <c r="AM68" s="13">
        <v>1</v>
      </c>
      <c r="AN68" s="13">
        <v>1</v>
      </c>
      <c r="AO68" s="13">
        <v>0</v>
      </c>
      <c r="AP68" s="13">
        <v>0</v>
      </c>
      <c r="AQ68" s="13">
        <v>1</v>
      </c>
      <c r="AR68" s="13">
        <v>1</v>
      </c>
      <c r="AS68" s="18">
        <v>45401</v>
      </c>
      <c r="AT68" s="13">
        <v>0</v>
      </c>
      <c r="AU68" s="13">
        <v>0</v>
      </c>
      <c r="AV68" s="13">
        <f>Table2[[#This Row],[TTE date]]-Table2[[#This Row],[Date initial positive Bcx]]</f>
        <v>3</v>
      </c>
      <c r="AW68" s="13">
        <v>0</v>
      </c>
      <c r="BA68" s="13">
        <v>0</v>
      </c>
      <c r="BC68" s="13">
        <v>0</v>
      </c>
      <c r="BD68" s="13">
        <f>COUNTIFS(Table2[[#This Row],[Comorbidity present (at least 1)?]], "0",Table2[[#This Row],[Alternative source of infx?]], "1",Table2[[#This Row],[Abx used?]], "1", Table2[[#This Row],[&lt; 3 days defervescence or remained afebrile?]], "1",Table2[[#This Row],[WBC downtrend or remained nrml?]], "1")</f>
        <v>0</v>
      </c>
      <c r="BE68" s="13">
        <f>COUNTIFS(Table2[[#This Row],[&lt; 3 days defervescence or remained afebrile?]], "1",Table2[[#This Row],[WBC downtrend or remained nrml?]], "1")</f>
        <v>1</v>
      </c>
      <c r="BF68" s="13">
        <v>0</v>
      </c>
      <c r="BG68" s="13">
        <v>1</v>
      </c>
      <c r="BH68" s="13">
        <v>0</v>
      </c>
      <c r="BI68" s="13" t="s">
        <v>178</v>
      </c>
    </row>
    <row r="69" spans="1:61">
      <c r="A69" s="2">
        <v>68</v>
      </c>
      <c r="B69" s="5">
        <v>45444</v>
      </c>
      <c r="C69" s="5">
        <v>45449</v>
      </c>
      <c r="D69" s="2">
        <f>C69-B69</f>
        <v>5</v>
      </c>
      <c r="E69" s="2">
        <v>69</v>
      </c>
      <c r="F69" s="2">
        <v>1</v>
      </c>
      <c r="G69" s="2">
        <v>2</v>
      </c>
      <c r="H69" s="2">
        <v>1</v>
      </c>
      <c r="I69" s="2">
        <v>0</v>
      </c>
      <c r="J69" s="2">
        <v>0</v>
      </c>
      <c r="K69" s="2">
        <v>0</v>
      </c>
      <c r="L69" s="2">
        <v>1</v>
      </c>
      <c r="M69" s="2">
        <v>0</v>
      </c>
      <c r="N69" s="2">
        <v>0</v>
      </c>
      <c r="P69" t="s">
        <v>179</v>
      </c>
      <c r="Q69" s="51">
        <v>0</v>
      </c>
      <c r="R69" s="51">
        <v>0</v>
      </c>
      <c r="S69" s="51">
        <v>0</v>
      </c>
      <c r="T69" s="51">
        <v>1</v>
      </c>
      <c r="U69" s="2">
        <v>0</v>
      </c>
      <c r="V69" s="2">
        <v>1</v>
      </c>
      <c r="W69" s="5">
        <v>45444</v>
      </c>
      <c r="X69" s="5">
        <v>45444</v>
      </c>
      <c r="Y69" s="28">
        <f t="shared" si="2"/>
        <v>0</v>
      </c>
      <c r="Z69" s="2">
        <v>0</v>
      </c>
      <c r="AA69" s="2">
        <v>0</v>
      </c>
      <c r="AB69" s="2">
        <v>0</v>
      </c>
      <c r="AC69" s="2">
        <v>0</v>
      </c>
      <c r="AD69" s="2">
        <v>0</v>
      </c>
      <c r="AE69" s="2">
        <v>0</v>
      </c>
      <c r="AF69" s="2">
        <v>0</v>
      </c>
      <c r="AG69" s="2">
        <v>0</v>
      </c>
      <c r="AH69" s="2">
        <v>0</v>
      </c>
      <c r="AI69" s="2">
        <v>1</v>
      </c>
      <c r="AJ69" s="2" t="s">
        <v>126</v>
      </c>
      <c r="AK69" s="2">
        <v>0</v>
      </c>
      <c r="AL69" s="2">
        <v>1</v>
      </c>
      <c r="AM69" s="2">
        <v>1</v>
      </c>
      <c r="AN69" s="2">
        <v>1</v>
      </c>
      <c r="AO69" s="2">
        <v>0</v>
      </c>
      <c r="AP69" s="2">
        <v>0</v>
      </c>
      <c r="AQ69" s="2">
        <v>1</v>
      </c>
      <c r="AR69" s="2">
        <v>0</v>
      </c>
      <c r="AW69" s="2">
        <v>0</v>
      </c>
      <c r="BA69" s="2">
        <v>0</v>
      </c>
      <c r="BC69" s="2">
        <v>0</v>
      </c>
      <c r="BD69" s="2">
        <f>COUNTIFS(Table2[[#This Row],[Comorbidity present (at least 1)?]], "0",Table2[[#This Row],[Alternative source of infx?]], "1",Table2[[#This Row],[Abx used?]], "1", Table2[[#This Row],[&lt; 3 days defervescence or remained afebrile?]], "1",Table2[[#This Row],[WBC downtrend or remained nrml?]], "1")</f>
        <v>0</v>
      </c>
      <c r="BE69" s="2">
        <f>COUNTIFS(Table2[[#This Row],[&lt; 3 days defervescence or remained afebrile?]], "1",Table2[[#This Row],[WBC downtrend or remained nrml?]], "1")</f>
        <v>1</v>
      </c>
      <c r="BF69" s="2">
        <v>0</v>
      </c>
      <c r="BG69" s="2">
        <v>0</v>
      </c>
      <c r="BH69" s="2">
        <v>0</v>
      </c>
      <c r="BI69" s="2" t="s">
        <v>180</v>
      </c>
    </row>
    <row r="70" spans="1:61">
      <c r="A70" s="2">
        <v>69</v>
      </c>
      <c r="B70" s="5">
        <v>45447</v>
      </c>
      <c r="C70" s="5">
        <v>45457</v>
      </c>
      <c r="D70" s="2">
        <f>C70-B70</f>
        <v>10</v>
      </c>
      <c r="E70" s="2">
        <v>53</v>
      </c>
      <c r="F70" s="2">
        <v>1</v>
      </c>
      <c r="G70" s="2">
        <v>2</v>
      </c>
      <c r="H70" s="2">
        <v>0</v>
      </c>
      <c r="I70" s="2">
        <v>0</v>
      </c>
      <c r="J70" s="2">
        <v>0</v>
      </c>
      <c r="K70" s="2">
        <v>0</v>
      </c>
      <c r="L70" s="2">
        <v>0</v>
      </c>
      <c r="M70" s="2">
        <v>0</v>
      </c>
      <c r="N70" s="2">
        <v>0</v>
      </c>
      <c r="P70" t="s">
        <v>179</v>
      </c>
      <c r="Q70" s="51">
        <v>0</v>
      </c>
      <c r="R70" s="51">
        <v>0</v>
      </c>
      <c r="S70" s="51">
        <v>0</v>
      </c>
      <c r="T70" s="51">
        <v>1</v>
      </c>
      <c r="U70" s="2">
        <v>0</v>
      </c>
      <c r="V70" s="2">
        <v>1</v>
      </c>
      <c r="W70" s="5">
        <v>45447</v>
      </c>
      <c r="X70" s="5">
        <v>45447</v>
      </c>
      <c r="Y70" s="28">
        <f t="shared" si="2"/>
        <v>0</v>
      </c>
      <c r="Z70" s="2">
        <v>0</v>
      </c>
      <c r="AA70" s="2">
        <v>0</v>
      </c>
      <c r="AB70" s="2">
        <v>0</v>
      </c>
      <c r="AC70" s="2">
        <v>0</v>
      </c>
      <c r="AD70" s="2">
        <v>0</v>
      </c>
      <c r="AE70" s="2">
        <v>0</v>
      </c>
      <c r="AF70" s="2">
        <v>0</v>
      </c>
      <c r="AG70" s="2">
        <v>0</v>
      </c>
      <c r="AH70" s="2">
        <v>0</v>
      </c>
      <c r="AI70" s="2">
        <v>1</v>
      </c>
      <c r="AJ70" s="2" t="s">
        <v>68</v>
      </c>
      <c r="AK70" s="2">
        <v>0</v>
      </c>
      <c r="AL70" s="2">
        <v>0</v>
      </c>
      <c r="AM70" s="2">
        <v>1</v>
      </c>
      <c r="AN70" s="2">
        <v>0</v>
      </c>
      <c r="AO70" s="2">
        <v>0</v>
      </c>
      <c r="AP70" s="2">
        <v>1</v>
      </c>
      <c r="AQ70" s="2">
        <v>1</v>
      </c>
      <c r="AR70" s="2">
        <v>0</v>
      </c>
      <c r="AW70" s="2">
        <v>0</v>
      </c>
      <c r="BA70" s="2">
        <v>0</v>
      </c>
      <c r="BC70" s="2">
        <v>0</v>
      </c>
      <c r="BD70" s="2">
        <f>COUNTIFS(Table2[[#This Row],[Comorbidity present (at least 1)?]], "0",Table2[[#This Row],[Alternative source of infx?]], "1",Table2[[#This Row],[Abx used?]], "1", Table2[[#This Row],[&lt; 3 days defervescence or remained afebrile?]], "1",Table2[[#This Row],[WBC downtrend or remained nrml?]], "1")</f>
        <v>0</v>
      </c>
      <c r="BE70" s="2">
        <f>COUNTIFS(Table2[[#This Row],[&lt; 3 days defervescence or remained afebrile?]], "1",Table2[[#This Row],[WBC downtrend or remained nrml?]], "1")</f>
        <v>1</v>
      </c>
      <c r="BF70" s="2">
        <v>0</v>
      </c>
      <c r="BG70" s="2">
        <v>0</v>
      </c>
      <c r="BH70" s="2">
        <v>0</v>
      </c>
      <c r="BI70" s="2" t="s">
        <v>183</v>
      </c>
    </row>
    <row r="71" spans="1:61">
      <c r="A71" s="2">
        <v>70</v>
      </c>
      <c r="B71" s="5">
        <v>45449</v>
      </c>
      <c r="C71" s="5">
        <v>45477</v>
      </c>
      <c r="D71" s="2">
        <f>C71-B71</f>
        <v>28</v>
      </c>
      <c r="E71" s="2">
        <v>73</v>
      </c>
      <c r="F71" s="2">
        <v>2</v>
      </c>
      <c r="G71" s="2">
        <v>2</v>
      </c>
      <c r="H71" s="2">
        <v>0</v>
      </c>
      <c r="I71" s="2">
        <v>0</v>
      </c>
      <c r="J71" s="2">
        <v>0</v>
      </c>
      <c r="K71" s="2">
        <v>0</v>
      </c>
      <c r="L71" s="2">
        <v>0</v>
      </c>
      <c r="M71" s="2">
        <v>0</v>
      </c>
      <c r="N71" s="2">
        <v>0</v>
      </c>
      <c r="P71" t="s">
        <v>184</v>
      </c>
      <c r="Q71" s="51">
        <v>0</v>
      </c>
      <c r="R71" s="51">
        <v>0</v>
      </c>
      <c r="S71" s="51">
        <v>0</v>
      </c>
      <c r="T71" s="51">
        <v>1</v>
      </c>
      <c r="U71" s="2">
        <v>0</v>
      </c>
      <c r="V71" s="2">
        <v>1</v>
      </c>
      <c r="W71" s="5">
        <v>45449</v>
      </c>
      <c r="X71" s="5">
        <v>45449</v>
      </c>
      <c r="Y71" s="28">
        <f t="shared" si="2"/>
        <v>0</v>
      </c>
      <c r="Z71" s="2">
        <v>1</v>
      </c>
      <c r="AA71" s="2">
        <v>0</v>
      </c>
      <c r="AB71" s="2">
        <v>0</v>
      </c>
      <c r="AC71" s="2">
        <v>0</v>
      </c>
      <c r="AD71" s="2">
        <v>0</v>
      </c>
      <c r="AE71" s="2">
        <v>0</v>
      </c>
      <c r="AF71" s="2">
        <v>0</v>
      </c>
      <c r="AG71" s="2">
        <v>0</v>
      </c>
      <c r="AH71" s="2">
        <v>1</v>
      </c>
      <c r="AI71" s="2">
        <v>1</v>
      </c>
      <c r="AJ71" s="2" t="s">
        <v>91</v>
      </c>
      <c r="AK71" s="2">
        <v>0</v>
      </c>
      <c r="AL71" s="2">
        <v>0</v>
      </c>
      <c r="AM71" s="2">
        <v>1</v>
      </c>
      <c r="AN71" s="2">
        <v>0</v>
      </c>
      <c r="AO71" s="2">
        <v>0</v>
      </c>
      <c r="AP71" s="2">
        <v>1</v>
      </c>
      <c r="AQ71" s="2">
        <v>0</v>
      </c>
      <c r="AR71" s="2">
        <v>1</v>
      </c>
      <c r="AS71" s="5">
        <v>45453</v>
      </c>
      <c r="AT71" s="2">
        <v>0</v>
      </c>
      <c r="AU71" s="2">
        <v>1</v>
      </c>
      <c r="AV71" s="2">
        <f>Table2[[#This Row],[TTE date]]-Table2[[#This Row],[Date initial positive Bcx]]</f>
        <v>4</v>
      </c>
      <c r="AW71" s="2">
        <v>0</v>
      </c>
      <c r="BA71" s="2">
        <v>0</v>
      </c>
      <c r="BC71" s="2">
        <v>1</v>
      </c>
      <c r="BD71" s="2">
        <f>COUNTIFS(Table2[[#This Row],[Comorbidity present (at least 1)?]], "0",Table2[[#This Row],[Alternative source of infx?]], "1",Table2[[#This Row],[Abx used?]], "1", Table2[[#This Row],[&lt; 3 days defervescence or remained afebrile?]], "1",Table2[[#This Row],[WBC downtrend or remained nrml?]], "1")</f>
        <v>0</v>
      </c>
      <c r="BE71" s="2">
        <f>COUNTIFS(Table2[[#This Row],[&lt; 3 days defervescence or remained afebrile?]], "1",Table2[[#This Row],[WBC downtrend or remained nrml?]], "1")</f>
        <v>0</v>
      </c>
      <c r="BF71" s="2">
        <v>0</v>
      </c>
      <c r="BG71" s="2">
        <v>0</v>
      </c>
      <c r="BH71" s="2">
        <v>0</v>
      </c>
      <c r="BI71" s="2" t="s">
        <v>185</v>
      </c>
    </row>
    <row r="72" spans="1:61">
      <c r="A72" s="2">
        <v>71</v>
      </c>
      <c r="B72" s="5">
        <v>45449</v>
      </c>
      <c r="C72" s="5">
        <v>45457</v>
      </c>
      <c r="D72" s="2">
        <f>C72-B72</f>
        <v>8</v>
      </c>
      <c r="E72" s="2">
        <v>69</v>
      </c>
      <c r="F72" s="2">
        <v>1</v>
      </c>
      <c r="G72" s="2">
        <v>2</v>
      </c>
      <c r="H72" s="2">
        <v>1</v>
      </c>
      <c r="I72" s="2">
        <v>0</v>
      </c>
      <c r="J72" s="2">
        <v>0</v>
      </c>
      <c r="K72" s="2">
        <v>0</v>
      </c>
      <c r="L72" s="2">
        <v>0</v>
      </c>
      <c r="M72" s="2">
        <v>0</v>
      </c>
      <c r="N72" s="2">
        <v>1</v>
      </c>
      <c r="O72" s="2" t="s">
        <v>70</v>
      </c>
      <c r="P72" t="s">
        <v>186</v>
      </c>
      <c r="Q72" s="51">
        <v>0</v>
      </c>
      <c r="R72" s="51">
        <v>0</v>
      </c>
      <c r="S72" s="51">
        <v>0</v>
      </c>
      <c r="T72" s="51">
        <v>1</v>
      </c>
      <c r="U72" s="2">
        <v>0</v>
      </c>
      <c r="V72" s="2">
        <v>1</v>
      </c>
      <c r="W72" s="5">
        <v>45449</v>
      </c>
      <c r="X72" s="5">
        <v>45449</v>
      </c>
      <c r="Y72" s="28">
        <f t="shared" si="2"/>
        <v>0</v>
      </c>
      <c r="Z72" s="2">
        <v>0</v>
      </c>
      <c r="AA72" s="2">
        <v>0</v>
      </c>
      <c r="AB72" s="2">
        <v>0</v>
      </c>
      <c r="AC72" s="2">
        <v>0</v>
      </c>
      <c r="AD72" s="2">
        <v>0</v>
      </c>
      <c r="AE72" s="2">
        <v>0</v>
      </c>
      <c r="AF72" s="2">
        <v>0</v>
      </c>
      <c r="AG72" s="2">
        <v>0</v>
      </c>
      <c r="AH72" s="2">
        <v>0</v>
      </c>
      <c r="AI72" s="2">
        <v>1</v>
      </c>
      <c r="AJ72" s="2" t="s">
        <v>187</v>
      </c>
      <c r="AK72" s="2">
        <v>0</v>
      </c>
      <c r="AL72" s="11">
        <v>1</v>
      </c>
      <c r="AM72" s="2">
        <v>0</v>
      </c>
      <c r="AN72" s="2">
        <v>0</v>
      </c>
      <c r="AO72" s="2">
        <v>1</v>
      </c>
      <c r="AP72" s="2">
        <v>0</v>
      </c>
      <c r="AQ72" s="2">
        <v>1</v>
      </c>
      <c r="AR72" s="2">
        <v>0</v>
      </c>
      <c r="AW72" s="2">
        <v>0</v>
      </c>
      <c r="BA72" s="2">
        <v>0</v>
      </c>
      <c r="BC72" s="2">
        <v>0</v>
      </c>
      <c r="BD72" s="2">
        <f>COUNTIFS(Table2[[#This Row],[Comorbidity present (at least 1)?]], "0",Table2[[#This Row],[Alternative source of infx?]], "1",Table2[[#This Row],[Abx used?]], "1", Table2[[#This Row],[&lt; 3 days defervescence or remained afebrile?]], "1",Table2[[#This Row],[WBC downtrend or remained nrml?]], "1")</f>
        <v>0</v>
      </c>
      <c r="BE72" s="2">
        <f>COUNTIFS(Table2[[#This Row],[&lt; 3 days defervescence or remained afebrile?]], "1",Table2[[#This Row],[WBC downtrend or remained nrml?]], "1")</f>
        <v>0</v>
      </c>
      <c r="BF72" s="2">
        <v>0</v>
      </c>
      <c r="BG72" s="2">
        <v>0</v>
      </c>
      <c r="BH72" s="2">
        <v>0</v>
      </c>
      <c r="BI72" s="2" t="s">
        <v>188</v>
      </c>
    </row>
    <row r="73" spans="1:61">
      <c r="A73" s="2">
        <v>72</v>
      </c>
      <c r="B73" s="5">
        <v>45453</v>
      </c>
      <c r="C73" s="5">
        <v>45457</v>
      </c>
      <c r="D73" s="2">
        <f>C73-B73</f>
        <v>4</v>
      </c>
      <c r="E73" s="2">
        <v>63</v>
      </c>
      <c r="F73" s="2">
        <v>2</v>
      </c>
      <c r="G73" s="2">
        <v>2</v>
      </c>
      <c r="H73" s="2">
        <v>0</v>
      </c>
      <c r="I73" s="2">
        <v>0</v>
      </c>
      <c r="J73" s="2">
        <v>0</v>
      </c>
      <c r="K73" s="2">
        <v>0</v>
      </c>
      <c r="L73" s="2">
        <v>0</v>
      </c>
      <c r="M73" s="2">
        <v>0</v>
      </c>
      <c r="N73" s="2">
        <v>0</v>
      </c>
      <c r="P73" t="s">
        <v>179</v>
      </c>
      <c r="Q73" s="51">
        <v>0</v>
      </c>
      <c r="R73" s="51">
        <v>0</v>
      </c>
      <c r="S73" s="51">
        <v>0</v>
      </c>
      <c r="T73" s="51">
        <v>1</v>
      </c>
      <c r="U73" s="2">
        <v>0</v>
      </c>
      <c r="V73" s="2">
        <v>1</v>
      </c>
      <c r="W73" s="5">
        <v>45453</v>
      </c>
      <c r="X73" s="5">
        <v>45453</v>
      </c>
      <c r="Y73" s="28">
        <f t="shared" si="2"/>
        <v>0</v>
      </c>
      <c r="Z73" s="2">
        <v>0</v>
      </c>
      <c r="AA73" s="2">
        <v>0</v>
      </c>
      <c r="AB73" s="2">
        <v>0</v>
      </c>
      <c r="AC73" s="2">
        <v>0</v>
      </c>
      <c r="AD73" s="2">
        <v>0</v>
      </c>
      <c r="AE73" s="2">
        <v>0</v>
      </c>
      <c r="AF73" s="2">
        <v>0</v>
      </c>
      <c r="AG73" s="2">
        <v>0</v>
      </c>
      <c r="AH73" s="2">
        <v>0</v>
      </c>
      <c r="AI73" s="2">
        <v>1</v>
      </c>
      <c r="AJ73" s="2" t="s">
        <v>68</v>
      </c>
      <c r="AK73" s="2">
        <v>0</v>
      </c>
      <c r="AL73" s="2">
        <v>0</v>
      </c>
      <c r="AM73" s="2">
        <v>1</v>
      </c>
      <c r="AN73" s="2">
        <v>0</v>
      </c>
      <c r="AO73" s="2">
        <v>0</v>
      </c>
      <c r="AP73" s="2">
        <v>1</v>
      </c>
      <c r="AQ73" s="2">
        <v>1</v>
      </c>
      <c r="AR73" s="2">
        <v>0</v>
      </c>
      <c r="AW73" s="2">
        <v>0</v>
      </c>
      <c r="BA73" s="2">
        <v>0</v>
      </c>
      <c r="BC73" s="2">
        <v>0</v>
      </c>
      <c r="BD73" s="2">
        <f>COUNTIFS(Table2[[#This Row],[Comorbidity present (at least 1)?]], "0",Table2[[#This Row],[Alternative source of infx?]], "1",Table2[[#This Row],[Abx used?]], "1", Table2[[#This Row],[&lt; 3 days defervescence or remained afebrile?]], "1",Table2[[#This Row],[WBC downtrend or remained nrml?]], "1")</f>
        <v>0</v>
      </c>
      <c r="BE73" s="2">
        <f>COUNTIFS(Table2[[#This Row],[&lt; 3 days defervescence or remained afebrile?]], "1",Table2[[#This Row],[WBC downtrend or remained nrml?]], "1")</f>
        <v>1</v>
      </c>
      <c r="BF73" s="2">
        <v>0</v>
      </c>
      <c r="BG73" s="2">
        <v>0</v>
      </c>
      <c r="BH73" s="2">
        <v>0</v>
      </c>
      <c r="BI73" s="2" t="s">
        <v>189</v>
      </c>
    </row>
    <row r="74" spans="1:61">
      <c r="A74" s="2">
        <v>73</v>
      </c>
      <c r="B74" s="5">
        <v>45454</v>
      </c>
      <c r="C74" s="5">
        <v>45464</v>
      </c>
      <c r="D74" s="2">
        <f t="shared" ref="D74:D135" si="4">C74-B74</f>
        <v>10</v>
      </c>
      <c r="E74" s="2">
        <v>76</v>
      </c>
      <c r="F74" s="2">
        <v>2</v>
      </c>
      <c r="G74" s="2">
        <v>2</v>
      </c>
      <c r="H74" s="2">
        <v>0</v>
      </c>
      <c r="I74" s="2">
        <v>0</v>
      </c>
      <c r="J74" s="2">
        <v>0</v>
      </c>
      <c r="K74" s="2">
        <v>0</v>
      </c>
      <c r="L74" s="2">
        <v>0</v>
      </c>
      <c r="M74" s="2">
        <v>0</v>
      </c>
      <c r="N74" s="2">
        <v>0</v>
      </c>
      <c r="P74" t="s">
        <v>179</v>
      </c>
      <c r="Q74" s="51">
        <v>0</v>
      </c>
      <c r="R74" s="51">
        <v>0</v>
      </c>
      <c r="S74" s="51">
        <v>0</v>
      </c>
      <c r="T74" s="51">
        <v>1</v>
      </c>
      <c r="U74" s="2">
        <v>0</v>
      </c>
      <c r="V74" s="2">
        <v>1</v>
      </c>
      <c r="W74" s="5">
        <v>45454</v>
      </c>
      <c r="X74" s="5">
        <v>45454</v>
      </c>
      <c r="Y74" s="28">
        <f t="shared" si="2"/>
        <v>0</v>
      </c>
      <c r="Z74" s="2">
        <v>0</v>
      </c>
      <c r="AA74" s="2">
        <v>0</v>
      </c>
      <c r="AB74" s="2">
        <v>0</v>
      </c>
      <c r="AC74" s="2">
        <v>0</v>
      </c>
      <c r="AD74" s="2">
        <v>0</v>
      </c>
      <c r="AE74" s="2">
        <v>0</v>
      </c>
      <c r="AF74" s="2">
        <v>0</v>
      </c>
      <c r="AG74" s="2">
        <v>0</v>
      </c>
      <c r="AH74" s="2">
        <v>0</v>
      </c>
      <c r="AI74" s="2">
        <v>1</v>
      </c>
      <c r="AJ74" s="2" t="s">
        <v>190</v>
      </c>
      <c r="AK74" s="2">
        <v>0</v>
      </c>
      <c r="AL74" s="2">
        <v>0</v>
      </c>
      <c r="AM74" s="2">
        <v>1</v>
      </c>
      <c r="AN74" s="2">
        <v>0</v>
      </c>
      <c r="AO74" s="2">
        <v>0</v>
      </c>
      <c r="AP74" s="2">
        <v>1</v>
      </c>
      <c r="AQ74" s="2">
        <v>1</v>
      </c>
      <c r="AR74" s="11">
        <v>1</v>
      </c>
      <c r="AS74" s="5">
        <v>45455</v>
      </c>
      <c r="AT74" s="2">
        <v>0</v>
      </c>
      <c r="AU74" s="2">
        <v>0</v>
      </c>
      <c r="AV74" s="2">
        <f>Table2[[#This Row],[TTE date]]-Table2[[#This Row],[Date initial positive Bcx]]</f>
        <v>1</v>
      </c>
      <c r="AW74" s="2">
        <v>0</v>
      </c>
      <c r="BA74" s="2">
        <v>0</v>
      </c>
      <c r="BC74" s="2">
        <v>0</v>
      </c>
      <c r="BD74" s="2">
        <f>COUNTIFS(Table2[[#This Row],[Comorbidity present (at least 1)?]], "0",Table2[[#This Row],[Alternative source of infx?]], "1",Table2[[#This Row],[Abx used?]], "1", Table2[[#This Row],[&lt; 3 days defervescence or remained afebrile?]], "1",Table2[[#This Row],[WBC downtrend or remained nrml?]], "1")</f>
        <v>0</v>
      </c>
      <c r="BE74" s="2">
        <f>COUNTIFS(Table2[[#This Row],[&lt; 3 days defervescence or remained afebrile?]], "1",Table2[[#This Row],[WBC downtrend or remained nrml?]], "1")</f>
        <v>1</v>
      </c>
      <c r="BF74" s="2">
        <v>0</v>
      </c>
      <c r="BG74" s="2">
        <v>0</v>
      </c>
      <c r="BH74" s="2">
        <v>0</v>
      </c>
      <c r="BI74" s="2" t="s">
        <v>191</v>
      </c>
    </row>
    <row r="75" spans="1:61">
      <c r="A75" s="2">
        <v>74</v>
      </c>
      <c r="B75" s="5">
        <v>45454</v>
      </c>
      <c r="C75" s="5">
        <v>45463</v>
      </c>
      <c r="D75" s="2">
        <f t="shared" si="4"/>
        <v>9</v>
      </c>
      <c r="E75" s="2">
        <v>80</v>
      </c>
      <c r="F75" s="2">
        <v>1</v>
      </c>
      <c r="G75" s="2">
        <v>3</v>
      </c>
      <c r="H75" s="2">
        <v>1</v>
      </c>
      <c r="I75" s="2">
        <v>0</v>
      </c>
      <c r="J75" s="2">
        <v>0</v>
      </c>
      <c r="K75" s="2">
        <v>0</v>
      </c>
      <c r="L75" s="2">
        <v>1</v>
      </c>
      <c r="M75" s="2">
        <v>0</v>
      </c>
      <c r="N75" s="2">
        <v>1</v>
      </c>
      <c r="O75" s="2" t="s">
        <v>192</v>
      </c>
      <c r="P75" t="s">
        <v>186</v>
      </c>
      <c r="Q75" s="51">
        <v>0</v>
      </c>
      <c r="R75" s="51">
        <v>0</v>
      </c>
      <c r="S75" s="51">
        <v>0</v>
      </c>
      <c r="T75" s="51">
        <v>1</v>
      </c>
      <c r="U75" s="2">
        <v>0</v>
      </c>
      <c r="V75" s="2">
        <v>1</v>
      </c>
      <c r="W75" s="5">
        <v>45454</v>
      </c>
      <c r="X75" s="5">
        <v>45454</v>
      </c>
      <c r="Y75" s="28">
        <f t="shared" si="2"/>
        <v>0</v>
      </c>
      <c r="Z75" s="2">
        <v>1</v>
      </c>
      <c r="AA75" s="2">
        <v>0</v>
      </c>
      <c r="AB75" s="2">
        <v>0</v>
      </c>
      <c r="AC75" s="2">
        <v>1</v>
      </c>
      <c r="AD75" s="2">
        <v>0</v>
      </c>
      <c r="AE75" s="2">
        <v>0</v>
      </c>
      <c r="AF75" s="2">
        <v>0</v>
      </c>
      <c r="AG75" s="2">
        <v>0</v>
      </c>
      <c r="AH75" s="2">
        <v>0</v>
      </c>
      <c r="AI75" s="2">
        <v>1</v>
      </c>
      <c r="AJ75" s="2" t="s">
        <v>91</v>
      </c>
      <c r="AK75" s="2">
        <v>0</v>
      </c>
      <c r="AL75" s="2">
        <v>0</v>
      </c>
      <c r="AM75" s="2">
        <v>1</v>
      </c>
      <c r="AN75" s="2">
        <v>0</v>
      </c>
      <c r="AO75" s="2">
        <v>0</v>
      </c>
      <c r="AP75" s="2">
        <v>1</v>
      </c>
      <c r="AQ75" s="2">
        <v>1</v>
      </c>
      <c r="AR75" s="2">
        <v>1</v>
      </c>
      <c r="AS75" s="5">
        <v>45457</v>
      </c>
      <c r="AT75" s="2">
        <v>0</v>
      </c>
      <c r="AU75" s="2">
        <v>1</v>
      </c>
      <c r="AV75" s="2">
        <f>Table2[[#This Row],[TTE date]]-Table2[[#This Row],[Date initial positive Bcx]]</f>
        <v>3</v>
      </c>
      <c r="AW75" s="2">
        <v>0</v>
      </c>
      <c r="BA75" s="2">
        <v>0</v>
      </c>
      <c r="BC75" s="2">
        <v>0</v>
      </c>
      <c r="BD75" s="2">
        <f>COUNTIFS(Table2[[#This Row],[Comorbidity present (at least 1)?]], "0",Table2[[#This Row],[Alternative source of infx?]], "1",Table2[[#This Row],[Abx used?]], "1", Table2[[#This Row],[&lt; 3 days defervescence or remained afebrile?]], "1",Table2[[#This Row],[WBC downtrend or remained nrml?]], "1")</f>
        <v>0</v>
      </c>
      <c r="BE75" s="2">
        <f>COUNTIFS(Table2[[#This Row],[&lt; 3 days defervescence or remained afebrile?]], "1",Table2[[#This Row],[WBC downtrend or remained nrml?]], "1")</f>
        <v>1</v>
      </c>
      <c r="BF75" s="2">
        <v>0</v>
      </c>
      <c r="BG75" s="2">
        <v>0</v>
      </c>
      <c r="BH75" s="2">
        <v>0</v>
      </c>
      <c r="BI75" s="2" t="s">
        <v>193</v>
      </c>
    </row>
    <row r="76" spans="1:61">
      <c r="A76" s="2">
        <v>75</v>
      </c>
      <c r="B76" s="5">
        <v>45455</v>
      </c>
      <c r="C76" s="5">
        <v>45463</v>
      </c>
      <c r="D76" s="2">
        <f t="shared" si="4"/>
        <v>8</v>
      </c>
      <c r="E76" s="2">
        <v>81</v>
      </c>
      <c r="F76" s="2">
        <v>1</v>
      </c>
      <c r="G76" s="2">
        <v>3</v>
      </c>
      <c r="H76" s="2">
        <v>0</v>
      </c>
      <c r="I76" s="2">
        <v>0</v>
      </c>
      <c r="J76" s="2">
        <v>0</v>
      </c>
      <c r="K76" s="2">
        <v>0</v>
      </c>
      <c r="L76" s="2">
        <v>0</v>
      </c>
      <c r="M76" s="2">
        <v>0</v>
      </c>
      <c r="N76" s="2">
        <v>0</v>
      </c>
      <c r="P76" t="s">
        <v>179</v>
      </c>
      <c r="Q76" s="51">
        <v>0</v>
      </c>
      <c r="R76" s="51">
        <v>0</v>
      </c>
      <c r="S76" s="51">
        <v>0</v>
      </c>
      <c r="T76" s="51">
        <v>1</v>
      </c>
      <c r="U76" s="2">
        <v>0</v>
      </c>
      <c r="V76" s="2">
        <v>1</v>
      </c>
      <c r="W76" s="5">
        <v>45455</v>
      </c>
      <c r="X76" s="5">
        <v>45455</v>
      </c>
      <c r="Y76" s="28">
        <f t="shared" si="2"/>
        <v>0</v>
      </c>
      <c r="Z76" s="2">
        <v>0</v>
      </c>
      <c r="AA76" s="2">
        <v>0</v>
      </c>
      <c r="AB76" s="2">
        <v>0</v>
      </c>
      <c r="AC76" s="2">
        <v>0</v>
      </c>
      <c r="AD76" s="2">
        <v>0</v>
      </c>
      <c r="AE76" s="2">
        <v>0</v>
      </c>
      <c r="AF76" s="2">
        <v>0</v>
      </c>
      <c r="AG76" s="2">
        <v>0</v>
      </c>
      <c r="AH76" s="2">
        <v>0</v>
      </c>
      <c r="AI76" s="2">
        <v>1</v>
      </c>
      <c r="AJ76" s="2" t="s">
        <v>68</v>
      </c>
      <c r="AK76" s="2">
        <v>0</v>
      </c>
      <c r="AL76" s="2">
        <v>0</v>
      </c>
      <c r="AM76" s="2">
        <v>1</v>
      </c>
      <c r="AN76" s="2">
        <v>0</v>
      </c>
      <c r="AO76" s="2">
        <v>0</v>
      </c>
      <c r="AP76" s="2">
        <v>1</v>
      </c>
      <c r="AQ76" s="2">
        <v>1</v>
      </c>
      <c r="AR76" s="11">
        <v>1</v>
      </c>
      <c r="AS76" s="5">
        <v>45456</v>
      </c>
      <c r="AT76" s="2">
        <v>0</v>
      </c>
      <c r="AU76" s="2">
        <v>0</v>
      </c>
      <c r="AV76" s="2">
        <f>Table2[[#This Row],[TTE date]]-Table2[[#This Row],[Date initial positive Bcx]]</f>
        <v>1</v>
      </c>
      <c r="AW76" s="2">
        <v>0</v>
      </c>
      <c r="BA76" s="2">
        <v>0</v>
      </c>
      <c r="BC76" s="2">
        <v>1</v>
      </c>
      <c r="BD76" s="2">
        <f>COUNTIFS(Table2[[#This Row],[Comorbidity present (at least 1)?]], "0",Table2[[#This Row],[Alternative source of infx?]], "1",Table2[[#This Row],[Abx used?]], "1", Table2[[#This Row],[&lt; 3 days defervescence or remained afebrile?]], "1",Table2[[#This Row],[WBC downtrend or remained nrml?]], "1")</f>
        <v>0</v>
      </c>
      <c r="BE76" s="2">
        <f>COUNTIFS(Table2[[#This Row],[&lt; 3 days defervescence or remained afebrile?]], "1",Table2[[#This Row],[WBC downtrend or remained nrml?]], "1")</f>
        <v>1</v>
      </c>
      <c r="BF76" s="2">
        <v>0</v>
      </c>
      <c r="BG76" s="2">
        <v>0</v>
      </c>
      <c r="BH76" s="2">
        <v>0</v>
      </c>
      <c r="BI76" s="2" t="s">
        <v>194</v>
      </c>
    </row>
    <row r="77" spans="1:61">
      <c r="A77" s="2">
        <v>76</v>
      </c>
      <c r="B77" s="5">
        <v>45457</v>
      </c>
      <c r="C77" s="5">
        <v>45468</v>
      </c>
      <c r="D77" s="2">
        <f t="shared" si="4"/>
        <v>11</v>
      </c>
      <c r="E77" s="2">
        <v>59</v>
      </c>
      <c r="F77" s="2">
        <v>1</v>
      </c>
      <c r="G77" s="2">
        <v>3</v>
      </c>
      <c r="H77" s="2">
        <v>0</v>
      </c>
      <c r="I77" s="2">
        <v>0</v>
      </c>
      <c r="J77" s="2">
        <v>0</v>
      </c>
      <c r="K77" s="2">
        <v>0</v>
      </c>
      <c r="L77" s="2">
        <v>0</v>
      </c>
      <c r="M77" s="2">
        <v>0</v>
      </c>
      <c r="N77" s="2">
        <v>0</v>
      </c>
      <c r="P77" t="s">
        <v>179</v>
      </c>
      <c r="Q77" s="51">
        <v>0</v>
      </c>
      <c r="R77" s="51">
        <v>0</v>
      </c>
      <c r="S77" s="51">
        <v>0</v>
      </c>
      <c r="T77" s="51">
        <v>1</v>
      </c>
      <c r="U77" s="2">
        <v>1</v>
      </c>
      <c r="V77" s="2">
        <v>3</v>
      </c>
      <c r="W77" s="5">
        <v>45457</v>
      </c>
      <c r="X77" s="5">
        <v>45460</v>
      </c>
      <c r="Y77" s="28">
        <f t="shared" si="2"/>
        <v>3</v>
      </c>
      <c r="Z77" s="2">
        <v>1</v>
      </c>
      <c r="AA77" s="2">
        <v>1</v>
      </c>
      <c r="AB77" s="2">
        <v>1</v>
      </c>
      <c r="AC77" s="2">
        <v>0</v>
      </c>
      <c r="AD77" s="2">
        <v>0</v>
      </c>
      <c r="AE77" s="2">
        <v>0</v>
      </c>
      <c r="AF77" s="2">
        <v>0</v>
      </c>
      <c r="AG77" s="2">
        <v>0</v>
      </c>
      <c r="AH77" s="2">
        <v>0</v>
      </c>
      <c r="AI77" s="2">
        <v>1</v>
      </c>
      <c r="AJ77" s="2" t="s">
        <v>55</v>
      </c>
      <c r="AK77" s="2">
        <v>1</v>
      </c>
      <c r="AL77" s="2">
        <v>1</v>
      </c>
      <c r="AM77" s="2">
        <v>1</v>
      </c>
      <c r="AN77" s="2">
        <v>1</v>
      </c>
      <c r="AO77" s="2">
        <v>0</v>
      </c>
      <c r="AP77" s="2">
        <v>0</v>
      </c>
      <c r="AQ77" s="2">
        <v>1</v>
      </c>
      <c r="AR77" s="2">
        <v>1</v>
      </c>
      <c r="AS77" s="5">
        <v>45461</v>
      </c>
      <c r="AT77" s="2">
        <v>0</v>
      </c>
      <c r="AU77" s="2">
        <v>0</v>
      </c>
      <c r="AV77" s="2">
        <f>Table2[[#This Row],[TTE date]]-Table2[[#This Row],[Date initial positive Bcx]]</f>
        <v>4</v>
      </c>
      <c r="AW77" s="2">
        <v>1</v>
      </c>
      <c r="AX77" s="5">
        <v>45463</v>
      </c>
      <c r="AY77" s="2">
        <v>0</v>
      </c>
      <c r="AZ77" s="2">
        <v>0</v>
      </c>
      <c r="BA77" s="2">
        <v>0</v>
      </c>
      <c r="BB77" s="2">
        <f>Table2[[#This Row],[TEE date]]-Table2[[#This Row],[Date initial positive Bcx]]</f>
        <v>6</v>
      </c>
      <c r="BC77" s="2">
        <v>0</v>
      </c>
      <c r="BD77" s="2">
        <f>COUNTIFS(Table2[[#This Row],[Comorbidity present (at least 1)?]], "0",Table2[[#This Row],[Alternative source of infx?]], "1",Table2[[#This Row],[Abx used?]], "1", Table2[[#This Row],[&lt; 3 days defervescence or remained afebrile?]], "1",Table2[[#This Row],[WBC downtrend or remained nrml?]], "1")</f>
        <v>1</v>
      </c>
      <c r="BE77" s="2">
        <f>COUNTIFS(Table2[[#This Row],[&lt; 3 days defervescence or remained afebrile?]], "1",Table2[[#This Row],[WBC downtrend or remained nrml?]], "1")</f>
        <v>1</v>
      </c>
      <c r="BF77" s="2">
        <v>0</v>
      </c>
      <c r="BG77" s="2">
        <v>0</v>
      </c>
      <c r="BH77" s="2">
        <v>0</v>
      </c>
    </row>
    <row r="78" spans="1:61">
      <c r="A78" s="2">
        <v>77</v>
      </c>
      <c r="B78" s="5">
        <v>45460</v>
      </c>
      <c r="C78" s="5">
        <v>45475</v>
      </c>
      <c r="D78" s="2">
        <f t="shared" si="4"/>
        <v>15</v>
      </c>
      <c r="E78" s="2">
        <v>69</v>
      </c>
      <c r="F78" s="2">
        <v>2</v>
      </c>
      <c r="G78" s="2">
        <v>2</v>
      </c>
      <c r="H78" s="2">
        <v>1</v>
      </c>
      <c r="I78" s="2">
        <v>0</v>
      </c>
      <c r="J78" s="2">
        <v>0</v>
      </c>
      <c r="K78" s="2">
        <v>1</v>
      </c>
      <c r="L78" s="2">
        <v>0</v>
      </c>
      <c r="M78" s="2">
        <v>0</v>
      </c>
      <c r="N78" s="2">
        <v>0</v>
      </c>
      <c r="P78" t="s">
        <v>195</v>
      </c>
      <c r="Q78" s="51">
        <v>0</v>
      </c>
      <c r="R78" s="51">
        <v>0</v>
      </c>
      <c r="S78" s="51">
        <v>0</v>
      </c>
      <c r="T78" s="51">
        <v>1</v>
      </c>
      <c r="U78" s="2">
        <v>0</v>
      </c>
      <c r="V78" s="2">
        <v>1</v>
      </c>
      <c r="W78" s="5">
        <v>45460</v>
      </c>
      <c r="X78" s="5">
        <v>45460</v>
      </c>
      <c r="Y78" s="28">
        <f t="shared" si="2"/>
        <v>0</v>
      </c>
      <c r="Z78" s="2">
        <v>0</v>
      </c>
      <c r="AA78" s="2">
        <v>0</v>
      </c>
      <c r="AB78" s="2">
        <v>0</v>
      </c>
      <c r="AC78" s="2">
        <v>0</v>
      </c>
      <c r="AD78" s="2">
        <v>0</v>
      </c>
      <c r="AE78" s="2">
        <v>0</v>
      </c>
      <c r="AF78" s="2">
        <v>0</v>
      </c>
      <c r="AG78" s="2">
        <v>0</v>
      </c>
      <c r="AH78" s="2">
        <v>0</v>
      </c>
      <c r="AI78" s="2">
        <v>1</v>
      </c>
      <c r="AJ78" s="2" t="s">
        <v>196</v>
      </c>
      <c r="AK78" s="2">
        <v>0</v>
      </c>
      <c r="AL78" s="2">
        <v>1</v>
      </c>
      <c r="AM78" s="2">
        <v>1</v>
      </c>
      <c r="AN78" s="2">
        <v>1</v>
      </c>
      <c r="AO78" s="2">
        <v>0</v>
      </c>
      <c r="AP78" s="2">
        <v>0</v>
      </c>
      <c r="AQ78" s="2">
        <v>1</v>
      </c>
      <c r="AR78" s="2">
        <v>0</v>
      </c>
      <c r="AW78" s="2">
        <v>1</v>
      </c>
      <c r="AX78" s="5">
        <v>45462</v>
      </c>
      <c r="AY78" s="2">
        <v>0</v>
      </c>
      <c r="AZ78" s="2">
        <v>0</v>
      </c>
      <c r="BA78" s="2">
        <v>0</v>
      </c>
      <c r="BB78" s="2">
        <f>Table2[[#This Row],[TEE date]]-Table2[[#This Row],[Date initial positive Bcx]]</f>
        <v>2</v>
      </c>
      <c r="BC78" s="2">
        <v>0</v>
      </c>
      <c r="BD78" s="2">
        <f>COUNTIFS(Table2[[#This Row],[Comorbidity present (at least 1)?]], "0",Table2[[#This Row],[Alternative source of infx?]], "1",Table2[[#This Row],[Abx used?]], "1", Table2[[#This Row],[&lt; 3 days defervescence or remained afebrile?]], "1",Table2[[#This Row],[WBC downtrend or remained nrml?]], "1")</f>
        <v>0</v>
      </c>
      <c r="BE78" s="2">
        <f>COUNTIFS(Table2[[#This Row],[&lt; 3 days defervescence or remained afebrile?]], "1",Table2[[#This Row],[WBC downtrend or remained nrml?]], "1")</f>
        <v>1</v>
      </c>
      <c r="BF78" s="2">
        <v>0</v>
      </c>
      <c r="BG78" s="2">
        <v>1</v>
      </c>
      <c r="BH78" s="2">
        <v>1</v>
      </c>
      <c r="BI78" s="2" t="s">
        <v>197</v>
      </c>
    </row>
    <row r="79" spans="1:61">
      <c r="A79" s="2">
        <v>78</v>
      </c>
      <c r="B79" s="5">
        <v>45463</v>
      </c>
      <c r="C79" s="5">
        <v>45466</v>
      </c>
      <c r="D79" s="2">
        <f t="shared" si="4"/>
        <v>3</v>
      </c>
      <c r="E79" s="2">
        <v>77</v>
      </c>
      <c r="F79" s="2">
        <v>2</v>
      </c>
      <c r="G79" s="2">
        <v>3</v>
      </c>
      <c r="H79" s="2">
        <v>0</v>
      </c>
      <c r="I79" s="2">
        <v>0</v>
      </c>
      <c r="J79" s="2">
        <v>0</v>
      </c>
      <c r="K79" s="2">
        <v>0</v>
      </c>
      <c r="L79" s="2">
        <v>0</v>
      </c>
      <c r="M79" s="2">
        <v>0</v>
      </c>
      <c r="N79" s="2">
        <v>0</v>
      </c>
      <c r="P79" t="s">
        <v>179</v>
      </c>
      <c r="Q79" s="51">
        <v>0</v>
      </c>
      <c r="R79" s="51">
        <v>0</v>
      </c>
      <c r="S79" s="51">
        <v>0</v>
      </c>
      <c r="T79" s="51">
        <v>1</v>
      </c>
      <c r="U79" s="2">
        <v>0</v>
      </c>
      <c r="V79" s="2">
        <v>1</v>
      </c>
      <c r="W79" s="5">
        <v>45463</v>
      </c>
      <c r="X79" s="5">
        <v>45463</v>
      </c>
      <c r="Y79" s="28">
        <f t="shared" si="2"/>
        <v>0</v>
      </c>
      <c r="Z79" s="2">
        <v>0</v>
      </c>
      <c r="AA79" s="2">
        <v>0</v>
      </c>
      <c r="AB79" s="2">
        <v>0</v>
      </c>
      <c r="AC79" s="2">
        <v>0</v>
      </c>
      <c r="AD79" s="2">
        <v>0</v>
      </c>
      <c r="AE79" s="2">
        <v>0</v>
      </c>
      <c r="AF79" s="2">
        <v>0</v>
      </c>
      <c r="AG79" s="2">
        <v>0</v>
      </c>
      <c r="AH79" s="2">
        <v>0</v>
      </c>
      <c r="AI79" s="2">
        <v>0</v>
      </c>
      <c r="AK79" s="2">
        <v>0</v>
      </c>
      <c r="AL79" s="2">
        <v>1</v>
      </c>
      <c r="AM79" s="2">
        <v>1</v>
      </c>
      <c r="AN79" s="2">
        <v>1</v>
      </c>
      <c r="AO79" s="2">
        <v>0</v>
      </c>
      <c r="AP79" s="2">
        <v>0</v>
      </c>
      <c r="AQ79" s="2">
        <v>1</v>
      </c>
      <c r="AR79" s="2">
        <v>0</v>
      </c>
      <c r="AW79" s="2">
        <v>0</v>
      </c>
      <c r="BA79" s="2">
        <v>0</v>
      </c>
      <c r="BC79" s="2">
        <v>0</v>
      </c>
      <c r="BD79" s="2">
        <f>COUNTIFS(Table2[[#This Row],[Comorbidity present (at least 1)?]], "0",Table2[[#This Row],[Alternative source of infx?]], "1",Table2[[#This Row],[Abx used?]], "1", Table2[[#This Row],[&lt; 3 days defervescence or remained afebrile?]], "1",Table2[[#This Row],[WBC downtrend or remained nrml?]], "1")</f>
        <v>0</v>
      </c>
      <c r="BE79" s="2">
        <f>COUNTIFS(Table2[[#This Row],[&lt; 3 days defervescence or remained afebrile?]], "1",Table2[[#This Row],[WBC downtrend or remained nrml?]], "1")</f>
        <v>1</v>
      </c>
      <c r="BF79" s="2">
        <v>0</v>
      </c>
      <c r="BG79" s="2">
        <v>0</v>
      </c>
      <c r="BH79" s="2">
        <v>0</v>
      </c>
      <c r="BI79" s="2" t="s">
        <v>200</v>
      </c>
    </row>
    <row r="80" spans="1:61">
      <c r="A80" s="8">
        <v>79</v>
      </c>
      <c r="B80" s="5">
        <v>45464</v>
      </c>
      <c r="C80" s="6">
        <v>45470</v>
      </c>
      <c r="D80" s="2">
        <f t="shared" si="4"/>
        <v>6</v>
      </c>
      <c r="E80" s="2">
        <v>58</v>
      </c>
      <c r="F80" s="2">
        <v>2</v>
      </c>
      <c r="G80" s="2">
        <v>2</v>
      </c>
      <c r="H80" s="2">
        <v>0</v>
      </c>
      <c r="I80" s="2">
        <v>0</v>
      </c>
      <c r="J80" s="2">
        <v>0</v>
      </c>
      <c r="K80" s="2">
        <v>0</v>
      </c>
      <c r="L80" s="2">
        <v>0</v>
      </c>
      <c r="M80" s="2">
        <v>0</v>
      </c>
      <c r="N80" s="2">
        <v>1</v>
      </c>
      <c r="O80" s="2" t="s">
        <v>201</v>
      </c>
      <c r="P80" t="s">
        <v>179</v>
      </c>
      <c r="Q80" s="51">
        <v>0</v>
      </c>
      <c r="R80" s="51">
        <v>0</v>
      </c>
      <c r="S80" s="51">
        <v>0</v>
      </c>
      <c r="T80" s="51">
        <v>1</v>
      </c>
      <c r="U80" s="2">
        <v>0</v>
      </c>
      <c r="V80" s="2">
        <v>1</v>
      </c>
      <c r="W80" s="5">
        <v>45464</v>
      </c>
      <c r="X80" s="5">
        <v>45464</v>
      </c>
      <c r="Y80" s="28">
        <f t="shared" si="2"/>
        <v>0</v>
      </c>
      <c r="Z80" s="2">
        <v>0</v>
      </c>
      <c r="AA80" s="2">
        <v>0</v>
      </c>
      <c r="AB80" s="2">
        <v>0</v>
      </c>
      <c r="AC80" s="2">
        <v>0</v>
      </c>
      <c r="AD80" s="2">
        <v>0</v>
      </c>
      <c r="AE80" s="2">
        <v>0</v>
      </c>
      <c r="AF80" s="2">
        <v>0</v>
      </c>
      <c r="AG80" s="2">
        <v>0</v>
      </c>
      <c r="AH80" s="2">
        <v>0</v>
      </c>
      <c r="AI80" s="11">
        <v>1</v>
      </c>
      <c r="AJ80" s="2" t="s">
        <v>117</v>
      </c>
      <c r="AK80" s="2">
        <v>0</v>
      </c>
      <c r="AL80" s="2">
        <v>0</v>
      </c>
      <c r="AM80" s="2">
        <v>1</v>
      </c>
      <c r="AN80" s="2">
        <v>0</v>
      </c>
      <c r="AO80" s="2">
        <v>0</v>
      </c>
      <c r="AP80" s="2">
        <v>1</v>
      </c>
      <c r="AQ80" s="2">
        <v>0</v>
      </c>
      <c r="AR80" s="2">
        <v>1</v>
      </c>
      <c r="AS80" s="5">
        <v>45467</v>
      </c>
      <c r="AT80" s="2">
        <v>0</v>
      </c>
      <c r="AU80" s="2">
        <v>0</v>
      </c>
      <c r="AV80" s="2">
        <f>Table2[[#This Row],[TTE date]]-Table2[[#This Row],[Date initial positive Bcx]]</f>
        <v>3</v>
      </c>
      <c r="AW80" s="2">
        <v>0</v>
      </c>
      <c r="BA80" s="2">
        <v>0</v>
      </c>
      <c r="BC80" s="2">
        <v>0</v>
      </c>
      <c r="BD80" s="2">
        <f>COUNTIFS(Table2[[#This Row],[Comorbidity present (at least 1)?]], "0",Table2[[#This Row],[Alternative source of infx?]], "1",Table2[[#This Row],[Abx used?]], "1", Table2[[#This Row],[&lt; 3 days defervescence or remained afebrile?]], "1",Table2[[#This Row],[WBC downtrend or remained nrml?]], "1")</f>
        <v>0</v>
      </c>
      <c r="BE80" s="2">
        <f>COUNTIFS(Table2[[#This Row],[&lt; 3 days defervescence or remained afebrile?]], "1",Table2[[#This Row],[WBC downtrend or remained nrml?]], "1")</f>
        <v>0</v>
      </c>
      <c r="BF80" s="2">
        <v>0</v>
      </c>
      <c r="BG80" s="2">
        <v>0</v>
      </c>
      <c r="BH80" s="2">
        <v>0</v>
      </c>
      <c r="BI80" s="2" t="s">
        <v>202</v>
      </c>
    </row>
    <row r="81" spans="1:61">
      <c r="A81" s="2">
        <v>80</v>
      </c>
      <c r="B81" s="5">
        <v>45471</v>
      </c>
      <c r="C81" s="5">
        <v>45485</v>
      </c>
      <c r="D81" s="2">
        <f t="shared" si="4"/>
        <v>14</v>
      </c>
      <c r="E81" s="2">
        <v>68</v>
      </c>
      <c r="F81" s="2">
        <v>2</v>
      </c>
      <c r="G81" s="2">
        <v>2</v>
      </c>
      <c r="H81" s="2">
        <v>1</v>
      </c>
      <c r="I81" s="2">
        <v>0</v>
      </c>
      <c r="J81" s="2">
        <v>0</v>
      </c>
      <c r="K81" s="2">
        <v>0</v>
      </c>
      <c r="L81" s="2">
        <v>0</v>
      </c>
      <c r="M81" s="2">
        <v>0</v>
      </c>
      <c r="N81" s="2">
        <v>1</v>
      </c>
      <c r="O81" s="2" t="s">
        <v>70</v>
      </c>
      <c r="P81" t="s">
        <v>179</v>
      </c>
      <c r="Q81" s="51">
        <v>0</v>
      </c>
      <c r="R81" s="51">
        <v>0</v>
      </c>
      <c r="S81" s="51">
        <v>0</v>
      </c>
      <c r="T81" s="51">
        <v>1</v>
      </c>
      <c r="U81" s="2">
        <v>0</v>
      </c>
      <c r="V81" s="2">
        <v>1</v>
      </c>
      <c r="W81" s="5">
        <v>45471</v>
      </c>
      <c r="X81" s="5">
        <v>45471</v>
      </c>
      <c r="Y81" s="28">
        <f t="shared" si="2"/>
        <v>0</v>
      </c>
      <c r="Z81" s="2">
        <v>0</v>
      </c>
      <c r="AA81" s="2">
        <v>0</v>
      </c>
      <c r="AB81" s="2">
        <v>0</v>
      </c>
      <c r="AC81" s="2">
        <v>0</v>
      </c>
      <c r="AD81" s="2">
        <v>0</v>
      </c>
      <c r="AE81" s="2">
        <v>0</v>
      </c>
      <c r="AF81" s="2">
        <v>0</v>
      </c>
      <c r="AG81" s="2">
        <v>0</v>
      </c>
      <c r="AH81" s="2">
        <v>0</v>
      </c>
      <c r="AI81" s="2">
        <v>1</v>
      </c>
      <c r="AJ81" s="2" t="s">
        <v>55</v>
      </c>
      <c r="AK81" s="2">
        <v>0</v>
      </c>
      <c r="AL81" s="2">
        <v>0</v>
      </c>
      <c r="AM81" s="2">
        <v>1</v>
      </c>
      <c r="AN81" s="2">
        <v>0</v>
      </c>
      <c r="AO81" s="2">
        <v>0</v>
      </c>
      <c r="AP81" s="2">
        <v>1</v>
      </c>
      <c r="AQ81" s="2">
        <v>1</v>
      </c>
      <c r="AR81" s="11">
        <v>1</v>
      </c>
      <c r="AS81" s="5">
        <v>45476</v>
      </c>
      <c r="AT81" s="2">
        <v>0</v>
      </c>
      <c r="AU81" s="2">
        <v>1</v>
      </c>
      <c r="AV81" s="2">
        <f>Table2[[#This Row],[TTE date]]-Table2[[#This Row],[Date initial positive Bcx]]</f>
        <v>5</v>
      </c>
      <c r="AW81" s="2">
        <v>0</v>
      </c>
      <c r="BA81" s="2">
        <v>0</v>
      </c>
      <c r="BC81" s="2">
        <v>0</v>
      </c>
      <c r="BD81" s="2">
        <f>COUNTIFS(Table2[[#This Row],[Comorbidity present (at least 1)?]], "0",Table2[[#This Row],[Alternative source of infx?]], "1",Table2[[#This Row],[Abx used?]], "1", Table2[[#This Row],[&lt; 3 days defervescence or remained afebrile?]], "1",Table2[[#This Row],[WBC downtrend or remained nrml?]], "1")</f>
        <v>0</v>
      </c>
      <c r="BE81" s="2">
        <f>COUNTIFS(Table2[[#This Row],[&lt; 3 days defervescence or remained afebrile?]], "1",Table2[[#This Row],[WBC downtrend or remained nrml?]], "1")</f>
        <v>1</v>
      </c>
      <c r="BF81" s="2">
        <v>0</v>
      </c>
      <c r="BG81" s="2">
        <v>0</v>
      </c>
      <c r="BH81" s="2">
        <v>0</v>
      </c>
      <c r="BI81" s="2" t="s">
        <v>205</v>
      </c>
    </row>
    <row r="82" spans="1:61">
      <c r="A82" s="2">
        <v>81</v>
      </c>
      <c r="B82" s="5">
        <v>45414</v>
      </c>
      <c r="C82" s="5">
        <v>45421</v>
      </c>
      <c r="D82" s="2">
        <f t="shared" si="4"/>
        <v>7</v>
      </c>
      <c r="E82" s="2">
        <v>84</v>
      </c>
      <c r="F82" s="2">
        <v>1</v>
      </c>
      <c r="G82" s="2">
        <v>3</v>
      </c>
      <c r="H82" s="2">
        <v>0</v>
      </c>
      <c r="I82" s="2">
        <v>0</v>
      </c>
      <c r="J82" s="2">
        <v>0</v>
      </c>
      <c r="K82" s="2">
        <v>0</v>
      </c>
      <c r="L82" s="2">
        <v>0</v>
      </c>
      <c r="M82" s="2">
        <v>0</v>
      </c>
      <c r="N82" s="2">
        <v>0</v>
      </c>
      <c r="P82" t="s">
        <v>179</v>
      </c>
      <c r="Q82" s="51">
        <v>0</v>
      </c>
      <c r="R82" s="51">
        <v>0</v>
      </c>
      <c r="S82" s="51">
        <v>0</v>
      </c>
      <c r="T82" s="51">
        <v>1</v>
      </c>
      <c r="U82" s="2">
        <v>0</v>
      </c>
      <c r="V82" s="2">
        <v>1</v>
      </c>
      <c r="W82" s="5">
        <v>45414</v>
      </c>
      <c r="X82" s="5">
        <v>45414</v>
      </c>
      <c r="Y82" s="28">
        <f t="shared" si="2"/>
        <v>0</v>
      </c>
      <c r="Z82" s="2">
        <v>0</v>
      </c>
      <c r="AA82" s="2">
        <v>0</v>
      </c>
      <c r="AB82" s="2">
        <v>0</v>
      </c>
      <c r="AC82" s="2">
        <v>0</v>
      </c>
      <c r="AD82" s="2">
        <v>0</v>
      </c>
      <c r="AE82" s="2">
        <v>0</v>
      </c>
      <c r="AF82" s="2">
        <v>0</v>
      </c>
      <c r="AG82" s="2">
        <v>0</v>
      </c>
      <c r="AH82" s="2">
        <v>0</v>
      </c>
      <c r="AI82" s="2">
        <v>1</v>
      </c>
      <c r="AJ82" s="2" t="s">
        <v>68</v>
      </c>
      <c r="AK82" s="2">
        <v>0</v>
      </c>
      <c r="AL82" s="2">
        <v>0</v>
      </c>
      <c r="AM82" s="2">
        <v>1</v>
      </c>
      <c r="AN82" s="2">
        <v>0</v>
      </c>
      <c r="AO82" s="2">
        <v>0</v>
      </c>
      <c r="AP82" s="2">
        <v>1</v>
      </c>
      <c r="AQ82" s="2">
        <v>1</v>
      </c>
      <c r="AR82" s="2">
        <v>0</v>
      </c>
      <c r="AW82" s="2">
        <v>0</v>
      </c>
      <c r="BA82" s="2">
        <v>0</v>
      </c>
      <c r="BC82" s="2">
        <v>0</v>
      </c>
      <c r="BD82" s="2">
        <f>COUNTIFS(Table2[[#This Row],[Comorbidity present (at least 1)?]], "0",Table2[[#This Row],[Alternative source of infx?]], "1",Table2[[#This Row],[Abx used?]], "1", Table2[[#This Row],[&lt; 3 days defervescence or remained afebrile?]], "1",Table2[[#This Row],[WBC downtrend or remained nrml?]], "1")</f>
        <v>0</v>
      </c>
      <c r="BE82" s="2">
        <f>COUNTIFS(Table2[[#This Row],[&lt; 3 days defervescence or remained afebrile?]], "1",Table2[[#This Row],[WBC downtrend or remained nrml?]], "1")</f>
        <v>1</v>
      </c>
      <c r="BF82" s="2">
        <v>0</v>
      </c>
      <c r="BG82" s="2">
        <v>0</v>
      </c>
      <c r="BH82" s="2">
        <v>0</v>
      </c>
      <c r="BI82" s="2" t="s">
        <v>206</v>
      </c>
    </row>
    <row r="83" spans="1:61">
      <c r="A83" s="2">
        <v>82</v>
      </c>
      <c r="B83" s="5">
        <v>45411</v>
      </c>
      <c r="C83" s="5">
        <v>45432</v>
      </c>
      <c r="D83" s="2">
        <f t="shared" si="4"/>
        <v>21</v>
      </c>
      <c r="E83" s="2">
        <v>72</v>
      </c>
      <c r="F83" s="2">
        <v>2</v>
      </c>
      <c r="G83" s="2">
        <v>2</v>
      </c>
      <c r="H83" s="2">
        <v>0</v>
      </c>
      <c r="I83" s="2">
        <v>0</v>
      </c>
      <c r="J83" s="2">
        <v>0</v>
      </c>
      <c r="K83" s="2">
        <v>0</v>
      </c>
      <c r="L83" s="2">
        <v>0</v>
      </c>
      <c r="M83" s="2">
        <v>0</v>
      </c>
      <c r="N83" s="2">
        <v>0</v>
      </c>
      <c r="P83" t="s">
        <v>179</v>
      </c>
      <c r="Q83" s="51">
        <v>0</v>
      </c>
      <c r="R83" s="51">
        <v>0</v>
      </c>
      <c r="S83" s="51">
        <v>0</v>
      </c>
      <c r="T83" s="51">
        <v>1</v>
      </c>
      <c r="U83" s="2">
        <v>0</v>
      </c>
      <c r="V83" s="2">
        <v>1</v>
      </c>
      <c r="W83" s="5">
        <v>45417</v>
      </c>
      <c r="X83" s="5">
        <v>45417</v>
      </c>
      <c r="Y83" s="28">
        <f t="shared" si="2"/>
        <v>0</v>
      </c>
      <c r="Z83" s="2">
        <v>0</v>
      </c>
      <c r="AA83" s="2">
        <v>0</v>
      </c>
      <c r="AB83" s="2">
        <v>0</v>
      </c>
      <c r="AC83" s="2">
        <v>0</v>
      </c>
      <c r="AD83" s="2">
        <v>0</v>
      </c>
      <c r="AE83" s="2">
        <v>0</v>
      </c>
      <c r="AF83" s="2">
        <v>0</v>
      </c>
      <c r="AG83" s="2">
        <v>0</v>
      </c>
      <c r="AH83" s="2">
        <v>0</v>
      </c>
      <c r="AI83" s="2">
        <v>1</v>
      </c>
      <c r="AJ83" s="2" t="s">
        <v>91</v>
      </c>
      <c r="AK83" s="2">
        <v>0</v>
      </c>
      <c r="AL83" s="2">
        <v>1</v>
      </c>
      <c r="AM83" s="2">
        <v>1</v>
      </c>
      <c r="AN83" s="2">
        <v>1</v>
      </c>
      <c r="AO83" s="2">
        <v>0</v>
      </c>
      <c r="AP83" s="2">
        <v>0</v>
      </c>
      <c r="AQ83" s="2">
        <v>1</v>
      </c>
      <c r="AR83" s="11">
        <v>1</v>
      </c>
      <c r="AS83" s="5">
        <v>45419</v>
      </c>
      <c r="AT83" s="2">
        <v>0</v>
      </c>
      <c r="AU83" s="2">
        <v>1</v>
      </c>
      <c r="AV83" s="2">
        <f>Table2[[#This Row],[TTE date]]-Table2[[#This Row],[Date initial positive Bcx]]</f>
        <v>2</v>
      </c>
      <c r="AW83" s="2">
        <v>0</v>
      </c>
      <c r="BA83" s="2">
        <v>0</v>
      </c>
      <c r="BC83" s="2">
        <v>0</v>
      </c>
      <c r="BD83" s="2">
        <f>COUNTIFS(Table2[[#This Row],[Comorbidity present (at least 1)?]], "0",Table2[[#This Row],[Alternative source of infx?]], "1",Table2[[#This Row],[Abx used?]], "1", Table2[[#This Row],[&lt; 3 days defervescence or remained afebrile?]], "1",Table2[[#This Row],[WBC downtrend or remained nrml?]], "1")</f>
        <v>0</v>
      </c>
      <c r="BE83" s="2">
        <f>COUNTIFS(Table2[[#This Row],[&lt; 3 days defervescence or remained afebrile?]], "1",Table2[[#This Row],[WBC downtrend or remained nrml?]], "1")</f>
        <v>1</v>
      </c>
      <c r="BF83" s="2">
        <v>0</v>
      </c>
      <c r="BG83" s="2">
        <v>0</v>
      </c>
      <c r="BH83" s="2">
        <v>0</v>
      </c>
      <c r="BI83" s="2" t="s">
        <v>207</v>
      </c>
    </row>
    <row r="84" spans="1:61">
      <c r="A84" s="2">
        <v>83</v>
      </c>
      <c r="B84" s="5">
        <v>45418</v>
      </c>
      <c r="C84" s="5">
        <v>45421</v>
      </c>
      <c r="D84" s="2">
        <f t="shared" si="4"/>
        <v>3</v>
      </c>
      <c r="E84" s="2">
        <v>72</v>
      </c>
      <c r="F84" s="2">
        <v>2</v>
      </c>
      <c r="G84" s="2">
        <v>5</v>
      </c>
      <c r="H84" s="2">
        <v>0</v>
      </c>
      <c r="I84" s="2">
        <v>0</v>
      </c>
      <c r="J84" s="2">
        <v>0</v>
      </c>
      <c r="K84" s="2">
        <v>0</v>
      </c>
      <c r="L84" s="2">
        <v>0</v>
      </c>
      <c r="M84" s="2">
        <v>0</v>
      </c>
      <c r="N84" s="2">
        <v>0</v>
      </c>
      <c r="P84" t="s">
        <v>179</v>
      </c>
      <c r="Q84" s="51">
        <v>0</v>
      </c>
      <c r="R84" s="51">
        <v>0</v>
      </c>
      <c r="S84" s="51">
        <v>0</v>
      </c>
      <c r="T84" s="51">
        <v>1</v>
      </c>
      <c r="U84" s="2">
        <v>0</v>
      </c>
      <c r="V84" s="2">
        <v>1</v>
      </c>
      <c r="W84" s="5">
        <v>45418</v>
      </c>
      <c r="X84" s="5">
        <v>45418</v>
      </c>
      <c r="Y84" s="28">
        <f t="shared" si="2"/>
        <v>0</v>
      </c>
      <c r="Z84" s="2">
        <v>0</v>
      </c>
      <c r="AA84" s="2">
        <v>0</v>
      </c>
      <c r="AB84" s="2">
        <v>0</v>
      </c>
      <c r="AC84" s="2">
        <v>0</v>
      </c>
      <c r="AD84" s="2">
        <v>0</v>
      </c>
      <c r="AE84" s="2">
        <v>0</v>
      </c>
      <c r="AF84" s="2">
        <v>0</v>
      </c>
      <c r="AG84" s="2">
        <v>0</v>
      </c>
      <c r="AH84" s="2">
        <v>0</v>
      </c>
      <c r="AI84" s="2">
        <v>1</v>
      </c>
      <c r="AJ84" s="2" t="s">
        <v>91</v>
      </c>
      <c r="AK84" s="2">
        <v>0</v>
      </c>
      <c r="AL84" s="2">
        <v>0</v>
      </c>
      <c r="AM84" s="2">
        <v>1</v>
      </c>
      <c r="AN84" s="2">
        <v>0</v>
      </c>
      <c r="AO84" s="2">
        <v>0</v>
      </c>
      <c r="AP84" s="2">
        <v>1</v>
      </c>
      <c r="AQ84" s="2">
        <v>1</v>
      </c>
      <c r="AR84" s="2">
        <v>0</v>
      </c>
      <c r="AW84" s="2">
        <v>0</v>
      </c>
      <c r="BA84" s="2">
        <v>0</v>
      </c>
      <c r="BC84" s="2">
        <v>0</v>
      </c>
      <c r="BD84" s="2">
        <f>COUNTIFS(Table2[[#This Row],[Comorbidity present (at least 1)?]], "0",Table2[[#This Row],[Alternative source of infx?]], "1",Table2[[#This Row],[Abx used?]], "1", Table2[[#This Row],[&lt; 3 days defervescence or remained afebrile?]], "1",Table2[[#This Row],[WBC downtrend or remained nrml?]], "1")</f>
        <v>0</v>
      </c>
      <c r="BE84" s="2">
        <f>COUNTIFS(Table2[[#This Row],[&lt; 3 days defervescence or remained afebrile?]], "1",Table2[[#This Row],[WBC downtrend or remained nrml?]], "1")</f>
        <v>1</v>
      </c>
      <c r="BF84" s="2">
        <v>0</v>
      </c>
      <c r="BG84" s="2">
        <v>0</v>
      </c>
      <c r="BH84" s="2">
        <v>0</v>
      </c>
      <c r="BI84" s="2" t="s">
        <v>206</v>
      </c>
    </row>
    <row r="85" spans="1:61">
      <c r="A85" s="2">
        <v>84</v>
      </c>
      <c r="B85" s="5">
        <v>45418</v>
      </c>
      <c r="C85" s="5">
        <v>45422</v>
      </c>
      <c r="D85" s="2">
        <f t="shared" si="4"/>
        <v>4</v>
      </c>
      <c r="E85" s="2">
        <v>42</v>
      </c>
      <c r="F85" s="2">
        <v>1</v>
      </c>
      <c r="G85" s="2">
        <v>2</v>
      </c>
      <c r="H85" s="2">
        <v>0</v>
      </c>
      <c r="I85" s="2">
        <v>0</v>
      </c>
      <c r="J85" s="2">
        <v>0</v>
      </c>
      <c r="K85" s="2">
        <v>0</v>
      </c>
      <c r="L85" s="2">
        <v>0</v>
      </c>
      <c r="M85" s="2">
        <v>0</v>
      </c>
      <c r="N85" s="2">
        <v>0</v>
      </c>
      <c r="P85" t="s">
        <v>179</v>
      </c>
      <c r="Q85" s="51">
        <v>0</v>
      </c>
      <c r="R85" s="51">
        <v>0</v>
      </c>
      <c r="S85" s="51">
        <v>0</v>
      </c>
      <c r="T85" s="51">
        <v>1</v>
      </c>
      <c r="U85" s="2">
        <v>0</v>
      </c>
      <c r="V85" s="2">
        <v>1</v>
      </c>
      <c r="W85" s="5">
        <v>45418</v>
      </c>
      <c r="X85" s="5">
        <v>45418</v>
      </c>
      <c r="Y85" s="28">
        <f t="shared" si="2"/>
        <v>0</v>
      </c>
      <c r="Z85" s="2">
        <v>0</v>
      </c>
      <c r="AA85" s="2">
        <v>0</v>
      </c>
      <c r="AB85" s="2">
        <v>0</v>
      </c>
      <c r="AC85" s="2">
        <v>0</v>
      </c>
      <c r="AD85" s="2">
        <v>0</v>
      </c>
      <c r="AE85" s="2">
        <v>0</v>
      </c>
      <c r="AF85" s="2">
        <v>0</v>
      </c>
      <c r="AG85" s="2">
        <v>0</v>
      </c>
      <c r="AH85" s="2">
        <v>0</v>
      </c>
      <c r="AI85" s="2">
        <v>1</v>
      </c>
      <c r="AJ85" s="2" t="s">
        <v>68</v>
      </c>
      <c r="AK85" s="2">
        <v>0</v>
      </c>
      <c r="AL85" s="2">
        <v>0</v>
      </c>
      <c r="AM85" s="2">
        <v>1</v>
      </c>
      <c r="AN85" s="2">
        <v>0</v>
      </c>
      <c r="AO85" s="2">
        <v>0</v>
      </c>
      <c r="AP85" s="2">
        <v>1</v>
      </c>
      <c r="AQ85" s="2">
        <v>1</v>
      </c>
      <c r="AR85" s="2">
        <v>0</v>
      </c>
      <c r="AW85" s="2">
        <v>0</v>
      </c>
      <c r="BA85" s="2">
        <v>0</v>
      </c>
      <c r="BC85" s="2">
        <v>0</v>
      </c>
      <c r="BD85" s="2">
        <f>COUNTIFS(Table2[[#This Row],[Comorbidity present (at least 1)?]], "0",Table2[[#This Row],[Alternative source of infx?]], "1",Table2[[#This Row],[Abx used?]], "1", Table2[[#This Row],[&lt; 3 days defervescence or remained afebrile?]], "1",Table2[[#This Row],[WBC downtrend or remained nrml?]], "1")</f>
        <v>0</v>
      </c>
      <c r="BE85" s="2">
        <f>COUNTIFS(Table2[[#This Row],[&lt; 3 days defervescence or remained afebrile?]], "1",Table2[[#This Row],[WBC downtrend or remained nrml?]], "1")</f>
        <v>1</v>
      </c>
      <c r="BF85" s="2">
        <v>0</v>
      </c>
      <c r="BG85" s="2">
        <v>0</v>
      </c>
      <c r="BH85" s="2">
        <v>0</v>
      </c>
      <c r="BI85" s="2" t="s">
        <v>206</v>
      </c>
    </row>
    <row r="86" spans="1:61">
      <c r="A86" s="2">
        <v>85</v>
      </c>
      <c r="B86" s="5">
        <v>45419</v>
      </c>
      <c r="C86" s="5">
        <v>45436</v>
      </c>
      <c r="D86" s="2">
        <f t="shared" si="4"/>
        <v>17</v>
      </c>
      <c r="E86" s="2">
        <v>57</v>
      </c>
      <c r="F86" s="2">
        <v>1</v>
      </c>
      <c r="G86" s="2">
        <v>2</v>
      </c>
      <c r="H86" s="2">
        <v>0</v>
      </c>
      <c r="I86" s="2">
        <v>0</v>
      </c>
      <c r="J86" s="2">
        <v>0</v>
      </c>
      <c r="K86" s="2">
        <v>0</v>
      </c>
      <c r="L86" s="2">
        <v>0</v>
      </c>
      <c r="M86" s="2">
        <v>0</v>
      </c>
      <c r="N86" s="2">
        <v>0</v>
      </c>
      <c r="P86" t="s">
        <v>208</v>
      </c>
      <c r="Q86" s="51">
        <v>0</v>
      </c>
      <c r="R86" s="51">
        <v>0</v>
      </c>
      <c r="S86" s="51">
        <v>0</v>
      </c>
      <c r="T86" s="51">
        <v>1</v>
      </c>
      <c r="U86" s="2">
        <v>0</v>
      </c>
      <c r="V86" s="2">
        <v>1</v>
      </c>
      <c r="W86" s="5">
        <v>45419</v>
      </c>
      <c r="X86" s="5">
        <v>45419</v>
      </c>
      <c r="Y86" s="28">
        <f t="shared" si="2"/>
        <v>0</v>
      </c>
      <c r="Z86" s="2">
        <v>0</v>
      </c>
      <c r="AA86" s="2">
        <v>0</v>
      </c>
      <c r="AB86" s="2">
        <v>0</v>
      </c>
      <c r="AC86" s="2">
        <v>0</v>
      </c>
      <c r="AD86" s="2">
        <v>0</v>
      </c>
      <c r="AE86" s="2">
        <v>0</v>
      </c>
      <c r="AF86" s="2">
        <v>0</v>
      </c>
      <c r="AG86" s="2">
        <v>0</v>
      </c>
      <c r="AH86" s="2">
        <v>0</v>
      </c>
      <c r="AI86" s="2">
        <v>1</v>
      </c>
      <c r="AJ86" s="2" t="s">
        <v>209</v>
      </c>
      <c r="AK86" s="11">
        <v>1</v>
      </c>
      <c r="AL86" s="2">
        <v>1</v>
      </c>
      <c r="AM86" s="2">
        <v>0</v>
      </c>
      <c r="AN86" s="2">
        <v>0</v>
      </c>
      <c r="AO86" s="2">
        <v>1</v>
      </c>
      <c r="AP86" s="2">
        <v>0</v>
      </c>
      <c r="AQ86" s="2">
        <v>0</v>
      </c>
      <c r="AR86" s="2">
        <v>1</v>
      </c>
      <c r="AS86" s="5">
        <v>45432</v>
      </c>
      <c r="AT86" s="2">
        <v>0</v>
      </c>
      <c r="AU86" s="2">
        <v>0</v>
      </c>
      <c r="AV86" s="2">
        <f>Table2[[#This Row],[TTE date]]-Table2[[#This Row],[Date initial positive Bcx]]</f>
        <v>13</v>
      </c>
      <c r="AW86" s="2">
        <v>0</v>
      </c>
      <c r="BA86" s="2">
        <v>0</v>
      </c>
      <c r="BC86" s="2">
        <v>0</v>
      </c>
      <c r="BD86" s="2">
        <f>COUNTIFS(Table2[[#This Row],[Comorbidity present (at least 1)?]], "0",Table2[[#This Row],[Alternative source of infx?]], "1",Table2[[#This Row],[Abx used?]], "1", Table2[[#This Row],[&lt; 3 days defervescence or remained afebrile?]], "1",Table2[[#This Row],[WBC downtrend or remained nrml?]], "1")</f>
        <v>0</v>
      </c>
      <c r="BE86" s="2">
        <f>COUNTIFS(Table2[[#This Row],[&lt; 3 days defervescence or remained afebrile?]], "1",Table2[[#This Row],[WBC downtrend or remained nrml?]], "1")</f>
        <v>0</v>
      </c>
      <c r="BF86" s="2">
        <v>0</v>
      </c>
      <c r="BG86" s="2">
        <v>0</v>
      </c>
      <c r="BH86" s="2">
        <v>0</v>
      </c>
      <c r="BI86" s="2" t="s">
        <v>210</v>
      </c>
    </row>
    <row r="87" spans="1:61">
      <c r="A87" s="2">
        <v>86</v>
      </c>
      <c r="B87" s="5">
        <v>45421</v>
      </c>
      <c r="C87" s="5">
        <v>45443</v>
      </c>
      <c r="D87" s="2">
        <f t="shared" si="4"/>
        <v>22</v>
      </c>
      <c r="E87" s="2">
        <v>57</v>
      </c>
      <c r="F87" s="2">
        <v>2</v>
      </c>
      <c r="G87" s="2">
        <v>2</v>
      </c>
      <c r="H87" s="2">
        <v>0</v>
      </c>
      <c r="I87" s="2">
        <v>0</v>
      </c>
      <c r="J87" s="2">
        <v>0</v>
      </c>
      <c r="K87" s="2">
        <v>0</v>
      </c>
      <c r="L87" s="2">
        <v>0</v>
      </c>
      <c r="M87" s="2">
        <v>0</v>
      </c>
      <c r="N87" s="2">
        <v>0</v>
      </c>
      <c r="P87" t="s">
        <v>179</v>
      </c>
      <c r="Q87" s="51">
        <v>0</v>
      </c>
      <c r="R87" s="51">
        <v>0</v>
      </c>
      <c r="S87" s="51">
        <v>0</v>
      </c>
      <c r="T87" s="51">
        <v>1</v>
      </c>
      <c r="U87" s="2">
        <v>0</v>
      </c>
      <c r="V87" s="2">
        <v>1</v>
      </c>
      <c r="W87" s="5">
        <v>45421</v>
      </c>
      <c r="X87" s="5">
        <v>45421</v>
      </c>
      <c r="Y87" s="28">
        <f t="shared" si="2"/>
        <v>0</v>
      </c>
      <c r="Z87" s="2">
        <v>0</v>
      </c>
      <c r="AA87" s="2">
        <v>0</v>
      </c>
      <c r="AB87" s="2">
        <v>0</v>
      </c>
      <c r="AC87" s="2">
        <v>0</v>
      </c>
      <c r="AD87" s="2">
        <v>0</v>
      </c>
      <c r="AE87" s="2">
        <v>0</v>
      </c>
      <c r="AF87" s="2">
        <v>0</v>
      </c>
      <c r="AG87" s="2">
        <v>0</v>
      </c>
      <c r="AH87" s="2">
        <v>0</v>
      </c>
      <c r="AI87" s="2">
        <v>1</v>
      </c>
      <c r="AJ87" s="2" t="s">
        <v>91</v>
      </c>
      <c r="AK87" s="2">
        <v>0</v>
      </c>
      <c r="AL87" s="2">
        <v>1</v>
      </c>
      <c r="AM87" s="2">
        <v>0</v>
      </c>
      <c r="AN87" s="2">
        <v>0</v>
      </c>
      <c r="AO87" s="2">
        <v>1</v>
      </c>
      <c r="AP87" s="2">
        <v>0</v>
      </c>
      <c r="AQ87" s="2">
        <v>1</v>
      </c>
      <c r="AR87" s="2">
        <v>1</v>
      </c>
      <c r="AS87" s="5">
        <v>45427</v>
      </c>
      <c r="AT87" s="2">
        <v>0</v>
      </c>
      <c r="AU87" s="2">
        <v>0</v>
      </c>
      <c r="AV87" s="2">
        <f>Table2[[#This Row],[TTE date]]-Table2[[#This Row],[Date initial positive Bcx]]</f>
        <v>6</v>
      </c>
      <c r="AW87" s="2">
        <v>0</v>
      </c>
      <c r="BA87" s="2">
        <v>0</v>
      </c>
      <c r="BC87" s="2">
        <v>1</v>
      </c>
      <c r="BD87" s="2">
        <f>COUNTIFS(Table2[[#This Row],[Comorbidity present (at least 1)?]], "0",Table2[[#This Row],[Alternative source of infx?]], "1",Table2[[#This Row],[Abx used?]], "1", Table2[[#This Row],[&lt; 3 days defervescence or remained afebrile?]], "1",Table2[[#This Row],[WBC downtrend or remained nrml?]], "1")</f>
        <v>0</v>
      </c>
      <c r="BE87" s="2">
        <f>COUNTIFS(Table2[[#This Row],[&lt; 3 days defervescence or remained afebrile?]], "1",Table2[[#This Row],[WBC downtrend or remained nrml?]], "1")</f>
        <v>0</v>
      </c>
      <c r="BF87" s="2">
        <v>0</v>
      </c>
      <c r="BG87" s="2">
        <v>0</v>
      </c>
      <c r="BH87" s="2">
        <v>0</v>
      </c>
      <c r="BI87" s="2" t="s">
        <v>206</v>
      </c>
    </row>
    <row r="88" spans="1:61">
      <c r="A88" s="2">
        <v>87</v>
      </c>
      <c r="B88" s="5">
        <v>45421</v>
      </c>
      <c r="C88" s="5">
        <v>45425</v>
      </c>
      <c r="D88" s="2">
        <f t="shared" si="4"/>
        <v>4</v>
      </c>
      <c r="E88" s="2">
        <v>74</v>
      </c>
      <c r="F88" s="2">
        <v>1</v>
      </c>
      <c r="G88" s="2">
        <v>2</v>
      </c>
      <c r="H88" s="2">
        <v>0</v>
      </c>
      <c r="I88" s="2">
        <v>0</v>
      </c>
      <c r="J88" s="2">
        <v>0</v>
      </c>
      <c r="K88" s="2">
        <v>0</v>
      </c>
      <c r="L88" s="2">
        <v>0</v>
      </c>
      <c r="M88" s="2">
        <v>0</v>
      </c>
      <c r="N88" s="2">
        <v>0</v>
      </c>
      <c r="P88" t="s">
        <v>179</v>
      </c>
      <c r="Q88" s="51">
        <v>0</v>
      </c>
      <c r="R88" s="51">
        <v>0</v>
      </c>
      <c r="S88" s="51">
        <v>0</v>
      </c>
      <c r="T88" s="51">
        <v>1</v>
      </c>
      <c r="U88" s="2">
        <v>0</v>
      </c>
      <c r="V88" s="2">
        <v>1</v>
      </c>
      <c r="W88" s="5">
        <v>45421</v>
      </c>
      <c r="X88" s="5">
        <v>45421</v>
      </c>
      <c r="Y88" s="28">
        <f t="shared" si="2"/>
        <v>0</v>
      </c>
      <c r="Z88" s="2">
        <v>0</v>
      </c>
      <c r="AA88" s="2">
        <v>0</v>
      </c>
      <c r="AB88" s="2">
        <v>0</v>
      </c>
      <c r="AC88" s="2">
        <v>0</v>
      </c>
      <c r="AD88" s="2">
        <v>0</v>
      </c>
      <c r="AE88" s="2">
        <v>0</v>
      </c>
      <c r="AF88" s="2">
        <v>0</v>
      </c>
      <c r="AG88" s="2">
        <v>0</v>
      </c>
      <c r="AH88" s="2">
        <v>0</v>
      </c>
      <c r="AI88" s="2">
        <v>0</v>
      </c>
      <c r="AK88" s="2">
        <v>0</v>
      </c>
      <c r="AL88" s="2">
        <v>0</v>
      </c>
      <c r="AM88" s="2">
        <v>1</v>
      </c>
      <c r="AN88" s="2">
        <v>0</v>
      </c>
      <c r="AO88" s="2">
        <v>0</v>
      </c>
      <c r="AP88" s="2">
        <v>1</v>
      </c>
      <c r="AQ88" s="2">
        <v>1</v>
      </c>
      <c r="AR88" s="2">
        <v>0</v>
      </c>
      <c r="AW88" s="2">
        <v>0</v>
      </c>
      <c r="BA88" s="2">
        <v>0</v>
      </c>
      <c r="BC88" s="2">
        <v>0</v>
      </c>
      <c r="BD88" s="2">
        <f>COUNTIFS(Table2[[#This Row],[Comorbidity present (at least 1)?]], "0",Table2[[#This Row],[Alternative source of infx?]], "1",Table2[[#This Row],[Abx used?]], "1", Table2[[#This Row],[&lt; 3 days defervescence or remained afebrile?]], "1",Table2[[#This Row],[WBC downtrend or remained nrml?]], "1")</f>
        <v>0</v>
      </c>
      <c r="BE88" s="2">
        <f>COUNTIFS(Table2[[#This Row],[&lt; 3 days defervescence or remained afebrile?]], "1",Table2[[#This Row],[WBC downtrend or remained nrml?]], "1")</f>
        <v>1</v>
      </c>
      <c r="BF88" s="2">
        <v>0</v>
      </c>
      <c r="BG88" s="2">
        <v>0</v>
      </c>
      <c r="BH88" s="2">
        <v>0</v>
      </c>
      <c r="BI88" s="2" t="s">
        <v>206</v>
      </c>
    </row>
    <row r="89" spans="1:61">
      <c r="A89" s="2">
        <v>88</v>
      </c>
      <c r="B89" s="5">
        <v>45423</v>
      </c>
      <c r="C89" s="5">
        <v>45427</v>
      </c>
      <c r="D89" s="2">
        <f t="shared" si="4"/>
        <v>4</v>
      </c>
      <c r="E89" s="2">
        <v>90</v>
      </c>
      <c r="F89" s="2">
        <v>2</v>
      </c>
      <c r="G89" s="2">
        <v>2</v>
      </c>
      <c r="H89" s="2">
        <v>1</v>
      </c>
      <c r="I89" s="2">
        <v>0</v>
      </c>
      <c r="J89" s="2">
        <v>1</v>
      </c>
      <c r="K89" s="2">
        <v>0</v>
      </c>
      <c r="L89" s="2">
        <v>0</v>
      </c>
      <c r="M89" s="2">
        <v>0</v>
      </c>
      <c r="N89" s="2">
        <v>1</v>
      </c>
      <c r="O89" s="2" t="s">
        <v>211</v>
      </c>
      <c r="P89" t="s">
        <v>179</v>
      </c>
      <c r="Q89" s="51">
        <v>0</v>
      </c>
      <c r="R89" s="51">
        <v>0</v>
      </c>
      <c r="S89" s="51">
        <v>0</v>
      </c>
      <c r="T89" s="51">
        <v>1</v>
      </c>
      <c r="U89" s="2">
        <v>0</v>
      </c>
      <c r="V89" s="2">
        <v>1</v>
      </c>
      <c r="W89" s="5">
        <v>45423</v>
      </c>
      <c r="X89" s="5">
        <v>45423</v>
      </c>
      <c r="Y89" s="28">
        <f t="shared" si="2"/>
        <v>0</v>
      </c>
      <c r="Z89" s="2">
        <v>0</v>
      </c>
      <c r="AA89" s="2">
        <v>0</v>
      </c>
      <c r="AB89" s="2">
        <v>0</v>
      </c>
      <c r="AC89" s="2">
        <v>0</v>
      </c>
      <c r="AD89" s="2">
        <v>0</v>
      </c>
      <c r="AE89" s="2">
        <v>0</v>
      </c>
      <c r="AF89" s="2">
        <v>0</v>
      </c>
      <c r="AG89" s="2">
        <v>0</v>
      </c>
      <c r="AH89" s="2">
        <v>0</v>
      </c>
      <c r="AI89" s="2">
        <v>0</v>
      </c>
      <c r="AK89" s="2">
        <v>0</v>
      </c>
      <c r="AL89" s="2">
        <v>0</v>
      </c>
      <c r="AM89" s="2">
        <v>1</v>
      </c>
      <c r="AN89" s="2">
        <v>0</v>
      </c>
      <c r="AO89" s="2">
        <v>0</v>
      </c>
      <c r="AP89" s="2">
        <v>1</v>
      </c>
      <c r="AQ89" s="2">
        <v>1</v>
      </c>
      <c r="AR89" s="11">
        <v>1</v>
      </c>
      <c r="AS89" s="5">
        <v>45427</v>
      </c>
      <c r="AT89" s="2">
        <v>0</v>
      </c>
      <c r="AU89" s="2">
        <v>1</v>
      </c>
      <c r="AV89" s="2">
        <f>Table2[[#This Row],[TTE date]]-Table2[[#This Row],[Date initial positive Bcx]]</f>
        <v>4</v>
      </c>
      <c r="AW89" s="2">
        <v>0</v>
      </c>
      <c r="BA89" s="2">
        <v>0</v>
      </c>
      <c r="BC89" s="2">
        <v>0</v>
      </c>
      <c r="BD89" s="2">
        <f>COUNTIFS(Table2[[#This Row],[Comorbidity present (at least 1)?]], "0",Table2[[#This Row],[Alternative source of infx?]], "1",Table2[[#This Row],[Abx used?]], "1", Table2[[#This Row],[&lt; 3 days defervescence or remained afebrile?]], "1",Table2[[#This Row],[WBC downtrend or remained nrml?]], "1")</f>
        <v>0</v>
      </c>
      <c r="BE89" s="2">
        <f>COUNTIFS(Table2[[#This Row],[&lt; 3 days defervescence or remained afebrile?]], "1",Table2[[#This Row],[WBC downtrend or remained nrml?]], "1")</f>
        <v>1</v>
      </c>
      <c r="BF89" s="2">
        <v>0</v>
      </c>
      <c r="BG89" s="2">
        <v>0</v>
      </c>
      <c r="BH89" s="2">
        <v>1</v>
      </c>
      <c r="BI89" s="2" t="s">
        <v>212</v>
      </c>
    </row>
    <row r="90" spans="1:61">
      <c r="A90" s="2">
        <v>89</v>
      </c>
      <c r="B90" s="5">
        <v>45423</v>
      </c>
      <c r="C90" s="5">
        <v>45426</v>
      </c>
      <c r="D90" s="2">
        <f t="shared" si="4"/>
        <v>3</v>
      </c>
      <c r="E90" s="2">
        <v>83</v>
      </c>
      <c r="F90" s="2">
        <v>1</v>
      </c>
      <c r="G90" s="2">
        <v>2</v>
      </c>
      <c r="H90" s="2">
        <v>1</v>
      </c>
      <c r="I90" s="2">
        <v>0</v>
      </c>
      <c r="J90" s="2">
        <v>0</v>
      </c>
      <c r="K90" s="2">
        <v>0</v>
      </c>
      <c r="L90" s="2">
        <v>0</v>
      </c>
      <c r="M90" s="2">
        <v>0</v>
      </c>
      <c r="N90" s="2">
        <v>1</v>
      </c>
      <c r="O90" s="2" t="s">
        <v>192</v>
      </c>
      <c r="P90" t="s">
        <v>179</v>
      </c>
      <c r="Q90" s="51">
        <v>0</v>
      </c>
      <c r="R90" s="51">
        <v>0</v>
      </c>
      <c r="S90" s="51">
        <v>0</v>
      </c>
      <c r="T90" s="51">
        <v>1</v>
      </c>
      <c r="U90" s="2">
        <v>0</v>
      </c>
      <c r="V90" s="2">
        <v>1</v>
      </c>
      <c r="W90" s="5">
        <v>45423</v>
      </c>
      <c r="X90" s="5">
        <v>45423</v>
      </c>
      <c r="Y90" s="28">
        <f t="shared" si="2"/>
        <v>0</v>
      </c>
      <c r="Z90" s="2">
        <v>0</v>
      </c>
      <c r="AA90" s="2">
        <v>0</v>
      </c>
      <c r="AB90" s="2">
        <v>0</v>
      </c>
      <c r="AC90" s="2">
        <v>0</v>
      </c>
      <c r="AD90" s="2">
        <v>0</v>
      </c>
      <c r="AE90" s="2">
        <v>0</v>
      </c>
      <c r="AF90" s="2">
        <v>0</v>
      </c>
      <c r="AG90" s="2">
        <v>0</v>
      </c>
      <c r="AH90" s="2">
        <v>0</v>
      </c>
      <c r="AI90" s="2">
        <v>1</v>
      </c>
      <c r="AJ90" s="2" t="s">
        <v>91</v>
      </c>
      <c r="AK90" s="2">
        <v>0</v>
      </c>
      <c r="AL90" s="2">
        <v>0</v>
      </c>
      <c r="AM90" s="2">
        <v>1</v>
      </c>
      <c r="AN90" s="2">
        <v>0</v>
      </c>
      <c r="AO90" s="2">
        <v>0</v>
      </c>
      <c r="AP90" s="2">
        <v>1</v>
      </c>
      <c r="AQ90" s="2">
        <v>1</v>
      </c>
      <c r="AR90" s="2">
        <v>1</v>
      </c>
      <c r="AS90" s="5">
        <v>45426</v>
      </c>
      <c r="AT90" s="2">
        <v>0</v>
      </c>
      <c r="AU90" s="2">
        <v>0</v>
      </c>
      <c r="AV90" s="2">
        <f>Table2[[#This Row],[TTE date]]-Table2[[#This Row],[Date initial positive Bcx]]</f>
        <v>3</v>
      </c>
      <c r="AW90" s="2">
        <v>0</v>
      </c>
      <c r="BA90" s="2">
        <v>0</v>
      </c>
      <c r="BC90" s="2">
        <v>0</v>
      </c>
      <c r="BD90" s="2">
        <f>COUNTIFS(Table2[[#This Row],[Comorbidity present (at least 1)?]], "0",Table2[[#This Row],[Alternative source of infx?]], "1",Table2[[#This Row],[Abx used?]], "1", Table2[[#This Row],[&lt; 3 days defervescence or remained afebrile?]], "1",Table2[[#This Row],[WBC downtrend or remained nrml?]], "1")</f>
        <v>0</v>
      </c>
      <c r="BE90" s="2">
        <f>COUNTIFS(Table2[[#This Row],[&lt; 3 days defervescence or remained afebrile?]], "1",Table2[[#This Row],[WBC downtrend or remained nrml?]], "1")</f>
        <v>1</v>
      </c>
      <c r="BF90" s="2">
        <v>0</v>
      </c>
      <c r="BG90" s="2">
        <v>0</v>
      </c>
      <c r="BH90" s="2">
        <v>0</v>
      </c>
      <c r="BI90" s="2" t="s">
        <v>206</v>
      </c>
    </row>
    <row r="91" spans="1:61">
      <c r="A91" s="2">
        <v>90</v>
      </c>
      <c r="B91" s="5">
        <v>45425</v>
      </c>
      <c r="C91" s="5">
        <v>45436</v>
      </c>
      <c r="D91" s="2">
        <f t="shared" si="4"/>
        <v>11</v>
      </c>
      <c r="E91" s="2">
        <v>62</v>
      </c>
      <c r="F91" s="2">
        <v>2</v>
      </c>
      <c r="G91" s="2">
        <v>2</v>
      </c>
      <c r="H91" s="2">
        <v>0</v>
      </c>
      <c r="I91" s="2">
        <v>0</v>
      </c>
      <c r="J91" s="2">
        <v>0</v>
      </c>
      <c r="K91" s="2">
        <v>0</v>
      </c>
      <c r="L91" s="2">
        <v>0</v>
      </c>
      <c r="M91" s="2">
        <v>0</v>
      </c>
      <c r="N91" s="2">
        <v>0</v>
      </c>
      <c r="P91" t="s">
        <v>179</v>
      </c>
      <c r="Q91" s="51">
        <v>0</v>
      </c>
      <c r="R91" s="51">
        <v>0</v>
      </c>
      <c r="S91" s="51">
        <v>0</v>
      </c>
      <c r="T91" s="51">
        <v>1</v>
      </c>
      <c r="U91" s="2">
        <v>0</v>
      </c>
      <c r="V91" s="2">
        <v>1</v>
      </c>
      <c r="W91" s="5">
        <v>45425</v>
      </c>
      <c r="X91" s="5">
        <v>45425</v>
      </c>
      <c r="Y91" s="28">
        <f t="shared" si="2"/>
        <v>0</v>
      </c>
      <c r="Z91" s="2">
        <v>0</v>
      </c>
      <c r="AA91" s="2">
        <v>0</v>
      </c>
      <c r="AB91" s="2">
        <v>0</v>
      </c>
      <c r="AC91" s="2">
        <v>0</v>
      </c>
      <c r="AD91" s="2">
        <v>0</v>
      </c>
      <c r="AE91" s="2">
        <v>0</v>
      </c>
      <c r="AF91" s="2">
        <v>0</v>
      </c>
      <c r="AG91" s="2">
        <v>0</v>
      </c>
      <c r="AH91" s="2">
        <v>0</v>
      </c>
      <c r="AI91" s="2">
        <v>1</v>
      </c>
      <c r="AJ91" s="2" t="s">
        <v>91</v>
      </c>
      <c r="AK91" s="2">
        <v>0</v>
      </c>
      <c r="AL91" s="2">
        <v>0</v>
      </c>
      <c r="AM91" s="2">
        <v>1</v>
      </c>
      <c r="AN91" s="2">
        <v>0</v>
      </c>
      <c r="AO91" s="2">
        <v>0</v>
      </c>
      <c r="AP91" s="2">
        <v>1</v>
      </c>
      <c r="AQ91" s="2">
        <v>1</v>
      </c>
      <c r="AR91" s="2">
        <v>0</v>
      </c>
      <c r="AW91" s="2">
        <v>0</v>
      </c>
      <c r="BA91" s="2">
        <v>0</v>
      </c>
      <c r="BC91" s="2">
        <v>0</v>
      </c>
      <c r="BD91" s="2">
        <f>COUNTIFS(Table2[[#This Row],[Comorbidity present (at least 1)?]], "0",Table2[[#This Row],[Alternative source of infx?]], "1",Table2[[#This Row],[Abx used?]], "1", Table2[[#This Row],[&lt; 3 days defervescence or remained afebrile?]], "1",Table2[[#This Row],[WBC downtrend or remained nrml?]], "1")</f>
        <v>0</v>
      </c>
      <c r="BE91" s="2">
        <f>COUNTIFS(Table2[[#This Row],[&lt; 3 days defervescence or remained afebrile?]], "1",Table2[[#This Row],[WBC downtrend or remained nrml?]], "1")</f>
        <v>1</v>
      </c>
      <c r="BF91" s="2">
        <v>0</v>
      </c>
      <c r="BG91" s="2">
        <v>0</v>
      </c>
      <c r="BH91" s="2">
        <v>0</v>
      </c>
      <c r="BI91" s="2" t="s">
        <v>206</v>
      </c>
    </row>
    <row r="92" spans="1:61">
      <c r="A92" s="2">
        <v>91</v>
      </c>
      <c r="B92" s="5">
        <v>45425</v>
      </c>
      <c r="C92" s="5">
        <v>45430</v>
      </c>
      <c r="D92" s="2">
        <f t="shared" si="4"/>
        <v>5</v>
      </c>
      <c r="E92" s="2">
        <v>94</v>
      </c>
      <c r="F92" s="2">
        <v>2</v>
      </c>
      <c r="G92" s="2">
        <v>2</v>
      </c>
      <c r="H92" s="2">
        <v>0</v>
      </c>
      <c r="I92" s="2">
        <v>0</v>
      </c>
      <c r="J92" s="2">
        <v>0</v>
      </c>
      <c r="K92" s="2">
        <v>0</v>
      </c>
      <c r="L92" s="2">
        <v>0</v>
      </c>
      <c r="M92" s="2">
        <v>0</v>
      </c>
      <c r="N92" s="2">
        <v>0</v>
      </c>
      <c r="P92" t="s">
        <v>179</v>
      </c>
      <c r="Q92" s="51">
        <v>0</v>
      </c>
      <c r="R92" s="51">
        <v>0</v>
      </c>
      <c r="S92" s="51">
        <v>0</v>
      </c>
      <c r="T92" s="51">
        <v>1</v>
      </c>
      <c r="U92" s="2">
        <v>0</v>
      </c>
      <c r="V92" s="2">
        <v>1</v>
      </c>
      <c r="W92" s="5">
        <v>45425</v>
      </c>
      <c r="X92" s="5">
        <v>45425</v>
      </c>
      <c r="Y92" s="28">
        <f t="shared" si="2"/>
        <v>0</v>
      </c>
      <c r="Z92" s="2">
        <v>0</v>
      </c>
      <c r="AA92" s="2">
        <v>0</v>
      </c>
      <c r="AB92" s="2">
        <v>0</v>
      </c>
      <c r="AC92" s="2">
        <v>0</v>
      </c>
      <c r="AD92" s="2">
        <v>0</v>
      </c>
      <c r="AE92" s="2">
        <v>0</v>
      </c>
      <c r="AF92" s="2">
        <v>0</v>
      </c>
      <c r="AG92" s="2">
        <v>0</v>
      </c>
      <c r="AH92" s="2">
        <v>0</v>
      </c>
      <c r="AI92" s="2">
        <v>1</v>
      </c>
      <c r="AJ92" s="2" t="s">
        <v>117</v>
      </c>
      <c r="AK92" s="2">
        <v>0</v>
      </c>
      <c r="AL92" s="2">
        <v>0</v>
      </c>
      <c r="AM92" s="2">
        <v>1</v>
      </c>
      <c r="AN92" s="2">
        <v>0</v>
      </c>
      <c r="AO92" s="2">
        <v>0</v>
      </c>
      <c r="AP92" s="2">
        <v>1</v>
      </c>
      <c r="AQ92" s="2">
        <v>1</v>
      </c>
      <c r="AR92" s="11">
        <v>1</v>
      </c>
      <c r="AS92" s="5">
        <v>45426</v>
      </c>
      <c r="AT92" s="2">
        <v>0</v>
      </c>
      <c r="AU92" s="2">
        <v>0</v>
      </c>
      <c r="AV92" s="2">
        <f>Table2[[#This Row],[TTE date]]-Table2[[#This Row],[Date initial positive Bcx]]</f>
        <v>1</v>
      </c>
      <c r="AW92" s="2">
        <v>0</v>
      </c>
      <c r="BA92" s="2">
        <v>0</v>
      </c>
      <c r="BC92" s="2">
        <v>0</v>
      </c>
      <c r="BD92" s="2">
        <f>COUNTIFS(Table2[[#This Row],[Comorbidity present (at least 1)?]], "0",Table2[[#This Row],[Alternative source of infx?]], "1",Table2[[#This Row],[Abx used?]], "1", Table2[[#This Row],[&lt; 3 days defervescence or remained afebrile?]], "1",Table2[[#This Row],[WBC downtrend or remained nrml?]], "1")</f>
        <v>0</v>
      </c>
      <c r="BE92" s="2">
        <f>COUNTIFS(Table2[[#This Row],[&lt; 3 days defervescence or remained afebrile?]], "1",Table2[[#This Row],[WBC downtrend or remained nrml?]], "1")</f>
        <v>1</v>
      </c>
      <c r="BF92" s="2">
        <v>0</v>
      </c>
      <c r="BG92" s="2">
        <v>0</v>
      </c>
      <c r="BH92" s="2">
        <v>0</v>
      </c>
      <c r="BI92" s="2" t="s">
        <v>206</v>
      </c>
    </row>
    <row r="93" spans="1:61">
      <c r="A93" s="2">
        <v>92</v>
      </c>
      <c r="B93" s="5">
        <v>45427</v>
      </c>
      <c r="C93" s="5">
        <v>45430</v>
      </c>
      <c r="D93" s="2">
        <f t="shared" si="4"/>
        <v>3</v>
      </c>
      <c r="E93" s="2">
        <v>79</v>
      </c>
      <c r="F93" s="2">
        <v>1</v>
      </c>
      <c r="G93" s="2">
        <v>4</v>
      </c>
      <c r="H93" s="2">
        <v>1</v>
      </c>
      <c r="I93" s="2">
        <v>0</v>
      </c>
      <c r="J93" s="2">
        <v>0</v>
      </c>
      <c r="K93" s="2">
        <v>0</v>
      </c>
      <c r="L93" s="2">
        <v>0</v>
      </c>
      <c r="M93" s="2">
        <v>0</v>
      </c>
      <c r="N93" s="2">
        <v>1</v>
      </c>
      <c r="O93" s="2" t="s">
        <v>213</v>
      </c>
      <c r="P93" t="s">
        <v>195</v>
      </c>
      <c r="Q93" s="51">
        <v>0</v>
      </c>
      <c r="R93" s="51">
        <v>0</v>
      </c>
      <c r="S93" s="51">
        <v>0</v>
      </c>
      <c r="T93" s="51">
        <v>1</v>
      </c>
      <c r="U93" s="2">
        <v>0</v>
      </c>
      <c r="V93" s="2">
        <v>1</v>
      </c>
      <c r="W93" s="5">
        <v>45427</v>
      </c>
      <c r="X93" s="5">
        <v>45427</v>
      </c>
      <c r="Y93" s="28">
        <f t="shared" si="2"/>
        <v>0</v>
      </c>
      <c r="Z93" s="2">
        <v>0</v>
      </c>
      <c r="AA93" s="2">
        <v>0</v>
      </c>
      <c r="AB93" s="2">
        <v>0</v>
      </c>
      <c r="AC93" s="2">
        <v>0</v>
      </c>
      <c r="AD93" s="2">
        <v>0</v>
      </c>
      <c r="AE93" s="2">
        <v>0</v>
      </c>
      <c r="AF93" s="2">
        <v>0</v>
      </c>
      <c r="AG93" s="2">
        <v>0</v>
      </c>
      <c r="AH93" s="2">
        <v>0</v>
      </c>
      <c r="AI93" s="2">
        <v>1</v>
      </c>
      <c r="AJ93" s="2" t="s">
        <v>214</v>
      </c>
      <c r="AK93" s="2">
        <v>0</v>
      </c>
      <c r="AL93" s="2">
        <v>0</v>
      </c>
      <c r="AM93" s="2">
        <v>1</v>
      </c>
      <c r="AN93" s="2">
        <v>0</v>
      </c>
      <c r="AO93" s="2">
        <v>0</v>
      </c>
      <c r="AP93" s="2">
        <v>1</v>
      </c>
      <c r="AQ93" s="2">
        <v>1</v>
      </c>
      <c r="AR93" s="2">
        <v>1</v>
      </c>
      <c r="AS93" s="5">
        <v>45429</v>
      </c>
      <c r="AT93" s="2">
        <v>0</v>
      </c>
      <c r="AU93" s="2">
        <v>0</v>
      </c>
      <c r="AV93" s="2">
        <f>Table2[[#This Row],[TTE date]]-Table2[[#This Row],[Date initial positive Bcx]]</f>
        <v>2</v>
      </c>
      <c r="AW93" s="2">
        <v>0</v>
      </c>
      <c r="BA93" s="2">
        <v>0</v>
      </c>
      <c r="BC93" s="2">
        <v>0</v>
      </c>
      <c r="BD93" s="2">
        <f>COUNTIFS(Table2[[#This Row],[Comorbidity present (at least 1)?]], "0",Table2[[#This Row],[Alternative source of infx?]], "1",Table2[[#This Row],[Abx used?]], "1", Table2[[#This Row],[&lt; 3 days defervescence or remained afebrile?]], "1",Table2[[#This Row],[WBC downtrend or remained nrml?]], "1")</f>
        <v>0</v>
      </c>
      <c r="BE93" s="2">
        <f>COUNTIFS(Table2[[#This Row],[&lt; 3 days defervescence or remained afebrile?]], "1",Table2[[#This Row],[WBC downtrend or remained nrml?]], "1")</f>
        <v>1</v>
      </c>
      <c r="BF93" s="2">
        <v>0</v>
      </c>
      <c r="BG93" s="2">
        <v>0</v>
      </c>
      <c r="BH93" s="2">
        <v>0</v>
      </c>
      <c r="BI93" s="2" t="s">
        <v>206</v>
      </c>
    </row>
    <row r="94" spans="1:61">
      <c r="A94" s="2">
        <v>93</v>
      </c>
      <c r="B94" s="5">
        <v>45430</v>
      </c>
      <c r="C94" s="5">
        <v>45439</v>
      </c>
      <c r="D94" s="2">
        <f t="shared" si="4"/>
        <v>9</v>
      </c>
      <c r="E94" s="2">
        <v>45</v>
      </c>
      <c r="F94" s="2">
        <v>2</v>
      </c>
      <c r="G94" s="2">
        <v>2</v>
      </c>
      <c r="H94" s="2">
        <v>0</v>
      </c>
      <c r="I94" s="2">
        <v>0</v>
      </c>
      <c r="J94" s="2">
        <v>0</v>
      </c>
      <c r="K94" s="2">
        <v>0</v>
      </c>
      <c r="L94" s="2">
        <v>0</v>
      </c>
      <c r="M94" s="2">
        <v>0</v>
      </c>
      <c r="N94" s="2">
        <v>0</v>
      </c>
      <c r="P94" t="s">
        <v>215</v>
      </c>
      <c r="Q94" s="51">
        <v>0</v>
      </c>
      <c r="R94" s="51">
        <v>0</v>
      </c>
      <c r="S94" s="51">
        <v>0</v>
      </c>
      <c r="T94" s="51">
        <v>1</v>
      </c>
      <c r="U94" s="2">
        <v>0</v>
      </c>
      <c r="V94" s="2">
        <v>1</v>
      </c>
      <c r="W94" s="5">
        <v>45430</v>
      </c>
      <c r="X94" s="5">
        <v>45430</v>
      </c>
      <c r="Y94" s="28">
        <f t="shared" si="2"/>
        <v>0</v>
      </c>
      <c r="Z94" s="2">
        <v>0</v>
      </c>
      <c r="AA94" s="2">
        <v>0</v>
      </c>
      <c r="AB94" s="2">
        <v>0</v>
      </c>
      <c r="AC94" s="2">
        <v>0</v>
      </c>
      <c r="AD94" s="2">
        <v>0</v>
      </c>
      <c r="AE94" s="2">
        <v>0</v>
      </c>
      <c r="AF94" s="2">
        <v>0</v>
      </c>
      <c r="AG94" s="2">
        <v>0</v>
      </c>
      <c r="AH94" s="2">
        <v>0</v>
      </c>
      <c r="AI94" s="2">
        <v>1</v>
      </c>
      <c r="AJ94" s="2" t="s">
        <v>91</v>
      </c>
      <c r="AK94" s="2">
        <v>0</v>
      </c>
      <c r="AL94" s="2">
        <v>0</v>
      </c>
      <c r="AM94" s="2">
        <v>1</v>
      </c>
      <c r="AN94" s="2">
        <v>0</v>
      </c>
      <c r="AO94" s="2">
        <v>0</v>
      </c>
      <c r="AP94" s="2">
        <v>1</v>
      </c>
      <c r="AQ94" s="2">
        <v>1</v>
      </c>
      <c r="AR94" s="2">
        <v>0</v>
      </c>
      <c r="AW94" s="2">
        <v>0</v>
      </c>
      <c r="BA94" s="2">
        <v>0</v>
      </c>
      <c r="BC94" s="2">
        <v>0</v>
      </c>
      <c r="BD94" s="2">
        <f>COUNTIFS(Table2[[#This Row],[Comorbidity present (at least 1)?]], "0",Table2[[#This Row],[Alternative source of infx?]], "1",Table2[[#This Row],[Abx used?]], "1", Table2[[#This Row],[&lt; 3 days defervescence or remained afebrile?]], "1",Table2[[#This Row],[WBC downtrend or remained nrml?]], "1")</f>
        <v>0</v>
      </c>
      <c r="BE94" s="2">
        <f>COUNTIFS(Table2[[#This Row],[&lt; 3 days defervescence or remained afebrile?]], "1",Table2[[#This Row],[WBC downtrend or remained nrml?]], "1")</f>
        <v>1</v>
      </c>
      <c r="BF94" s="2">
        <v>0</v>
      </c>
      <c r="BG94" s="2">
        <v>0</v>
      </c>
      <c r="BH94" s="2">
        <v>0</v>
      </c>
      <c r="BI94" s="2" t="s">
        <v>206</v>
      </c>
    </row>
    <row r="95" spans="1:61">
      <c r="A95" s="2">
        <v>94</v>
      </c>
      <c r="B95" s="5">
        <v>45433</v>
      </c>
      <c r="C95" s="5">
        <v>45440</v>
      </c>
      <c r="D95" s="2">
        <f t="shared" si="4"/>
        <v>7</v>
      </c>
      <c r="E95" s="2">
        <v>75</v>
      </c>
      <c r="F95" s="2">
        <v>1</v>
      </c>
      <c r="G95" s="2">
        <v>2</v>
      </c>
      <c r="H95" s="2">
        <v>0</v>
      </c>
      <c r="I95" s="2">
        <v>0</v>
      </c>
      <c r="J95" s="2">
        <v>0</v>
      </c>
      <c r="K95" s="2">
        <v>0</v>
      </c>
      <c r="L95" s="2">
        <v>0</v>
      </c>
      <c r="M95" s="2">
        <v>0</v>
      </c>
      <c r="N95" s="2">
        <v>0</v>
      </c>
      <c r="P95" t="s">
        <v>179</v>
      </c>
      <c r="Q95" s="51">
        <v>0</v>
      </c>
      <c r="R95" s="51">
        <v>0</v>
      </c>
      <c r="S95" s="51">
        <v>0</v>
      </c>
      <c r="T95" s="51">
        <v>1</v>
      </c>
      <c r="U95" s="2">
        <v>0</v>
      </c>
      <c r="V95" s="2">
        <v>1</v>
      </c>
      <c r="W95" s="5">
        <v>45433</v>
      </c>
      <c r="X95" s="5">
        <v>45433</v>
      </c>
      <c r="Y95" s="28">
        <f t="shared" si="2"/>
        <v>0</v>
      </c>
      <c r="Z95" s="2">
        <v>0</v>
      </c>
      <c r="AA95" s="2">
        <v>0</v>
      </c>
      <c r="AB95" s="2">
        <v>0</v>
      </c>
      <c r="AC95" s="2">
        <v>0</v>
      </c>
      <c r="AD95" s="2">
        <v>0</v>
      </c>
      <c r="AE95" s="2">
        <v>0</v>
      </c>
      <c r="AF95" s="2">
        <v>0</v>
      </c>
      <c r="AG95" s="2">
        <v>0</v>
      </c>
      <c r="AH95" s="2">
        <v>0</v>
      </c>
      <c r="AI95" s="2">
        <v>1</v>
      </c>
      <c r="AJ95" s="2" t="s">
        <v>117</v>
      </c>
      <c r="AK95" s="2">
        <v>0</v>
      </c>
      <c r="AL95" s="2">
        <v>0</v>
      </c>
      <c r="AM95" s="2">
        <v>1</v>
      </c>
      <c r="AN95" s="2">
        <v>0</v>
      </c>
      <c r="AO95" s="2">
        <v>0</v>
      </c>
      <c r="AP95" s="2">
        <v>1</v>
      </c>
      <c r="AQ95" s="2">
        <v>1</v>
      </c>
      <c r="AR95" s="11">
        <v>1</v>
      </c>
      <c r="AS95" s="5">
        <v>45440</v>
      </c>
      <c r="AT95" s="2">
        <v>0</v>
      </c>
      <c r="AU95" s="2">
        <v>0</v>
      </c>
      <c r="AV95" s="2">
        <f>Table2[[#This Row],[TTE date]]-Table2[[#This Row],[Date initial positive Bcx]]</f>
        <v>7</v>
      </c>
      <c r="AW95" s="2">
        <v>0</v>
      </c>
      <c r="BA95" s="2">
        <v>0</v>
      </c>
      <c r="BC95" s="2">
        <v>0</v>
      </c>
      <c r="BD95" s="2">
        <f>COUNTIFS(Table2[[#This Row],[Comorbidity present (at least 1)?]], "0",Table2[[#This Row],[Alternative source of infx?]], "1",Table2[[#This Row],[Abx used?]], "1", Table2[[#This Row],[&lt; 3 days defervescence or remained afebrile?]], "1",Table2[[#This Row],[WBC downtrend or remained nrml?]], "1")</f>
        <v>0</v>
      </c>
      <c r="BE95" s="2">
        <f>COUNTIFS(Table2[[#This Row],[&lt; 3 days defervescence or remained afebrile?]], "1",Table2[[#This Row],[WBC downtrend or remained nrml?]], "1")</f>
        <v>1</v>
      </c>
      <c r="BF95" s="2">
        <v>0</v>
      </c>
      <c r="BG95" s="2">
        <v>0</v>
      </c>
      <c r="BH95" s="2">
        <v>0</v>
      </c>
      <c r="BI95" s="2" t="s">
        <v>206</v>
      </c>
    </row>
    <row r="96" spans="1:61">
      <c r="A96" s="8">
        <v>95</v>
      </c>
      <c r="B96" s="5">
        <v>45434</v>
      </c>
      <c r="C96" s="6">
        <v>45439</v>
      </c>
      <c r="D96" s="2">
        <f t="shared" si="4"/>
        <v>5</v>
      </c>
      <c r="E96" s="2">
        <v>90</v>
      </c>
      <c r="F96" s="2">
        <v>1</v>
      </c>
      <c r="G96" s="2">
        <v>2</v>
      </c>
      <c r="H96" s="2">
        <v>1</v>
      </c>
      <c r="I96" s="2">
        <v>0</v>
      </c>
      <c r="J96" s="2">
        <v>0</v>
      </c>
      <c r="K96" s="2">
        <v>0</v>
      </c>
      <c r="L96" s="2">
        <v>0</v>
      </c>
      <c r="M96" s="2">
        <v>0</v>
      </c>
      <c r="N96" s="2">
        <v>1</v>
      </c>
      <c r="O96" s="2" t="s">
        <v>216</v>
      </c>
      <c r="P96" t="s">
        <v>179</v>
      </c>
      <c r="Q96" s="51">
        <v>0</v>
      </c>
      <c r="R96" s="51">
        <v>0</v>
      </c>
      <c r="S96" s="51">
        <v>0</v>
      </c>
      <c r="T96" s="51">
        <v>1</v>
      </c>
      <c r="U96" s="2">
        <v>1</v>
      </c>
      <c r="V96" s="2">
        <v>2</v>
      </c>
      <c r="W96" s="5">
        <v>45434</v>
      </c>
      <c r="X96" s="5">
        <v>45434</v>
      </c>
      <c r="Y96" s="28">
        <f t="shared" si="2"/>
        <v>0</v>
      </c>
      <c r="Z96" s="2">
        <v>0</v>
      </c>
      <c r="AA96" s="2">
        <v>0</v>
      </c>
      <c r="AB96" s="2">
        <v>0</v>
      </c>
      <c r="AC96" s="2">
        <v>0</v>
      </c>
      <c r="AD96" s="2">
        <v>0</v>
      </c>
      <c r="AE96" s="2">
        <v>0</v>
      </c>
      <c r="AF96" s="2">
        <v>0</v>
      </c>
      <c r="AG96" s="2">
        <v>0</v>
      </c>
      <c r="AH96" s="2">
        <v>0</v>
      </c>
      <c r="AI96" s="2">
        <v>1</v>
      </c>
      <c r="AJ96" s="2" t="s">
        <v>217</v>
      </c>
      <c r="AK96" s="2">
        <v>0</v>
      </c>
      <c r="AL96" s="2">
        <v>0</v>
      </c>
      <c r="AM96" s="2">
        <v>1</v>
      </c>
      <c r="AN96" s="2">
        <v>0</v>
      </c>
      <c r="AO96" s="2">
        <v>0</v>
      </c>
      <c r="AP96" s="2">
        <v>1</v>
      </c>
      <c r="AQ96" s="2">
        <v>1</v>
      </c>
      <c r="AR96" s="11">
        <v>1</v>
      </c>
      <c r="AS96" s="5">
        <v>45436</v>
      </c>
      <c r="AT96" s="2">
        <v>0</v>
      </c>
      <c r="AU96" s="2">
        <v>0</v>
      </c>
      <c r="AV96" s="2">
        <f>Table2[[#This Row],[TTE date]]-Table2[[#This Row],[Date initial positive Bcx]]</f>
        <v>2</v>
      </c>
      <c r="AW96" s="2">
        <v>0</v>
      </c>
      <c r="BA96" s="2">
        <v>0</v>
      </c>
      <c r="BC96" s="2">
        <v>0</v>
      </c>
      <c r="BD96" s="2">
        <f>COUNTIFS(Table2[[#This Row],[Comorbidity present (at least 1)?]], "0",Table2[[#This Row],[Alternative source of infx?]], "1",Table2[[#This Row],[Abx used?]], "1", Table2[[#This Row],[&lt; 3 days defervescence or remained afebrile?]], "1",Table2[[#This Row],[WBC downtrend or remained nrml?]], "1")</f>
        <v>0</v>
      </c>
      <c r="BE96" s="2">
        <f>COUNTIFS(Table2[[#This Row],[&lt; 3 days defervescence or remained afebrile?]], "1",Table2[[#This Row],[WBC downtrend or remained nrml?]], "1")</f>
        <v>1</v>
      </c>
      <c r="BF96" s="2">
        <v>0</v>
      </c>
      <c r="BG96" s="2">
        <v>0</v>
      </c>
      <c r="BH96" s="2">
        <v>0</v>
      </c>
      <c r="BI96" s="2" t="s">
        <v>206</v>
      </c>
    </row>
    <row r="97" spans="1:61">
      <c r="A97" s="8">
        <v>96</v>
      </c>
      <c r="B97" s="5">
        <v>45435</v>
      </c>
      <c r="C97" s="6">
        <v>45444</v>
      </c>
      <c r="D97" s="2">
        <f t="shared" si="4"/>
        <v>9</v>
      </c>
      <c r="E97" s="2">
        <v>88</v>
      </c>
      <c r="F97" s="2">
        <v>1</v>
      </c>
      <c r="G97" s="2">
        <v>3</v>
      </c>
      <c r="H97" s="2">
        <v>0</v>
      </c>
      <c r="I97" s="2">
        <v>0</v>
      </c>
      <c r="J97" s="2">
        <v>0</v>
      </c>
      <c r="K97" s="2">
        <v>0</v>
      </c>
      <c r="L97" s="2">
        <v>0</v>
      </c>
      <c r="M97" s="2">
        <v>0</v>
      </c>
      <c r="N97" s="2">
        <v>0</v>
      </c>
      <c r="P97" t="s">
        <v>186</v>
      </c>
      <c r="Q97" s="51">
        <v>0</v>
      </c>
      <c r="R97" s="51">
        <v>0</v>
      </c>
      <c r="S97" s="51">
        <v>0</v>
      </c>
      <c r="T97" s="51">
        <v>1</v>
      </c>
      <c r="U97" s="2">
        <v>0</v>
      </c>
      <c r="V97" s="2">
        <v>1</v>
      </c>
      <c r="W97" s="5">
        <v>45436</v>
      </c>
      <c r="X97" s="5">
        <v>45436</v>
      </c>
      <c r="Y97" s="28">
        <f t="shared" si="2"/>
        <v>0</v>
      </c>
      <c r="Z97" s="2">
        <v>0</v>
      </c>
      <c r="AA97" s="2">
        <v>0</v>
      </c>
      <c r="AB97" s="2">
        <v>0</v>
      </c>
      <c r="AC97" s="2">
        <v>0</v>
      </c>
      <c r="AD97" s="2">
        <v>0</v>
      </c>
      <c r="AE97" s="2">
        <v>0</v>
      </c>
      <c r="AF97" s="2">
        <v>0</v>
      </c>
      <c r="AG97" s="2">
        <v>0</v>
      </c>
      <c r="AH97" s="2">
        <v>0</v>
      </c>
      <c r="AI97" s="2">
        <v>1</v>
      </c>
      <c r="AJ97" s="2" t="s">
        <v>68</v>
      </c>
      <c r="AK97" s="2">
        <v>0</v>
      </c>
      <c r="AL97" s="2">
        <v>0</v>
      </c>
      <c r="AM97" s="2">
        <v>1</v>
      </c>
      <c r="AN97" s="2">
        <v>0</v>
      </c>
      <c r="AO97" s="2">
        <v>0</v>
      </c>
      <c r="AP97" s="2">
        <v>1</v>
      </c>
      <c r="AQ97" s="2">
        <v>1</v>
      </c>
      <c r="AR97" s="2">
        <v>0</v>
      </c>
      <c r="AW97" s="2">
        <v>0</v>
      </c>
      <c r="BA97" s="2">
        <v>0</v>
      </c>
      <c r="BC97" s="2">
        <v>0</v>
      </c>
      <c r="BD97" s="2">
        <f>COUNTIFS(Table2[[#This Row],[Comorbidity present (at least 1)?]], "0",Table2[[#This Row],[Alternative source of infx?]], "1",Table2[[#This Row],[Abx used?]], "1", Table2[[#This Row],[&lt; 3 days defervescence or remained afebrile?]], "1",Table2[[#This Row],[WBC downtrend or remained nrml?]], "1")</f>
        <v>0</v>
      </c>
      <c r="BE97" s="2">
        <f>COUNTIFS(Table2[[#This Row],[&lt; 3 days defervescence or remained afebrile?]], "1",Table2[[#This Row],[WBC downtrend or remained nrml?]], "1")</f>
        <v>1</v>
      </c>
      <c r="BF97" s="2">
        <v>0</v>
      </c>
      <c r="BG97" s="2">
        <v>0</v>
      </c>
      <c r="BH97" s="2">
        <v>0</v>
      </c>
      <c r="BI97" s="2" t="s">
        <v>206</v>
      </c>
    </row>
    <row r="98" spans="1:61">
      <c r="A98" s="2">
        <v>97</v>
      </c>
      <c r="B98" s="5">
        <v>45438</v>
      </c>
      <c r="C98" s="5">
        <v>45442</v>
      </c>
      <c r="D98" s="2">
        <f t="shared" si="4"/>
        <v>4</v>
      </c>
      <c r="E98" s="2">
        <v>96</v>
      </c>
      <c r="F98" s="2">
        <v>2</v>
      </c>
      <c r="G98" s="2">
        <v>2</v>
      </c>
      <c r="H98" s="2">
        <v>0</v>
      </c>
      <c r="I98" s="2">
        <v>0</v>
      </c>
      <c r="J98" s="2">
        <v>0</v>
      </c>
      <c r="K98" s="2">
        <v>0</v>
      </c>
      <c r="L98" s="2">
        <v>0</v>
      </c>
      <c r="M98" s="2">
        <v>0</v>
      </c>
      <c r="N98" s="2">
        <v>0</v>
      </c>
      <c r="P98" t="s">
        <v>208</v>
      </c>
      <c r="Q98" s="51">
        <v>0</v>
      </c>
      <c r="R98" s="51">
        <v>0</v>
      </c>
      <c r="S98" s="51">
        <v>0</v>
      </c>
      <c r="T98" s="51">
        <v>1</v>
      </c>
      <c r="U98" s="2">
        <v>0</v>
      </c>
      <c r="V98" s="2">
        <v>1</v>
      </c>
      <c r="W98" s="5">
        <v>45438</v>
      </c>
      <c r="X98" s="5">
        <v>45438</v>
      </c>
      <c r="Y98" s="28">
        <f t="shared" si="2"/>
        <v>0</v>
      </c>
      <c r="Z98" s="2">
        <v>0</v>
      </c>
      <c r="AA98" s="2">
        <v>0</v>
      </c>
      <c r="AB98" s="2">
        <v>0</v>
      </c>
      <c r="AC98" s="2">
        <v>0</v>
      </c>
      <c r="AD98" s="2">
        <v>0</v>
      </c>
      <c r="AE98" s="2">
        <v>0</v>
      </c>
      <c r="AF98" s="2">
        <v>0</v>
      </c>
      <c r="AG98" s="2">
        <v>0</v>
      </c>
      <c r="AH98" s="2">
        <v>0</v>
      </c>
      <c r="AI98" s="2">
        <v>1</v>
      </c>
      <c r="AJ98" s="2" t="s">
        <v>91</v>
      </c>
      <c r="AK98" s="2">
        <v>0</v>
      </c>
      <c r="AL98" s="2">
        <v>0</v>
      </c>
      <c r="AM98" s="2">
        <v>1</v>
      </c>
      <c r="AN98" s="2">
        <v>0</v>
      </c>
      <c r="AO98" s="2">
        <v>0</v>
      </c>
      <c r="AP98" s="2">
        <v>1</v>
      </c>
      <c r="AQ98" s="2">
        <v>1</v>
      </c>
      <c r="AR98" s="2">
        <v>0</v>
      </c>
      <c r="AW98" s="2">
        <v>0</v>
      </c>
      <c r="BA98" s="2">
        <v>0</v>
      </c>
      <c r="BC98" s="2">
        <v>0</v>
      </c>
      <c r="BD98" s="2">
        <f>COUNTIFS(Table2[[#This Row],[Comorbidity present (at least 1)?]], "0",Table2[[#This Row],[Alternative source of infx?]], "1",Table2[[#This Row],[Abx used?]], "1", Table2[[#This Row],[&lt; 3 days defervescence or remained afebrile?]], "1",Table2[[#This Row],[WBC downtrend or remained nrml?]], "1")</f>
        <v>0</v>
      </c>
      <c r="BE98" s="2">
        <f>COUNTIFS(Table2[[#This Row],[&lt; 3 days defervescence or remained afebrile?]], "1",Table2[[#This Row],[WBC downtrend or remained nrml?]], "1")</f>
        <v>1</v>
      </c>
      <c r="BF98" s="2">
        <v>0</v>
      </c>
      <c r="BG98" s="2">
        <v>0</v>
      </c>
      <c r="BH98" s="2">
        <v>0</v>
      </c>
      <c r="BI98" s="2" t="s">
        <v>206</v>
      </c>
    </row>
    <row r="99" spans="1:61">
      <c r="A99" s="2">
        <v>98</v>
      </c>
      <c r="B99" s="5">
        <v>45439</v>
      </c>
      <c r="C99" s="5">
        <v>45445</v>
      </c>
      <c r="D99" s="2">
        <f t="shared" si="4"/>
        <v>6</v>
      </c>
      <c r="E99" s="2">
        <v>75</v>
      </c>
      <c r="F99" s="2">
        <v>2</v>
      </c>
      <c r="G99" s="2">
        <v>3</v>
      </c>
      <c r="H99" s="2">
        <v>1</v>
      </c>
      <c r="I99" s="2">
        <v>0</v>
      </c>
      <c r="J99" s="2">
        <v>0</v>
      </c>
      <c r="K99" s="2">
        <v>0</v>
      </c>
      <c r="L99" s="2">
        <v>0</v>
      </c>
      <c r="M99" s="2">
        <v>0</v>
      </c>
      <c r="N99" s="2">
        <v>1</v>
      </c>
      <c r="O99" s="2" t="s">
        <v>218</v>
      </c>
      <c r="P99" t="s">
        <v>179</v>
      </c>
      <c r="Q99" s="51">
        <v>0</v>
      </c>
      <c r="R99" s="51">
        <v>0</v>
      </c>
      <c r="S99" s="51">
        <v>0</v>
      </c>
      <c r="T99" s="51">
        <v>1</v>
      </c>
      <c r="U99" s="2">
        <v>0</v>
      </c>
      <c r="V99" s="2">
        <v>1</v>
      </c>
      <c r="W99" s="5">
        <v>45439</v>
      </c>
      <c r="X99" s="5">
        <v>45439</v>
      </c>
      <c r="Y99" s="28">
        <f t="shared" si="2"/>
        <v>0</v>
      </c>
      <c r="Z99" s="2">
        <v>0</v>
      </c>
      <c r="AA99" s="2">
        <v>0</v>
      </c>
      <c r="AB99" s="2">
        <v>0</v>
      </c>
      <c r="AC99" s="2">
        <v>0</v>
      </c>
      <c r="AD99" s="2">
        <v>0</v>
      </c>
      <c r="AE99" s="2">
        <v>0</v>
      </c>
      <c r="AF99" s="2">
        <v>0</v>
      </c>
      <c r="AG99" s="2">
        <v>0</v>
      </c>
      <c r="AH99" s="2">
        <v>0</v>
      </c>
      <c r="AI99" s="2">
        <v>1</v>
      </c>
      <c r="AJ99" s="2" t="s">
        <v>91</v>
      </c>
      <c r="AK99" s="2">
        <v>0</v>
      </c>
      <c r="AL99" s="2">
        <v>0</v>
      </c>
      <c r="AM99" s="2">
        <v>1</v>
      </c>
      <c r="AN99" s="2">
        <v>0</v>
      </c>
      <c r="AO99" s="2">
        <v>0</v>
      </c>
      <c r="AP99" s="2">
        <v>1</v>
      </c>
      <c r="AQ99" s="2">
        <v>1</v>
      </c>
      <c r="AR99" s="11">
        <v>1</v>
      </c>
      <c r="AS99" s="5">
        <v>45440</v>
      </c>
      <c r="AT99" s="2">
        <v>0</v>
      </c>
      <c r="AU99" s="2">
        <v>1</v>
      </c>
      <c r="AV99" s="2">
        <f>Table2[[#This Row],[TTE date]]-Table2[[#This Row],[Date initial positive Bcx]]</f>
        <v>1</v>
      </c>
      <c r="AW99" s="2">
        <v>0</v>
      </c>
      <c r="BA99" s="2">
        <v>0</v>
      </c>
      <c r="BC99" s="2">
        <v>1</v>
      </c>
      <c r="BD99" s="2">
        <f>COUNTIFS(Table2[[#This Row],[Comorbidity present (at least 1)?]], "0",Table2[[#This Row],[Alternative source of infx?]], "1",Table2[[#This Row],[Abx used?]], "1", Table2[[#This Row],[&lt; 3 days defervescence or remained afebrile?]], "1",Table2[[#This Row],[WBC downtrend or remained nrml?]], "1")</f>
        <v>0</v>
      </c>
      <c r="BE99" s="2">
        <f>COUNTIFS(Table2[[#This Row],[&lt; 3 days defervescence or remained afebrile?]], "1",Table2[[#This Row],[WBC downtrend or remained nrml?]], "1")</f>
        <v>1</v>
      </c>
      <c r="BF99" s="2">
        <v>0</v>
      </c>
      <c r="BG99" s="2">
        <v>0</v>
      </c>
      <c r="BH99" s="2">
        <v>0</v>
      </c>
      <c r="BI99" s="2" t="s">
        <v>219</v>
      </c>
    </row>
    <row r="100" spans="1:61">
      <c r="A100" s="2">
        <v>99</v>
      </c>
      <c r="B100" s="5">
        <v>45439</v>
      </c>
      <c r="C100" s="5">
        <v>45453</v>
      </c>
      <c r="D100" s="2">
        <f t="shared" si="4"/>
        <v>14</v>
      </c>
      <c r="E100" s="2">
        <v>72</v>
      </c>
      <c r="F100" s="2">
        <v>1</v>
      </c>
      <c r="G100" s="2">
        <v>2</v>
      </c>
      <c r="H100" s="2">
        <v>0</v>
      </c>
      <c r="I100" s="2">
        <v>0</v>
      </c>
      <c r="J100" s="2">
        <v>0</v>
      </c>
      <c r="K100" s="2">
        <v>0</v>
      </c>
      <c r="L100" s="2">
        <v>0</v>
      </c>
      <c r="M100" s="2">
        <v>0</v>
      </c>
      <c r="N100" s="2">
        <v>0</v>
      </c>
      <c r="P100" t="s">
        <v>195</v>
      </c>
      <c r="Q100" s="51">
        <v>0</v>
      </c>
      <c r="R100" s="51">
        <v>0</v>
      </c>
      <c r="S100" s="51">
        <v>0</v>
      </c>
      <c r="T100" s="51">
        <v>1</v>
      </c>
      <c r="U100" s="2">
        <v>0</v>
      </c>
      <c r="V100" s="2">
        <v>1</v>
      </c>
      <c r="W100" s="5">
        <v>45439</v>
      </c>
      <c r="X100" s="5">
        <v>45439</v>
      </c>
      <c r="Y100" s="28">
        <f t="shared" si="2"/>
        <v>0</v>
      </c>
      <c r="Z100" s="2">
        <v>0</v>
      </c>
      <c r="AA100" s="2">
        <v>0</v>
      </c>
      <c r="AB100" s="2">
        <v>0</v>
      </c>
      <c r="AC100" s="2">
        <v>0</v>
      </c>
      <c r="AD100" s="2">
        <v>0</v>
      </c>
      <c r="AE100" s="2">
        <v>0</v>
      </c>
      <c r="AF100" s="2">
        <v>0</v>
      </c>
      <c r="AG100" s="2">
        <v>0</v>
      </c>
      <c r="AH100" s="2">
        <v>0</v>
      </c>
      <c r="AI100" s="2">
        <v>1</v>
      </c>
      <c r="AJ100" s="2" t="s">
        <v>91</v>
      </c>
      <c r="AK100" s="2">
        <v>0</v>
      </c>
      <c r="AL100" s="2">
        <v>0</v>
      </c>
      <c r="AM100" s="2">
        <v>1</v>
      </c>
      <c r="AN100" s="2">
        <v>0</v>
      </c>
      <c r="AO100" s="2">
        <v>0</v>
      </c>
      <c r="AP100" s="2">
        <v>1</v>
      </c>
      <c r="AQ100" s="2">
        <v>1</v>
      </c>
      <c r="AR100" s="2">
        <v>0</v>
      </c>
      <c r="AW100" s="2">
        <v>0</v>
      </c>
      <c r="BA100" s="2">
        <v>0</v>
      </c>
      <c r="BC100" s="2">
        <v>0</v>
      </c>
      <c r="BD100" s="2">
        <f>COUNTIFS(Table2[[#This Row],[Comorbidity present (at least 1)?]], "0",Table2[[#This Row],[Alternative source of infx?]], "1",Table2[[#This Row],[Abx used?]], "1", Table2[[#This Row],[&lt; 3 days defervescence or remained afebrile?]], "1",Table2[[#This Row],[WBC downtrend or remained nrml?]], "1")</f>
        <v>0</v>
      </c>
      <c r="BE100" s="2">
        <f>COUNTIFS(Table2[[#This Row],[&lt; 3 days defervescence or remained afebrile?]], "1",Table2[[#This Row],[WBC downtrend or remained nrml?]], "1")</f>
        <v>1</v>
      </c>
      <c r="BF100" s="2">
        <v>0</v>
      </c>
      <c r="BG100" s="2">
        <v>0</v>
      </c>
      <c r="BH100" s="2">
        <v>0</v>
      </c>
      <c r="BI100" s="2" t="s">
        <v>206</v>
      </c>
    </row>
    <row r="101" spans="1:61">
      <c r="A101" s="2">
        <v>100</v>
      </c>
      <c r="B101" s="5">
        <v>45442</v>
      </c>
      <c r="C101" s="5">
        <v>45443</v>
      </c>
      <c r="D101" s="2">
        <f t="shared" si="4"/>
        <v>1</v>
      </c>
      <c r="E101" s="2">
        <v>39</v>
      </c>
      <c r="F101" s="2">
        <v>1</v>
      </c>
      <c r="G101" s="2">
        <v>3</v>
      </c>
      <c r="H101" s="2">
        <v>0</v>
      </c>
      <c r="I101" s="2">
        <v>0</v>
      </c>
      <c r="J101" s="2">
        <v>0</v>
      </c>
      <c r="K101" s="2">
        <v>0</v>
      </c>
      <c r="L101" s="2">
        <v>0</v>
      </c>
      <c r="M101" s="2">
        <v>0</v>
      </c>
      <c r="N101" s="2">
        <v>0</v>
      </c>
      <c r="P101" t="s">
        <v>179</v>
      </c>
      <c r="Q101" s="51">
        <v>0</v>
      </c>
      <c r="R101" s="51">
        <v>0</v>
      </c>
      <c r="S101" s="51">
        <v>0</v>
      </c>
      <c r="T101" s="51">
        <v>1</v>
      </c>
      <c r="U101" s="2">
        <v>0</v>
      </c>
      <c r="V101" s="2">
        <v>1</v>
      </c>
      <c r="W101" s="5">
        <v>45442</v>
      </c>
      <c r="X101" s="5">
        <v>45442</v>
      </c>
      <c r="Y101" s="28">
        <f t="shared" si="2"/>
        <v>0</v>
      </c>
      <c r="Z101" s="2">
        <v>0</v>
      </c>
      <c r="AA101" s="2">
        <v>0</v>
      </c>
      <c r="AB101" s="2">
        <v>0</v>
      </c>
      <c r="AC101" s="2">
        <v>0</v>
      </c>
      <c r="AD101" s="2">
        <v>0</v>
      </c>
      <c r="AE101" s="2">
        <v>0</v>
      </c>
      <c r="AF101" s="2">
        <v>0</v>
      </c>
      <c r="AG101" s="2">
        <v>0</v>
      </c>
      <c r="AH101" s="2">
        <v>0</v>
      </c>
      <c r="AI101" s="2">
        <v>1</v>
      </c>
      <c r="AJ101" s="2" t="s">
        <v>117</v>
      </c>
      <c r="AK101" s="2">
        <v>0</v>
      </c>
      <c r="AL101" s="2">
        <v>0</v>
      </c>
      <c r="AM101" s="2">
        <v>1</v>
      </c>
      <c r="AN101" s="2">
        <v>0</v>
      </c>
      <c r="AO101" s="2">
        <v>0</v>
      </c>
      <c r="AP101" s="2">
        <v>1</v>
      </c>
      <c r="AQ101" s="2">
        <v>1</v>
      </c>
      <c r="AR101" s="2">
        <v>0</v>
      </c>
      <c r="AW101" s="2">
        <v>0</v>
      </c>
      <c r="BA101" s="2">
        <v>0</v>
      </c>
      <c r="BC101" s="2">
        <v>0</v>
      </c>
      <c r="BD101" s="2">
        <f>COUNTIFS(Table2[[#This Row],[Comorbidity present (at least 1)?]], "0",Table2[[#This Row],[Alternative source of infx?]], "1",Table2[[#This Row],[Abx used?]], "1", Table2[[#This Row],[&lt; 3 days defervescence or remained afebrile?]], "1",Table2[[#This Row],[WBC downtrend or remained nrml?]], "1")</f>
        <v>0</v>
      </c>
      <c r="BE101" s="2">
        <f>COUNTIFS(Table2[[#This Row],[&lt; 3 days defervescence or remained afebrile?]], "1",Table2[[#This Row],[WBC downtrend or remained nrml?]], "1")</f>
        <v>1</v>
      </c>
      <c r="BF101" s="2">
        <v>0</v>
      </c>
      <c r="BG101" s="2">
        <v>0</v>
      </c>
      <c r="BH101" s="2">
        <v>0</v>
      </c>
      <c r="BI101" s="2" t="s">
        <v>206</v>
      </c>
    </row>
    <row r="102" spans="1:61">
      <c r="A102" s="2">
        <v>101</v>
      </c>
      <c r="B102" s="5">
        <v>45384</v>
      </c>
      <c r="C102" s="5">
        <v>45392</v>
      </c>
      <c r="D102" s="2">
        <f t="shared" si="4"/>
        <v>8</v>
      </c>
      <c r="E102" s="2">
        <v>90</v>
      </c>
      <c r="F102" s="2">
        <v>2</v>
      </c>
      <c r="G102" s="2">
        <v>2</v>
      </c>
      <c r="H102" s="2">
        <v>1</v>
      </c>
      <c r="I102" s="2">
        <v>0</v>
      </c>
      <c r="J102" s="2">
        <v>0</v>
      </c>
      <c r="K102" s="2">
        <v>1</v>
      </c>
      <c r="L102" s="2">
        <v>0</v>
      </c>
      <c r="M102" s="2">
        <v>0</v>
      </c>
      <c r="N102" s="2">
        <v>1</v>
      </c>
      <c r="O102" s="2" t="s">
        <v>220</v>
      </c>
      <c r="P102" t="s">
        <v>179</v>
      </c>
      <c r="Q102" s="51">
        <v>0</v>
      </c>
      <c r="R102" s="51">
        <v>0</v>
      </c>
      <c r="S102" s="51">
        <v>0</v>
      </c>
      <c r="T102" s="51">
        <v>1</v>
      </c>
      <c r="U102" s="2">
        <v>0</v>
      </c>
      <c r="V102" s="2">
        <v>1</v>
      </c>
      <c r="W102" s="5">
        <v>45384</v>
      </c>
      <c r="X102" s="5">
        <v>45384</v>
      </c>
      <c r="Y102" s="28">
        <f t="shared" si="2"/>
        <v>0</v>
      </c>
      <c r="Z102" s="2">
        <v>0</v>
      </c>
      <c r="AA102" s="2">
        <v>0</v>
      </c>
      <c r="AB102" s="2">
        <v>0</v>
      </c>
      <c r="AC102" s="2">
        <v>0</v>
      </c>
      <c r="AD102" s="2">
        <v>0</v>
      </c>
      <c r="AE102" s="2">
        <v>0</v>
      </c>
      <c r="AF102" s="2">
        <v>0</v>
      </c>
      <c r="AG102" s="2">
        <v>0</v>
      </c>
      <c r="AH102" s="2">
        <v>0</v>
      </c>
      <c r="AI102" s="2">
        <v>1</v>
      </c>
      <c r="AJ102" s="2" t="s">
        <v>187</v>
      </c>
      <c r="AK102" s="2">
        <v>0</v>
      </c>
      <c r="AL102" s="2">
        <v>0</v>
      </c>
      <c r="AM102" s="2">
        <v>1</v>
      </c>
      <c r="AN102" s="2">
        <v>0</v>
      </c>
      <c r="AO102" s="2">
        <v>0</v>
      </c>
      <c r="AP102" s="2">
        <v>1</v>
      </c>
      <c r="AQ102" s="2">
        <v>1</v>
      </c>
      <c r="AR102" s="2">
        <v>0</v>
      </c>
      <c r="AW102" s="2">
        <v>0</v>
      </c>
      <c r="BA102" s="2">
        <v>0</v>
      </c>
      <c r="BC102" s="2">
        <v>0</v>
      </c>
      <c r="BD102" s="2">
        <f>COUNTIFS(Table2[[#This Row],[Comorbidity present (at least 1)?]], "0",Table2[[#This Row],[Alternative source of infx?]], "1",Table2[[#This Row],[Abx used?]], "1", Table2[[#This Row],[&lt; 3 days defervescence or remained afebrile?]], "1",Table2[[#This Row],[WBC downtrend or remained nrml?]], "1")</f>
        <v>0</v>
      </c>
      <c r="BE102" s="2">
        <f>COUNTIFS(Table2[[#This Row],[&lt; 3 days defervescence or remained afebrile?]], "1",Table2[[#This Row],[WBC downtrend or remained nrml?]], "1")</f>
        <v>1</v>
      </c>
      <c r="BF102" s="2">
        <v>0</v>
      </c>
      <c r="BG102" s="2">
        <v>0</v>
      </c>
      <c r="BH102" s="2">
        <v>1</v>
      </c>
      <c r="BI102" s="2" t="s">
        <v>206</v>
      </c>
    </row>
    <row r="103" spans="1:61">
      <c r="A103" s="2">
        <v>102</v>
      </c>
      <c r="B103" s="5">
        <v>45385</v>
      </c>
      <c r="C103" s="5">
        <v>45389</v>
      </c>
      <c r="D103" s="2">
        <f t="shared" si="4"/>
        <v>4</v>
      </c>
      <c r="E103" s="2">
        <v>92</v>
      </c>
      <c r="F103" s="2">
        <v>2</v>
      </c>
      <c r="G103" s="2">
        <v>2</v>
      </c>
      <c r="H103" s="2">
        <v>0</v>
      </c>
      <c r="I103" s="2">
        <v>0</v>
      </c>
      <c r="J103" s="2">
        <v>0</v>
      </c>
      <c r="K103" s="2">
        <v>0</v>
      </c>
      <c r="L103" s="2">
        <v>0</v>
      </c>
      <c r="M103" s="2">
        <v>0</v>
      </c>
      <c r="N103" s="2">
        <v>0</v>
      </c>
      <c r="P103" t="s">
        <v>179</v>
      </c>
      <c r="Q103" s="51">
        <v>0</v>
      </c>
      <c r="R103" s="51">
        <v>0</v>
      </c>
      <c r="S103" s="51">
        <v>0</v>
      </c>
      <c r="T103" s="51">
        <v>1</v>
      </c>
      <c r="U103" s="2">
        <v>0</v>
      </c>
      <c r="V103" s="2">
        <v>1</v>
      </c>
      <c r="W103" s="5">
        <v>45385</v>
      </c>
      <c r="X103" s="5">
        <v>45385</v>
      </c>
      <c r="Y103" s="28">
        <f t="shared" si="2"/>
        <v>0</v>
      </c>
      <c r="Z103" s="2">
        <v>0</v>
      </c>
      <c r="AA103" s="2">
        <v>0</v>
      </c>
      <c r="AB103" s="2">
        <v>0</v>
      </c>
      <c r="AC103" s="2">
        <v>0</v>
      </c>
      <c r="AD103" s="2">
        <v>0</v>
      </c>
      <c r="AE103" s="2">
        <v>0</v>
      </c>
      <c r="AF103" s="2">
        <v>0</v>
      </c>
      <c r="AG103" s="2">
        <v>0</v>
      </c>
      <c r="AH103" s="2">
        <v>0</v>
      </c>
      <c r="AI103" s="2">
        <v>1</v>
      </c>
      <c r="AJ103" s="2" t="s">
        <v>68</v>
      </c>
      <c r="AK103" s="2">
        <v>0</v>
      </c>
      <c r="AL103" s="2">
        <v>0</v>
      </c>
      <c r="AM103" s="2">
        <v>1</v>
      </c>
      <c r="AN103" s="2">
        <v>0</v>
      </c>
      <c r="AO103" s="2">
        <v>0</v>
      </c>
      <c r="AP103" s="2">
        <v>1</v>
      </c>
      <c r="AQ103" s="2">
        <v>1</v>
      </c>
      <c r="AR103" s="2">
        <v>0</v>
      </c>
      <c r="AW103" s="2">
        <v>0</v>
      </c>
      <c r="BA103" s="2">
        <v>0</v>
      </c>
      <c r="BC103" s="2">
        <v>0</v>
      </c>
      <c r="BD103" s="2">
        <f>COUNTIFS(Table2[[#This Row],[Comorbidity present (at least 1)?]], "0",Table2[[#This Row],[Alternative source of infx?]], "1",Table2[[#This Row],[Abx used?]], "1", Table2[[#This Row],[&lt; 3 days defervescence or remained afebrile?]], "1",Table2[[#This Row],[WBC downtrend or remained nrml?]], "1")</f>
        <v>0</v>
      </c>
      <c r="BE103" s="2">
        <f>COUNTIFS(Table2[[#This Row],[&lt; 3 days defervescence or remained afebrile?]], "1",Table2[[#This Row],[WBC downtrend or remained nrml?]], "1")</f>
        <v>1</v>
      </c>
      <c r="BF103" s="2">
        <v>0</v>
      </c>
      <c r="BG103" s="2">
        <v>0</v>
      </c>
      <c r="BH103" s="2">
        <v>0</v>
      </c>
      <c r="BI103" s="2" t="s">
        <v>206</v>
      </c>
    </row>
    <row r="104" spans="1:61">
      <c r="A104" s="8">
        <v>103</v>
      </c>
      <c r="B104" s="5">
        <v>45390</v>
      </c>
      <c r="C104" s="6">
        <v>45488</v>
      </c>
      <c r="D104" s="11">
        <f t="shared" si="4"/>
        <v>98</v>
      </c>
      <c r="E104" s="2">
        <v>51</v>
      </c>
      <c r="F104" s="2">
        <v>1</v>
      </c>
      <c r="G104" s="2">
        <v>2</v>
      </c>
      <c r="H104" s="2">
        <v>1</v>
      </c>
      <c r="I104" s="2">
        <v>0</v>
      </c>
      <c r="J104" s="2">
        <v>0</v>
      </c>
      <c r="K104" s="2">
        <v>0</v>
      </c>
      <c r="L104" s="2">
        <v>1</v>
      </c>
      <c r="M104" s="2">
        <v>0</v>
      </c>
      <c r="N104" s="2">
        <v>1</v>
      </c>
      <c r="O104" s="2" t="s">
        <v>72</v>
      </c>
      <c r="P104" t="s">
        <v>179</v>
      </c>
      <c r="Q104" s="51">
        <v>0</v>
      </c>
      <c r="R104" s="51">
        <v>0</v>
      </c>
      <c r="S104" s="51">
        <v>0</v>
      </c>
      <c r="T104" s="51">
        <v>1</v>
      </c>
      <c r="U104" s="2">
        <v>0</v>
      </c>
      <c r="V104" s="2">
        <v>1</v>
      </c>
      <c r="W104" s="5">
        <v>45390</v>
      </c>
      <c r="X104" s="5">
        <v>45390</v>
      </c>
      <c r="Y104" s="28">
        <f t="shared" si="2"/>
        <v>0</v>
      </c>
      <c r="Z104" s="2">
        <v>1</v>
      </c>
      <c r="AA104" s="2">
        <v>0</v>
      </c>
      <c r="AB104" s="2">
        <v>0</v>
      </c>
      <c r="AC104" s="2">
        <v>1</v>
      </c>
      <c r="AD104" s="2">
        <v>0</v>
      </c>
      <c r="AE104" s="2">
        <v>0</v>
      </c>
      <c r="AF104" s="2">
        <v>0</v>
      </c>
      <c r="AG104" s="2">
        <v>0</v>
      </c>
      <c r="AH104" s="2">
        <v>0</v>
      </c>
      <c r="AI104" s="2">
        <v>1</v>
      </c>
      <c r="AJ104" s="2" t="s">
        <v>55</v>
      </c>
      <c r="AK104" s="2">
        <v>0</v>
      </c>
      <c r="AL104" s="2">
        <v>0</v>
      </c>
      <c r="AM104" s="2">
        <v>1</v>
      </c>
      <c r="AN104" s="2">
        <v>0</v>
      </c>
      <c r="AO104" s="2">
        <v>0</v>
      </c>
      <c r="AP104" s="2">
        <v>1</v>
      </c>
      <c r="AQ104" s="2">
        <v>1</v>
      </c>
      <c r="AR104" s="11">
        <v>1</v>
      </c>
      <c r="AS104" s="5">
        <v>45391</v>
      </c>
      <c r="AT104" s="2">
        <v>0</v>
      </c>
      <c r="AU104" s="2">
        <v>0</v>
      </c>
      <c r="AV104" s="2">
        <f>Table2[[#This Row],[TTE date]]-Table2[[#This Row],[Date initial positive Bcx]]</f>
        <v>1</v>
      </c>
      <c r="AW104" s="2">
        <v>0</v>
      </c>
      <c r="BA104" s="2">
        <v>0</v>
      </c>
      <c r="BC104" s="2">
        <v>1</v>
      </c>
      <c r="BD104" s="2">
        <f>COUNTIFS(Table2[[#This Row],[Comorbidity present (at least 1)?]], "0",Table2[[#This Row],[Alternative source of infx?]], "1",Table2[[#This Row],[Abx used?]], "1", Table2[[#This Row],[&lt; 3 days defervescence or remained afebrile?]], "1",Table2[[#This Row],[WBC downtrend or remained nrml?]], "1")</f>
        <v>0</v>
      </c>
      <c r="BE104" s="2">
        <f>COUNTIFS(Table2[[#This Row],[&lt; 3 days defervescence or remained afebrile?]], "1",Table2[[#This Row],[WBC downtrend or remained nrml?]], "1")</f>
        <v>1</v>
      </c>
      <c r="BF104" s="2">
        <v>0</v>
      </c>
      <c r="BG104" s="2">
        <v>0</v>
      </c>
      <c r="BH104" s="2">
        <v>0</v>
      </c>
      <c r="BI104" s="2" t="s">
        <v>221</v>
      </c>
    </row>
    <row r="105" spans="1:61">
      <c r="A105" s="2">
        <v>104</v>
      </c>
      <c r="B105" s="5">
        <v>45392</v>
      </c>
      <c r="C105" s="5">
        <v>45394</v>
      </c>
      <c r="D105" s="2">
        <f t="shared" si="4"/>
        <v>2</v>
      </c>
      <c r="E105" s="2">
        <v>32</v>
      </c>
      <c r="F105" s="2">
        <v>1</v>
      </c>
      <c r="G105" s="2">
        <v>2</v>
      </c>
      <c r="H105" s="2">
        <v>0</v>
      </c>
      <c r="I105" s="2">
        <v>0</v>
      </c>
      <c r="J105" s="2">
        <v>0</v>
      </c>
      <c r="K105" s="2">
        <v>0</v>
      </c>
      <c r="L105" s="2">
        <v>0</v>
      </c>
      <c r="M105" s="2">
        <v>0</v>
      </c>
      <c r="N105" s="2">
        <v>0</v>
      </c>
      <c r="P105" t="s">
        <v>179</v>
      </c>
      <c r="Q105" s="51">
        <v>0</v>
      </c>
      <c r="R105" s="51">
        <v>0</v>
      </c>
      <c r="S105" s="51">
        <v>0</v>
      </c>
      <c r="T105" s="51">
        <v>1</v>
      </c>
      <c r="U105" s="2">
        <v>0</v>
      </c>
      <c r="V105" s="2">
        <v>1</v>
      </c>
      <c r="W105" s="5">
        <v>45392</v>
      </c>
      <c r="X105" s="5">
        <v>45392</v>
      </c>
      <c r="Y105" s="28">
        <f t="shared" si="2"/>
        <v>0</v>
      </c>
      <c r="Z105" s="2">
        <v>0</v>
      </c>
      <c r="AA105" s="2">
        <v>0</v>
      </c>
      <c r="AB105" s="2">
        <v>0</v>
      </c>
      <c r="AC105" s="2">
        <v>0</v>
      </c>
      <c r="AD105" s="2">
        <v>0</v>
      </c>
      <c r="AE105" s="2">
        <v>0</v>
      </c>
      <c r="AF105" s="2">
        <v>0</v>
      </c>
      <c r="AG105" s="2">
        <v>0</v>
      </c>
      <c r="AH105" s="2">
        <v>0</v>
      </c>
      <c r="AI105" s="2">
        <v>0</v>
      </c>
      <c r="AK105" s="2">
        <v>0</v>
      </c>
      <c r="AL105" s="2">
        <v>0</v>
      </c>
      <c r="AM105" s="2">
        <v>1</v>
      </c>
      <c r="AN105" s="2">
        <v>0</v>
      </c>
      <c r="AO105" s="2">
        <v>0</v>
      </c>
      <c r="AP105" s="2">
        <v>1</v>
      </c>
      <c r="AQ105" s="2">
        <v>1</v>
      </c>
      <c r="AR105" s="2">
        <v>0</v>
      </c>
      <c r="AW105" s="2">
        <v>0</v>
      </c>
      <c r="BA105" s="2">
        <v>0</v>
      </c>
      <c r="BC105" s="2">
        <v>0</v>
      </c>
      <c r="BD105" s="2">
        <f>COUNTIFS(Table2[[#This Row],[Comorbidity present (at least 1)?]], "0",Table2[[#This Row],[Alternative source of infx?]], "1",Table2[[#This Row],[Abx used?]], "1", Table2[[#This Row],[&lt; 3 days defervescence or remained afebrile?]], "1",Table2[[#This Row],[WBC downtrend or remained nrml?]], "1")</f>
        <v>0</v>
      </c>
      <c r="BE105" s="2">
        <f>COUNTIFS(Table2[[#This Row],[&lt; 3 days defervescence or remained afebrile?]], "1",Table2[[#This Row],[WBC downtrend or remained nrml?]], "1")</f>
        <v>1</v>
      </c>
      <c r="BF105" s="2">
        <v>0</v>
      </c>
      <c r="BG105" s="2">
        <v>0</v>
      </c>
      <c r="BH105" s="2">
        <v>0</v>
      </c>
      <c r="BI105" s="2" t="s">
        <v>206</v>
      </c>
    </row>
    <row r="106" spans="1:61">
      <c r="A106" s="2">
        <v>105</v>
      </c>
      <c r="B106" s="5">
        <v>45395</v>
      </c>
      <c r="C106" s="5">
        <v>45401</v>
      </c>
      <c r="D106" s="2">
        <f t="shared" si="4"/>
        <v>6</v>
      </c>
      <c r="E106" s="2">
        <v>81</v>
      </c>
      <c r="F106" s="2">
        <v>2</v>
      </c>
      <c r="G106" s="2">
        <v>2</v>
      </c>
      <c r="H106" s="2">
        <v>0</v>
      </c>
      <c r="I106" s="2">
        <v>0</v>
      </c>
      <c r="J106" s="2">
        <v>0</v>
      </c>
      <c r="K106" s="2">
        <v>0</v>
      </c>
      <c r="L106" s="2">
        <v>0</v>
      </c>
      <c r="M106" s="2">
        <v>0</v>
      </c>
      <c r="N106" s="2">
        <v>1</v>
      </c>
      <c r="O106" s="2" t="s">
        <v>70</v>
      </c>
      <c r="P106" t="s">
        <v>179</v>
      </c>
      <c r="Q106" s="51">
        <v>0</v>
      </c>
      <c r="R106" s="51">
        <v>0</v>
      </c>
      <c r="S106" s="51">
        <v>0</v>
      </c>
      <c r="T106" s="51">
        <v>1</v>
      </c>
      <c r="U106" s="2">
        <v>0</v>
      </c>
      <c r="V106" s="2">
        <v>1</v>
      </c>
      <c r="W106" s="5">
        <v>45395</v>
      </c>
      <c r="X106" s="5">
        <v>45395</v>
      </c>
      <c r="Y106" s="28">
        <f t="shared" si="2"/>
        <v>0</v>
      </c>
      <c r="Z106" s="2">
        <v>1</v>
      </c>
      <c r="AA106" s="2">
        <v>0</v>
      </c>
      <c r="AB106" s="2">
        <v>0</v>
      </c>
      <c r="AC106" s="2">
        <v>0</v>
      </c>
      <c r="AD106" s="2">
        <v>0</v>
      </c>
      <c r="AE106" s="2">
        <v>0</v>
      </c>
      <c r="AF106" s="2">
        <v>0</v>
      </c>
      <c r="AG106" s="2">
        <v>1</v>
      </c>
      <c r="AH106" s="2">
        <v>0</v>
      </c>
      <c r="AI106" s="2">
        <v>1</v>
      </c>
      <c r="AJ106" s="2" t="s">
        <v>91</v>
      </c>
      <c r="AK106" s="2">
        <v>0</v>
      </c>
      <c r="AL106" s="2">
        <v>0</v>
      </c>
      <c r="AM106" s="2">
        <v>1</v>
      </c>
      <c r="AN106" s="2">
        <v>0</v>
      </c>
      <c r="AO106" s="2">
        <v>0</v>
      </c>
      <c r="AP106" s="2">
        <v>1</v>
      </c>
      <c r="AQ106" s="2">
        <v>1</v>
      </c>
      <c r="AR106" s="2">
        <v>1</v>
      </c>
      <c r="AS106" s="5">
        <v>45399</v>
      </c>
      <c r="AT106" s="2">
        <v>0</v>
      </c>
      <c r="AU106" s="2">
        <v>0</v>
      </c>
      <c r="AV106" s="2">
        <f>Table2[[#This Row],[TTE date]]-Table2[[#This Row],[Date initial positive Bcx]]</f>
        <v>4</v>
      </c>
      <c r="AW106" s="2">
        <v>0</v>
      </c>
      <c r="BA106" s="2">
        <v>0</v>
      </c>
      <c r="BC106" s="2">
        <v>0</v>
      </c>
      <c r="BD106" s="2">
        <f>COUNTIFS(Table2[[#This Row],[Comorbidity present (at least 1)?]], "0",Table2[[#This Row],[Alternative source of infx?]], "1",Table2[[#This Row],[Abx used?]], "1", Table2[[#This Row],[&lt; 3 days defervescence or remained afebrile?]], "1",Table2[[#This Row],[WBC downtrend or remained nrml?]], "1")</f>
        <v>1</v>
      </c>
      <c r="BE106" s="2">
        <f>COUNTIFS(Table2[[#This Row],[&lt; 3 days defervescence or remained afebrile?]], "1",Table2[[#This Row],[WBC downtrend or remained nrml?]], "1")</f>
        <v>1</v>
      </c>
      <c r="BF106" s="2">
        <v>0</v>
      </c>
      <c r="BG106" s="2">
        <v>0</v>
      </c>
      <c r="BH106" s="2">
        <v>0</v>
      </c>
      <c r="BI106" s="2" t="s">
        <v>223</v>
      </c>
    </row>
    <row r="107" spans="1:61">
      <c r="A107" s="2">
        <v>106</v>
      </c>
      <c r="B107" s="5">
        <v>45396</v>
      </c>
      <c r="C107" s="5">
        <v>45412</v>
      </c>
      <c r="D107" s="2">
        <f t="shared" si="4"/>
        <v>16</v>
      </c>
      <c r="E107" s="2">
        <v>66</v>
      </c>
      <c r="F107" s="2">
        <v>1</v>
      </c>
      <c r="G107" s="2">
        <v>2</v>
      </c>
      <c r="H107" s="2">
        <v>0</v>
      </c>
      <c r="I107" s="2">
        <v>0</v>
      </c>
      <c r="J107" s="2">
        <v>0</v>
      </c>
      <c r="K107" s="2">
        <v>0</v>
      </c>
      <c r="L107" s="2">
        <v>0</v>
      </c>
      <c r="M107" s="2">
        <v>0</v>
      </c>
      <c r="N107" s="2">
        <v>0</v>
      </c>
      <c r="P107" t="s">
        <v>215</v>
      </c>
      <c r="Q107" s="51">
        <v>0</v>
      </c>
      <c r="R107" s="51">
        <v>0</v>
      </c>
      <c r="S107" s="51">
        <v>0</v>
      </c>
      <c r="T107" s="51">
        <v>1</v>
      </c>
      <c r="U107" s="2">
        <v>1</v>
      </c>
      <c r="V107" s="2">
        <v>2</v>
      </c>
      <c r="W107" s="5">
        <v>45396</v>
      </c>
      <c r="X107" s="5">
        <v>45397</v>
      </c>
      <c r="Y107" s="28">
        <f t="shared" si="2"/>
        <v>1</v>
      </c>
      <c r="Z107" s="2">
        <v>0</v>
      </c>
      <c r="AA107" s="2">
        <v>0</v>
      </c>
      <c r="AB107" s="2">
        <v>0</v>
      </c>
      <c r="AC107" s="2">
        <v>0</v>
      </c>
      <c r="AD107" s="2">
        <v>0</v>
      </c>
      <c r="AE107" s="2">
        <v>0</v>
      </c>
      <c r="AF107" s="2">
        <v>0</v>
      </c>
      <c r="AG107" s="2">
        <v>0</v>
      </c>
      <c r="AH107" s="2">
        <v>0</v>
      </c>
      <c r="AI107" s="2">
        <v>1</v>
      </c>
      <c r="AJ107" s="2" t="s">
        <v>91</v>
      </c>
      <c r="AK107" s="2">
        <v>0</v>
      </c>
      <c r="AL107" s="2">
        <v>1</v>
      </c>
      <c r="AM107" s="2">
        <v>1</v>
      </c>
      <c r="AN107" s="2">
        <v>1</v>
      </c>
      <c r="AO107" s="2">
        <v>0</v>
      </c>
      <c r="AP107" s="2">
        <v>0</v>
      </c>
      <c r="AQ107" s="2">
        <v>1</v>
      </c>
      <c r="AR107" s="2">
        <v>1</v>
      </c>
      <c r="AS107" s="5">
        <v>45401</v>
      </c>
      <c r="AT107" s="2">
        <v>0</v>
      </c>
      <c r="AU107" s="2">
        <v>0</v>
      </c>
      <c r="AV107" s="2">
        <f>Table2[[#This Row],[TTE date]]-Table2[[#This Row],[Date initial positive Bcx]]</f>
        <v>5</v>
      </c>
      <c r="AW107" s="2">
        <v>0</v>
      </c>
      <c r="BA107" s="2">
        <v>0</v>
      </c>
      <c r="BC107" s="2">
        <v>0</v>
      </c>
      <c r="BD107" s="2">
        <f>COUNTIFS(Table2[[#This Row],[Comorbidity present (at least 1)?]], "0",Table2[[#This Row],[Alternative source of infx?]], "1",Table2[[#This Row],[Abx used?]], "1", Table2[[#This Row],[&lt; 3 days defervescence or remained afebrile?]], "1",Table2[[#This Row],[WBC downtrend or remained nrml?]], "1")</f>
        <v>0</v>
      </c>
      <c r="BE107" s="2">
        <f>COUNTIFS(Table2[[#This Row],[&lt; 3 days defervescence or remained afebrile?]], "1",Table2[[#This Row],[WBC downtrend or remained nrml?]], "1")</f>
        <v>1</v>
      </c>
      <c r="BF107" s="2">
        <v>0</v>
      </c>
      <c r="BG107" s="2">
        <v>0</v>
      </c>
      <c r="BH107" s="2">
        <v>0</v>
      </c>
      <c r="BI107" s="2" t="s">
        <v>206</v>
      </c>
    </row>
    <row r="108" spans="1:61">
      <c r="A108" s="2">
        <v>107</v>
      </c>
      <c r="B108" s="5">
        <v>45398</v>
      </c>
      <c r="C108" s="5">
        <v>45401</v>
      </c>
      <c r="D108" s="2">
        <f t="shared" si="4"/>
        <v>3</v>
      </c>
      <c r="E108" s="2">
        <v>79</v>
      </c>
      <c r="F108" s="2">
        <v>1</v>
      </c>
      <c r="G108" s="2">
        <v>2</v>
      </c>
      <c r="H108" s="2">
        <v>1</v>
      </c>
      <c r="I108" s="2">
        <v>0</v>
      </c>
      <c r="J108" s="2">
        <v>1</v>
      </c>
      <c r="K108" s="2">
        <v>0</v>
      </c>
      <c r="L108" s="2">
        <v>0</v>
      </c>
      <c r="M108" s="2">
        <v>0</v>
      </c>
      <c r="N108" s="2">
        <v>1</v>
      </c>
      <c r="O108" s="2" t="s">
        <v>224</v>
      </c>
      <c r="P108" t="s">
        <v>179</v>
      </c>
      <c r="Q108" s="51">
        <v>0</v>
      </c>
      <c r="R108" s="51">
        <v>0</v>
      </c>
      <c r="S108" s="51">
        <v>0</v>
      </c>
      <c r="T108" s="51">
        <v>1</v>
      </c>
      <c r="U108" s="2">
        <v>0</v>
      </c>
      <c r="V108" s="2">
        <v>1</v>
      </c>
      <c r="W108" s="5">
        <v>45398</v>
      </c>
      <c r="X108" s="5">
        <v>45398</v>
      </c>
      <c r="Y108" s="28">
        <f t="shared" si="2"/>
        <v>0</v>
      </c>
      <c r="Z108" s="2">
        <v>0</v>
      </c>
      <c r="AA108" s="2">
        <v>0</v>
      </c>
      <c r="AB108" s="2">
        <v>0</v>
      </c>
      <c r="AC108" s="2">
        <v>0</v>
      </c>
      <c r="AD108" s="2">
        <v>0</v>
      </c>
      <c r="AE108" s="2">
        <v>0</v>
      </c>
      <c r="AF108" s="2">
        <v>0</v>
      </c>
      <c r="AG108" s="2">
        <v>0</v>
      </c>
      <c r="AH108" s="2">
        <v>0</v>
      </c>
      <c r="AI108" s="2">
        <v>1</v>
      </c>
      <c r="AJ108" s="2" t="s">
        <v>117</v>
      </c>
      <c r="AK108" s="2">
        <v>0</v>
      </c>
      <c r="AL108" s="2">
        <v>0</v>
      </c>
      <c r="AM108" s="2">
        <v>1</v>
      </c>
      <c r="AN108" s="2">
        <v>0</v>
      </c>
      <c r="AO108" s="2">
        <v>0</v>
      </c>
      <c r="AP108" s="2">
        <v>1</v>
      </c>
      <c r="AQ108" s="2">
        <v>1</v>
      </c>
      <c r="AR108" s="11">
        <v>1</v>
      </c>
      <c r="AS108" s="5">
        <v>45400</v>
      </c>
      <c r="AT108" s="2">
        <v>0</v>
      </c>
      <c r="AU108" s="2">
        <v>0</v>
      </c>
      <c r="AV108" s="2">
        <f>Table2[[#This Row],[TTE date]]-Table2[[#This Row],[Date initial positive Bcx]]</f>
        <v>2</v>
      </c>
      <c r="AW108" s="2">
        <v>0</v>
      </c>
      <c r="BA108" s="2">
        <v>0</v>
      </c>
      <c r="BC108" s="2">
        <v>0</v>
      </c>
      <c r="BD108" s="2">
        <f>COUNTIFS(Table2[[#This Row],[Comorbidity present (at least 1)?]], "0",Table2[[#This Row],[Alternative source of infx?]], "1",Table2[[#This Row],[Abx used?]], "1", Table2[[#This Row],[&lt; 3 days defervescence or remained afebrile?]], "1",Table2[[#This Row],[WBC downtrend or remained nrml?]], "1")</f>
        <v>0</v>
      </c>
      <c r="BE108" s="2">
        <f>COUNTIFS(Table2[[#This Row],[&lt; 3 days defervescence or remained afebrile?]], "1",Table2[[#This Row],[WBC downtrend or remained nrml?]], "1")</f>
        <v>1</v>
      </c>
      <c r="BF108" s="2">
        <v>0</v>
      </c>
      <c r="BG108" s="2">
        <v>0</v>
      </c>
      <c r="BH108" s="2">
        <v>1</v>
      </c>
      <c r="BI108" s="2" t="s">
        <v>206</v>
      </c>
    </row>
    <row r="109" spans="1:61">
      <c r="A109" s="2">
        <v>108</v>
      </c>
      <c r="B109" s="5">
        <v>45398</v>
      </c>
      <c r="C109" s="5">
        <v>45412</v>
      </c>
      <c r="D109" s="2">
        <f t="shared" si="4"/>
        <v>14</v>
      </c>
      <c r="E109" s="2">
        <v>78</v>
      </c>
      <c r="F109" s="2">
        <v>2</v>
      </c>
      <c r="G109" s="2">
        <v>2</v>
      </c>
      <c r="H109" s="2">
        <v>1</v>
      </c>
      <c r="I109" s="2">
        <v>0</v>
      </c>
      <c r="J109" s="2">
        <v>1</v>
      </c>
      <c r="K109" s="2">
        <v>0</v>
      </c>
      <c r="L109" s="2">
        <v>0</v>
      </c>
      <c r="M109" s="2">
        <v>0</v>
      </c>
      <c r="N109" s="2">
        <v>1</v>
      </c>
      <c r="O109" s="2" t="s">
        <v>225</v>
      </c>
      <c r="P109" t="s">
        <v>179</v>
      </c>
      <c r="Q109" s="51">
        <v>0</v>
      </c>
      <c r="R109" s="51">
        <v>0</v>
      </c>
      <c r="S109" s="51">
        <v>0</v>
      </c>
      <c r="T109" s="51">
        <v>1</v>
      </c>
      <c r="U109" s="2">
        <v>1</v>
      </c>
      <c r="V109" s="2">
        <v>4</v>
      </c>
      <c r="W109" s="5">
        <v>45398</v>
      </c>
      <c r="X109" s="5">
        <v>45404</v>
      </c>
      <c r="Y109" s="28">
        <f t="shared" si="2"/>
        <v>6</v>
      </c>
      <c r="Z109" s="2">
        <v>0</v>
      </c>
      <c r="AA109" s="2">
        <v>0</v>
      </c>
      <c r="AB109" s="2">
        <v>0</v>
      </c>
      <c r="AC109" s="2">
        <v>0</v>
      </c>
      <c r="AD109" s="2">
        <v>0</v>
      </c>
      <c r="AE109" s="2">
        <v>0</v>
      </c>
      <c r="AF109" s="2">
        <v>0</v>
      </c>
      <c r="AG109" s="2">
        <v>0</v>
      </c>
      <c r="AH109" s="2">
        <v>0</v>
      </c>
      <c r="AI109" s="2">
        <v>1</v>
      </c>
      <c r="AJ109" s="2" t="s">
        <v>91</v>
      </c>
      <c r="AK109" s="2">
        <v>1</v>
      </c>
      <c r="AL109" s="2">
        <v>1</v>
      </c>
      <c r="AM109" s="2">
        <v>1</v>
      </c>
      <c r="AN109" s="2">
        <v>1</v>
      </c>
      <c r="AO109" s="2">
        <v>0</v>
      </c>
      <c r="AP109" s="2">
        <v>0</v>
      </c>
      <c r="AQ109" s="2">
        <v>1</v>
      </c>
      <c r="AR109" s="2">
        <v>1</v>
      </c>
      <c r="AS109" s="5">
        <v>45399</v>
      </c>
      <c r="AT109" s="2">
        <v>0</v>
      </c>
      <c r="AU109" s="2">
        <v>1</v>
      </c>
      <c r="AV109" s="2">
        <f>Table2[[#This Row],[TTE date]]-Table2[[#This Row],[Date initial positive Bcx]]</f>
        <v>1</v>
      </c>
      <c r="AW109" s="2">
        <v>1</v>
      </c>
      <c r="AX109" s="5">
        <v>45404</v>
      </c>
      <c r="AY109" s="2">
        <v>1</v>
      </c>
      <c r="AZ109" s="2">
        <v>1</v>
      </c>
      <c r="BA109" s="2">
        <v>1</v>
      </c>
      <c r="BB109" s="2">
        <f>Table2[[#This Row],[TEE date]]-Table2[[#This Row],[Date initial positive Bcx]]</f>
        <v>6</v>
      </c>
      <c r="BC109" s="2">
        <v>0</v>
      </c>
      <c r="BD109" s="2">
        <f>COUNTIFS(Table2[[#This Row],[Comorbidity present (at least 1)?]], "0",Table2[[#This Row],[Alternative source of infx?]], "1",Table2[[#This Row],[Abx used?]], "1", Table2[[#This Row],[&lt; 3 days defervescence or remained afebrile?]], "1",Table2[[#This Row],[WBC downtrend or remained nrml?]], "1")</f>
        <v>0</v>
      </c>
      <c r="BE109" s="2">
        <f>COUNTIFS(Table2[[#This Row],[&lt; 3 days defervescence or remained afebrile?]], "1",Table2[[#This Row],[WBC downtrend or remained nrml?]], "1")</f>
        <v>1</v>
      </c>
      <c r="BF109" s="2">
        <v>1</v>
      </c>
      <c r="BG109" s="2">
        <v>1</v>
      </c>
      <c r="BH109" s="2">
        <v>1</v>
      </c>
      <c r="BI109" s="2" t="s">
        <v>226</v>
      </c>
    </row>
    <row r="110" spans="1:61">
      <c r="A110" s="2">
        <v>109</v>
      </c>
      <c r="B110" s="5">
        <v>45365</v>
      </c>
      <c r="C110" s="5">
        <v>45420</v>
      </c>
      <c r="D110" s="2">
        <f t="shared" si="4"/>
        <v>55</v>
      </c>
      <c r="E110" s="2">
        <v>38</v>
      </c>
      <c r="F110" s="2">
        <v>1</v>
      </c>
      <c r="G110" s="2">
        <v>2</v>
      </c>
      <c r="H110" s="2">
        <v>0</v>
      </c>
      <c r="I110" s="2">
        <v>0</v>
      </c>
      <c r="J110" s="2">
        <v>0</v>
      </c>
      <c r="K110" s="2">
        <v>0</v>
      </c>
      <c r="L110" s="2">
        <v>0</v>
      </c>
      <c r="M110" s="2">
        <v>0</v>
      </c>
      <c r="N110" s="2">
        <v>0</v>
      </c>
      <c r="P110" t="s">
        <v>179</v>
      </c>
      <c r="Q110" s="51">
        <v>0</v>
      </c>
      <c r="R110" s="51">
        <v>0</v>
      </c>
      <c r="S110" s="51">
        <v>0</v>
      </c>
      <c r="T110" s="51">
        <v>1</v>
      </c>
      <c r="U110" s="2">
        <v>0</v>
      </c>
      <c r="V110" s="2">
        <v>1</v>
      </c>
      <c r="W110" s="5">
        <v>45400</v>
      </c>
      <c r="X110" s="5">
        <v>45400</v>
      </c>
      <c r="Y110" s="28">
        <f t="shared" si="2"/>
        <v>0</v>
      </c>
      <c r="Z110" s="2">
        <v>0</v>
      </c>
      <c r="AA110" s="2">
        <v>0</v>
      </c>
      <c r="AB110" s="2">
        <v>0</v>
      </c>
      <c r="AC110" s="2">
        <v>0</v>
      </c>
      <c r="AD110" s="2">
        <v>0</v>
      </c>
      <c r="AE110" s="2">
        <v>0</v>
      </c>
      <c r="AF110" s="2">
        <v>0</v>
      </c>
      <c r="AG110" s="2">
        <v>0</v>
      </c>
      <c r="AH110" s="2">
        <v>0</v>
      </c>
      <c r="AI110" s="2">
        <v>1</v>
      </c>
      <c r="AJ110" s="2" t="s">
        <v>91</v>
      </c>
      <c r="AK110" s="2">
        <v>0</v>
      </c>
      <c r="AL110" s="2">
        <v>1</v>
      </c>
      <c r="AM110" s="2">
        <v>1</v>
      </c>
      <c r="AN110" s="2">
        <v>1</v>
      </c>
      <c r="AO110" s="2">
        <v>0</v>
      </c>
      <c r="AP110" s="2">
        <v>0</v>
      </c>
      <c r="AQ110" s="2">
        <v>1</v>
      </c>
      <c r="AR110" s="2">
        <v>0</v>
      </c>
      <c r="AW110" s="2">
        <v>0</v>
      </c>
      <c r="BA110" s="2">
        <v>0</v>
      </c>
      <c r="BC110" s="2">
        <v>1</v>
      </c>
      <c r="BD110" s="2">
        <f>COUNTIFS(Table2[[#This Row],[Comorbidity present (at least 1)?]], "0",Table2[[#This Row],[Alternative source of infx?]], "1",Table2[[#This Row],[Abx used?]], "1", Table2[[#This Row],[&lt; 3 days defervescence or remained afebrile?]], "1",Table2[[#This Row],[WBC downtrend or remained nrml?]], "1")</f>
        <v>0</v>
      </c>
      <c r="BE110" s="2">
        <f>COUNTIFS(Table2[[#This Row],[&lt; 3 days defervescence or remained afebrile?]], "1",Table2[[#This Row],[WBC downtrend or remained nrml?]], "1")</f>
        <v>1</v>
      </c>
      <c r="BF110" s="2">
        <v>0</v>
      </c>
      <c r="BG110" s="2">
        <v>0</v>
      </c>
      <c r="BH110" s="2">
        <v>0</v>
      </c>
      <c r="BI110" s="2" t="s">
        <v>227</v>
      </c>
    </row>
    <row r="111" spans="1:61">
      <c r="A111" s="8">
        <v>110</v>
      </c>
      <c r="B111" s="5">
        <v>45402</v>
      </c>
      <c r="C111" s="6">
        <v>45408</v>
      </c>
      <c r="D111" s="2">
        <f t="shared" si="4"/>
        <v>6</v>
      </c>
      <c r="E111" s="2">
        <v>86</v>
      </c>
      <c r="F111" s="2">
        <v>2</v>
      </c>
      <c r="G111" s="2">
        <v>2</v>
      </c>
      <c r="H111" s="2">
        <v>0</v>
      </c>
      <c r="I111" s="2">
        <v>0</v>
      </c>
      <c r="J111" s="2">
        <v>0</v>
      </c>
      <c r="K111" s="2">
        <v>0</v>
      </c>
      <c r="L111" s="2">
        <v>0</v>
      </c>
      <c r="M111" s="2">
        <v>0</v>
      </c>
      <c r="N111" s="2">
        <v>0</v>
      </c>
      <c r="P111" t="s">
        <v>195</v>
      </c>
      <c r="Q111" s="51">
        <v>0</v>
      </c>
      <c r="R111" s="51">
        <v>0</v>
      </c>
      <c r="S111" s="51">
        <v>0</v>
      </c>
      <c r="T111" s="51">
        <v>1</v>
      </c>
      <c r="U111" s="2">
        <v>0</v>
      </c>
      <c r="V111" s="2">
        <v>1</v>
      </c>
      <c r="W111" s="5">
        <v>45402</v>
      </c>
      <c r="X111" s="5">
        <v>45402</v>
      </c>
      <c r="Y111" s="28">
        <f t="shared" si="2"/>
        <v>0</v>
      </c>
      <c r="Z111" s="2">
        <v>0</v>
      </c>
      <c r="AA111" s="2">
        <v>0</v>
      </c>
      <c r="AB111" s="2">
        <v>0</v>
      </c>
      <c r="AC111" s="2">
        <v>0</v>
      </c>
      <c r="AD111" s="2">
        <v>0</v>
      </c>
      <c r="AE111" s="2">
        <v>0</v>
      </c>
      <c r="AF111" s="2">
        <v>0</v>
      </c>
      <c r="AG111" s="2">
        <v>0</v>
      </c>
      <c r="AH111" s="2">
        <v>0</v>
      </c>
      <c r="AI111" s="2">
        <v>1</v>
      </c>
      <c r="AJ111" s="2" t="s">
        <v>91</v>
      </c>
      <c r="AK111" s="2">
        <v>0</v>
      </c>
      <c r="AL111" s="2">
        <v>1</v>
      </c>
      <c r="AM111" s="2">
        <v>1</v>
      </c>
      <c r="AN111" s="2">
        <v>1</v>
      </c>
      <c r="AO111" s="2">
        <v>0</v>
      </c>
      <c r="AP111" s="2">
        <v>0</v>
      </c>
      <c r="AQ111" s="2">
        <v>1</v>
      </c>
      <c r="AR111" s="2">
        <v>0</v>
      </c>
      <c r="AW111" s="2">
        <v>0</v>
      </c>
      <c r="BA111" s="2">
        <v>0</v>
      </c>
      <c r="BC111" s="2">
        <v>0</v>
      </c>
      <c r="BD111" s="2">
        <f>COUNTIFS(Table2[[#This Row],[Comorbidity present (at least 1)?]], "0",Table2[[#This Row],[Alternative source of infx?]], "1",Table2[[#This Row],[Abx used?]], "1", Table2[[#This Row],[&lt; 3 days defervescence or remained afebrile?]], "1",Table2[[#This Row],[WBC downtrend or remained nrml?]], "1")</f>
        <v>0</v>
      </c>
      <c r="BE111" s="2">
        <f>COUNTIFS(Table2[[#This Row],[&lt; 3 days defervescence or remained afebrile?]], "1",Table2[[#This Row],[WBC downtrend or remained nrml?]], "1")</f>
        <v>1</v>
      </c>
      <c r="BF111" s="2">
        <v>0</v>
      </c>
      <c r="BG111" s="2">
        <v>0</v>
      </c>
      <c r="BH111" s="2">
        <v>0</v>
      </c>
      <c r="BI111" s="2" t="s">
        <v>206</v>
      </c>
    </row>
    <row r="112" spans="1:61">
      <c r="A112" s="2">
        <v>111</v>
      </c>
      <c r="B112" s="5">
        <v>45405</v>
      </c>
      <c r="C112" s="5">
        <v>45413</v>
      </c>
      <c r="D112" s="2">
        <f t="shared" si="4"/>
        <v>8</v>
      </c>
      <c r="E112" s="2">
        <v>58</v>
      </c>
      <c r="F112" s="2">
        <v>2</v>
      </c>
      <c r="G112" s="2">
        <v>2</v>
      </c>
      <c r="H112" s="2">
        <v>1</v>
      </c>
      <c r="I112" s="2">
        <v>0</v>
      </c>
      <c r="J112" s="2">
        <v>0</v>
      </c>
      <c r="K112" s="2">
        <v>0</v>
      </c>
      <c r="L112" s="2">
        <v>0</v>
      </c>
      <c r="M112" s="2">
        <v>0</v>
      </c>
      <c r="N112" s="2">
        <v>1</v>
      </c>
      <c r="O112" s="2" t="s">
        <v>166</v>
      </c>
      <c r="P112" t="s">
        <v>215</v>
      </c>
      <c r="Q112" s="51">
        <v>0</v>
      </c>
      <c r="R112" s="51">
        <v>0</v>
      </c>
      <c r="S112" s="51">
        <v>0</v>
      </c>
      <c r="T112" s="51">
        <v>1</v>
      </c>
      <c r="U112" s="2">
        <v>0</v>
      </c>
      <c r="V112" s="2">
        <v>1</v>
      </c>
      <c r="W112" s="5">
        <v>45405</v>
      </c>
      <c r="X112" s="5">
        <v>45405</v>
      </c>
      <c r="Y112" s="28">
        <f t="shared" si="2"/>
        <v>0</v>
      </c>
      <c r="Z112" s="2">
        <v>0</v>
      </c>
      <c r="AA112" s="2">
        <v>0</v>
      </c>
      <c r="AB112" s="2">
        <v>0</v>
      </c>
      <c r="AC112" s="2">
        <v>0</v>
      </c>
      <c r="AD112" s="2">
        <v>0</v>
      </c>
      <c r="AE112" s="2">
        <v>0</v>
      </c>
      <c r="AF112" s="2">
        <v>0</v>
      </c>
      <c r="AG112" s="2">
        <v>0</v>
      </c>
      <c r="AH112" s="2">
        <v>0</v>
      </c>
      <c r="AI112" s="2">
        <v>1</v>
      </c>
      <c r="AJ112" s="2" t="s">
        <v>91</v>
      </c>
      <c r="AK112" s="2">
        <v>0</v>
      </c>
      <c r="AL112" s="2">
        <v>0</v>
      </c>
      <c r="AM112" s="2">
        <v>1</v>
      </c>
      <c r="AN112" s="2">
        <v>0</v>
      </c>
      <c r="AO112" s="2">
        <v>0</v>
      </c>
      <c r="AP112" s="2">
        <v>1</v>
      </c>
      <c r="AQ112" s="2">
        <v>1</v>
      </c>
      <c r="AR112" s="2">
        <v>0</v>
      </c>
      <c r="AW112" s="2">
        <v>0</v>
      </c>
      <c r="BA112" s="2">
        <v>0</v>
      </c>
      <c r="BC112" s="2">
        <v>0</v>
      </c>
      <c r="BD112" s="2">
        <f>COUNTIFS(Table2[[#This Row],[Comorbidity present (at least 1)?]], "0",Table2[[#This Row],[Alternative source of infx?]], "1",Table2[[#This Row],[Abx used?]], "1", Table2[[#This Row],[&lt; 3 days defervescence or remained afebrile?]], "1",Table2[[#This Row],[WBC downtrend or remained nrml?]], "1")</f>
        <v>0</v>
      </c>
      <c r="BE112" s="2">
        <f>COUNTIFS(Table2[[#This Row],[&lt; 3 days defervescence or remained afebrile?]], "1",Table2[[#This Row],[WBC downtrend or remained nrml?]], "1")</f>
        <v>1</v>
      </c>
      <c r="BF112" s="2">
        <v>0</v>
      </c>
      <c r="BG112" s="2">
        <v>0</v>
      </c>
      <c r="BH112" s="2">
        <v>0</v>
      </c>
      <c r="BI112" s="2" t="s">
        <v>206</v>
      </c>
    </row>
    <row r="113" spans="1:61">
      <c r="A113" s="2">
        <v>112</v>
      </c>
      <c r="B113" s="5">
        <v>45406</v>
      </c>
      <c r="C113" s="5">
        <v>45412</v>
      </c>
      <c r="D113" s="2">
        <f t="shared" si="4"/>
        <v>6</v>
      </c>
      <c r="E113" s="2">
        <v>28</v>
      </c>
      <c r="F113" s="2">
        <v>1</v>
      </c>
      <c r="G113" s="2">
        <v>2</v>
      </c>
      <c r="H113" s="2">
        <v>0</v>
      </c>
      <c r="I113" s="2">
        <v>0</v>
      </c>
      <c r="J113" s="2">
        <v>0</v>
      </c>
      <c r="K113" s="2">
        <v>0</v>
      </c>
      <c r="L113" s="2">
        <v>0</v>
      </c>
      <c r="M113" s="2">
        <v>0</v>
      </c>
      <c r="N113" s="2">
        <v>0</v>
      </c>
      <c r="P113" t="s">
        <v>208</v>
      </c>
      <c r="Q113" s="51">
        <v>0</v>
      </c>
      <c r="R113" s="51">
        <v>0</v>
      </c>
      <c r="S113" s="51">
        <v>0</v>
      </c>
      <c r="T113" s="51">
        <v>1</v>
      </c>
      <c r="U113" s="2">
        <v>0</v>
      </c>
      <c r="V113" s="2">
        <v>1</v>
      </c>
      <c r="W113" s="5">
        <v>45406</v>
      </c>
      <c r="X113" s="5">
        <v>45406</v>
      </c>
      <c r="Y113" s="28">
        <f t="shared" si="2"/>
        <v>0</v>
      </c>
      <c r="Z113" s="2">
        <v>0</v>
      </c>
      <c r="AA113" s="2">
        <v>0</v>
      </c>
      <c r="AB113" s="2">
        <v>0</v>
      </c>
      <c r="AC113" s="2">
        <v>0</v>
      </c>
      <c r="AD113" s="2">
        <v>0</v>
      </c>
      <c r="AE113" s="2">
        <v>0</v>
      </c>
      <c r="AF113" s="2">
        <v>0</v>
      </c>
      <c r="AG113" s="2">
        <v>0</v>
      </c>
      <c r="AH113" s="2">
        <v>0</v>
      </c>
      <c r="AI113" s="2">
        <v>1</v>
      </c>
      <c r="AJ113" s="2" t="s">
        <v>91</v>
      </c>
      <c r="AK113" s="2">
        <v>0</v>
      </c>
      <c r="AL113" s="2">
        <v>0</v>
      </c>
      <c r="AM113" s="2">
        <v>1</v>
      </c>
      <c r="AN113" s="2">
        <v>0</v>
      </c>
      <c r="AO113" s="2">
        <v>0</v>
      </c>
      <c r="AP113" s="2">
        <v>1</v>
      </c>
      <c r="AQ113" s="2">
        <v>1</v>
      </c>
      <c r="AR113" s="2">
        <v>0</v>
      </c>
      <c r="AW113" s="2">
        <v>0</v>
      </c>
      <c r="BA113" s="2">
        <v>0</v>
      </c>
      <c r="BC113" s="2">
        <v>0</v>
      </c>
      <c r="BD113" s="2">
        <f>COUNTIFS(Table2[[#This Row],[Comorbidity present (at least 1)?]], "0",Table2[[#This Row],[Alternative source of infx?]], "1",Table2[[#This Row],[Abx used?]], "1", Table2[[#This Row],[&lt; 3 days defervescence or remained afebrile?]], "1",Table2[[#This Row],[WBC downtrend or remained nrml?]], "1")</f>
        <v>0</v>
      </c>
      <c r="BE113" s="2">
        <f>COUNTIFS(Table2[[#This Row],[&lt; 3 days defervescence or remained afebrile?]], "1",Table2[[#This Row],[WBC downtrend or remained nrml?]], "1")</f>
        <v>1</v>
      </c>
      <c r="BF113" s="2">
        <v>0</v>
      </c>
      <c r="BG113" s="2">
        <v>0</v>
      </c>
      <c r="BH113" s="2">
        <v>0</v>
      </c>
      <c r="BI113" s="2" t="s">
        <v>206</v>
      </c>
    </row>
    <row r="114" spans="1:61">
      <c r="A114" s="2">
        <v>113</v>
      </c>
      <c r="B114" s="5">
        <v>45407</v>
      </c>
      <c r="C114" s="5">
        <v>45431</v>
      </c>
      <c r="D114" s="2">
        <f t="shared" si="4"/>
        <v>24</v>
      </c>
      <c r="E114" s="2">
        <v>89</v>
      </c>
      <c r="F114" s="2">
        <v>2</v>
      </c>
      <c r="G114" s="2">
        <v>3</v>
      </c>
      <c r="H114" s="2">
        <v>0</v>
      </c>
      <c r="I114" s="2">
        <v>0</v>
      </c>
      <c r="J114" s="2">
        <v>0</v>
      </c>
      <c r="K114" s="2">
        <v>0</v>
      </c>
      <c r="L114" s="2">
        <v>0</v>
      </c>
      <c r="M114" s="2">
        <v>0</v>
      </c>
      <c r="N114" s="2">
        <v>0</v>
      </c>
      <c r="P114" t="s">
        <v>195</v>
      </c>
      <c r="Q114" s="51">
        <v>0</v>
      </c>
      <c r="R114" s="51">
        <v>0</v>
      </c>
      <c r="S114" s="51">
        <v>0</v>
      </c>
      <c r="T114" s="51">
        <v>1</v>
      </c>
      <c r="U114" s="2">
        <v>0</v>
      </c>
      <c r="V114" s="2">
        <v>1</v>
      </c>
      <c r="W114" s="5">
        <v>45407</v>
      </c>
      <c r="X114" s="5">
        <v>45407</v>
      </c>
      <c r="Y114" s="28">
        <f t="shared" si="2"/>
        <v>0</v>
      </c>
      <c r="Z114" s="2">
        <v>0</v>
      </c>
      <c r="AA114" s="2">
        <v>0</v>
      </c>
      <c r="AB114" s="2">
        <v>0</v>
      </c>
      <c r="AC114" s="2">
        <v>0</v>
      </c>
      <c r="AD114" s="2">
        <v>0</v>
      </c>
      <c r="AE114" s="2">
        <v>0</v>
      </c>
      <c r="AF114" s="2">
        <v>0</v>
      </c>
      <c r="AG114" s="2">
        <v>0</v>
      </c>
      <c r="AH114" s="2">
        <v>0</v>
      </c>
      <c r="AI114" s="2">
        <v>1</v>
      </c>
      <c r="AJ114" s="2" t="s">
        <v>217</v>
      </c>
      <c r="AK114" s="2">
        <v>0</v>
      </c>
      <c r="AL114" s="2">
        <v>0</v>
      </c>
      <c r="AM114" s="2">
        <v>1</v>
      </c>
      <c r="AN114" s="2">
        <v>0</v>
      </c>
      <c r="AO114" s="2">
        <v>0</v>
      </c>
      <c r="AP114" s="2">
        <v>1</v>
      </c>
      <c r="AQ114" s="2">
        <v>1</v>
      </c>
      <c r="AR114" s="11">
        <v>1</v>
      </c>
      <c r="AS114" s="5">
        <v>45419</v>
      </c>
      <c r="AT114" s="2">
        <v>0</v>
      </c>
      <c r="AU114" s="2">
        <v>1</v>
      </c>
      <c r="AV114" s="2">
        <f>Table2[[#This Row],[TTE date]]-Table2[[#This Row],[Date initial positive Bcx]]</f>
        <v>12</v>
      </c>
      <c r="AW114" s="2">
        <v>0</v>
      </c>
      <c r="BA114" s="2">
        <v>0</v>
      </c>
      <c r="BC114" s="2">
        <v>0</v>
      </c>
      <c r="BD114" s="2">
        <f>COUNTIFS(Table2[[#This Row],[Comorbidity present (at least 1)?]], "0",Table2[[#This Row],[Alternative source of infx?]], "1",Table2[[#This Row],[Abx used?]], "1", Table2[[#This Row],[&lt; 3 days defervescence or remained afebrile?]], "1",Table2[[#This Row],[WBC downtrend or remained nrml?]], "1")</f>
        <v>0</v>
      </c>
      <c r="BE114" s="2">
        <f>COUNTIFS(Table2[[#This Row],[&lt; 3 days defervescence or remained afebrile?]], "1",Table2[[#This Row],[WBC downtrend or remained nrml?]], "1")</f>
        <v>1</v>
      </c>
      <c r="BF114" s="2">
        <v>0</v>
      </c>
      <c r="BG114" s="2">
        <v>0</v>
      </c>
      <c r="BH114" s="2">
        <v>0</v>
      </c>
      <c r="BI114" s="2" t="s">
        <v>228</v>
      </c>
    </row>
    <row r="115" spans="1:61">
      <c r="A115" s="8">
        <v>114</v>
      </c>
      <c r="B115" s="5">
        <v>45408</v>
      </c>
      <c r="C115" s="6">
        <v>45429</v>
      </c>
      <c r="D115" s="2">
        <f t="shared" si="4"/>
        <v>21</v>
      </c>
      <c r="E115" s="2">
        <v>88</v>
      </c>
      <c r="F115" s="2">
        <v>2</v>
      </c>
      <c r="G115" s="2">
        <v>2</v>
      </c>
      <c r="H115" s="2">
        <v>1</v>
      </c>
      <c r="I115" s="2">
        <v>0</v>
      </c>
      <c r="J115" s="2">
        <v>0</v>
      </c>
      <c r="K115" s="2">
        <v>1</v>
      </c>
      <c r="L115" s="2">
        <v>0</v>
      </c>
      <c r="M115" s="2">
        <v>0</v>
      </c>
      <c r="N115" s="2">
        <v>1</v>
      </c>
      <c r="O115" s="2" t="s">
        <v>181</v>
      </c>
      <c r="P115" t="s">
        <v>179</v>
      </c>
      <c r="Q115" s="51">
        <v>0</v>
      </c>
      <c r="R115" s="51">
        <v>0</v>
      </c>
      <c r="S115" s="51">
        <v>0</v>
      </c>
      <c r="T115" s="51">
        <v>1</v>
      </c>
      <c r="U115" s="2">
        <v>0</v>
      </c>
      <c r="V115" s="2">
        <v>1</v>
      </c>
      <c r="W115" s="5">
        <v>45408</v>
      </c>
      <c r="X115" s="5">
        <v>45408</v>
      </c>
      <c r="Y115" s="28">
        <f t="shared" si="2"/>
        <v>0</v>
      </c>
      <c r="Z115" s="2">
        <v>0</v>
      </c>
      <c r="AA115" s="2">
        <v>0</v>
      </c>
      <c r="AB115" s="2">
        <v>0</v>
      </c>
      <c r="AC115" s="2">
        <v>0</v>
      </c>
      <c r="AD115" s="2">
        <v>0</v>
      </c>
      <c r="AE115" s="2">
        <v>0</v>
      </c>
      <c r="AF115" s="2">
        <v>0</v>
      </c>
      <c r="AG115" s="2">
        <v>0</v>
      </c>
      <c r="AH115" s="2">
        <v>0</v>
      </c>
      <c r="AI115" s="2">
        <v>1</v>
      </c>
      <c r="AJ115" s="2" t="s">
        <v>229</v>
      </c>
      <c r="AK115" s="2">
        <v>0</v>
      </c>
      <c r="AL115" s="2">
        <v>0</v>
      </c>
      <c r="AM115" s="2">
        <v>1</v>
      </c>
      <c r="AN115" s="2">
        <v>0</v>
      </c>
      <c r="AO115" s="2">
        <v>0</v>
      </c>
      <c r="AP115" s="2">
        <v>1</v>
      </c>
      <c r="AQ115" s="2">
        <v>0</v>
      </c>
      <c r="AR115" s="2">
        <v>1</v>
      </c>
      <c r="AS115" s="5">
        <v>45419</v>
      </c>
      <c r="AT115" s="2">
        <v>0</v>
      </c>
      <c r="AU115" s="2">
        <v>1</v>
      </c>
      <c r="AV115" s="2">
        <f>Table2[[#This Row],[TTE date]]-Table2[[#This Row],[Date initial positive Bcx]]</f>
        <v>11</v>
      </c>
      <c r="AW115" s="2">
        <v>0</v>
      </c>
      <c r="BA115" s="2">
        <v>0</v>
      </c>
      <c r="BC115" s="2">
        <v>0</v>
      </c>
      <c r="BD115" s="2">
        <f>COUNTIFS(Table2[[#This Row],[Comorbidity present (at least 1)?]], "0",Table2[[#This Row],[Alternative source of infx?]], "1",Table2[[#This Row],[Abx used?]], "1", Table2[[#This Row],[&lt; 3 days defervescence or remained afebrile?]], "1",Table2[[#This Row],[WBC downtrend or remained nrml?]], "1")</f>
        <v>0</v>
      </c>
      <c r="BE115" s="2">
        <f>COUNTIFS(Table2[[#This Row],[&lt; 3 days defervescence or remained afebrile?]], "1",Table2[[#This Row],[WBC downtrend or remained nrml?]], "1")</f>
        <v>0</v>
      </c>
      <c r="BF115" s="2">
        <v>0</v>
      </c>
      <c r="BG115" s="2">
        <v>0</v>
      </c>
      <c r="BH115" s="2">
        <v>1</v>
      </c>
      <c r="BI115" s="2" t="s">
        <v>206</v>
      </c>
    </row>
    <row r="116" spans="1:61">
      <c r="A116" s="2">
        <v>115</v>
      </c>
      <c r="B116" s="5">
        <v>45409</v>
      </c>
      <c r="C116" s="5">
        <v>45413</v>
      </c>
      <c r="D116" s="2">
        <f t="shared" si="4"/>
        <v>4</v>
      </c>
      <c r="E116" s="2">
        <v>43</v>
      </c>
      <c r="F116" s="2">
        <v>2</v>
      </c>
      <c r="G116" s="2">
        <v>2</v>
      </c>
      <c r="H116" s="2">
        <v>1</v>
      </c>
      <c r="I116" s="2">
        <v>0</v>
      </c>
      <c r="J116" s="2">
        <v>0</v>
      </c>
      <c r="K116" s="2">
        <v>0</v>
      </c>
      <c r="L116" s="2">
        <v>0</v>
      </c>
      <c r="M116" s="2">
        <v>0</v>
      </c>
      <c r="N116" s="2">
        <v>1</v>
      </c>
      <c r="O116" s="2" t="s">
        <v>230</v>
      </c>
      <c r="P116" t="s">
        <v>208</v>
      </c>
      <c r="Q116" s="51">
        <v>0</v>
      </c>
      <c r="R116" s="51">
        <v>0</v>
      </c>
      <c r="S116" s="51">
        <v>0</v>
      </c>
      <c r="T116" s="51">
        <v>1</v>
      </c>
      <c r="U116" s="2">
        <v>0</v>
      </c>
      <c r="V116" s="2">
        <v>1</v>
      </c>
      <c r="W116" s="5">
        <v>45409</v>
      </c>
      <c r="X116" s="5">
        <v>45409</v>
      </c>
      <c r="Y116" s="28">
        <f t="shared" si="2"/>
        <v>0</v>
      </c>
      <c r="Z116" s="2">
        <v>0</v>
      </c>
      <c r="AA116" s="2">
        <v>0</v>
      </c>
      <c r="AB116" s="2">
        <v>0</v>
      </c>
      <c r="AC116" s="2">
        <v>0</v>
      </c>
      <c r="AD116" s="2">
        <v>0</v>
      </c>
      <c r="AE116" s="2">
        <v>0</v>
      </c>
      <c r="AF116" s="2">
        <v>0</v>
      </c>
      <c r="AG116" s="2">
        <v>0</v>
      </c>
      <c r="AH116" s="2">
        <v>0</v>
      </c>
      <c r="AI116" s="2">
        <v>1</v>
      </c>
      <c r="AJ116" s="2" t="s">
        <v>91</v>
      </c>
      <c r="AK116" s="2">
        <v>0</v>
      </c>
      <c r="AL116" s="2">
        <v>0</v>
      </c>
      <c r="AM116" s="2">
        <v>1</v>
      </c>
      <c r="AN116" s="2">
        <v>0</v>
      </c>
      <c r="AO116" s="2">
        <v>0</v>
      </c>
      <c r="AP116" s="2">
        <v>1</v>
      </c>
      <c r="AQ116" s="2">
        <v>1</v>
      </c>
      <c r="AR116" s="2">
        <v>1</v>
      </c>
      <c r="AS116" s="5">
        <v>45411</v>
      </c>
      <c r="AT116" s="2">
        <v>0</v>
      </c>
      <c r="AU116" s="2">
        <v>0</v>
      </c>
      <c r="AV116" s="2">
        <f>Table2[[#This Row],[TTE date]]-Table2[[#This Row],[Date initial positive Bcx]]</f>
        <v>2</v>
      </c>
      <c r="AW116" s="2">
        <v>0</v>
      </c>
      <c r="BA116" s="2">
        <v>0</v>
      </c>
      <c r="BC116" s="2">
        <v>0</v>
      </c>
      <c r="BD116" s="2">
        <f>COUNTIFS(Table2[[#This Row],[Comorbidity present (at least 1)?]], "0",Table2[[#This Row],[Alternative source of infx?]], "1",Table2[[#This Row],[Abx used?]], "1", Table2[[#This Row],[&lt; 3 days defervescence or remained afebrile?]], "1",Table2[[#This Row],[WBC downtrend or remained nrml?]], "1")</f>
        <v>0</v>
      </c>
      <c r="BE116" s="2">
        <f>COUNTIFS(Table2[[#This Row],[&lt; 3 days defervescence or remained afebrile?]], "1",Table2[[#This Row],[WBC downtrend or remained nrml?]], "1")</f>
        <v>1</v>
      </c>
      <c r="BF116" s="2">
        <v>0</v>
      </c>
      <c r="BG116" s="2">
        <v>0</v>
      </c>
      <c r="BH116" s="2">
        <v>0</v>
      </c>
      <c r="BI116" s="2" t="s">
        <v>206</v>
      </c>
    </row>
    <row r="117" spans="1:61">
      <c r="A117" s="2">
        <v>116</v>
      </c>
      <c r="B117" s="5">
        <v>45412</v>
      </c>
      <c r="C117" s="5">
        <v>45419</v>
      </c>
      <c r="D117" s="2">
        <f t="shared" si="4"/>
        <v>7</v>
      </c>
      <c r="E117" s="2">
        <v>92</v>
      </c>
      <c r="F117" s="2">
        <v>1</v>
      </c>
      <c r="G117" s="2">
        <v>2</v>
      </c>
      <c r="H117" s="2">
        <v>0</v>
      </c>
      <c r="I117" s="2">
        <v>0</v>
      </c>
      <c r="J117" s="2">
        <v>0</v>
      </c>
      <c r="K117" s="2">
        <v>0</v>
      </c>
      <c r="L117" s="2">
        <v>0</v>
      </c>
      <c r="M117" s="2">
        <v>0</v>
      </c>
      <c r="N117" s="2">
        <v>0</v>
      </c>
      <c r="P117" t="s">
        <v>208</v>
      </c>
      <c r="Q117" s="51">
        <v>0</v>
      </c>
      <c r="R117" s="51">
        <v>0</v>
      </c>
      <c r="S117" s="51">
        <v>0</v>
      </c>
      <c r="T117" s="51">
        <v>1</v>
      </c>
      <c r="U117" s="2">
        <v>0</v>
      </c>
      <c r="V117" s="2">
        <v>1</v>
      </c>
      <c r="W117" s="5">
        <v>45412</v>
      </c>
      <c r="X117" s="5">
        <v>45412</v>
      </c>
      <c r="Y117" s="28">
        <f t="shared" si="2"/>
        <v>0</v>
      </c>
      <c r="Z117" s="2">
        <v>0</v>
      </c>
      <c r="AA117" s="2">
        <v>0</v>
      </c>
      <c r="AB117" s="2">
        <v>0</v>
      </c>
      <c r="AC117" s="2">
        <v>0</v>
      </c>
      <c r="AD117" s="2">
        <v>0</v>
      </c>
      <c r="AE117" s="2">
        <v>0</v>
      </c>
      <c r="AF117" s="2">
        <v>0</v>
      </c>
      <c r="AG117" s="2">
        <v>0</v>
      </c>
      <c r="AH117" s="2">
        <v>0</v>
      </c>
      <c r="AI117" s="2">
        <v>1</v>
      </c>
      <c r="AJ117" s="2" t="s">
        <v>68</v>
      </c>
      <c r="AK117" s="2">
        <v>0</v>
      </c>
      <c r="AL117" s="2">
        <v>0</v>
      </c>
      <c r="AM117" s="2">
        <v>1</v>
      </c>
      <c r="AN117" s="2">
        <v>0</v>
      </c>
      <c r="AO117" s="2">
        <v>0</v>
      </c>
      <c r="AP117" s="2">
        <v>1</v>
      </c>
      <c r="AQ117" s="2">
        <v>1</v>
      </c>
      <c r="AR117" s="2">
        <v>0</v>
      </c>
      <c r="AW117" s="2">
        <v>0</v>
      </c>
      <c r="BA117" s="2">
        <v>0</v>
      </c>
      <c r="BC117" s="2">
        <v>0</v>
      </c>
      <c r="BD117" s="2">
        <f>COUNTIFS(Table2[[#This Row],[Comorbidity present (at least 1)?]], "0",Table2[[#This Row],[Alternative source of infx?]], "1",Table2[[#This Row],[Abx used?]], "1", Table2[[#This Row],[&lt; 3 days defervescence or remained afebrile?]], "1",Table2[[#This Row],[WBC downtrend or remained nrml?]], "1")</f>
        <v>0</v>
      </c>
      <c r="BE117" s="2">
        <f>COUNTIFS(Table2[[#This Row],[&lt; 3 days defervescence or remained afebrile?]], "1",Table2[[#This Row],[WBC downtrend or remained nrml?]], "1")</f>
        <v>1</v>
      </c>
      <c r="BF117" s="2">
        <v>0</v>
      </c>
      <c r="BG117" s="2">
        <v>0</v>
      </c>
      <c r="BH117" s="2">
        <v>0</v>
      </c>
      <c r="BI117" s="2" t="s">
        <v>231</v>
      </c>
    </row>
    <row r="118" spans="1:61">
      <c r="A118" s="2">
        <v>117</v>
      </c>
      <c r="B118" s="5">
        <v>45352</v>
      </c>
      <c r="C118" s="5">
        <v>45359</v>
      </c>
      <c r="D118" s="2">
        <f t="shared" si="4"/>
        <v>7</v>
      </c>
      <c r="E118" s="2">
        <v>82</v>
      </c>
      <c r="F118" s="2">
        <v>2</v>
      </c>
      <c r="G118" s="2">
        <v>2</v>
      </c>
      <c r="H118" s="2">
        <v>0</v>
      </c>
      <c r="I118" s="2">
        <v>0</v>
      </c>
      <c r="J118" s="2">
        <v>0</v>
      </c>
      <c r="K118" s="2">
        <v>0</v>
      </c>
      <c r="L118" s="2">
        <v>0</v>
      </c>
      <c r="M118" s="2">
        <v>0</v>
      </c>
      <c r="N118" s="2">
        <v>0</v>
      </c>
      <c r="P118" t="s">
        <v>208</v>
      </c>
      <c r="Q118" s="51">
        <v>0</v>
      </c>
      <c r="R118" s="51">
        <v>0</v>
      </c>
      <c r="S118" s="51">
        <v>0</v>
      </c>
      <c r="T118" s="51">
        <v>1</v>
      </c>
      <c r="U118" s="2">
        <v>0</v>
      </c>
      <c r="V118" s="2">
        <v>1</v>
      </c>
      <c r="W118" s="5">
        <v>45352</v>
      </c>
      <c r="X118" s="5">
        <v>45352</v>
      </c>
      <c r="Y118" s="28">
        <f t="shared" si="2"/>
        <v>0</v>
      </c>
      <c r="Z118" s="2">
        <v>0</v>
      </c>
      <c r="AA118" s="2">
        <v>0</v>
      </c>
      <c r="AB118" s="2">
        <v>0</v>
      </c>
      <c r="AC118" s="2">
        <v>0</v>
      </c>
      <c r="AD118" s="2">
        <v>0</v>
      </c>
      <c r="AE118" s="2">
        <v>0</v>
      </c>
      <c r="AF118" s="2">
        <v>0</v>
      </c>
      <c r="AG118" s="2">
        <v>0</v>
      </c>
      <c r="AH118" s="2">
        <v>0</v>
      </c>
      <c r="AI118" s="2">
        <v>1</v>
      </c>
      <c r="AJ118" s="2" t="s">
        <v>117</v>
      </c>
      <c r="AK118" s="2">
        <v>0</v>
      </c>
      <c r="AL118" s="2">
        <v>0</v>
      </c>
      <c r="AM118" s="2">
        <v>1</v>
      </c>
      <c r="AN118" s="2">
        <v>0</v>
      </c>
      <c r="AO118" s="2">
        <v>0</v>
      </c>
      <c r="AP118" s="2">
        <v>1</v>
      </c>
      <c r="AQ118" s="2">
        <v>1</v>
      </c>
      <c r="AR118" s="2">
        <v>0</v>
      </c>
      <c r="AW118" s="2">
        <v>0</v>
      </c>
      <c r="BA118" s="2">
        <v>0</v>
      </c>
      <c r="BC118" s="2">
        <v>0</v>
      </c>
      <c r="BD118" s="2">
        <f>COUNTIFS(Table2[[#This Row],[Comorbidity present (at least 1)?]], "0",Table2[[#This Row],[Alternative source of infx?]], "1",Table2[[#This Row],[Abx used?]], "1", Table2[[#This Row],[&lt; 3 days defervescence or remained afebrile?]], "1",Table2[[#This Row],[WBC downtrend or remained nrml?]], "1")</f>
        <v>0</v>
      </c>
      <c r="BE118" s="2">
        <f>COUNTIFS(Table2[[#This Row],[&lt; 3 days defervescence or remained afebrile?]], "1",Table2[[#This Row],[WBC downtrend or remained nrml?]], "1")</f>
        <v>1</v>
      </c>
      <c r="BF118" s="2">
        <v>0</v>
      </c>
      <c r="BG118" s="2">
        <v>0</v>
      </c>
      <c r="BH118" s="2">
        <v>0</v>
      </c>
      <c r="BI118" s="2" t="s">
        <v>231</v>
      </c>
    </row>
    <row r="119" spans="1:61">
      <c r="A119" s="2">
        <v>118</v>
      </c>
      <c r="B119" s="5">
        <v>45353</v>
      </c>
      <c r="C119" s="5">
        <v>45360</v>
      </c>
      <c r="D119" s="2">
        <f t="shared" si="4"/>
        <v>7</v>
      </c>
      <c r="E119" s="2">
        <v>44</v>
      </c>
      <c r="F119" s="2">
        <v>2</v>
      </c>
      <c r="G119" s="2">
        <v>3</v>
      </c>
      <c r="H119" s="2">
        <v>1</v>
      </c>
      <c r="I119" s="2">
        <v>0</v>
      </c>
      <c r="J119" s="2">
        <v>0</v>
      </c>
      <c r="K119" s="2">
        <v>0</v>
      </c>
      <c r="L119" s="2">
        <v>1</v>
      </c>
      <c r="M119" s="2">
        <v>0</v>
      </c>
      <c r="N119" s="2">
        <v>0</v>
      </c>
      <c r="P119" t="s">
        <v>195</v>
      </c>
      <c r="Q119" s="51">
        <v>0</v>
      </c>
      <c r="R119" s="51">
        <v>0</v>
      </c>
      <c r="S119" s="51">
        <v>0</v>
      </c>
      <c r="T119" s="51">
        <v>1</v>
      </c>
      <c r="U119" s="2">
        <v>0</v>
      </c>
      <c r="V119" s="2">
        <v>1</v>
      </c>
      <c r="W119" s="5">
        <v>45353</v>
      </c>
      <c r="X119" s="5">
        <v>45353</v>
      </c>
      <c r="Y119" s="28">
        <f t="shared" si="2"/>
        <v>0</v>
      </c>
      <c r="Z119" s="2">
        <v>0</v>
      </c>
      <c r="AA119" s="2">
        <v>0</v>
      </c>
      <c r="AB119" s="2">
        <v>0</v>
      </c>
      <c r="AC119" s="2">
        <v>0</v>
      </c>
      <c r="AD119" s="2">
        <v>0</v>
      </c>
      <c r="AE119" s="2">
        <v>0</v>
      </c>
      <c r="AF119" s="2">
        <v>0</v>
      </c>
      <c r="AG119" s="2">
        <v>0</v>
      </c>
      <c r="AH119" s="2">
        <v>0</v>
      </c>
      <c r="AI119" s="2">
        <v>1</v>
      </c>
      <c r="AJ119" s="2" t="s">
        <v>91</v>
      </c>
      <c r="AK119" s="2">
        <v>0</v>
      </c>
      <c r="AL119" s="2">
        <v>1</v>
      </c>
      <c r="AM119" s="2">
        <v>1</v>
      </c>
      <c r="AN119" s="2">
        <v>1</v>
      </c>
      <c r="AO119" s="2">
        <v>0</v>
      </c>
      <c r="AP119" s="2">
        <v>0</v>
      </c>
      <c r="AQ119" s="2">
        <v>1</v>
      </c>
      <c r="AR119" s="2">
        <v>0</v>
      </c>
      <c r="AW119" s="2">
        <v>0</v>
      </c>
      <c r="BA119" s="2">
        <v>0</v>
      </c>
      <c r="BC119" s="2">
        <v>0</v>
      </c>
      <c r="BD119" s="2">
        <f>COUNTIFS(Table2[[#This Row],[Comorbidity present (at least 1)?]], "0",Table2[[#This Row],[Alternative source of infx?]], "1",Table2[[#This Row],[Abx used?]], "1", Table2[[#This Row],[&lt; 3 days defervescence or remained afebrile?]], "1",Table2[[#This Row],[WBC downtrend or remained nrml?]], "1")</f>
        <v>0</v>
      </c>
      <c r="BE119" s="2">
        <f>COUNTIFS(Table2[[#This Row],[&lt; 3 days defervescence or remained afebrile?]], "1",Table2[[#This Row],[WBC downtrend or remained nrml?]], "1")</f>
        <v>1</v>
      </c>
      <c r="BF119" s="2">
        <v>0</v>
      </c>
      <c r="BG119" s="2">
        <v>0</v>
      </c>
      <c r="BH119" s="2">
        <v>0</v>
      </c>
      <c r="BI119" s="2" t="s">
        <v>232</v>
      </c>
    </row>
    <row r="120" spans="1:61">
      <c r="A120" s="2">
        <v>119</v>
      </c>
      <c r="B120" s="5">
        <v>45354</v>
      </c>
      <c r="C120" s="5">
        <v>45365</v>
      </c>
      <c r="D120" s="2">
        <f t="shared" si="4"/>
        <v>11</v>
      </c>
      <c r="E120" s="2">
        <v>65</v>
      </c>
      <c r="F120" s="2">
        <v>1</v>
      </c>
      <c r="G120" s="2">
        <v>2</v>
      </c>
      <c r="H120" s="2">
        <v>0</v>
      </c>
      <c r="I120" s="2">
        <v>0</v>
      </c>
      <c r="J120" s="2">
        <v>0</v>
      </c>
      <c r="K120" s="2">
        <v>0</v>
      </c>
      <c r="L120" s="2">
        <v>0</v>
      </c>
      <c r="M120" s="2">
        <v>0</v>
      </c>
      <c r="N120" s="2">
        <v>0</v>
      </c>
      <c r="P120" t="s">
        <v>179</v>
      </c>
      <c r="Q120" s="51">
        <v>0</v>
      </c>
      <c r="R120" s="51">
        <v>0</v>
      </c>
      <c r="S120" s="51">
        <v>0</v>
      </c>
      <c r="T120" s="51">
        <v>1</v>
      </c>
      <c r="U120" s="2">
        <v>0</v>
      </c>
      <c r="V120" s="2">
        <v>1</v>
      </c>
      <c r="W120" s="5">
        <v>45354</v>
      </c>
      <c r="X120" s="5">
        <v>45354</v>
      </c>
      <c r="Y120" s="28">
        <f t="shared" si="2"/>
        <v>0</v>
      </c>
      <c r="Z120" s="2">
        <v>0</v>
      </c>
      <c r="AA120" s="2">
        <v>0</v>
      </c>
      <c r="AB120" s="2">
        <v>0</v>
      </c>
      <c r="AC120" s="2">
        <v>0</v>
      </c>
      <c r="AD120" s="2">
        <v>0</v>
      </c>
      <c r="AE120" s="2">
        <v>0</v>
      </c>
      <c r="AF120" s="2">
        <v>0</v>
      </c>
      <c r="AG120" s="2">
        <v>0</v>
      </c>
      <c r="AH120" s="2">
        <v>0</v>
      </c>
      <c r="AI120" s="2">
        <v>1</v>
      </c>
      <c r="AJ120" s="2" t="s">
        <v>233</v>
      </c>
      <c r="AK120" s="2">
        <v>0</v>
      </c>
      <c r="AL120" s="2">
        <v>0</v>
      </c>
      <c r="AM120" s="2">
        <v>1</v>
      </c>
      <c r="AN120" s="2">
        <v>0</v>
      </c>
      <c r="AO120" s="2">
        <v>0</v>
      </c>
      <c r="AP120" s="2">
        <v>1</v>
      </c>
      <c r="AQ120" s="2">
        <v>1</v>
      </c>
      <c r="AR120" s="2">
        <v>1</v>
      </c>
      <c r="AS120" s="5">
        <v>45357</v>
      </c>
      <c r="AT120" s="2">
        <v>0</v>
      </c>
      <c r="AU120" s="2">
        <v>0</v>
      </c>
      <c r="AV120" s="2">
        <f>Table2[[#This Row],[TTE date]]-Table2[[#This Row],[Date initial positive Bcx]]</f>
        <v>3</v>
      </c>
      <c r="AW120" s="2">
        <v>0</v>
      </c>
      <c r="BA120" s="2">
        <v>0</v>
      </c>
      <c r="BC120" s="2">
        <v>0</v>
      </c>
      <c r="BD120" s="2">
        <f>COUNTIFS(Table2[[#This Row],[Comorbidity present (at least 1)?]], "0",Table2[[#This Row],[Alternative source of infx?]], "1",Table2[[#This Row],[Abx used?]], "1", Table2[[#This Row],[&lt; 3 days defervescence or remained afebrile?]], "1",Table2[[#This Row],[WBC downtrend or remained nrml?]], "1")</f>
        <v>0</v>
      </c>
      <c r="BE120" s="2">
        <f>COUNTIFS(Table2[[#This Row],[&lt; 3 days defervescence or remained afebrile?]], "1",Table2[[#This Row],[WBC downtrend or remained nrml?]], "1")</f>
        <v>1</v>
      </c>
      <c r="BF120" s="2">
        <v>0</v>
      </c>
      <c r="BG120" s="2">
        <v>0</v>
      </c>
      <c r="BH120" s="2">
        <v>0</v>
      </c>
      <c r="BI120" s="2" t="s">
        <v>206</v>
      </c>
    </row>
    <row r="121" spans="1:61">
      <c r="A121" s="2">
        <v>120</v>
      </c>
      <c r="B121" s="5">
        <v>45354</v>
      </c>
      <c r="C121" s="5">
        <v>45358</v>
      </c>
      <c r="D121" s="2">
        <f t="shared" si="4"/>
        <v>4</v>
      </c>
      <c r="E121" s="2">
        <v>77</v>
      </c>
      <c r="F121" s="2">
        <v>2</v>
      </c>
      <c r="G121" s="2">
        <v>3</v>
      </c>
      <c r="H121" s="2">
        <v>0</v>
      </c>
      <c r="I121" s="2">
        <v>0</v>
      </c>
      <c r="J121" s="2">
        <v>0</v>
      </c>
      <c r="K121" s="2">
        <v>0</v>
      </c>
      <c r="L121" s="2">
        <v>0</v>
      </c>
      <c r="M121" s="2">
        <v>0</v>
      </c>
      <c r="N121" s="2">
        <v>0</v>
      </c>
      <c r="P121" t="s">
        <v>208</v>
      </c>
      <c r="Q121" s="51">
        <v>0</v>
      </c>
      <c r="R121" s="51">
        <v>0</v>
      </c>
      <c r="S121" s="51">
        <v>0</v>
      </c>
      <c r="T121" s="51">
        <v>1</v>
      </c>
      <c r="U121" s="2">
        <v>0</v>
      </c>
      <c r="V121" s="2">
        <v>1</v>
      </c>
      <c r="W121" s="5">
        <v>45354</v>
      </c>
      <c r="X121" s="5">
        <v>45354</v>
      </c>
      <c r="Y121" s="28">
        <f t="shared" si="2"/>
        <v>0</v>
      </c>
      <c r="Z121" s="2">
        <v>0</v>
      </c>
      <c r="AA121" s="2">
        <v>0</v>
      </c>
      <c r="AB121" s="2">
        <v>0</v>
      </c>
      <c r="AC121" s="2">
        <v>0</v>
      </c>
      <c r="AD121" s="2">
        <v>0</v>
      </c>
      <c r="AE121" s="2">
        <v>0</v>
      </c>
      <c r="AF121" s="2">
        <v>0</v>
      </c>
      <c r="AG121" s="2">
        <v>0</v>
      </c>
      <c r="AH121" s="2">
        <v>0</v>
      </c>
      <c r="AI121" s="2">
        <v>1</v>
      </c>
      <c r="AJ121" s="2" t="s">
        <v>91</v>
      </c>
      <c r="AK121" s="2">
        <v>0</v>
      </c>
      <c r="AL121" s="2">
        <v>1</v>
      </c>
      <c r="AM121" s="2">
        <v>1</v>
      </c>
      <c r="AN121" s="2">
        <v>1</v>
      </c>
      <c r="AO121" s="2">
        <v>0</v>
      </c>
      <c r="AP121" s="2">
        <v>0</v>
      </c>
      <c r="AQ121" s="2">
        <v>1</v>
      </c>
      <c r="AR121" s="2">
        <v>1</v>
      </c>
      <c r="AS121" s="5">
        <v>45357</v>
      </c>
      <c r="AT121" s="2">
        <v>0</v>
      </c>
      <c r="AU121" s="2">
        <v>0</v>
      </c>
      <c r="AV121" s="2">
        <f>Table2[[#This Row],[TTE date]]-Table2[[#This Row],[Date initial positive Bcx]]</f>
        <v>3</v>
      </c>
      <c r="AW121" s="2">
        <v>0</v>
      </c>
      <c r="BA121" s="2">
        <v>0</v>
      </c>
      <c r="BC121" s="2">
        <v>0</v>
      </c>
      <c r="BD121" s="2">
        <f>COUNTIFS(Table2[[#This Row],[Comorbidity present (at least 1)?]], "0",Table2[[#This Row],[Alternative source of infx?]], "1",Table2[[#This Row],[Abx used?]], "1", Table2[[#This Row],[&lt; 3 days defervescence or remained afebrile?]], "1",Table2[[#This Row],[WBC downtrend or remained nrml?]], "1")</f>
        <v>0</v>
      </c>
      <c r="BE121" s="2">
        <f>COUNTIFS(Table2[[#This Row],[&lt; 3 days defervescence or remained afebrile?]], "1",Table2[[#This Row],[WBC downtrend or remained nrml?]], "1")</f>
        <v>1</v>
      </c>
      <c r="BF121" s="2">
        <v>0</v>
      </c>
      <c r="BG121" s="2">
        <v>0</v>
      </c>
      <c r="BH121" s="2">
        <v>0</v>
      </c>
      <c r="BI121" s="2" t="s">
        <v>206</v>
      </c>
    </row>
    <row r="122" spans="1:61">
      <c r="A122" s="2">
        <v>121</v>
      </c>
      <c r="B122" s="5">
        <v>45356</v>
      </c>
      <c r="C122" s="5">
        <v>45363</v>
      </c>
      <c r="D122" s="2">
        <f t="shared" si="4"/>
        <v>7</v>
      </c>
      <c r="E122" s="2">
        <v>70</v>
      </c>
      <c r="F122" s="2">
        <v>1</v>
      </c>
      <c r="G122" s="2">
        <v>2</v>
      </c>
      <c r="H122" s="2">
        <v>0</v>
      </c>
      <c r="I122" s="2">
        <v>0</v>
      </c>
      <c r="J122" s="2">
        <v>0</v>
      </c>
      <c r="K122" s="2">
        <v>0</v>
      </c>
      <c r="L122" s="2">
        <v>0</v>
      </c>
      <c r="M122" s="2">
        <v>0</v>
      </c>
      <c r="N122" s="2">
        <v>0</v>
      </c>
      <c r="P122" t="s">
        <v>179</v>
      </c>
      <c r="Q122" s="51">
        <v>0</v>
      </c>
      <c r="R122" s="51">
        <v>0</v>
      </c>
      <c r="S122" s="51">
        <v>0</v>
      </c>
      <c r="T122" s="51">
        <v>1</v>
      </c>
      <c r="U122" s="2">
        <v>0</v>
      </c>
      <c r="V122" s="2">
        <v>1</v>
      </c>
      <c r="W122" s="5">
        <v>45356</v>
      </c>
      <c r="X122" s="5">
        <v>45356</v>
      </c>
      <c r="Y122" s="28">
        <f t="shared" si="2"/>
        <v>0</v>
      </c>
      <c r="Z122" s="2">
        <v>0</v>
      </c>
      <c r="AA122" s="2">
        <v>0</v>
      </c>
      <c r="AB122" s="2">
        <v>0</v>
      </c>
      <c r="AC122" s="2">
        <v>0</v>
      </c>
      <c r="AD122" s="2">
        <v>0</v>
      </c>
      <c r="AE122" s="2">
        <v>0</v>
      </c>
      <c r="AF122" s="2">
        <v>0</v>
      </c>
      <c r="AG122" s="2">
        <v>0</v>
      </c>
      <c r="AH122" s="2">
        <v>0</v>
      </c>
      <c r="AI122" s="2">
        <v>1</v>
      </c>
      <c r="AJ122" s="2" t="s">
        <v>68</v>
      </c>
      <c r="AK122" s="2">
        <v>0</v>
      </c>
      <c r="AL122" s="2">
        <v>0</v>
      </c>
      <c r="AM122" s="2">
        <v>1</v>
      </c>
      <c r="AN122" s="2">
        <v>0</v>
      </c>
      <c r="AO122" s="2">
        <v>0</v>
      </c>
      <c r="AP122" s="2">
        <v>1</v>
      </c>
      <c r="AQ122" s="2">
        <v>1</v>
      </c>
      <c r="AR122" s="2">
        <v>1</v>
      </c>
      <c r="AS122" s="5">
        <v>45362</v>
      </c>
      <c r="AT122" s="2">
        <v>0</v>
      </c>
      <c r="AU122" s="2">
        <v>1</v>
      </c>
      <c r="AV122" s="2">
        <f>Table2[[#This Row],[TTE date]]-Table2[[#This Row],[Date initial positive Bcx]]</f>
        <v>6</v>
      </c>
      <c r="AW122" s="2">
        <v>0</v>
      </c>
      <c r="BA122" s="2">
        <v>0</v>
      </c>
      <c r="BC122" s="2">
        <v>0</v>
      </c>
      <c r="BD122" s="2">
        <f>COUNTIFS(Table2[[#This Row],[Comorbidity present (at least 1)?]], "0",Table2[[#This Row],[Alternative source of infx?]], "1",Table2[[#This Row],[Abx used?]], "1", Table2[[#This Row],[&lt; 3 days defervescence or remained afebrile?]], "1",Table2[[#This Row],[WBC downtrend or remained nrml?]], "1")</f>
        <v>0</v>
      </c>
      <c r="BE122" s="2">
        <f>COUNTIFS(Table2[[#This Row],[&lt; 3 days defervescence or remained afebrile?]], "1",Table2[[#This Row],[WBC downtrend or remained nrml?]], "1")</f>
        <v>1</v>
      </c>
      <c r="BF122" s="2">
        <v>0</v>
      </c>
      <c r="BG122" s="2">
        <v>0</v>
      </c>
      <c r="BH122" s="2">
        <v>0</v>
      </c>
      <c r="BI122" s="2" t="s">
        <v>234</v>
      </c>
    </row>
    <row r="123" spans="1:61">
      <c r="A123" s="2">
        <v>122</v>
      </c>
      <c r="B123" s="5">
        <v>45357</v>
      </c>
      <c r="C123" s="5">
        <v>45360</v>
      </c>
      <c r="D123" s="2">
        <f t="shared" si="4"/>
        <v>3</v>
      </c>
      <c r="E123" s="2">
        <v>70</v>
      </c>
      <c r="F123" s="2">
        <v>1</v>
      </c>
      <c r="G123" s="2">
        <v>3</v>
      </c>
      <c r="H123" s="2">
        <v>0</v>
      </c>
      <c r="I123" s="2">
        <v>0</v>
      </c>
      <c r="J123" s="2">
        <v>0</v>
      </c>
      <c r="K123" s="2">
        <v>0</v>
      </c>
      <c r="L123" s="2">
        <v>0</v>
      </c>
      <c r="M123" s="2">
        <v>0</v>
      </c>
      <c r="N123" s="2">
        <v>0</v>
      </c>
      <c r="P123" t="s">
        <v>195</v>
      </c>
      <c r="Q123" s="51">
        <v>0</v>
      </c>
      <c r="R123" s="51">
        <v>0</v>
      </c>
      <c r="S123" s="51">
        <v>0</v>
      </c>
      <c r="T123" s="51">
        <v>1</v>
      </c>
      <c r="U123" s="2">
        <v>0</v>
      </c>
      <c r="V123" s="2">
        <v>1</v>
      </c>
      <c r="W123" s="5">
        <v>45357</v>
      </c>
      <c r="X123" s="5">
        <v>45357</v>
      </c>
      <c r="Y123" s="28">
        <f t="shared" si="2"/>
        <v>0</v>
      </c>
      <c r="Z123" s="2">
        <v>0</v>
      </c>
      <c r="AA123" s="2">
        <v>0</v>
      </c>
      <c r="AB123" s="2">
        <v>0</v>
      </c>
      <c r="AC123" s="2">
        <v>0</v>
      </c>
      <c r="AD123" s="2">
        <v>0</v>
      </c>
      <c r="AE123" s="2">
        <v>0</v>
      </c>
      <c r="AF123" s="2">
        <v>0</v>
      </c>
      <c r="AG123" s="2">
        <v>0</v>
      </c>
      <c r="AH123" s="2">
        <v>0</v>
      </c>
      <c r="AI123" s="2">
        <v>1</v>
      </c>
      <c r="AJ123" s="2" t="s">
        <v>117</v>
      </c>
      <c r="AK123" s="2">
        <v>0</v>
      </c>
      <c r="AL123" s="2">
        <v>0</v>
      </c>
      <c r="AM123" s="2">
        <v>1</v>
      </c>
      <c r="AN123" s="2">
        <v>0</v>
      </c>
      <c r="AO123" s="2">
        <v>0</v>
      </c>
      <c r="AP123" s="2">
        <v>1</v>
      </c>
      <c r="AQ123" s="2">
        <v>1</v>
      </c>
      <c r="AR123" s="2">
        <v>0</v>
      </c>
      <c r="AW123" s="2">
        <v>0</v>
      </c>
      <c r="BA123" s="2">
        <v>0</v>
      </c>
      <c r="BC123" s="2">
        <v>0</v>
      </c>
      <c r="BD123" s="2">
        <f>COUNTIFS(Table2[[#This Row],[Comorbidity present (at least 1)?]], "0",Table2[[#This Row],[Alternative source of infx?]], "1",Table2[[#This Row],[Abx used?]], "1", Table2[[#This Row],[&lt; 3 days defervescence or remained afebrile?]], "1",Table2[[#This Row],[WBC downtrend or remained nrml?]], "1")</f>
        <v>0</v>
      </c>
      <c r="BE123" s="2">
        <f>COUNTIFS(Table2[[#This Row],[&lt; 3 days defervescence or remained afebrile?]], "1",Table2[[#This Row],[WBC downtrend or remained nrml?]], "1")</f>
        <v>1</v>
      </c>
      <c r="BF123" s="2">
        <v>0</v>
      </c>
      <c r="BG123" s="2">
        <v>0</v>
      </c>
      <c r="BH123" s="2">
        <v>0</v>
      </c>
      <c r="BI123" s="2" t="s">
        <v>235</v>
      </c>
    </row>
    <row r="124" spans="1:61">
      <c r="A124" s="2">
        <v>123</v>
      </c>
      <c r="B124" s="5">
        <v>45359</v>
      </c>
      <c r="C124" s="5">
        <v>45362</v>
      </c>
      <c r="D124" s="2">
        <f t="shared" si="4"/>
        <v>3</v>
      </c>
      <c r="E124" s="2">
        <v>75</v>
      </c>
      <c r="F124" s="2">
        <v>1</v>
      </c>
      <c r="G124" s="2">
        <v>3</v>
      </c>
      <c r="H124" s="2">
        <v>1</v>
      </c>
      <c r="I124" s="2">
        <v>0</v>
      </c>
      <c r="J124" s="2">
        <v>0</v>
      </c>
      <c r="K124" s="2">
        <v>0</v>
      </c>
      <c r="L124" s="2">
        <v>0</v>
      </c>
      <c r="M124" s="2">
        <v>0</v>
      </c>
      <c r="N124" s="2">
        <v>1</v>
      </c>
      <c r="O124" s="2" t="s">
        <v>70</v>
      </c>
      <c r="P124" t="s">
        <v>195</v>
      </c>
      <c r="Q124" s="51">
        <v>0</v>
      </c>
      <c r="R124" s="51">
        <v>0</v>
      </c>
      <c r="S124" s="51">
        <v>0</v>
      </c>
      <c r="T124" s="51">
        <v>1</v>
      </c>
      <c r="U124" s="2">
        <v>0</v>
      </c>
      <c r="V124" s="2">
        <v>1</v>
      </c>
      <c r="W124" s="5">
        <v>45359</v>
      </c>
      <c r="X124" s="5">
        <v>45359</v>
      </c>
      <c r="Y124" s="28">
        <f t="shared" si="2"/>
        <v>0</v>
      </c>
      <c r="Z124" s="2">
        <v>0</v>
      </c>
      <c r="AA124" s="2">
        <v>0</v>
      </c>
      <c r="AB124" s="2">
        <v>0</v>
      </c>
      <c r="AC124" s="2">
        <v>0</v>
      </c>
      <c r="AD124" s="2">
        <v>0</v>
      </c>
      <c r="AE124" s="2">
        <v>0</v>
      </c>
      <c r="AF124" s="2">
        <v>0</v>
      </c>
      <c r="AG124" s="2">
        <v>0</v>
      </c>
      <c r="AH124" s="2">
        <v>0</v>
      </c>
      <c r="AI124" s="2">
        <v>1</v>
      </c>
      <c r="AJ124" s="2" t="s">
        <v>117</v>
      </c>
      <c r="AK124" s="2">
        <v>0</v>
      </c>
      <c r="AL124" s="2">
        <v>0</v>
      </c>
      <c r="AM124" s="2">
        <v>1</v>
      </c>
      <c r="AN124" s="2">
        <v>0</v>
      </c>
      <c r="AO124" s="2">
        <v>0</v>
      </c>
      <c r="AP124" s="2">
        <v>1</v>
      </c>
      <c r="AQ124" s="2">
        <v>1</v>
      </c>
      <c r="AR124" s="11">
        <v>1</v>
      </c>
      <c r="AS124" s="5">
        <v>45361</v>
      </c>
      <c r="AT124" s="2">
        <v>0</v>
      </c>
      <c r="AU124" s="2">
        <v>1</v>
      </c>
      <c r="AV124" s="2">
        <f>Table2[[#This Row],[TTE date]]-Table2[[#This Row],[Date initial positive Bcx]]</f>
        <v>2</v>
      </c>
      <c r="AW124" s="2">
        <v>0</v>
      </c>
      <c r="BA124" s="2">
        <v>0</v>
      </c>
      <c r="BC124" s="2">
        <v>0</v>
      </c>
      <c r="BD124" s="2">
        <f>COUNTIFS(Table2[[#This Row],[Comorbidity present (at least 1)?]], "0",Table2[[#This Row],[Alternative source of infx?]], "1",Table2[[#This Row],[Abx used?]], "1", Table2[[#This Row],[&lt; 3 days defervescence or remained afebrile?]], "1",Table2[[#This Row],[WBC downtrend or remained nrml?]], "1")</f>
        <v>0</v>
      </c>
      <c r="BE124" s="2">
        <f>COUNTIFS(Table2[[#This Row],[&lt; 3 days defervescence or remained afebrile?]], "1",Table2[[#This Row],[WBC downtrend or remained nrml?]], "1")</f>
        <v>1</v>
      </c>
      <c r="BF124" s="2">
        <v>0</v>
      </c>
      <c r="BG124" s="2">
        <v>0</v>
      </c>
      <c r="BH124" s="2">
        <v>0</v>
      </c>
      <c r="BI124" s="2" t="s">
        <v>236</v>
      </c>
    </row>
    <row r="125" spans="1:61">
      <c r="A125" s="2">
        <v>124</v>
      </c>
      <c r="B125" s="5">
        <v>45359</v>
      </c>
      <c r="C125" s="5">
        <v>45362</v>
      </c>
      <c r="D125" s="2">
        <f t="shared" si="4"/>
        <v>3</v>
      </c>
      <c r="E125" s="2">
        <v>60</v>
      </c>
      <c r="F125" s="2">
        <v>2</v>
      </c>
      <c r="G125" s="2">
        <v>3</v>
      </c>
      <c r="H125" s="2">
        <v>0</v>
      </c>
      <c r="I125" s="2">
        <v>0</v>
      </c>
      <c r="J125" s="2">
        <v>0</v>
      </c>
      <c r="K125" s="2">
        <v>0</v>
      </c>
      <c r="L125" s="2">
        <v>0</v>
      </c>
      <c r="M125" s="2">
        <v>0</v>
      </c>
      <c r="N125" s="2">
        <v>0</v>
      </c>
      <c r="P125" t="s">
        <v>195</v>
      </c>
      <c r="Q125" s="51">
        <v>0</v>
      </c>
      <c r="R125" s="51">
        <v>0</v>
      </c>
      <c r="S125" s="51">
        <v>0</v>
      </c>
      <c r="T125" s="51">
        <v>1</v>
      </c>
      <c r="U125" s="2">
        <v>0</v>
      </c>
      <c r="V125" s="2">
        <v>1</v>
      </c>
      <c r="W125" s="5">
        <v>45359</v>
      </c>
      <c r="X125" s="5">
        <v>45359</v>
      </c>
      <c r="Y125" s="28">
        <f t="shared" si="2"/>
        <v>0</v>
      </c>
      <c r="Z125" s="2">
        <v>0</v>
      </c>
      <c r="AA125" s="2">
        <v>0</v>
      </c>
      <c r="AB125" s="2">
        <v>0</v>
      </c>
      <c r="AC125" s="2">
        <v>0</v>
      </c>
      <c r="AD125" s="2">
        <v>0</v>
      </c>
      <c r="AE125" s="2">
        <v>0</v>
      </c>
      <c r="AF125" s="2">
        <v>0</v>
      </c>
      <c r="AG125" s="2">
        <v>0</v>
      </c>
      <c r="AH125" s="2">
        <v>0</v>
      </c>
      <c r="AI125" s="2">
        <v>1</v>
      </c>
      <c r="AJ125" s="2" t="s">
        <v>117</v>
      </c>
      <c r="AK125" s="2">
        <v>0</v>
      </c>
      <c r="AL125" s="2">
        <v>0</v>
      </c>
      <c r="AM125" s="2">
        <v>1</v>
      </c>
      <c r="AN125" s="2">
        <v>0</v>
      </c>
      <c r="AO125" s="2">
        <v>0</v>
      </c>
      <c r="AP125" s="2">
        <v>1</v>
      </c>
      <c r="AQ125" s="2">
        <v>1</v>
      </c>
      <c r="AR125" s="2">
        <v>0</v>
      </c>
      <c r="AW125" s="2">
        <v>0</v>
      </c>
      <c r="BA125" s="2">
        <v>0</v>
      </c>
      <c r="BC125" s="2">
        <v>0</v>
      </c>
      <c r="BD125" s="2">
        <f>COUNTIFS(Table2[[#This Row],[Comorbidity present (at least 1)?]], "0",Table2[[#This Row],[Alternative source of infx?]], "1",Table2[[#This Row],[Abx used?]], "1", Table2[[#This Row],[&lt; 3 days defervescence or remained afebrile?]], "1",Table2[[#This Row],[WBC downtrend or remained nrml?]], "1")</f>
        <v>0</v>
      </c>
      <c r="BE125" s="2">
        <f>COUNTIFS(Table2[[#This Row],[&lt; 3 days defervescence or remained afebrile?]], "1",Table2[[#This Row],[WBC downtrend or remained nrml?]], "1")</f>
        <v>1</v>
      </c>
      <c r="BF125" s="2">
        <v>0</v>
      </c>
      <c r="BG125" s="2">
        <v>0</v>
      </c>
      <c r="BH125" s="2">
        <v>0</v>
      </c>
      <c r="BI125" s="2" t="s">
        <v>206</v>
      </c>
    </row>
    <row r="126" spans="1:61">
      <c r="A126" s="2">
        <v>125</v>
      </c>
      <c r="B126" s="5">
        <v>45361</v>
      </c>
      <c r="C126" s="5">
        <v>45373</v>
      </c>
      <c r="D126" s="2">
        <f t="shared" si="4"/>
        <v>12</v>
      </c>
      <c r="E126" s="2">
        <v>71</v>
      </c>
      <c r="F126" s="2">
        <v>1</v>
      </c>
      <c r="G126" s="2">
        <v>2</v>
      </c>
      <c r="H126" s="2">
        <v>1</v>
      </c>
      <c r="I126" s="2">
        <v>0</v>
      </c>
      <c r="J126" s="2">
        <v>0</v>
      </c>
      <c r="K126" s="2">
        <v>0</v>
      </c>
      <c r="L126" s="2">
        <v>1</v>
      </c>
      <c r="M126" s="2">
        <v>0</v>
      </c>
      <c r="N126" s="2">
        <v>0</v>
      </c>
      <c r="P126" t="s">
        <v>179</v>
      </c>
      <c r="Q126" s="51">
        <v>0</v>
      </c>
      <c r="R126" s="51">
        <v>0</v>
      </c>
      <c r="S126" s="51">
        <v>0</v>
      </c>
      <c r="T126" s="51">
        <v>1</v>
      </c>
      <c r="U126" s="2">
        <v>0</v>
      </c>
      <c r="V126" s="2">
        <v>1</v>
      </c>
      <c r="W126" s="5">
        <v>45361</v>
      </c>
      <c r="X126" s="5">
        <v>45361</v>
      </c>
      <c r="Y126" s="28">
        <f t="shared" si="2"/>
        <v>0</v>
      </c>
      <c r="Z126" s="2">
        <v>1</v>
      </c>
      <c r="AA126" s="2">
        <v>0</v>
      </c>
      <c r="AB126" s="2">
        <v>0</v>
      </c>
      <c r="AC126" s="2">
        <v>1</v>
      </c>
      <c r="AD126" s="2">
        <v>0</v>
      </c>
      <c r="AE126" s="2">
        <v>0</v>
      </c>
      <c r="AF126" s="2">
        <v>0</v>
      </c>
      <c r="AG126" s="2">
        <v>0</v>
      </c>
      <c r="AH126" s="2">
        <v>0</v>
      </c>
      <c r="AI126" s="2">
        <v>1</v>
      </c>
      <c r="AJ126" s="2" t="s">
        <v>237</v>
      </c>
      <c r="AK126" s="2">
        <v>0</v>
      </c>
      <c r="AL126" s="2">
        <v>1</v>
      </c>
      <c r="AM126" s="2">
        <v>1</v>
      </c>
      <c r="AN126" s="2">
        <v>1</v>
      </c>
      <c r="AO126" s="2">
        <v>0</v>
      </c>
      <c r="AP126" s="2">
        <v>0</v>
      </c>
      <c r="AQ126" s="2">
        <v>1</v>
      </c>
      <c r="AR126" s="2">
        <v>1</v>
      </c>
      <c r="AS126" s="5">
        <v>45362</v>
      </c>
      <c r="AT126" s="2">
        <v>0</v>
      </c>
      <c r="AU126" s="2">
        <v>0</v>
      </c>
      <c r="AV126" s="2">
        <f>Table2[[#This Row],[TTE date]]-Table2[[#This Row],[Date initial positive Bcx]]</f>
        <v>1</v>
      </c>
      <c r="AW126" s="2">
        <v>0</v>
      </c>
      <c r="BA126" s="2">
        <v>0</v>
      </c>
      <c r="BC126" s="2">
        <v>0</v>
      </c>
      <c r="BD126" s="2">
        <f>COUNTIFS(Table2[[#This Row],[Comorbidity present (at least 1)?]], "0",Table2[[#This Row],[Alternative source of infx?]], "1",Table2[[#This Row],[Abx used?]], "1", Table2[[#This Row],[&lt; 3 days defervescence or remained afebrile?]], "1",Table2[[#This Row],[WBC downtrend or remained nrml?]], "1")</f>
        <v>0</v>
      </c>
      <c r="BE126" s="2">
        <f>COUNTIFS(Table2[[#This Row],[&lt; 3 days defervescence or remained afebrile?]], "1",Table2[[#This Row],[WBC downtrend or remained nrml?]], "1")</f>
        <v>1</v>
      </c>
      <c r="BF126" s="2">
        <v>0</v>
      </c>
      <c r="BG126" s="2">
        <v>0</v>
      </c>
      <c r="BH126" s="2">
        <v>0</v>
      </c>
      <c r="BI126" s="2" t="s">
        <v>238</v>
      </c>
    </row>
    <row r="127" spans="1:61">
      <c r="A127" s="2">
        <v>126</v>
      </c>
      <c r="B127" s="5">
        <v>45362</v>
      </c>
      <c r="C127" s="5">
        <v>45367</v>
      </c>
      <c r="D127" s="2">
        <f t="shared" si="4"/>
        <v>5</v>
      </c>
      <c r="E127" s="2">
        <v>80</v>
      </c>
      <c r="F127" s="2">
        <v>2</v>
      </c>
      <c r="G127" s="2">
        <v>2</v>
      </c>
      <c r="H127" s="2">
        <v>1</v>
      </c>
      <c r="I127" s="2">
        <v>0</v>
      </c>
      <c r="J127" s="2">
        <v>0</v>
      </c>
      <c r="K127" s="2">
        <v>0</v>
      </c>
      <c r="L127" s="2">
        <v>0</v>
      </c>
      <c r="M127" s="2">
        <v>0</v>
      </c>
      <c r="N127" s="2">
        <v>1</v>
      </c>
      <c r="O127" s="2" t="s">
        <v>70</v>
      </c>
      <c r="P127" t="s">
        <v>195</v>
      </c>
      <c r="Q127" s="51">
        <v>0</v>
      </c>
      <c r="R127" s="51">
        <v>0</v>
      </c>
      <c r="S127" s="51">
        <v>0</v>
      </c>
      <c r="T127" s="51">
        <v>1</v>
      </c>
      <c r="U127" s="2">
        <v>0</v>
      </c>
      <c r="V127" s="2">
        <v>1</v>
      </c>
      <c r="W127" s="5">
        <v>45362</v>
      </c>
      <c r="X127" s="5">
        <v>45362</v>
      </c>
      <c r="Y127" s="28">
        <f t="shared" si="2"/>
        <v>0</v>
      </c>
      <c r="Z127" s="2">
        <v>0</v>
      </c>
      <c r="AA127" s="2">
        <v>0</v>
      </c>
      <c r="AB127" s="2">
        <v>0</v>
      </c>
      <c r="AC127" s="2">
        <v>0</v>
      </c>
      <c r="AD127" s="2">
        <v>0</v>
      </c>
      <c r="AE127" s="2">
        <v>0</v>
      </c>
      <c r="AF127" s="2">
        <v>0</v>
      </c>
      <c r="AG127" s="2">
        <v>0</v>
      </c>
      <c r="AH127" s="2">
        <v>0</v>
      </c>
      <c r="AI127" s="2">
        <v>1</v>
      </c>
      <c r="AJ127" s="2" t="s">
        <v>239</v>
      </c>
      <c r="AK127" s="2">
        <v>0</v>
      </c>
      <c r="AL127" s="2">
        <v>1</v>
      </c>
      <c r="AM127" s="2">
        <v>1</v>
      </c>
      <c r="AN127" s="2">
        <v>1</v>
      </c>
      <c r="AO127" s="2">
        <v>0</v>
      </c>
      <c r="AP127" s="2">
        <v>0</v>
      </c>
      <c r="AQ127" s="2">
        <v>0</v>
      </c>
      <c r="AR127" s="2">
        <v>1</v>
      </c>
      <c r="AS127" s="5">
        <v>45366</v>
      </c>
      <c r="AT127" s="2">
        <v>0</v>
      </c>
      <c r="AU127" s="2">
        <v>0</v>
      </c>
      <c r="AV127" s="2">
        <f>Table2[[#This Row],[TTE date]]-Table2[[#This Row],[Date initial positive Bcx]]</f>
        <v>4</v>
      </c>
      <c r="AW127" s="2">
        <v>0</v>
      </c>
      <c r="BA127" s="2">
        <v>0</v>
      </c>
      <c r="BC127" s="2">
        <v>0</v>
      </c>
      <c r="BD127" s="2">
        <f>COUNTIFS(Table2[[#This Row],[Comorbidity present (at least 1)?]], "0",Table2[[#This Row],[Alternative source of infx?]], "1",Table2[[#This Row],[Abx used?]], "1", Table2[[#This Row],[&lt; 3 days defervescence or remained afebrile?]], "1",Table2[[#This Row],[WBC downtrend or remained nrml?]], "1")</f>
        <v>0</v>
      </c>
      <c r="BE127" s="2">
        <f>COUNTIFS(Table2[[#This Row],[&lt; 3 days defervescence or remained afebrile?]], "1",Table2[[#This Row],[WBC downtrend or remained nrml?]], "1")</f>
        <v>0</v>
      </c>
      <c r="BF127" s="2">
        <v>0</v>
      </c>
      <c r="BG127" s="2">
        <v>0</v>
      </c>
      <c r="BH127" s="2">
        <v>0</v>
      </c>
      <c r="BI127" s="2" t="s">
        <v>206</v>
      </c>
    </row>
    <row r="128" spans="1:61">
      <c r="A128" s="2">
        <v>127</v>
      </c>
      <c r="B128" s="5">
        <v>45362</v>
      </c>
      <c r="C128" s="5">
        <v>45370</v>
      </c>
      <c r="D128" s="2">
        <f t="shared" si="4"/>
        <v>8</v>
      </c>
      <c r="E128" s="2">
        <v>61</v>
      </c>
      <c r="F128" s="2">
        <v>1</v>
      </c>
      <c r="G128" s="2">
        <v>3</v>
      </c>
      <c r="H128" s="2">
        <v>0</v>
      </c>
      <c r="I128" s="2">
        <v>0</v>
      </c>
      <c r="J128" s="2">
        <v>0</v>
      </c>
      <c r="K128" s="2">
        <v>0</v>
      </c>
      <c r="L128" s="2">
        <v>0</v>
      </c>
      <c r="M128" s="2">
        <v>0</v>
      </c>
      <c r="N128" s="2">
        <v>0</v>
      </c>
      <c r="P128" t="s">
        <v>195</v>
      </c>
      <c r="Q128" s="51">
        <v>0</v>
      </c>
      <c r="R128" s="51">
        <v>0</v>
      </c>
      <c r="S128" s="51">
        <v>0</v>
      </c>
      <c r="T128" s="51">
        <v>1</v>
      </c>
      <c r="U128" s="2">
        <v>0</v>
      </c>
      <c r="V128" s="2">
        <v>1</v>
      </c>
      <c r="W128" s="5">
        <v>45362</v>
      </c>
      <c r="X128" s="5">
        <v>45362</v>
      </c>
      <c r="Y128" s="28">
        <f t="shared" si="2"/>
        <v>0</v>
      </c>
      <c r="Z128" s="2">
        <v>0</v>
      </c>
      <c r="AA128" s="2">
        <v>0</v>
      </c>
      <c r="AB128" s="2">
        <v>0</v>
      </c>
      <c r="AC128" s="2">
        <v>0</v>
      </c>
      <c r="AD128" s="2">
        <v>0</v>
      </c>
      <c r="AE128" s="2">
        <v>0</v>
      </c>
      <c r="AF128" s="2">
        <v>0</v>
      </c>
      <c r="AG128" s="2">
        <v>0</v>
      </c>
      <c r="AH128" s="2">
        <v>0</v>
      </c>
      <c r="AI128" s="2">
        <v>1</v>
      </c>
      <c r="AJ128" s="2" t="s">
        <v>217</v>
      </c>
      <c r="AK128" s="2">
        <v>0</v>
      </c>
      <c r="AL128" s="2">
        <v>1</v>
      </c>
      <c r="AM128" s="2">
        <v>1</v>
      </c>
      <c r="AN128" s="2">
        <v>1</v>
      </c>
      <c r="AO128" s="2">
        <v>0</v>
      </c>
      <c r="AP128" s="2">
        <v>0</v>
      </c>
      <c r="AQ128" s="2">
        <v>1</v>
      </c>
      <c r="AR128" s="2">
        <v>1</v>
      </c>
      <c r="AS128" s="5">
        <v>45364</v>
      </c>
      <c r="AT128" s="2">
        <v>0</v>
      </c>
      <c r="AU128" s="2">
        <v>0</v>
      </c>
      <c r="AV128" s="2">
        <f>Table2[[#This Row],[TTE date]]-Table2[[#This Row],[Date initial positive Bcx]]</f>
        <v>2</v>
      </c>
      <c r="AW128" s="2">
        <v>0</v>
      </c>
      <c r="BA128" s="2">
        <v>0</v>
      </c>
      <c r="BC128" s="2">
        <v>0</v>
      </c>
      <c r="BD128" s="2">
        <f>COUNTIFS(Table2[[#This Row],[Comorbidity present (at least 1)?]], "0",Table2[[#This Row],[Alternative source of infx?]], "1",Table2[[#This Row],[Abx used?]], "1", Table2[[#This Row],[&lt; 3 days defervescence or remained afebrile?]], "1",Table2[[#This Row],[WBC downtrend or remained nrml?]], "1")</f>
        <v>0</v>
      </c>
      <c r="BE128" s="2">
        <f>COUNTIFS(Table2[[#This Row],[&lt; 3 days defervescence or remained afebrile?]], "1",Table2[[#This Row],[WBC downtrend or remained nrml?]], "1")</f>
        <v>1</v>
      </c>
      <c r="BF128" s="2">
        <v>0</v>
      </c>
      <c r="BG128" s="2">
        <v>0</v>
      </c>
      <c r="BH128" s="2">
        <v>0</v>
      </c>
      <c r="BI128" s="2" t="s">
        <v>206</v>
      </c>
    </row>
    <row r="129" spans="1:61">
      <c r="A129" s="2">
        <v>128</v>
      </c>
      <c r="B129" s="5">
        <v>45365</v>
      </c>
      <c r="C129" s="5">
        <v>45377</v>
      </c>
      <c r="D129" s="2">
        <f t="shared" si="4"/>
        <v>12</v>
      </c>
      <c r="E129" s="2">
        <v>54</v>
      </c>
      <c r="F129" s="2">
        <v>1</v>
      </c>
      <c r="G129" s="2">
        <v>2</v>
      </c>
      <c r="H129" s="2">
        <v>1</v>
      </c>
      <c r="I129" s="2">
        <v>0</v>
      </c>
      <c r="J129" s="2">
        <v>0</v>
      </c>
      <c r="K129" s="2">
        <v>0</v>
      </c>
      <c r="L129" s="2">
        <v>1</v>
      </c>
      <c r="M129" s="2">
        <v>0</v>
      </c>
      <c r="N129" s="2">
        <v>0</v>
      </c>
      <c r="P129" t="s">
        <v>179</v>
      </c>
      <c r="Q129" s="51">
        <v>0</v>
      </c>
      <c r="R129" s="51">
        <v>0</v>
      </c>
      <c r="S129" s="51">
        <v>0</v>
      </c>
      <c r="T129" s="51">
        <v>1</v>
      </c>
      <c r="U129" s="2">
        <v>0</v>
      </c>
      <c r="V129" s="2">
        <v>1</v>
      </c>
      <c r="W129" s="5">
        <v>45365</v>
      </c>
      <c r="X129" s="5">
        <v>45365</v>
      </c>
      <c r="Y129" s="28">
        <f t="shared" si="2"/>
        <v>0</v>
      </c>
      <c r="Z129" s="2">
        <v>1</v>
      </c>
      <c r="AA129" s="2">
        <v>0</v>
      </c>
      <c r="AB129" s="2">
        <v>0</v>
      </c>
      <c r="AC129" s="2">
        <v>1</v>
      </c>
      <c r="AD129" s="2">
        <v>0</v>
      </c>
      <c r="AE129" s="2">
        <v>0</v>
      </c>
      <c r="AF129" s="2">
        <v>0</v>
      </c>
      <c r="AG129" s="2">
        <v>0</v>
      </c>
      <c r="AH129" s="2">
        <v>0</v>
      </c>
      <c r="AI129" s="2">
        <v>1</v>
      </c>
      <c r="AJ129" s="2" t="s">
        <v>240</v>
      </c>
      <c r="AK129" s="2">
        <v>0</v>
      </c>
      <c r="AL129" s="2">
        <v>1</v>
      </c>
      <c r="AM129" s="2">
        <v>1</v>
      </c>
      <c r="AN129" s="2">
        <v>1</v>
      </c>
      <c r="AO129" s="2">
        <v>0</v>
      </c>
      <c r="AP129" s="2">
        <v>0</v>
      </c>
      <c r="AQ129" s="2">
        <v>1</v>
      </c>
      <c r="AR129" s="2">
        <v>1</v>
      </c>
      <c r="AS129" s="5">
        <v>45370</v>
      </c>
      <c r="AT129" s="2">
        <v>0</v>
      </c>
      <c r="AU129" s="2">
        <v>0</v>
      </c>
      <c r="AV129" s="2">
        <f>Table2[[#This Row],[TTE date]]-Table2[[#This Row],[Date initial positive Bcx]]</f>
        <v>5</v>
      </c>
      <c r="AW129" s="2">
        <v>0</v>
      </c>
      <c r="BA129" s="2">
        <v>0</v>
      </c>
      <c r="BC129" s="2">
        <v>0</v>
      </c>
      <c r="BD129" s="2">
        <f>COUNTIFS(Table2[[#This Row],[Comorbidity present (at least 1)?]], "0",Table2[[#This Row],[Alternative source of infx?]], "1",Table2[[#This Row],[Abx used?]], "1", Table2[[#This Row],[&lt; 3 days defervescence or remained afebrile?]], "1",Table2[[#This Row],[WBC downtrend or remained nrml?]], "1")</f>
        <v>0</v>
      </c>
      <c r="BE129" s="2">
        <f>COUNTIFS(Table2[[#This Row],[&lt; 3 days defervescence or remained afebrile?]], "1",Table2[[#This Row],[WBC downtrend or remained nrml?]], "1")</f>
        <v>1</v>
      </c>
      <c r="BF129" s="2">
        <v>0</v>
      </c>
      <c r="BG129" s="2">
        <v>0</v>
      </c>
      <c r="BH129" s="2">
        <v>0</v>
      </c>
      <c r="BI129" s="2" t="s">
        <v>241</v>
      </c>
    </row>
    <row r="130" spans="1:61">
      <c r="A130" s="2">
        <v>129</v>
      </c>
      <c r="B130" s="5">
        <v>45365</v>
      </c>
      <c r="C130" s="5">
        <v>45378</v>
      </c>
      <c r="D130" s="2">
        <f t="shared" si="4"/>
        <v>13</v>
      </c>
      <c r="E130" s="2">
        <v>74</v>
      </c>
      <c r="F130" s="2">
        <v>1</v>
      </c>
      <c r="G130" s="2">
        <v>2</v>
      </c>
      <c r="H130" s="2">
        <v>0</v>
      </c>
      <c r="I130" s="2">
        <v>0</v>
      </c>
      <c r="J130" s="2">
        <v>0</v>
      </c>
      <c r="K130" s="2">
        <v>0</v>
      </c>
      <c r="L130" s="2">
        <v>0</v>
      </c>
      <c r="M130" s="2">
        <v>0</v>
      </c>
      <c r="N130" s="2">
        <v>0</v>
      </c>
      <c r="P130" t="s">
        <v>179</v>
      </c>
      <c r="Q130" s="51">
        <v>0</v>
      </c>
      <c r="R130" s="51">
        <v>0</v>
      </c>
      <c r="S130" s="51">
        <v>0</v>
      </c>
      <c r="T130" s="51">
        <v>1</v>
      </c>
      <c r="U130" s="2">
        <v>0</v>
      </c>
      <c r="V130" s="2">
        <v>1</v>
      </c>
      <c r="W130" s="5">
        <v>45365</v>
      </c>
      <c r="X130" s="5">
        <v>45365</v>
      </c>
      <c r="Y130" s="28">
        <f t="shared" si="2"/>
        <v>0</v>
      </c>
      <c r="Z130" s="2">
        <v>0</v>
      </c>
      <c r="AA130" s="2">
        <v>0</v>
      </c>
      <c r="AB130" s="2">
        <v>0</v>
      </c>
      <c r="AC130" s="2">
        <v>0</v>
      </c>
      <c r="AD130" s="2">
        <v>0</v>
      </c>
      <c r="AE130" s="2">
        <v>0</v>
      </c>
      <c r="AF130" s="2">
        <v>0</v>
      </c>
      <c r="AG130" s="2">
        <v>0</v>
      </c>
      <c r="AH130" s="2">
        <v>0</v>
      </c>
      <c r="AI130" s="2">
        <v>1</v>
      </c>
      <c r="AJ130" s="2" t="s">
        <v>68</v>
      </c>
      <c r="AK130" s="2">
        <v>0</v>
      </c>
      <c r="AL130" s="2">
        <v>0</v>
      </c>
      <c r="AM130" s="2">
        <v>1</v>
      </c>
      <c r="AN130" s="2">
        <v>0</v>
      </c>
      <c r="AO130" s="2">
        <v>0</v>
      </c>
      <c r="AP130" s="2">
        <v>1</v>
      </c>
      <c r="AQ130" s="2">
        <v>0</v>
      </c>
      <c r="AR130" s="2">
        <v>0</v>
      </c>
      <c r="AW130" s="2">
        <v>0</v>
      </c>
      <c r="BA130" s="2">
        <v>0</v>
      </c>
      <c r="BC130" s="2">
        <v>0</v>
      </c>
      <c r="BD130" s="2">
        <f>COUNTIFS(Table2[[#This Row],[Comorbidity present (at least 1)?]], "0",Table2[[#This Row],[Alternative source of infx?]], "1",Table2[[#This Row],[Abx used?]], "1", Table2[[#This Row],[&lt; 3 days defervescence or remained afebrile?]], "1",Table2[[#This Row],[WBC downtrend or remained nrml?]], "1")</f>
        <v>0</v>
      </c>
      <c r="BE130" s="2">
        <f>COUNTIFS(Table2[[#This Row],[&lt; 3 days defervescence or remained afebrile?]], "1",Table2[[#This Row],[WBC downtrend or remained nrml?]], "1")</f>
        <v>0</v>
      </c>
      <c r="BF130" s="2">
        <v>0</v>
      </c>
      <c r="BG130" s="2">
        <v>0</v>
      </c>
      <c r="BH130" s="2">
        <v>0</v>
      </c>
      <c r="BI130" s="2" t="s">
        <v>206</v>
      </c>
    </row>
    <row r="131" spans="1:61">
      <c r="A131" s="2">
        <v>130</v>
      </c>
      <c r="B131" s="5">
        <v>45367</v>
      </c>
      <c r="C131" s="5">
        <v>45370</v>
      </c>
      <c r="D131" s="2">
        <f t="shared" si="4"/>
        <v>3</v>
      </c>
      <c r="E131" s="2">
        <v>53</v>
      </c>
      <c r="F131" s="2">
        <v>1</v>
      </c>
      <c r="G131" s="2">
        <v>5</v>
      </c>
      <c r="H131" s="2">
        <v>0</v>
      </c>
      <c r="I131" s="2">
        <v>0</v>
      </c>
      <c r="J131" s="2">
        <v>0</v>
      </c>
      <c r="K131" s="2">
        <v>0</v>
      </c>
      <c r="L131" s="2">
        <v>0</v>
      </c>
      <c r="M131" s="2">
        <v>0</v>
      </c>
      <c r="N131" s="2">
        <v>0</v>
      </c>
      <c r="P131" t="s">
        <v>179</v>
      </c>
      <c r="Q131" s="51">
        <v>0</v>
      </c>
      <c r="R131" s="51">
        <v>0</v>
      </c>
      <c r="S131" s="51">
        <v>0</v>
      </c>
      <c r="T131" s="51">
        <v>1</v>
      </c>
      <c r="U131" s="2">
        <v>0</v>
      </c>
      <c r="V131" s="2">
        <v>1</v>
      </c>
      <c r="W131" s="5">
        <v>45367</v>
      </c>
      <c r="X131" s="5">
        <v>45367</v>
      </c>
      <c r="Y131" s="28">
        <f t="shared" ref="Y131:Y135" si="5">X131-W131</f>
        <v>0</v>
      </c>
      <c r="Z131" s="2">
        <v>0</v>
      </c>
      <c r="AA131" s="2">
        <v>0</v>
      </c>
      <c r="AB131" s="2">
        <v>0</v>
      </c>
      <c r="AC131" s="2">
        <v>0</v>
      </c>
      <c r="AD131" s="2">
        <v>0</v>
      </c>
      <c r="AE131" s="2">
        <v>0</v>
      </c>
      <c r="AF131" s="2">
        <v>0</v>
      </c>
      <c r="AG131" s="2">
        <v>0</v>
      </c>
      <c r="AH131" s="2">
        <v>0</v>
      </c>
      <c r="AI131" s="2">
        <v>1</v>
      </c>
      <c r="AJ131" s="2" t="s">
        <v>117</v>
      </c>
      <c r="AK131" s="2">
        <v>0</v>
      </c>
      <c r="AL131" s="2">
        <v>0</v>
      </c>
      <c r="AM131" s="2">
        <v>1</v>
      </c>
      <c r="AN131" s="2">
        <v>0</v>
      </c>
      <c r="AO131" s="2">
        <v>0</v>
      </c>
      <c r="AP131" s="2">
        <v>1</v>
      </c>
      <c r="AQ131" s="2">
        <v>1</v>
      </c>
      <c r="AR131" s="2">
        <v>0</v>
      </c>
      <c r="AW131" s="2">
        <v>0</v>
      </c>
      <c r="BA131" s="2">
        <v>0</v>
      </c>
      <c r="BC131" s="2">
        <v>0</v>
      </c>
      <c r="BD131" s="2">
        <f>COUNTIFS(Table2[[#This Row],[Comorbidity present (at least 1)?]], "0",Table2[[#This Row],[Alternative source of infx?]], "1",Table2[[#This Row],[Abx used?]], "1", Table2[[#This Row],[&lt; 3 days defervescence or remained afebrile?]], "1",Table2[[#This Row],[WBC downtrend or remained nrml?]], "1")</f>
        <v>0</v>
      </c>
      <c r="BE131" s="2">
        <f>COUNTIFS(Table2[[#This Row],[&lt; 3 days defervescence or remained afebrile?]], "1",Table2[[#This Row],[WBC downtrend or remained nrml?]], "1")</f>
        <v>1</v>
      </c>
      <c r="BF131" s="2">
        <v>0</v>
      </c>
      <c r="BG131" s="2">
        <v>0</v>
      </c>
      <c r="BH131" s="2">
        <v>0</v>
      </c>
      <c r="BI131" s="2" t="s">
        <v>206</v>
      </c>
    </row>
    <row r="132" spans="1:61">
      <c r="A132" s="2">
        <v>131</v>
      </c>
      <c r="B132" s="5">
        <v>45368</v>
      </c>
      <c r="C132" s="5">
        <v>45376</v>
      </c>
      <c r="D132" s="2">
        <f t="shared" si="4"/>
        <v>8</v>
      </c>
      <c r="E132" s="2">
        <v>23</v>
      </c>
      <c r="F132" s="2">
        <v>2</v>
      </c>
      <c r="G132" s="2">
        <v>2</v>
      </c>
      <c r="H132" s="2">
        <v>0</v>
      </c>
      <c r="I132" s="2">
        <v>0</v>
      </c>
      <c r="J132" s="2">
        <v>0</v>
      </c>
      <c r="K132" s="2">
        <v>0</v>
      </c>
      <c r="L132" s="2">
        <v>0</v>
      </c>
      <c r="M132" s="2">
        <v>0</v>
      </c>
      <c r="N132" s="2">
        <v>0</v>
      </c>
      <c r="P132" t="s">
        <v>179</v>
      </c>
      <c r="Q132" s="51">
        <v>0</v>
      </c>
      <c r="R132" s="51">
        <v>0</v>
      </c>
      <c r="S132" s="51">
        <v>0</v>
      </c>
      <c r="T132" s="51">
        <v>1</v>
      </c>
      <c r="U132" s="2">
        <v>0</v>
      </c>
      <c r="V132" s="2">
        <v>1</v>
      </c>
      <c r="W132" s="5">
        <v>45368</v>
      </c>
      <c r="X132" s="5">
        <v>45368</v>
      </c>
      <c r="Y132" s="28">
        <f t="shared" si="5"/>
        <v>0</v>
      </c>
      <c r="Z132" s="2">
        <v>0</v>
      </c>
      <c r="AA132" s="2">
        <v>0</v>
      </c>
      <c r="AB132" s="2">
        <v>0</v>
      </c>
      <c r="AC132" s="2">
        <v>0</v>
      </c>
      <c r="AD132" s="2">
        <v>0</v>
      </c>
      <c r="AE132" s="2">
        <v>0</v>
      </c>
      <c r="AF132" s="2">
        <v>0</v>
      </c>
      <c r="AG132" s="2">
        <v>0</v>
      </c>
      <c r="AH132" s="2">
        <v>0</v>
      </c>
      <c r="AI132" s="2">
        <v>1</v>
      </c>
      <c r="AJ132" s="2" t="s">
        <v>91</v>
      </c>
      <c r="AK132" s="2">
        <v>0</v>
      </c>
      <c r="AL132" s="2">
        <v>1</v>
      </c>
      <c r="AM132" s="2">
        <v>0</v>
      </c>
      <c r="AN132" s="2">
        <v>0</v>
      </c>
      <c r="AO132" s="2">
        <v>1</v>
      </c>
      <c r="AP132" s="2">
        <v>0</v>
      </c>
      <c r="AQ132" s="2">
        <v>1</v>
      </c>
      <c r="AR132" s="11">
        <v>1</v>
      </c>
      <c r="AS132" s="5">
        <v>45373</v>
      </c>
      <c r="AT132" s="2">
        <v>0</v>
      </c>
      <c r="AU132" s="2">
        <v>0</v>
      </c>
      <c r="AV132" s="2">
        <f>Table2[[#This Row],[TTE date]]-Table2[[#This Row],[Date initial positive Bcx]]</f>
        <v>5</v>
      </c>
      <c r="AW132" s="2">
        <v>0</v>
      </c>
      <c r="BA132" s="2">
        <v>0</v>
      </c>
      <c r="BC132" s="2">
        <v>0</v>
      </c>
      <c r="BD132" s="2">
        <f>COUNTIFS(Table2[[#This Row],[Comorbidity present (at least 1)?]], "0",Table2[[#This Row],[Alternative source of infx?]], "1",Table2[[#This Row],[Abx used?]], "1", Table2[[#This Row],[&lt; 3 days defervescence or remained afebrile?]], "1",Table2[[#This Row],[WBC downtrend or remained nrml?]], "1")</f>
        <v>0</v>
      </c>
      <c r="BE132" s="2">
        <f>COUNTIFS(Table2[[#This Row],[&lt; 3 days defervescence or remained afebrile?]], "1",Table2[[#This Row],[WBC downtrend or remained nrml?]], "1")</f>
        <v>0</v>
      </c>
      <c r="BF132" s="2">
        <v>0</v>
      </c>
      <c r="BG132" s="2">
        <v>0</v>
      </c>
      <c r="BH132" s="2">
        <v>0</v>
      </c>
      <c r="BI132" s="2" t="s">
        <v>206</v>
      </c>
    </row>
    <row r="133" spans="1:61">
      <c r="A133" s="2">
        <v>132</v>
      </c>
      <c r="B133" s="5">
        <v>45363</v>
      </c>
      <c r="C133" s="5">
        <v>45401</v>
      </c>
      <c r="D133" s="2">
        <f t="shared" si="4"/>
        <v>38</v>
      </c>
      <c r="E133" s="2">
        <v>41</v>
      </c>
      <c r="F133" s="2">
        <v>1</v>
      </c>
      <c r="G133" s="2">
        <v>3</v>
      </c>
      <c r="H133" s="2">
        <v>1</v>
      </c>
      <c r="I133" s="2">
        <v>0</v>
      </c>
      <c r="J133" s="2">
        <v>0</v>
      </c>
      <c r="K133" s="2">
        <v>0</v>
      </c>
      <c r="L133" s="2">
        <v>1</v>
      </c>
      <c r="M133" s="2">
        <v>0</v>
      </c>
      <c r="N133" s="2">
        <v>0</v>
      </c>
      <c r="P133" t="s">
        <v>179</v>
      </c>
      <c r="Q133" s="51">
        <v>0</v>
      </c>
      <c r="R133" s="51">
        <v>0</v>
      </c>
      <c r="S133" s="51">
        <v>0</v>
      </c>
      <c r="T133" s="51">
        <v>1</v>
      </c>
      <c r="U133" s="2">
        <v>0</v>
      </c>
      <c r="V133" s="2">
        <v>1</v>
      </c>
      <c r="W133" s="5">
        <v>45370</v>
      </c>
      <c r="X133" s="5">
        <v>45370</v>
      </c>
      <c r="Y133" s="28">
        <f t="shared" si="5"/>
        <v>0</v>
      </c>
      <c r="Z133" s="2">
        <v>1</v>
      </c>
      <c r="AA133" s="2">
        <v>0</v>
      </c>
      <c r="AB133" s="2">
        <v>0</v>
      </c>
      <c r="AC133" s="2">
        <v>1</v>
      </c>
      <c r="AD133" s="2">
        <v>0</v>
      </c>
      <c r="AE133" s="2">
        <v>0</v>
      </c>
      <c r="AF133" s="2">
        <v>0</v>
      </c>
      <c r="AG133" s="2">
        <v>0</v>
      </c>
      <c r="AH133" s="2">
        <v>0</v>
      </c>
      <c r="AI133" s="2">
        <v>1</v>
      </c>
      <c r="AJ133" s="2" t="s">
        <v>91</v>
      </c>
      <c r="AK133" s="2">
        <v>1</v>
      </c>
      <c r="AL133" s="2">
        <v>1</v>
      </c>
      <c r="AM133" s="2">
        <v>1</v>
      </c>
      <c r="AN133" s="2">
        <v>1</v>
      </c>
      <c r="AO133" s="2">
        <v>0</v>
      </c>
      <c r="AP133" s="2">
        <v>0</v>
      </c>
      <c r="AQ133" s="2">
        <v>1</v>
      </c>
      <c r="AR133" s="2">
        <v>1</v>
      </c>
      <c r="AS133" s="5">
        <v>45372</v>
      </c>
      <c r="AT133" s="2">
        <v>0</v>
      </c>
      <c r="AU133" s="2">
        <v>0</v>
      </c>
      <c r="AV133" s="2">
        <f>Table2[[#This Row],[TTE date]]-Table2[[#This Row],[Date initial positive Bcx]]</f>
        <v>2</v>
      </c>
      <c r="AW133" s="2">
        <v>0</v>
      </c>
      <c r="BA133" s="2">
        <v>0</v>
      </c>
      <c r="BC133" s="2">
        <v>0</v>
      </c>
      <c r="BD133" s="2">
        <f>COUNTIFS(Table2[[#This Row],[Comorbidity present (at least 1)?]], "0",Table2[[#This Row],[Alternative source of infx?]], "1",Table2[[#This Row],[Abx used?]], "1", Table2[[#This Row],[&lt; 3 days defervescence or remained afebrile?]], "1",Table2[[#This Row],[WBC downtrend or remained nrml?]], "1")</f>
        <v>0</v>
      </c>
      <c r="BE133" s="2">
        <f>COUNTIFS(Table2[[#This Row],[&lt; 3 days defervescence or remained afebrile?]], "1",Table2[[#This Row],[WBC downtrend or remained nrml?]], "1")</f>
        <v>1</v>
      </c>
      <c r="BF133" s="2">
        <v>0</v>
      </c>
      <c r="BG133" s="2">
        <v>0</v>
      </c>
      <c r="BH133" s="2">
        <v>0</v>
      </c>
      <c r="BI133" s="2" t="s">
        <v>242</v>
      </c>
    </row>
    <row r="134" spans="1:61">
      <c r="A134" s="2">
        <v>133</v>
      </c>
      <c r="B134" s="5">
        <v>45372</v>
      </c>
      <c r="C134" s="5">
        <v>45377</v>
      </c>
      <c r="D134" s="2">
        <f t="shared" si="4"/>
        <v>5</v>
      </c>
      <c r="E134" s="2">
        <v>73</v>
      </c>
      <c r="F134" s="2">
        <v>2</v>
      </c>
      <c r="G134" s="2">
        <v>2</v>
      </c>
      <c r="H134" s="2">
        <v>1</v>
      </c>
      <c r="I134" s="2">
        <v>0</v>
      </c>
      <c r="J134" s="2">
        <v>0</v>
      </c>
      <c r="K134" s="2">
        <v>0</v>
      </c>
      <c r="L134" s="2">
        <v>1</v>
      </c>
      <c r="M134" s="2">
        <v>0</v>
      </c>
      <c r="N134" s="2">
        <v>0</v>
      </c>
      <c r="P134" t="s">
        <v>195</v>
      </c>
      <c r="Q134" s="51">
        <v>0</v>
      </c>
      <c r="R134" s="51">
        <v>0</v>
      </c>
      <c r="S134" s="51">
        <v>0</v>
      </c>
      <c r="T134" s="51">
        <v>1</v>
      </c>
      <c r="U134" s="2">
        <v>0</v>
      </c>
      <c r="V134" s="2">
        <v>1</v>
      </c>
      <c r="W134" s="5">
        <v>45372</v>
      </c>
      <c r="X134" s="5">
        <v>45372</v>
      </c>
      <c r="Y134" s="28">
        <f t="shared" si="5"/>
        <v>0</v>
      </c>
      <c r="Z134" s="2">
        <v>0</v>
      </c>
      <c r="AA134" s="2">
        <v>0</v>
      </c>
      <c r="AB134" s="2">
        <v>0</v>
      </c>
      <c r="AC134" s="2">
        <v>0</v>
      </c>
      <c r="AD134" s="2">
        <v>0</v>
      </c>
      <c r="AE134" s="2">
        <v>0</v>
      </c>
      <c r="AF134" s="2">
        <v>0</v>
      </c>
      <c r="AG134" s="2">
        <v>0</v>
      </c>
      <c r="AH134" s="2">
        <v>0</v>
      </c>
      <c r="AI134" s="2">
        <v>1</v>
      </c>
      <c r="AJ134" s="2" t="s">
        <v>68</v>
      </c>
      <c r="AK134" s="2">
        <v>0</v>
      </c>
      <c r="AL134" s="2">
        <v>1</v>
      </c>
      <c r="AM134" s="2">
        <v>1</v>
      </c>
      <c r="AN134" s="2">
        <v>1</v>
      </c>
      <c r="AO134" s="2">
        <v>0</v>
      </c>
      <c r="AP134" s="2">
        <v>0</v>
      </c>
      <c r="AQ134" s="2">
        <v>1</v>
      </c>
      <c r="AR134" s="2">
        <v>0</v>
      </c>
      <c r="AW134" s="2">
        <v>0</v>
      </c>
      <c r="BA134" s="2">
        <v>0</v>
      </c>
      <c r="BC134" s="2">
        <v>0</v>
      </c>
      <c r="BD134" s="2">
        <f>COUNTIFS(Table2[[#This Row],[Comorbidity present (at least 1)?]], "0",Table2[[#This Row],[Alternative source of infx?]], "1",Table2[[#This Row],[Abx used?]], "1", Table2[[#This Row],[&lt; 3 days defervescence or remained afebrile?]], "1",Table2[[#This Row],[WBC downtrend or remained nrml?]], "1")</f>
        <v>0</v>
      </c>
      <c r="BE134" s="2">
        <f>COUNTIFS(Table2[[#This Row],[&lt; 3 days defervescence or remained afebrile?]], "1",Table2[[#This Row],[WBC downtrend or remained nrml?]], "1")</f>
        <v>1</v>
      </c>
      <c r="BF134" s="2">
        <v>0</v>
      </c>
      <c r="BG134" s="2">
        <v>0</v>
      </c>
      <c r="BH134" s="2">
        <v>0</v>
      </c>
      <c r="BI134" s="2" t="s">
        <v>243</v>
      </c>
    </row>
    <row r="135" spans="1:61">
      <c r="A135" s="2">
        <v>134</v>
      </c>
      <c r="B135" s="5">
        <v>45378</v>
      </c>
      <c r="C135" s="5">
        <v>45387</v>
      </c>
      <c r="D135" s="2">
        <f t="shared" si="4"/>
        <v>9</v>
      </c>
      <c r="E135" s="2">
        <v>59</v>
      </c>
      <c r="F135" s="2">
        <v>2</v>
      </c>
      <c r="G135" s="2">
        <v>2</v>
      </c>
      <c r="H135" s="2">
        <v>0</v>
      </c>
      <c r="I135" s="2">
        <v>0</v>
      </c>
      <c r="J135" s="2">
        <v>0</v>
      </c>
      <c r="K135" s="2">
        <v>0</v>
      </c>
      <c r="L135" s="2">
        <v>0</v>
      </c>
      <c r="M135" s="2">
        <v>0</v>
      </c>
      <c r="N135" s="2">
        <v>0</v>
      </c>
      <c r="P135" t="s">
        <v>179</v>
      </c>
      <c r="Q135" s="51">
        <v>0</v>
      </c>
      <c r="R135" s="51">
        <v>0</v>
      </c>
      <c r="S135" s="51">
        <v>0</v>
      </c>
      <c r="T135" s="51">
        <v>1</v>
      </c>
      <c r="U135" s="2">
        <v>0</v>
      </c>
      <c r="V135" s="2">
        <v>1</v>
      </c>
      <c r="W135" s="5">
        <v>45378</v>
      </c>
      <c r="X135" s="5">
        <v>45378</v>
      </c>
      <c r="Y135" s="28">
        <f t="shared" si="5"/>
        <v>0</v>
      </c>
      <c r="Z135" s="2">
        <v>0</v>
      </c>
      <c r="AA135" s="2">
        <v>0</v>
      </c>
      <c r="AB135" s="2">
        <v>0</v>
      </c>
      <c r="AC135" s="2">
        <v>0</v>
      </c>
      <c r="AD135" s="2">
        <v>0</v>
      </c>
      <c r="AE135" s="2">
        <v>0</v>
      </c>
      <c r="AF135" s="2">
        <v>0</v>
      </c>
      <c r="AG135" s="2">
        <v>0</v>
      </c>
      <c r="AH135" s="2">
        <v>0</v>
      </c>
      <c r="AI135" s="2">
        <v>1</v>
      </c>
      <c r="AJ135" s="2" t="s">
        <v>117</v>
      </c>
      <c r="AK135" s="2">
        <v>0</v>
      </c>
      <c r="AL135" s="2">
        <v>1</v>
      </c>
      <c r="AM135" s="2">
        <v>1</v>
      </c>
      <c r="AN135" s="2">
        <v>1</v>
      </c>
      <c r="AO135" s="2">
        <v>0</v>
      </c>
      <c r="AP135" s="2">
        <v>0</v>
      </c>
      <c r="AQ135" s="2">
        <v>1</v>
      </c>
      <c r="AR135" s="2">
        <v>0</v>
      </c>
      <c r="AW135" s="2">
        <v>0</v>
      </c>
      <c r="BA135" s="2">
        <v>0</v>
      </c>
      <c r="BC135" s="2">
        <v>0</v>
      </c>
      <c r="BD135" s="2">
        <f>COUNTIFS(Table2[[#This Row],[Comorbidity present (at least 1)?]], "0",Table2[[#This Row],[Alternative source of infx?]], "1",Table2[[#This Row],[Abx used?]], "1", Table2[[#This Row],[&lt; 3 days defervescence or remained afebrile?]], "1",Table2[[#This Row],[WBC downtrend or remained nrml?]], "1")</f>
        <v>0</v>
      </c>
      <c r="BE135" s="2">
        <f>COUNTIFS(Table2[[#This Row],[&lt; 3 days defervescence or remained afebrile?]], "1",Table2[[#This Row],[WBC downtrend or remained nrml?]], "1")</f>
        <v>1</v>
      </c>
      <c r="BF135" s="2">
        <v>0</v>
      </c>
      <c r="BG135" s="2">
        <v>0</v>
      </c>
      <c r="BH135" s="2">
        <v>0</v>
      </c>
      <c r="BI135" s="2" t="s">
        <v>206</v>
      </c>
    </row>
    <row r="137" spans="1:61">
      <c r="E137" s="2">
        <f>AVERAGE(Table2[LOS])</f>
        <v>13.719696969696969</v>
      </c>
      <c r="F137" s="2">
        <f>AVERAGE(Table2[Age])</f>
        <v>68.432835820895519</v>
      </c>
      <c r="W137" s="2">
        <f>AVERAGE(Table2[Total sets of positive Bcx])</f>
        <v>1.8432835820895523</v>
      </c>
    </row>
    <row r="138" spans="1:61">
      <c r="E138" s="2">
        <f>STDEV(Table2[LOS])</f>
        <v>14.886499029072825</v>
      </c>
      <c r="F138" s="2">
        <f>STDEV(Table2[Age])</f>
        <v>16.336889278444374</v>
      </c>
      <c r="W138" s="2">
        <f>STDEV(Table2[Total sets of positive Bcx])</f>
        <v>1.5111340043579595</v>
      </c>
    </row>
    <row r="142" spans="1:61">
      <c r="D142"/>
      <c r="E142"/>
      <c r="F142"/>
    </row>
    <row r="143" spans="1:61">
      <c r="D143"/>
      <c r="E143"/>
      <c r="F143"/>
    </row>
    <row r="144" spans="1:61">
      <c r="D144"/>
      <c r="E144"/>
      <c r="F144"/>
    </row>
    <row r="145" spans="4:6">
      <c r="D145"/>
      <c r="E145"/>
      <c r="F145"/>
    </row>
    <row r="146" spans="4:6">
      <c r="D146"/>
      <c r="E146"/>
      <c r="F146"/>
    </row>
    <row r="147" spans="4:6">
      <c r="D147"/>
      <c r="E147"/>
      <c r="F147"/>
    </row>
    <row r="148" spans="4:6">
      <c r="D148"/>
      <c r="E148"/>
      <c r="F148"/>
    </row>
    <row r="149" spans="4:6">
      <c r="D149"/>
      <c r="E149"/>
      <c r="F149"/>
    </row>
    <row r="150" spans="4:6">
      <c r="D150"/>
      <c r="E150"/>
      <c r="F150"/>
    </row>
    <row r="151" spans="4:6">
      <c r="D151"/>
      <c r="E151"/>
      <c r="F151"/>
    </row>
    <row r="152" spans="4:6">
      <c r="D152"/>
      <c r="E152"/>
      <c r="F152"/>
    </row>
    <row r="153" spans="4:6">
      <c r="D153"/>
      <c r="E153"/>
      <c r="F153"/>
    </row>
    <row r="154" spans="4:6">
      <c r="D154"/>
      <c r="E154"/>
      <c r="F154"/>
    </row>
    <row r="155" spans="4:6">
      <c r="D155"/>
      <c r="E155"/>
      <c r="F155"/>
    </row>
    <row r="156" spans="4:6">
      <c r="D156"/>
      <c r="E156"/>
      <c r="F156"/>
    </row>
    <row r="157" spans="4:6">
      <c r="D157"/>
      <c r="E157"/>
      <c r="F157"/>
    </row>
    <row r="158" spans="4:6">
      <c r="D158"/>
      <c r="E158"/>
      <c r="F158"/>
    </row>
    <row r="159" spans="4:6">
      <c r="D159"/>
      <c r="E159"/>
      <c r="F159"/>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970F4-E4B6-4658-AE9D-7FABFA941C7E}">
  <dimension ref="A1:BB117"/>
  <sheetViews>
    <sheetView topLeftCell="A96" workbookViewId="0">
      <selection activeCell="E116" sqref="E116"/>
    </sheetView>
  </sheetViews>
  <sheetFormatPr defaultRowHeight="15"/>
  <cols>
    <col min="34" max="34" width="11.85546875" customWidth="1"/>
    <col min="50" max="50" width="13.7109375" customWidth="1"/>
    <col min="51" max="54" width="12.42578125" customWidth="1"/>
    <col min="55" max="55" width="10.28515625" customWidth="1"/>
  </cols>
  <sheetData>
    <row r="1" spans="1:54" s="1" customFormat="1" ht="87.75" customHeight="1">
      <c r="A1" s="1" t="s">
        <v>0</v>
      </c>
      <c r="B1" s="44" t="s">
        <v>1</v>
      </c>
      <c r="C1" s="44" t="s">
        <v>2</v>
      </c>
      <c r="D1" s="44" t="s">
        <v>3</v>
      </c>
      <c r="E1" s="44" t="s">
        <v>4</v>
      </c>
      <c r="F1" s="44" t="s">
        <v>5</v>
      </c>
      <c r="G1" s="44" t="s">
        <v>6</v>
      </c>
      <c r="H1" s="1" t="s">
        <v>7</v>
      </c>
      <c r="I1" s="1" t="s">
        <v>8</v>
      </c>
      <c r="J1" s="1" t="s">
        <v>9</v>
      </c>
      <c r="K1" s="1" t="s">
        <v>10</v>
      </c>
      <c r="L1" s="1" t="s">
        <v>11</v>
      </c>
      <c r="M1" s="1" t="s">
        <v>12</v>
      </c>
      <c r="N1" s="1" t="s">
        <v>13</v>
      </c>
      <c r="O1" s="1" t="s">
        <v>14</v>
      </c>
      <c r="P1" s="4" t="s">
        <v>15</v>
      </c>
      <c r="Q1" s="1" t="s">
        <v>16</v>
      </c>
      <c r="R1" s="1" t="s">
        <v>17</v>
      </c>
      <c r="S1" s="1" t="s">
        <v>18</v>
      </c>
      <c r="T1" s="1" t="s">
        <v>19</v>
      </c>
      <c r="U1" s="1" t="s">
        <v>275</v>
      </c>
      <c r="V1" s="1" t="s">
        <v>20</v>
      </c>
      <c r="W1" s="1" t="s">
        <v>21</v>
      </c>
      <c r="X1" s="1" t="s">
        <v>22</v>
      </c>
      <c r="Y1" s="1" t="s">
        <v>23</v>
      </c>
      <c r="Z1" s="1" t="s">
        <v>24</v>
      </c>
      <c r="AA1" s="1" t="s">
        <v>25</v>
      </c>
      <c r="AB1" s="1" t="s">
        <v>26</v>
      </c>
      <c r="AC1" s="1" t="s">
        <v>27</v>
      </c>
      <c r="AD1" s="1" t="s">
        <v>28</v>
      </c>
      <c r="AE1" s="4" t="s">
        <v>29</v>
      </c>
      <c r="AF1" s="1" t="s">
        <v>30</v>
      </c>
      <c r="AG1" s="1" t="s">
        <v>31</v>
      </c>
      <c r="AH1" s="1" t="s">
        <v>32</v>
      </c>
      <c r="AI1" s="1" t="s">
        <v>33</v>
      </c>
      <c r="AJ1" s="1" t="s">
        <v>34</v>
      </c>
      <c r="AK1" s="4" t="s">
        <v>35</v>
      </c>
      <c r="AL1" s="4" t="s">
        <v>36</v>
      </c>
      <c r="AM1" s="1" t="s">
        <v>37</v>
      </c>
      <c r="AN1" s="1" t="s">
        <v>38</v>
      </c>
      <c r="AO1" s="1" t="s">
        <v>283</v>
      </c>
      <c r="AP1" s="44" t="s">
        <v>39</v>
      </c>
      <c r="AQ1" s="44" t="s">
        <v>40</v>
      </c>
      <c r="AR1" s="1" t="s">
        <v>41</v>
      </c>
      <c r="AS1" s="1" t="s">
        <v>42</v>
      </c>
      <c r="AT1" s="1" t="s">
        <v>43</v>
      </c>
      <c r="AU1" s="1" t="s">
        <v>294</v>
      </c>
      <c r="AV1" s="1" t="s">
        <v>44</v>
      </c>
      <c r="AW1" s="1" t="s">
        <v>295</v>
      </c>
      <c r="AX1" s="1" t="s">
        <v>296</v>
      </c>
      <c r="AY1" s="1" t="s">
        <v>284</v>
      </c>
      <c r="AZ1" s="1" t="s">
        <v>285</v>
      </c>
      <c r="BA1" s="1" t="s">
        <v>286</v>
      </c>
      <c r="BB1" s="1" t="s">
        <v>45</v>
      </c>
    </row>
    <row r="2" spans="1:54" s="2" customFormat="1">
      <c r="A2" s="2">
        <v>2</v>
      </c>
      <c r="B2" s="5">
        <v>45446</v>
      </c>
      <c r="E2" s="2">
        <v>78</v>
      </c>
      <c r="F2" s="2">
        <v>1</v>
      </c>
      <c r="G2" s="2">
        <v>3</v>
      </c>
      <c r="H2" s="2">
        <v>0</v>
      </c>
      <c r="I2" s="2">
        <v>0</v>
      </c>
      <c r="J2" s="2">
        <v>0</v>
      </c>
      <c r="K2" s="2">
        <v>0</v>
      </c>
      <c r="L2" s="2">
        <v>0</v>
      </c>
      <c r="M2" s="2">
        <v>0</v>
      </c>
      <c r="N2" s="2">
        <v>0</v>
      </c>
      <c r="P2" t="s">
        <v>47</v>
      </c>
      <c r="Q2" s="2">
        <v>1</v>
      </c>
      <c r="R2" s="2">
        <v>6</v>
      </c>
      <c r="S2" s="5">
        <v>45446</v>
      </c>
      <c r="T2" s="5">
        <v>45450</v>
      </c>
      <c r="U2" s="28">
        <f t="shared" ref="U2:U65" si="0">T2-S2</f>
        <v>4</v>
      </c>
      <c r="V2" s="2">
        <v>1</v>
      </c>
      <c r="W2" s="2">
        <v>1</v>
      </c>
      <c r="X2" s="2">
        <v>0</v>
      </c>
      <c r="Y2" s="2">
        <v>0</v>
      </c>
      <c r="Z2" s="2">
        <v>0</v>
      </c>
      <c r="AA2" s="2">
        <v>0</v>
      </c>
      <c r="AB2" s="2">
        <v>0</v>
      </c>
      <c r="AC2" s="2">
        <v>0</v>
      </c>
      <c r="AD2" s="2">
        <v>0</v>
      </c>
      <c r="AE2" s="2">
        <v>1</v>
      </c>
      <c r="AF2" s="2" t="s">
        <v>48</v>
      </c>
      <c r="AG2" s="2">
        <v>1</v>
      </c>
      <c r="AH2" s="2">
        <v>1</v>
      </c>
      <c r="AI2" s="2">
        <v>1</v>
      </c>
      <c r="AJ2" s="2">
        <v>1</v>
      </c>
      <c r="AK2" s="2">
        <v>1</v>
      </c>
      <c r="AL2" s="5">
        <v>45448</v>
      </c>
      <c r="AM2" s="2">
        <v>0</v>
      </c>
      <c r="AN2" s="2">
        <v>0</v>
      </c>
      <c r="AO2" s="2">
        <f>AL2-S2</f>
        <v>2</v>
      </c>
      <c r="AP2" s="2">
        <v>0</v>
      </c>
      <c r="AV2" s="2">
        <v>1</v>
      </c>
      <c r="AW2" s="2">
        <f>COUNTIFS(H2, "0",V2, "1",AE2, "1", AI2, "1",AJ2, "1")</f>
        <v>1</v>
      </c>
      <c r="AX2" s="2">
        <f>COUNTIFS(AI2, "1",AJ2, "1")</f>
        <v>1</v>
      </c>
      <c r="AY2" s="2">
        <v>0</v>
      </c>
      <c r="AZ2" s="2">
        <v>1</v>
      </c>
      <c r="BA2" s="2">
        <v>0</v>
      </c>
      <c r="BB2" s="2" t="s">
        <v>50</v>
      </c>
    </row>
    <row r="3" spans="1:54" s="2" customFormat="1">
      <c r="A3" s="8">
        <v>5</v>
      </c>
      <c r="B3" s="5">
        <v>45453</v>
      </c>
      <c r="C3" s="6">
        <v>45456</v>
      </c>
      <c r="D3" s="2">
        <f t="shared" ref="D3:D39" si="1">C3-B3</f>
        <v>3</v>
      </c>
      <c r="E3" s="2">
        <v>71</v>
      </c>
      <c r="F3" s="2">
        <v>1</v>
      </c>
      <c r="G3" s="2">
        <v>2</v>
      </c>
      <c r="H3" s="2">
        <v>1</v>
      </c>
      <c r="I3" s="2">
        <v>0</v>
      </c>
      <c r="J3" s="2">
        <v>0</v>
      </c>
      <c r="K3" s="2">
        <v>0</v>
      </c>
      <c r="L3" s="2">
        <v>1</v>
      </c>
      <c r="M3" s="2">
        <v>1</v>
      </c>
      <c r="N3" s="2">
        <v>1</v>
      </c>
      <c r="O3" s="2" t="s">
        <v>57</v>
      </c>
      <c r="P3" t="s">
        <v>52</v>
      </c>
      <c r="Q3" s="2">
        <v>1</v>
      </c>
      <c r="R3" s="2">
        <v>2</v>
      </c>
      <c r="S3" s="5">
        <v>45453</v>
      </c>
      <c r="T3" s="5">
        <v>45454</v>
      </c>
      <c r="U3" s="28">
        <f t="shared" si="0"/>
        <v>1</v>
      </c>
      <c r="V3" s="2">
        <v>1</v>
      </c>
      <c r="W3" s="2">
        <v>0</v>
      </c>
      <c r="X3" s="2">
        <v>0</v>
      </c>
      <c r="Y3" s="2">
        <v>0</v>
      </c>
      <c r="Z3" s="2">
        <v>1</v>
      </c>
      <c r="AA3" s="2">
        <v>0</v>
      </c>
      <c r="AB3" s="2">
        <v>0</v>
      </c>
      <c r="AC3" s="2">
        <v>0</v>
      </c>
      <c r="AD3" s="2">
        <v>0</v>
      </c>
      <c r="AE3" s="2">
        <v>1</v>
      </c>
      <c r="AF3" s="2" t="s">
        <v>58</v>
      </c>
      <c r="AG3" s="2">
        <v>1</v>
      </c>
      <c r="AH3" s="2">
        <v>1</v>
      </c>
      <c r="AI3" s="2">
        <v>1</v>
      </c>
      <c r="AJ3" s="2">
        <v>0</v>
      </c>
      <c r="AK3" s="2">
        <v>1</v>
      </c>
      <c r="AL3" s="5">
        <v>45454</v>
      </c>
      <c r="AM3" s="2">
        <v>1</v>
      </c>
      <c r="AN3" s="2">
        <v>1</v>
      </c>
      <c r="AO3" s="2">
        <f t="shared" ref="AO3:AO66" si="2">AL3-S3</f>
        <v>1</v>
      </c>
      <c r="AP3" s="2">
        <v>0</v>
      </c>
      <c r="AV3" s="2">
        <v>1</v>
      </c>
      <c r="AW3" s="2">
        <f t="shared" ref="AW3:AW66" si="3">COUNTIFS(H3, "0",V3, "1",AE3, "1", AI3, "1",AJ3, "1")</f>
        <v>0</v>
      </c>
      <c r="AX3" s="2">
        <f t="shared" ref="AX3:AX66" si="4">COUNTIFS(AI3, "1",AJ3, "1")</f>
        <v>0</v>
      </c>
      <c r="AY3" s="2">
        <v>1</v>
      </c>
      <c r="AZ3" s="2">
        <v>1</v>
      </c>
      <c r="BA3" s="2">
        <v>0</v>
      </c>
      <c r="BB3" s="2" t="s">
        <v>59</v>
      </c>
    </row>
    <row r="4" spans="1:54" s="2" customFormat="1">
      <c r="A4" s="8">
        <v>6</v>
      </c>
      <c r="B4" s="5">
        <v>45454</v>
      </c>
      <c r="C4" s="6">
        <v>45465</v>
      </c>
      <c r="D4" s="2">
        <f t="shared" si="1"/>
        <v>11</v>
      </c>
      <c r="E4" s="2">
        <v>81</v>
      </c>
      <c r="F4" s="2">
        <v>1</v>
      </c>
      <c r="G4" s="2">
        <v>2</v>
      </c>
      <c r="H4" s="2">
        <v>1</v>
      </c>
      <c r="I4" s="2">
        <v>0</v>
      </c>
      <c r="J4" s="2">
        <v>0</v>
      </c>
      <c r="K4" s="2">
        <v>0</v>
      </c>
      <c r="L4" s="2">
        <v>0</v>
      </c>
      <c r="M4" s="2">
        <v>0</v>
      </c>
      <c r="N4" s="2">
        <v>1</v>
      </c>
      <c r="O4" s="2" t="s">
        <v>60</v>
      </c>
      <c r="P4" t="s">
        <v>52</v>
      </c>
      <c r="Q4" s="2">
        <v>1</v>
      </c>
      <c r="R4" s="2">
        <v>4</v>
      </c>
      <c r="S4" s="5">
        <v>45454</v>
      </c>
      <c r="T4" s="5">
        <v>45458</v>
      </c>
      <c r="U4" s="28">
        <f t="shared" si="0"/>
        <v>4</v>
      </c>
      <c r="V4" s="2">
        <v>1</v>
      </c>
      <c r="W4" s="2">
        <v>0</v>
      </c>
      <c r="X4" s="2">
        <v>1</v>
      </c>
      <c r="Y4" s="2">
        <v>0</v>
      </c>
      <c r="Z4" s="2">
        <v>0</v>
      </c>
      <c r="AA4" s="2">
        <v>1</v>
      </c>
      <c r="AB4" s="2">
        <v>0</v>
      </c>
      <c r="AC4" s="2">
        <v>0</v>
      </c>
      <c r="AD4" s="2">
        <v>0</v>
      </c>
      <c r="AE4" s="2">
        <v>1</v>
      </c>
      <c r="AF4" s="2" t="s">
        <v>61</v>
      </c>
      <c r="AG4" s="2">
        <v>0</v>
      </c>
      <c r="AH4" s="2">
        <v>1</v>
      </c>
      <c r="AI4" s="2">
        <v>1</v>
      </c>
      <c r="AJ4" s="2">
        <v>0</v>
      </c>
      <c r="AK4" s="2">
        <v>1</v>
      </c>
      <c r="AL4" s="5">
        <v>45455</v>
      </c>
      <c r="AM4" s="2">
        <v>0</v>
      </c>
      <c r="AN4" s="2">
        <v>0</v>
      </c>
      <c r="AO4" s="2">
        <f t="shared" si="2"/>
        <v>1</v>
      </c>
      <c r="AP4" s="2">
        <v>0</v>
      </c>
      <c r="AV4" s="2">
        <v>1</v>
      </c>
      <c r="AW4" s="2">
        <f t="shared" si="3"/>
        <v>0</v>
      </c>
      <c r="AX4" s="2">
        <f t="shared" si="4"/>
        <v>0</v>
      </c>
      <c r="AY4" s="2">
        <v>0</v>
      </c>
      <c r="AZ4" s="2">
        <v>1</v>
      </c>
      <c r="BA4" s="2">
        <v>0</v>
      </c>
      <c r="BB4" s="2" t="s">
        <v>62</v>
      </c>
    </row>
    <row r="5" spans="1:54" s="2" customFormat="1">
      <c r="A5" s="8">
        <v>7</v>
      </c>
      <c r="B5" s="5">
        <v>45453</v>
      </c>
      <c r="C5" s="6">
        <v>45485</v>
      </c>
      <c r="D5" s="2">
        <f t="shared" si="1"/>
        <v>32</v>
      </c>
      <c r="E5" s="2">
        <v>45</v>
      </c>
      <c r="F5" s="2">
        <v>2</v>
      </c>
      <c r="G5" s="2">
        <v>2</v>
      </c>
      <c r="H5" s="2">
        <v>0</v>
      </c>
      <c r="I5" s="2">
        <v>0</v>
      </c>
      <c r="J5" s="2">
        <v>0</v>
      </c>
      <c r="K5" s="2">
        <v>0</v>
      </c>
      <c r="L5" s="2">
        <v>0</v>
      </c>
      <c r="M5" s="2">
        <v>0</v>
      </c>
      <c r="N5" s="2">
        <v>0</v>
      </c>
      <c r="P5" t="s">
        <v>52</v>
      </c>
      <c r="Q5" s="2">
        <v>0</v>
      </c>
      <c r="R5" s="2">
        <v>1</v>
      </c>
      <c r="S5" s="5">
        <v>45455</v>
      </c>
      <c r="T5" s="5">
        <v>45455</v>
      </c>
      <c r="U5" s="28">
        <f t="shared" si="0"/>
        <v>0</v>
      </c>
      <c r="V5" s="2">
        <v>0</v>
      </c>
      <c r="W5" s="2">
        <v>0</v>
      </c>
      <c r="X5" s="2">
        <v>0</v>
      </c>
      <c r="Y5" s="2">
        <v>0</v>
      </c>
      <c r="Z5" s="2">
        <v>0</v>
      </c>
      <c r="AA5" s="2">
        <v>0</v>
      </c>
      <c r="AB5" s="2">
        <v>0</v>
      </c>
      <c r="AC5" s="2">
        <v>0</v>
      </c>
      <c r="AD5" s="2">
        <v>0</v>
      </c>
      <c r="AE5" s="2">
        <v>1</v>
      </c>
      <c r="AF5" s="2" t="s">
        <v>55</v>
      </c>
      <c r="AG5" s="2">
        <v>1</v>
      </c>
      <c r="AH5" s="2">
        <v>0</v>
      </c>
      <c r="AI5" s="2">
        <v>1</v>
      </c>
      <c r="AJ5" s="2">
        <v>1</v>
      </c>
      <c r="AK5" s="2">
        <v>1</v>
      </c>
      <c r="AL5" s="5">
        <v>45457</v>
      </c>
      <c r="AM5" s="2">
        <v>0</v>
      </c>
      <c r="AN5" s="2">
        <v>0</v>
      </c>
      <c r="AO5" s="2">
        <f t="shared" si="2"/>
        <v>2</v>
      </c>
      <c r="AP5" s="2">
        <v>0</v>
      </c>
      <c r="AV5" s="2">
        <v>1</v>
      </c>
      <c r="AW5" s="2">
        <f t="shared" si="3"/>
        <v>0</v>
      </c>
      <c r="AX5" s="2">
        <f t="shared" si="4"/>
        <v>1</v>
      </c>
      <c r="AY5" s="2">
        <v>0</v>
      </c>
      <c r="AZ5" s="2">
        <v>0</v>
      </c>
      <c r="BA5" s="2">
        <v>0</v>
      </c>
      <c r="BB5" s="2" t="s">
        <v>62</v>
      </c>
    </row>
    <row r="6" spans="1:54" s="2" customFormat="1">
      <c r="A6" s="2">
        <v>8</v>
      </c>
      <c r="B6" s="5">
        <v>45456</v>
      </c>
      <c r="C6" s="5">
        <v>45466</v>
      </c>
      <c r="D6" s="2">
        <f t="shared" si="1"/>
        <v>10</v>
      </c>
      <c r="E6" s="2">
        <v>60</v>
      </c>
      <c r="F6" s="2">
        <v>1</v>
      </c>
      <c r="G6" s="2">
        <v>3</v>
      </c>
      <c r="H6" s="2">
        <v>1</v>
      </c>
      <c r="I6" s="2">
        <v>0</v>
      </c>
      <c r="J6" s="2">
        <v>0</v>
      </c>
      <c r="K6" s="2">
        <v>0</v>
      </c>
      <c r="L6" s="2">
        <v>0</v>
      </c>
      <c r="M6" s="2">
        <v>0</v>
      </c>
      <c r="N6" s="2">
        <v>1</v>
      </c>
      <c r="O6" s="2" t="s">
        <v>63</v>
      </c>
      <c r="P6" t="s">
        <v>52</v>
      </c>
      <c r="Q6" s="2">
        <v>1</v>
      </c>
      <c r="R6" s="2">
        <v>2</v>
      </c>
      <c r="S6" s="5">
        <v>45456</v>
      </c>
      <c r="T6" s="5">
        <v>45457</v>
      </c>
      <c r="U6" s="28">
        <f t="shared" si="0"/>
        <v>1</v>
      </c>
      <c r="V6" s="2">
        <v>1</v>
      </c>
      <c r="W6" s="2">
        <v>0</v>
      </c>
      <c r="X6" s="2">
        <v>0</v>
      </c>
      <c r="Y6" s="2">
        <v>0</v>
      </c>
      <c r="Z6" s="2">
        <v>1</v>
      </c>
      <c r="AA6" s="2">
        <v>0</v>
      </c>
      <c r="AB6" s="2">
        <v>0</v>
      </c>
      <c r="AC6" s="2">
        <v>0</v>
      </c>
      <c r="AD6" s="2">
        <v>0</v>
      </c>
      <c r="AE6" s="2">
        <v>1</v>
      </c>
      <c r="AF6" s="2" t="s">
        <v>55</v>
      </c>
      <c r="AG6" s="2">
        <v>1</v>
      </c>
      <c r="AH6" s="2">
        <v>1</v>
      </c>
      <c r="AI6" s="2">
        <v>1</v>
      </c>
      <c r="AJ6" s="2">
        <v>1</v>
      </c>
      <c r="AK6" s="2">
        <v>1</v>
      </c>
      <c r="AL6" s="5">
        <v>45457</v>
      </c>
      <c r="AM6" s="2">
        <v>0</v>
      </c>
      <c r="AN6" s="2">
        <v>0</v>
      </c>
      <c r="AO6" s="2">
        <f t="shared" si="2"/>
        <v>1</v>
      </c>
      <c r="AP6" s="2">
        <v>0</v>
      </c>
      <c r="AV6" s="2">
        <v>0</v>
      </c>
      <c r="AW6" s="2">
        <f t="shared" si="3"/>
        <v>0</v>
      </c>
      <c r="AX6" s="2">
        <f t="shared" si="4"/>
        <v>1</v>
      </c>
      <c r="AY6" s="2">
        <v>0</v>
      </c>
      <c r="AZ6" s="2">
        <v>1</v>
      </c>
      <c r="BA6" s="2">
        <v>0</v>
      </c>
    </row>
    <row r="7" spans="1:54" s="2" customFormat="1">
      <c r="A7" s="2">
        <v>9</v>
      </c>
      <c r="B7" s="5">
        <v>45458</v>
      </c>
      <c r="C7" s="5">
        <v>45470</v>
      </c>
      <c r="D7" s="2">
        <f t="shared" si="1"/>
        <v>12</v>
      </c>
      <c r="E7" s="2">
        <v>64</v>
      </c>
      <c r="F7" s="2">
        <v>2</v>
      </c>
      <c r="G7" s="2">
        <v>2</v>
      </c>
      <c r="H7" s="2">
        <v>1</v>
      </c>
      <c r="I7" s="2">
        <v>0</v>
      </c>
      <c r="J7" s="2">
        <v>0</v>
      </c>
      <c r="K7" s="2">
        <v>0</v>
      </c>
      <c r="L7" s="2">
        <v>1</v>
      </c>
      <c r="M7" s="2">
        <v>0</v>
      </c>
      <c r="N7" s="2">
        <v>0</v>
      </c>
      <c r="P7" t="s">
        <v>52</v>
      </c>
      <c r="Q7" s="2">
        <v>1</v>
      </c>
      <c r="R7" s="2">
        <v>2</v>
      </c>
      <c r="S7" s="5">
        <v>45463</v>
      </c>
      <c r="T7" s="5">
        <v>45464</v>
      </c>
      <c r="U7" s="28">
        <f t="shared" si="0"/>
        <v>1</v>
      </c>
      <c r="V7" s="2">
        <v>1</v>
      </c>
      <c r="W7" s="2">
        <v>0</v>
      </c>
      <c r="X7" s="2">
        <v>1</v>
      </c>
      <c r="Y7" s="2">
        <v>0</v>
      </c>
      <c r="Z7" s="2">
        <v>0</v>
      </c>
      <c r="AA7" s="2">
        <v>0</v>
      </c>
      <c r="AB7" s="2">
        <v>0</v>
      </c>
      <c r="AC7" s="2">
        <v>0</v>
      </c>
      <c r="AD7" s="2">
        <v>0</v>
      </c>
      <c r="AE7" s="2">
        <v>1</v>
      </c>
      <c r="AF7" s="2" t="s">
        <v>55</v>
      </c>
      <c r="AG7" s="2">
        <v>1</v>
      </c>
      <c r="AH7" s="2">
        <v>1</v>
      </c>
      <c r="AI7" s="2">
        <v>1</v>
      </c>
      <c r="AJ7" s="2">
        <v>1</v>
      </c>
      <c r="AK7" s="2">
        <v>1</v>
      </c>
      <c r="AL7" s="5">
        <v>45467</v>
      </c>
      <c r="AM7" s="2">
        <v>0</v>
      </c>
      <c r="AN7" s="2">
        <v>0</v>
      </c>
      <c r="AO7" s="2">
        <f t="shared" si="2"/>
        <v>4</v>
      </c>
      <c r="AP7" s="2">
        <v>0</v>
      </c>
      <c r="AV7" s="2">
        <v>0</v>
      </c>
      <c r="AW7" s="2">
        <f t="shared" si="3"/>
        <v>0</v>
      </c>
      <c r="AX7" s="2">
        <f t="shared" si="4"/>
        <v>1</v>
      </c>
      <c r="AY7" s="2">
        <v>0</v>
      </c>
      <c r="AZ7" s="2">
        <v>1</v>
      </c>
      <c r="BA7" s="2">
        <v>0</v>
      </c>
      <c r="BB7" s="2" t="s">
        <v>64</v>
      </c>
    </row>
    <row r="8" spans="1:54" s="2" customFormat="1">
      <c r="A8" s="7">
        <v>10</v>
      </c>
      <c r="B8" s="5">
        <v>45468</v>
      </c>
      <c r="C8" s="5">
        <v>45475</v>
      </c>
      <c r="D8" s="2">
        <f t="shared" si="1"/>
        <v>7</v>
      </c>
      <c r="E8" s="2">
        <v>46</v>
      </c>
      <c r="F8" s="2">
        <v>1</v>
      </c>
      <c r="G8" s="2">
        <v>2</v>
      </c>
      <c r="H8" s="2">
        <v>1</v>
      </c>
      <c r="I8" s="2">
        <v>1</v>
      </c>
      <c r="J8" s="2">
        <v>0</v>
      </c>
      <c r="K8" s="2">
        <v>0</v>
      </c>
      <c r="L8" s="2">
        <v>1</v>
      </c>
      <c r="M8" s="2">
        <v>1</v>
      </c>
      <c r="N8" s="2">
        <v>1</v>
      </c>
      <c r="O8" s="2" t="s">
        <v>65</v>
      </c>
      <c r="P8" t="s">
        <v>47</v>
      </c>
      <c r="Q8" s="2">
        <v>1</v>
      </c>
      <c r="R8" s="2">
        <v>5</v>
      </c>
      <c r="S8" s="5">
        <v>45468</v>
      </c>
      <c r="T8" s="5">
        <v>45473</v>
      </c>
      <c r="U8" s="28">
        <f t="shared" si="0"/>
        <v>5</v>
      </c>
      <c r="V8" s="2">
        <v>1</v>
      </c>
      <c r="W8" s="2">
        <v>1</v>
      </c>
      <c r="X8" s="2">
        <v>1</v>
      </c>
      <c r="Y8" s="2">
        <v>0</v>
      </c>
      <c r="Z8" s="2">
        <v>1</v>
      </c>
      <c r="AA8" s="2">
        <v>0</v>
      </c>
      <c r="AB8" s="2">
        <v>0</v>
      </c>
      <c r="AC8" s="2">
        <v>0</v>
      </c>
      <c r="AD8" s="2">
        <v>0</v>
      </c>
      <c r="AE8" s="2">
        <v>1</v>
      </c>
      <c r="AF8" s="2" t="s">
        <v>48</v>
      </c>
      <c r="AG8" s="2">
        <v>1</v>
      </c>
      <c r="AH8" s="2">
        <v>1</v>
      </c>
      <c r="AI8" s="2">
        <v>1</v>
      </c>
      <c r="AJ8" s="2">
        <v>1</v>
      </c>
      <c r="AK8" s="2">
        <v>1</v>
      </c>
      <c r="AL8" s="5">
        <v>45468</v>
      </c>
      <c r="AM8" s="2">
        <v>1</v>
      </c>
      <c r="AN8" s="2">
        <v>1</v>
      </c>
      <c r="AO8" s="2">
        <f t="shared" si="2"/>
        <v>0</v>
      </c>
      <c r="AP8" s="2">
        <v>0</v>
      </c>
      <c r="AV8" s="2">
        <v>0</v>
      </c>
      <c r="AW8" s="2">
        <f t="shared" si="3"/>
        <v>0</v>
      </c>
      <c r="AX8" s="2">
        <f t="shared" si="4"/>
        <v>1</v>
      </c>
      <c r="AY8" s="2">
        <v>1</v>
      </c>
      <c r="AZ8" s="2">
        <v>1</v>
      </c>
      <c r="BA8" s="2">
        <v>1</v>
      </c>
      <c r="BB8" s="2" t="s">
        <v>66</v>
      </c>
    </row>
    <row r="9" spans="1:54" s="2" customFormat="1">
      <c r="A9" s="2">
        <v>11</v>
      </c>
      <c r="B9" s="5">
        <v>45470</v>
      </c>
      <c r="C9" s="5">
        <v>45501</v>
      </c>
      <c r="D9" s="2">
        <f t="shared" si="1"/>
        <v>31</v>
      </c>
      <c r="E9" s="2">
        <v>74</v>
      </c>
      <c r="F9" s="2">
        <v>1</v>
      </c>
      <c r="G9" s="2">
        <v>2</v>
      </c>
      <c r="H9" s="2">
        <v>1</v>
      </c>
      <c r="I9" s="2">
        <v>0</v>
      </c>
      <c r="J9" s="2">
        <v>0</v>
      </c>
      <c r="K9" s="2">
        <v>0</v>
      </c>
      <c r="L9" s="2">
        <v>0</v>
      </c>
      <c r="M9" s="2">
        <v>0</v>
      </c>
      <c r="N9" s="2">
        <v>1</v>
      </c>
      <c r="O9" s="2" t="s">
        <v>67</v>
      </c>
      <c r="P9" t="s">
        <v>52</v>
      </c>
      <c r="Q9" s="2">
        <v>0</v>
      </c>
      <c r="R9" s="2">
        <v>1</v>
      </c>
      <c r="S9" s="5">
        <v>45470</v>
      </c>
      <c r="T9" s="5">
        <v>45470</v>
      </c>
      <c r="U9" s="28">
        <f t="shared" si="0"/>
        <v>0</v>
      </c>
      <c r="V9" s="2">
        <v>1</v>
      </c>
      <c r="W9" s="2">
        <v>0</v>
      </c>
      <c r="X9" s="2">
        <v>1</v>
      </c>
      <c r="Y9" s="2">
        <v>0</v>
      </c>
      <c r="Z9" s="2">
        <v>0</v>
      </c>
      <c r="AA9" s="2">
        <v>0</v>
      </c>
      <c r="AB9" s="2">
        <v>1</v>
      </c>
      <c r="AC9" s="2">
        <v>0</v>
      </c>
      <c r="AD9" s="2">
        <v>0</v>
      </c>
      <c r="AE9" s="2">
        <v>1</v>
      </c>
      <c r="AF9" s="2" t="s">
        <v>68</v>
      </c>
      <c r="AG9" s="2">
        <v>0</v>
      </c>
      <c r="AH9" s="2">
        <v>1</v>
      </c>
      <c r="AI9" s="2">
        <v>1</v>
      </c>
      <c r="AJ9" s="2">
        <v>0</v>
      </c>
      <c r="AK9" s="2">
        <v>1</v>
      </c>
      <c r="AL9" s="5">
        <v>45471</v>
      </c>
      <c r="AM9" s="2">
        <v>0</v>
      </c>
      <c r="AN9" s="2">
        <v>1</v>
      </c>
      <c r="AO9" s="2">
        <f t="shared" si="2"/>
        <v>1</v>
      </c>
      <c r="AP9" s="2">
        <v>0</v>
      </c>
      <c r="AV9" s="2">
        <v>1</v>
      </c>
      <c r="AW9" s="2">
        <f t="shared" si="3"/>
        <v>0</v>
      </c>
      <c r="AX9" s="2">
        <f t="shared" si="4"/>
        <v>0</v>
      </c>
      <c r="AY9" s="2">
        <v>0</v>
      </c>
      <c r="AZ9" s="2">
        <v>1</v>
      </c>
      <c r="BA9" s="2">
        <v>0</v>
      </c>
      <c r="BB9" s="2" t="s">
        <v>69</v>
      </c>
    </row>
    <row r="10" spans="1:54" s="2" customFormat="1">
      <c r="A10" s="2">
        <v>12</v>
      </c>
      <c r="B10" s="5">
        <v>45413</v>
      </c>
      <c r="C10" s="5">
        <v>45423</v>
      </c>
      <c r="D10" s="2">
        <f t="shared" si="1"/>
        <v>10</v>
      </c>
      <c r="E10" s="2">
        <v>70</v>
      </c>
      <c r="F10" s="2">
        <v>1</v>
      </c>
      <c r="G10" s="2">
        <v>5</v>
      </c>
      <c r="H10" s="2">
        <v>1</v>
      </c>
      <c r="I10" s="2">
        <v>0</v>
      </c>
      <c r="J10" s="2">
        <v>0</v>
      </c>
      <c r="K10" s="2">
        <v>0</v>
      </c>
      <c r="L10" s="2">
        <v>1</v>
      </c>
      <c r="M10" s="2">
        <v>0</v>
      </c>
      <c r="N10" s="2">
        <v>1</v>
      </c>
      <c r="O10" s="2" t="s">
        <v>70</v>
      </c>
      <c r="P10" t="s">
        <v>52</v>
      </c>
      <c r="Q10" s="2">
        <v>1</v>
      </c>
      <c r="R10" s="2">
        <v>2</v>
      </c>
      <c r="S10" s="5">
        <v>45413</v>
      </c>
      <c r="T10" s="5">
        <v>45415</v>
      </c>
      <c r="U10" s="28">
        <f t="shared" si="0"/>
        <v>2</v>
      </c>
      <c r="V10" s="2">
        <v>1</v>
      </c>
      <c r="W10" s="2">
        <v>0</v>
      </c>
      <c r="X10" s="2">
        <v>0</v>
      </c>
      <c r="Y10" s="2">
        <v>1</v>
      </c>
      <c r="Z10" s="2">
        <v>0</v>
      </c>
      <c r="AA10" s="2">
        <v>0</v>
      </c>
      <c r="AB10" s="2">
        <v>0</v>
      </c>
      <c r="AC10" s="2">
        <v>0</v>
      </c>
      <c r="AD10" s="2">
        <v>0</v>
      </c>
      <c r="AE10" s="2">
        <v>1</v>
      </c>
      <c r="AF10" s="2" t="s">
        <v>55</v>
      </c>
      <c r="AG10" s="2">
        <v>1</v>
      </c>
      <c r="AH10" s="2">
        <v>1</v>
      </c>
      <c r="AI10" s="2">
        <v>1</v>
      </c>
      <c r="AJ10" s="2">
        <v>1</v>
      </c>
      <c r="AK10" s="2">
        <v>1</v>
      </c>
      <c r="AL10" s="5">
        <v>45419</v>
      </c>
      <c r="AM10" s="2">
        <v>0</v>
      </c>
      <c r="AN10" s="2">
        <v>1</v>
      </c>
      <c r="AO10" s="2">
        <f t="shared" si="2"/>
        <v>6</v>
      </c>
      <c r="AP10" s="2">
        <v>0</v>
      </c>
      <c r="AV10" s="2">
        <v>0</v>
      </c>
      <c r="AW10" s="2">
        <f t="shared" si="3"/>
        <v>0</v>
      </c>
      <c r="AX10" s="2">
        <f t="shared" si="4"/>
        <v>1</v>
      </c>
      <c r="AY10" s="2">
        <v>0</v>
      </c>
      <c r="AZ10" s="2">
        <v>1</v>
      </c>
      <c r="BA10" s="2">
        <v>0</v>
      </c>
      <c r="BB10" s="2" t="s">
        <v>71</v>
      </c>
    </row>
    <row r="11" spans="1:54" s="2" customFormat="1">
      <c r="A11" s="2">
        <v>13</v>
      </c>
      <c r="B11" s="5">
        <v>45414</v>
      </c>
      <c r="C11" s="5">
        <v>45436</v>
      </c>
      <c r="D11" s="2">
        <f t="shared" si="1"/>
        <v>22</v>
      </c>
      <c r="E11" s="2">
        <v>91</v>
      </c>
      <c r="F11" s="2">
        <v>2</v>
      </c>
      <c r="G11" s="2">
        <v>2</v>
      </c>
      <c r="H11" s="2">
        <v>1</v>
      </c>
      <c r="I11" s="2">
        <v>0</v>
      </c>
      <c r="J11" s="2">
        <v>0</v>
      </c>
      <c r="K11" s="2">
        <v>0</v>
      </c>
      <c r="L11" s="2">
        <v>0</v>
      </c>
      <c r="M11" s="2">
        <v>0</v>
      </c>
      <c r="N11" s="2">
        <v>1</v>
      </c>
      <c r="O11" s="2" t="s">
        <v>72</v>
      </c>
      <c r="P11" t="s">
        <v>52</v>
      </c>
      <c r="Q11" s="2">
        <v>1</v>
      </c>
      <c r="R11" s="2">
        <v>2</v>
      </c>
      <c r="S11" s="5">
        <v>45414</v>
      </c>
      <c r="T11" s="5">
        <v>45415</v>
      </c>
      <c r="U11" s="28">
        <f t="shared" si="0"/>
        <v>1</v>
      </c>
      <c r="V11" s="2">
        <v>1</v>
      </c>
      <c r="W11" s="2">
        <v>0</v>
      </c>
      <c r="X11" s="2">
        <v>0</v>
      </c>
      <c r="Y11" s="2">
        <v>0</v>
      </c>
      <c r="Z11" s="2">
        <v>1</v>
      </c>
      <c r="AA11" s="2">
        <v>0</v>
      </c>
      <c r="AB11" s="2">
        <v>0</v>
      </c>
      <c r="AC11" s="2">
        <v>0</v>
      </c>
      <c r="AD11" s="2">
        <v>0</v>
      </c>
      <c r="AE11" s="2">
        <v>1</v>
      </c>
      <c r="AF11" s="2" t="s">
        <v>55</v>
      </c>
      <c r="AG11" s="11">
        <v>1</v>
      </c>
      <c r="AH11" s="2">
        <v>1</v>
      </c>
      <c r="AI11" s="2">
        <v>1</v>
      </c>
      <c r="AJ11" s="2">
        <v>1</v>
      </c>
      <c r="AK11" s="2">
        <v>1</v>
      </c>
      <c r="AL11" s="5">
        <v>45418</v>
      </c>
      <c r="AM11" s="2">
        <v>0</v>
      </c>
      <c r="AN11" s="2">
        <v>0</v>
      </c>
      <c r="AO11" s="2">
        <f t="shared" si="2"/>
        <v>4</v>
      </c>
      <c r="AP11" s="2">
        <v>0</v>
      </c>
      <c r="AV11" s="2">
        <v>0</v>
      </c>
      <c r="AW11" s="2">
        <f t="shared" si="3"/>
        <v>0</v>
      </c>
      <c r="AX11" s="2">
        <f t="shared" si="4"/>
        <v>1</v>
      </c>
      <c r="AY11" s="2">
        <v>0</v>
      </c>
      <c r="AZ11" s="2">
        <v>1</v>
      </c>
      <c r="BA11" s="2">
        <v>0</v>
      </c>
      <c r="BB11" s="2" t="s">
        <v>73</v>
      </c>
    </row>
    <row r="12" spans="1:54" s="2" customFormat="1">
      <c r="A12" s="2">
        <v>14</v>
      </c>
      <c r="B12" s="5">
        <v>45419</v>
      </c>
      <c r="C12" s="5">
        <v>45433</v>
      </c>
      <c r="D12" s="2">
        <f t="shared" si="1"/>
        <v>14</v>
      </c>
      <c r="E12" s="2">
        <v>71</v>
      </c>
      <c r="F12" s="2">
        <v>2</v>
      </c>
      <c r="G12" s="2">
        <v>2</v>
      </c>
      <c r="H12" s="2">
        <v>1</v>
      </c>
      <c r="I12" s="2">
        <v>0</v>
      </c>
      <c r="J12" s="2">
        <v>0</v>
      </c>
      <c r="K12" s="2">
        <v>0</v>
      </c>
      <c r="L12" s="2">
        <v>1</v>
      </c>
      <c r="M12" s="2">
        <v>0</v>
      </c>
      <c r="N12" s="2">
        <v>0</v>
      </c>
      <c r="P12" t="s">
        <v>52</v>
      </c>
      <c r="Q12" s="2">
        <v>1</v>
      </c>
      <c r="R12" s="2">
        <v>3</v>
      </c>
      <c r="S12" s="5">
        <v>45419</v>
      </c>
      <c r="T12" s="5">
        <v>45422</v>
      </c>
      <c r="U12" s="28">
        <f t="shared" si="0"/>
        <v>3</v>
      </c>
      <c r="V12" s="2">
        <v>1</v>
      </c>
      <c r="W12" s="2">
        <v>0</v>
      </c>
      <c r="X12" s="2">
        <v>1</v>
      </c>
      <c r="Y12" s="2">
        <v>1</v>
      </c>
      <c r="Z12" s="2">
        <v>0</v>
      </c>
      <c r="AA12" s="2">
        <v>0</v>
      </c>
      <c r="AB12" s="2">
        <v>0</v>
      </c>
      <c r="AC12" s="2">
        <v>0</v>
      </c>
      <c r="AD12" s="2">
        <v>0</v>
      </c>
      <c r="AE12" s="2">
        <v>1</v>
      </c>
      <c r="AF12" s="2" t="s">
        <v>55</v>
      </c>
      <c r="AG12" s="2">
        <v>1</v>
      </c>
      <c r="AH12" s="2">
        <v>1</v>
      </c>
      <c r="AI12" s="2">
        <v>0</v>
      </c>
      <c r="AJ12" s="2">
        <v>1</v>
      </c>
      <c r="AK12" s="2">
        <v>1</v>
      </c>
      <c r="AL12" s="5">
        <v>45420</v>
      </c>
      <c r="AM12" s="2">
        <v>0</v>
      </c>
      <c r="AN12" s="2">
        <v>0</v>
      </c>
      <c r="AO12" s="2">
        <f t="shared" si="2"/>
        <v>1</v>
      </c>
      <c r="AP12" s="2">
        <v>0</v>
      </c>
      <c r="AV12" s="2">
        <v>0</v>
      </c>
      <c r="AW12" s="2">
        <f t="shared" si="3"/>
        <v>0</v>
      </c>
      <c r="AX12" s="2">
        <f t="shared" si="4"/>
        <v>0</v>
      </c>
      <c r="AY12" s="2">
        <v>0</v>
      </c>
      <c r="AZ12" s="2">
        <v>1</v>
      </c>
      <c r="BA12" s="2">
        <v>0</v>
      </c>
      <c r="BB12" s="2" t="s">
        <v>75</v>
      </c>
    </row>
    <row r="13" spans="1:54" s="2" customFormat="1">
      <c r="A13" s="8">
        <v>16</v>
      </c>
      <c r="B13" s="5">
        <v>45420</v>
      </c>
      <c r="C13" s="6">
        <v>45435</v>
      </c>
      <c r="D13" s="2">
        <f t="shared" si="1"/>
        <v>15</v>
      </c>
      <c r="E13" s="2">
        <v>83</v>
      </c>
      <c r="F13" s="2">
        <v>2</v>
      </c>
      <c r="G13" s="2">
        <v>2</v>
      </c>
      <c r="H13" s="2">
        <v>1</v>
      </c>
      <c r="I13" s="2">
        <v>0</v>
      </c>
      <c r="J13" s="2">
        <v>0</v>
      </c>
      <c r="K13" s="2">
        <v>0</v>
      </c>
      <c r="L13" s="2">
        <v>0</v>
      </c>
      <c r="M13" s="2">
        <v>0</v>
      </c>
      <c r="N13" s="2">
        <v>1</v>
      </c>
      <c r="O13" s="2" t="s">
        <v>78</v>
      </c>
      <c r="P13" t="s">
        <v>52</v>
      </c>
      <c r="Q13" s="2">
        <v>1</v>
      </c>
      <c r="R13" s="2">
        <v>3</v>
      </c>
      <c r="S13" s="5">
        <v>45429</v>
      </c>
      <c r="T13" s="5">
        <v>45431</v>
      </c>
      <c r="U13" s="28">
        <f t="shared" si="0"/>
        <v>2</v>
      </c>
      <c r="V13" s="2">
        <v>0</v>
      </c>
      <c r="W13" s="2">
        <v>0</v>
      </c>
      <c r="X13" s="2">
        <v>0</v>
      </c>
      <c r="Y13" s="2">
        <v>0</v>
      </c>
      <c r="Z13" s="2">
        <v>0</v>
      </c>
      <c r="AA13" s="2">
        <v>0</v>
      </c>
      <c r="AB13" s="2">
        <v>0</v>
      </c>
      <c r="AC13" s="2">
        <v>0</v>
      </c>
      <c r="AD13" s="2">
        <v>0</v>
      </c>
      <c r="AE13" s="2">
        <v>1</v>
      </c>
      <c r="AF13" s="2" t="s">
        <v>79</v>
      </c>
      <c r="AG13" s="2">
        <v>1</v>
      </c>
      <c r="AH13" s="2">
        <v>1</v>
      </c>
      <c r="AI13" s="2">
        <v>1</v>
      </c>
      <c r="AJ13" s="2">
        <v>1</v>
      </c>
      <c r="AK13" s="2">
        <v>1</v>
      </c>
      <c r="AL13" s="5">
        <v>45432</v>
      </c>
      <c r="AM13" s="2">
        <v>0</v>
      </c>
      <c r="AN13" s="2">
        <v>0</v>
      </c>
      <c r="AO13" s="2">
        <f t="shared" si="2"/>
        <v>3</v>
      </c>
      <c r="AP13" s="2">
        <v>0</v>
      </c>
      <c r="AV13" s="2">
        <v>1</v>
      </c>
      <c r="AW13" s="2">
        <f t="shared" si="3"/>
        <v>0</v>
      </c>
      <c r="AX13" s="2">
        <f t="shared" si="4"/>
        <v>1</v>
      </c>
      <c r="AY13" s="2">
        <v>0</v>
      </c>
      <c r="AZ13" s="2">
        <v>1</v>
      </c>
      <c r="BA13" s="2">
        <v>0</v>
      </c>
      <c r="BB13" s="2" t="s">
        <v>80</v>
      </c>
    </row>
    <row r="14" spans="1:54" s="2" customFormat="1">
      <c r="A14" s="2">
        <v>17</v>
      </c>
      <c r="B14" s="5">
        <v>45438</v>
      </c>
      <c r="C14" s="5">
        <v>45458</v>
      </c>
      <c r="D14" s="2">
        <f t="shared" si="1"/>
        <v>20</v>
      </c>
      <c r="E14" s="2">
        <v>59</v>
      </c>
      <c r="F14" s="2">
        <v>1</v>
      </c>
      <c r="G14" s="2">
        <v>3</v>
      </c>
      <c r="H14" s="2">
        <v>1</v>
      </c>
      <c r="I14" s="2">
        <v>0</v>
      </c>
      <c r="J14" s="2">
        <v>0</v>
      </c>
      <c r="K14" s="2">
        <v>0</v>
      </c>
      <c r="L14" s="2">
        <v>0</v>
      </c>
      <c r="M14" s="2">
        <v>0</v>
      </c>
      <c r="N14" s="2">
        <v>1</v>
      </c>
      <c r="O14" s="2" t="s">
        <v>81</v>
      </c>
      <c r="P14" t="s">
        <v>52</v>
      </c>
      <c r="Q14" s="2">
        <v>1</v>
      </c>
      <c r="R14" s="2">
        <v>2</v>
      </c>
      <c r="S14" s="5">
        <v>45440</v>
      </c>
      <c r="T14" s="5">
        <v>45441</v>
      </c>
      <c r="U14" s="28">
        <f t="shared" si="0"/>
        <v>1</v>
      </c>
      <c r="V14" s="2">
        <v>1</v>
      </c>
      <c r="W14" s="2">
        <v>0</v>
      </c>
      <c r="X14" s="2">
        <v>1</v>
      </c>
      <c r="Y14" s="2">
        <v>0</v>
      </c>
      <c r="Z14" s="2">
        <v>0</v>
      </c>
      <c r="AA14" s="2">
        <v>0</v>
      </c>
      <c r="AB14" s="2">
        <v>0</v>
      </c>
      <c r="AC14" s="2">
        <v>0</v>
      </c>
      <c r="AD14" s="2">
        <v>0</v>
      </c>
      <c r="AE14" s="2">
        <v>1</v>
      </c>
      <c r="AF14" s="2" t="s">
        <v>55</v>
      </c>
      <c r="AG14" s="2">
        <v>1</v>
      </c>
      <c r="AH14" s="2">
        <v>1</v>
      </c>
      <c r="AI14" s="2">
        <v>1</v>
      </c>
      <c r="AJ14" s="2">
        <v>1</v>
      </c>
      <c r="AK14" s="2">
        <v>1</v>
      </c>
      <c r="AL14" s="5">
        <v>45442</v>
      </c>
      <c r="AM14" s="2">
        <v>1</v>
      </c>
      <c r="AN14" s="2">
        <v>0</v>
      </c>
      <c r="AO14" s="2">
        <f t="shared" si="2"/>
        <v>2</v>
      </c>
      <c r="AP14" s="11">
        <v>0</v>
      </c>
      <c r="AV14" s="2">
        <v>0</v>
      </c>
      <c r="AW14" s="2">
        <f t="shared" si="3"/>
        <v>0</v>
      </c>
      <c r="AX14" s="2">
        <f t="shared" si="4"/>
        <v>1</v>
      </c>
      <c r="AY14" s="2">
        <v>1</v>
      </c>
      <c r="AZ14" s="2">
        <v>1</v>
      </c>
      <c r="BA14" s="2">
        <v>0</v>
      </c>
      <c r="BB14" s="2" t="s">
        <v>82</v>
      </c>
    </row>
    <row r="15" spans="1:54" s="2" customFormat="1">
      <c r="A15" s="8">
        <v>19</v>
      </c>
      <c r="B15" s="5">
        <v>45393</v>
      </c>
      <c r="C15" s="6">
        <v>45398</v>
      </c>
      <c r="D15" s="2">
        <f t="shared" si="1"/>
        <v>5</v>
      </c>
      <c r="E15" s="2">
        <v>65</v>
      </c>
      <c r="F15" s="2">
        <v>2</v>
      </c>
      <c r="G15" s="2">
        <v>2</v>
      </c>
      <c r="H15" s="2">
        <v>1</v>
      </c>
      <c r="I15" s="2">
        <v>0</v>
      </c>
      <c r="J15" s="2">
        <v>0</v>
      </c>
      <c r="K15" s="2">
        <v>0</v>
      </c>
      <c r="L15" s="2">
        <v>0</v>
      </c>
      <c r="M15" s="2">
        <v>0</v>
      </c>
      <c r="N15" s="2">
        <v>1</v>
      </c>
      <c r="O15" s="2" t="s">
        <v>51</v>
      </c>
      <c r="P15" t="s">
        <v>47</v>
      </c>
      <c r="Q15" s="2">
        <v>1</v>
      </c>
      <c r="R15" s="2">
        <v>3</v>
      </c>
      <c r="S15" s="5">
        <v>45393</v>
      </c>
      <c r="T15" s="5">
        <v>45394</v>
      </c>
      <c r="U15" s="28">
        <f t="shared" si="0"/>
        <v>1</v>
      </c>
      <c r="V15" s="2">
        <v>0</v>
      </c>
      <c r="W15" s="2">
        <v>0</v>
      </c>
      <c r="X15" s="2">
        <v>0</v>
      </c>
      <c r="Y15" s="2">
        <v>0</v>
      </c>
      <c r="Z15" s="2">
        <v>0</v>
      </c>
      <c r="AA15" s="2">
        <v>0</v>
      </c>
      <c r="AB15" s="2">
        <v>0</v>
      </c>
      <c r="AC15" s="2">
        <v>0</v>
      </c>
      <c r="AD15" s="2">
        <v>1</v>
      </c>
      <c r="AE15" s="2">
        <v>1</v>
      </c>
      <c r="AF15" s="2" t="s">
        <v>48</v>
      </c>
      <c r="AG15" s="2">
        <v>1</v>
      </c>
      <c r="AH15" s="2">
        <v>0</v>
      </c>
      <c r="AI15" s="2">
        <v>1</v>
      </c>
      <c r="AJ15" s="2">
        <v>1</v>
      </c>
      <c r="AK15" s="2">
        <v>1</v>
      </c>
      <c r="AL15" s="5">
        <v>45394</v>
      </c>
      <c r="AM15" s="2">
        <v>0</v>
      </c>
      <c r="AN15" s="2">
        <v>1</v>
      </c>
      <c r="AO15" s="2">
        <f t="shared" si="2"/>
        <v>1</v>
      </c>
      <c r="AP15" s="2">
        <v>0</v>
      </c>
      <c r="AV15" s="2">
        <v>0</v>
      </c>
      <c r="AW15" s="2">
        <f t="shared" si="3"/>
        <v>0</v>
      </c>
      <c r="AX15" s="2">
        <f t="shared" si="4"/>
        <v>1</v>
      </c>
      <c r="AY15" s="2">
        <v>0</v>
      </c>
      <c r="AZ15" s="2">
        <v>1</v>
      </c>
      <c r="BA15" s="2">
        <v>0</v>
      </c>
      <c r="BB15" s="2" t="s">
        <v>86</v>
      </c>
    </row>
    <row r="16" spans="1:54" s="2" customFormat="1">
      <c r="A16" s="2">
        <v>20</v>
      </c>
      <c r="B16" s="5">
        <v>45392</v>
      </c>
      <c r="C16" s="5">
        <v>45401</v>
      </c>
      <c r="D16" s="2">
        <f t="shared" si="1"/>
        <v>9</v>
      </c>
      <c r="E16" s="2">
        <v>85</v>
      </c>
      <c r="F16" s="2">
        <v>1</v>
      </c>
      <c r="G16" s="2">
        <v>2</v>
      </c>
      <c r="H16" s="2">
        <v>0</v>
      </c>
      <c r="I16" s="2">
        <v>0</v>
      </c>
      <c r="J16" s="2">
        <v>0</v>
      </c>
      <c r="K16" s="2">
        <v>0</v>
      </c>
      <c r="L16" s="2">
        <v>0</v>
      </c>
      <c r="M16" s="2">
        <v>0</v>
      </c>
      <c r="N16" s="2">
        <v>0</v>
      </c>
      <c r="P16" t="s">
        <v>52</v>
      </c>
      <c r="Q16" s="2">
        <v>1</v>
      </c>
      <c r="R16" s="2">
        <v>2</v>
      </c>
      <c r="S16" s="5">
        <v>45396</v>
      </c>
      <c r="T16" s="5">
        <v>45396</v>
      </c>
      <c r="U16" s="28">
        <f t="shared" si="0"/>
        <v>0</v>
      </c>
      <c r="V16" s="2">
        <v>0</v>
      </c>
      <c r="W16" s="2">
        <v>0</v>
      </c>
      <c r="X16" s="2">
        <v>0</v>
      </c>
      <c r="Y16" s="2">
        <v>0</v>
      </c>
      <c r="Z16" s="2">
        <v>0</v>
      </c>
      <c r="AA16" s="2">
        <v>0</v>
      </c>
      <c r="AB16" s="2">
        <v>0</v>
      </c>
      <c r="AC16" s="2">
        <v>0</v>
      </c>
      <c r="AD16" s="2">
        <v>0</v>
      </c>
      <c r="AE16" s="2">
        <v>1</v>
      </c>
      <c r="AF16" s="2" t="s">
        <v>55</v>
      </c>
      <c r="AG16" s="11">
        <v>1</v>
      </c>
      <c r="AH16" s="2">
        <v>1</v>
      </c>
      <c r="AI16" s="2">
        <v>1</v>
      </c>
      <c r="AJ16" s="2">
        <v>1</v>
      </c>
      <c r="AK16" s="2">
        <v>1</v>
      </c>
      <c r="AL16" s="5">
        <v>45400</v>
      </c>
      <c r="AM16" s="2">
        <v>0</v>
      </c>
      <c r="AN16" s="2">
        <v>0</v>
      </c>
      <c r="AO16" s="2">
        <f t="shared" si="2"/>
        <v>4</v>
      </c>
      <c r="AP16" s="2">
        <v>0</v>
      </c>
      <c r="AV16" s="2">
        <v>0</v>
      </c>
      <c r="AW16" s="2">
        <f t="shared" si="3"/>
        <v>0</v>
      </c>
      <c r="AX16" s="2">
        <f t="shared" si="4"/>
        <v>1</v>
      </c>
      <c r="AY16" s="2">
        <v>0</v>
      </c>
      <c r="AZ16" s="2">
        <v>1</v>
      </c>
      <c r="BA16" s="2">
        <v>0</v>
      </c>
      <c r="BB16" s="2" t="s">
        <v>88</v>
      </c>
    </row>
    <row r="17" spans="1:54" s="2" customFormat="1">
      <c r="A17" s="2">
        <v>21</v>
      </c>
      <c r="B17" s="5">
        <v>45400</v>
      </c>
      <c r="C17" s="5">
        <v>45408</v>
      </c>
      <c r="D17" s="2">
        <f t="shared" si="1"/>
        <v>8</v>
      </c>
      <c r="E17" s="2">
        <v>85</v>
      </c>
      <c r="F17" s="2">
        <v>2</v>
      </c>
      <c r="G17" s="2">
        <v>2</v>
      </c>
      <c r="H17" s="2">
        <v>1</v>
      </c>
      <c r="I17" s="2">
        <v>0</v>
      </c>
      <c r="J17" s="2">
        <v>0</v>
      </c>
      <c r="K17" s="2">
        <v>0</v>
      </c>
      <c r="L17" s="2">
        <v>0</v>
      </c>
      <c r="M17" s="2">
        <v>0</v>
      </c>
      <c r="N17" s="2">
        <v>1</v>
      </c>
      <c r="O17" s="2" t="s">
        <v>70</v>
      </c>
      <c r="P17" t="s">
        <v>52</v>
      </c>
      <c r="Q17" s="2">
        <v>1</v>
      </c>
      <c r="R17" s="2">
        <v>3</v>
      </c>
      <c r="S17" s="5">
        <v>45400</v>
      </c>
      <c r="T17" s="5">
        <v>45402</v>
      </c>
      <c r="U17" s="28">
        <f t="shared" si="0"/>
        <v>2</v>
      </c>
      <c r="V17" s="2">
        <v>1</v>
      </c>
      <c r="W17" s="2">
        <v>0</v>
      </c>
      <c r="X17" s="2">
        <v>0</v>
      </c>
      <c r="Y17" s="2">
        <v>0</v>
      </c>
      <c r="Z17" s="2">
        <v>1</v>
      </c>
      <c r="AA17" s="2">
        <v>0</v>
      </c>
      <c r="AB17" s="2">
        <v>0</v>
      </c>
      <c r="AC17" s="2">
        <v>0</v>
      </c>
      <c r="AD17" s="2">
        <v>0</v>
      </c>
      <c r="AE17" s="2">
        <v>1</v>
      </c>
      <c r="AF17" s="2" t="s">
        <v>55</v>
      </c>
      <c r="AG17" s="2">
        <v>1</v>
      </c>
      <c r="AH17" s="2">
        <v>1</v>
      </c>
      <c r="AI17" s="11">
        <v>0</v>
      </c>
      <c r="AJ17" s="2">
        <v>1</v>
      </c>
      <c r="AK17" s="2">
        <v>1</v>
      </c>
      <c r="AL17" s="5">
        <v>45404</v>
      </c>
      <c r="AM17" s="2">
        <v>0</v>
      </c>
      <c r="AN17" s="2">
        <v>1</v>
      </c>
      <c r="AO17" s="2">
        <f t="shared" si="2"/>
        <v>4</v>
      </c>
      <c r="AP17" s="2">
        <v>0</v>
      </c>
      <c r="AV17" s="2">
        <v>0</v>
      </c>
      <c r="AW17" s="2">
        <f t="shared" si="3"/>
        <v>0</v>
      </c>
      <c r="AX17" s="2">
        <f t="shared" si="4"/>
        <v>0</v>
      </c>
      <c r="AY17" s="2">
        <v>0</v>
      </c>
      <c r="AZ17" s="2">
        <v>1</v>
      </c>
      <c r="BA17" s="2">
        <v>0</v>
      </c>
      <c r="BB17" s="2" t="s">
        <v>89</v>
      </c>
    </row>
    <row r="18" spans="1:54" s="2" customFormat="1">
      <c r="A18" s="2">
        <v>25</v>
      </c>
      <c r="B18" s="5">
        <v>45405</v>
      </c>
      <c r="C18" s="5">
        <v>45423</v>
      </c>
      <c r="D18" s="2">
        <f t="shared" si="1"/>
        <v>18</v>
      </c>
      <c r="E18" s="2">
        <v>66</v>
      </c>
      <c r="F18" s="2">
        <v>1</v>
      </c>
      <c r="G18" s="2">
        <v>2</v>
      </c>
      <c r="H18" s="2">
        <v>1</v>
      </c>
      <c r="I18" s="2">
        <v>0</v>
      </c>
      <c r="J18" s="2">
        <v>0</v>
      </c>
      <c r="K18" s="2">
        <v>0</v>
      </c>
      <c r="L18" s="2">
        <v>0</v>
      </c>
      <c r="M18" s="2">
        <v>0</v>
      </c>
      <c r="N18" s="2">
        <v>1</v>
      </c>
      <c r="O18" s="2" t="s">
        <v>63</v>
      </c>
      <c r="P18" t="s">
        <v>52</v>
      </c>
      <c r="Q18" s="2">
        <v>1</v>
      </c>
      <c r="R18" s="2">
        <v>4</v>
      </c>
      <c r="S18" s="5">
        <v>45405</v>
      </c>
      <c r="T18" s="5">
        <v>45408</v>
      </c>
      <c r="U18" s="28">
        <f t="shared" si="0"/>
        <v>3</v>
      </c>
      <c r="V18" s="2">
        <v>1</v>
      </c>
      <c r="W18" s="2">
        <v>1</v>
      </c>
      <c r="X18" s="2">
        <v>0</v>
      </c>
      <c r="Y18" s="2">
        <v>0</v>
      </c>
      <c r="Z18" s="2">
        <v>1</v>
      </c>
      <c r="AA18" s="2">
        <v>0</v>
      </c>
      <c r="AB18" s="2">
        <v>0</v>
      </c>
      <c r="AC18" s="2">
        <v>0</v>
      </c>
      <c r="AD18" s="2">
        <v>0</v>
      </c>
      <c r="AE18" s="2">
        <v>1</v>
      </c>
      <c r="AF18" s="2" t="s">
        <v>55</v>
      </c>
      <c r="AG18" s="11">
        <v>1</v>
      </c>
      <c r="AH18" s="2">
        <v>0</v>
      </c>
      <c r="AI18" s="2">
        <v>1</v>
      </c>
      <c r="AJ18" s="2">
        <v>0</v>
      </c>
      <c r="AK18" s="2">
        <v>1</v>
      </c>
      <c r="AL18" s="5">
        <v>45411</v>
      </c>
      <c r="AM18" s="2">
        <v>0</v>
      </c>
      <c r="AN18" s="2">
        <v>0</v>
      </c>
      <c r="AO18" s="2">
        <f t="shared" si="2"/>
        <v>6</v>
      </c>
      <c r="AP18" s="2">
        <v>0</v>
      </c>
      <c r="AV18" s="2">
        <v>1</v>
      </c>
      <c r="AW18" s="2">
        <f t="shared" si="3"/>
        <v>0</v>
      </c>
      <c r="AX18" s="2">
        <f t="shared" si="4"/>
        <v>0</v>
      </c>
      <c r="AY18" s="2">
        <v>0</v>
      </c>
      <c r="AZ18" s="2">
        <v>0</v>
      </c>
      <c r="BA18" s="2">
        <v>0</v>
      </c>
      <c r="BB18" s="2" t="s">
        <v>95</v>
      </c>
    </row>
    <row r="19" spans="1:54" s="2" customFormat="1">
      <c r="A19" s="2">
        <v>26</v>
      </c>
      <c r="B19" s="5">
        <v>45406</v>
      </c>
      <c r="C19" s="5">
        <v>45424</v>
      </c>
      <c r="D19" s="2">
        <f t="shared" si="1"/>
        <v>18</v>
      </c>
      <c r="E19" s="2">
        <v>59</v>
      </c>
      <c r="F19" s="2">
        <v>2</v>
      </c>
      <c r="G19" s="2">
        <v>2</v>
      </c>
      <c r="H19" s="2">
        <v>1</v>
      </c>
      <c r="I19" s="2">
        <v>0</v>
      </c>
      <c r="J19" s="2">
        <v>0</v>
      </c>
      <c r="K19" s="2">
        <v>0</v>
      </c>
      <c r="L19" s="2">
        <v>1</v>
      </c>
      <c r="M19" s="2">
        <v>0</v>
      </c>
      <c r="N19" s="2">
        <v>1</v>
      </c>
      <c r="O19" s="2" t="s">
        <v>70</v>
      </c>
      <c r="P19" t="s">
        <v>52</v>
      </c>
      <c r="Q19" s="2">
        <v>1</v>
      </c>
      <c r="R19" s="2">
        <v>3</v>
      </c>
      <c r="S19" s="5">
        <v>45406</v>
      </c>
      <c r="T19" s="5">
        <v>45409</v>
      </c>
      <c r="U19" s="28">
        <f t="shared" si="0"/>
        <v>3</v>
      </c>
      <c r="V19" s="2">
        <v>1</v>
      </c>
      <c r="W19" s="2">
        <v>0</v>
      </c>
      <c r="X19" s="2">
        <v>0</v>
      </c>
      <c r="Y19" s="2">
        <v>1</v>
      </c>
      <c r="Z19" s="2">
        <v>0</v>
      </c>
      <c r="AA19" s="2">
        <v>0</v>
      </c>
      <c r="AB19" s="2">
        <v>0</v>
      </c>
      <c r="AC19" s="2">
        <v>0</v>
      </c>
      <c r="AD19" s="2">
        <v>0</v>
      </c>
      <c r="AE19" s="2">
        <v>1</v>
      </c>
      <c r="AF19" s="2" t="s">
        <v>55</v>
      </c>
      <c r="AG19" s="2">
        <v>1</v>
      </c>
      <c r="AH19" s="2">
        <v>1</v>
      </c>
      <c r="AI19" s="2">
        <v>1</v>
      </c>
      <c r="AJ19" s="2">
        <v>1</v>
      </c>
      <c r="AK19" s="2">
        <v>1</v>
      </c>
      <c r="AL19" s="5">
        <v>45415</v>
      </c>
      <c r="AM19" s="2">
        <v>1</v>
      </c>
      <c r="AN19" s="2">
        <v>0</v>
      </c>
      <c r="AO19" s="2">
        <f t="shared" si="2"/>
        <v>9</v>
      </c>
      <c r="AP19" s="2">
        <v>0</v>
      </c>
      <c r="AV19" s="2">
        <v>1</v>
      </c>
      <c r="AW19" s="2">
        <f t="shared" si="3"/>
        <v>0</v>
      </c>
      <c r="AX19" s="2">
        <f t="shared" si="4"/>
        <v>1</v>
      </c>
      <c r="AY19" s="2">
        <v>1</v>
      </c>
      <c r="AZ19" s="2">
        <v>1</v>
      </c>
      <c r="BA19" s="2">
        <v>0</v>
      </c>
      <c r="BB19" s="2" t="s">
        <v>96</v>
      </c>
    </row>
    <row r="20" spans="1:54" s="2" customFormat="1">
      <c r="A20" s="8">
        <v>27</v>
      </c>
      <c r="B20" s="5">
        <v>45403</v>
      </c>
      <c r="C20" s="6">
        <v>45412</v>
      </c>
      <c r="D20" s="2">
        <f t="shared" si="1"/>
        <v>9</v>
      </c>
      <c r="E20" s="2">
        <v>72</v>
      </c>
      <c r="F20" s="2">
        <v>1</v>
      </c>
      <c r="G20" s="2">
        <v>2</v>
      </c>
      <c r="H20" s="2">
        <v>1</v>
      </c>
      <c r="I20" s="2">
        <v>0</v>
      </c>
      <c r="J20" s="2">
        <v>0</v>
      </c>
      <c r="K20" s="2">
        <v>0</v>
      </c>
      <c r="L20" s="2">
        <v>0</v>
      </c>
      <c r="M20" s="2">
        <v>0</v>
      </c>
      <c r="N20" s="2">
        <v>1</v>
      </c>
      <c r="O20" s="2" t="s">
        <v>97</v>
      </c>
      <c r="P20" t="s">
        <v>52</v>
      </c>
      <c r="Q20" s="2">
        <v>1</v>
      </c>
      <c r="R20" s="2">
        <v>2</v>
      </c>
      <c r="S20" s="5">
        <v>45407</v>
      </c>
      <c r="T20" s="5">
        <v>45409</v>
      </c>
      <c r="U20" s="28">
        <f t="shared" si="0"/>
        <v>2</v>
      </c>
      <c r="V20" s="2">
        <v>1</v>
      </c>
      <c r="W20" s="2">
        <v>1</v>
      </c>
      <c r="X20" s="2">
        <v>0</v>
      </c>
      <c r="Y20" s="2">
        <v>0</v>
      </c>
      <c r="Z20" s="2">
        <v>0</v>
      </c>
      <c r="AA20" s="2">
        <v>0</v>
      </c>
      <c r="AB20" s="2">
        <v>0</v>
      </c>
      <c r="AC20" s="2">
        <v>0</v>
      </c>
      <c r="AD20" s="2">
        <v>1</v>
      </c>
      <c r="AE20" s="2">
        <v>1</v>
      </c>
      <c r="AF20" s="2" t="s">
        <v>55</v>
      </c>
      <c r="AG20" s="2">
        <v>1</v>
      </c>
      <c r="AH20" s="2">
        <v>1</v>
      </c>
      <c r="AI20" s="2">
        <v>1</v>
      </c>
      <c r="AJ20" s="2">
        <v>1</v>
      </c>
      <c r="AK20" s="2">
        <v>1</v>
      </c>
      <c r="AL20" s="5">
        <v>45408</v>
      </c>
      <c r="AM20" s="2">
        <v>0</v>
      </c>
      <c r="AN20" s="2">
        <v>0</v>
      </c>
      <c r="AO20" s="2">
        <f t="shared" si="2"/>
        <v>1</v>
      </c>
      <c r="AP20" s="2">
        <v>0</v>
      </c>
      <c r="AV20" s="2">
        <v>0</v>
      </c>
      <c r="AW20" s="2">
        <f t="shared" si="3"/>
        <v>0</v>
      </c>
      <c r="AX20" s="2">
        <f t="shared" si="4"/>
        <v>1</v>
      </c>
      <c r="AY20" s="2">
        <v>0</v>
      </c>
      <c r="AZ20" s="2">
        <v>1</v>
      </c>
      <c r="BA20" s="2">
        <v>0</v>
      </c>
      <c r="BB20" s="2" t="s">
        <v>98</v>
      </c>
    </row>
    <row r="21" spans="1:54" s="2" customFormat="1">
      <c r="A21" s="2">
        <v>28</v>
      </c>
      <c r="B21" s="5">
        <v>45406</v>
      </c>
      <c r="C21" s="5">
        <v>45422</v>
      </c>
      <c r="D21" s="2">
        <f t="shared" si="1"/>
        <v>16</v>
      </c>
      <c r="E21" s="2">
        <v>71</v>
      </c>
      <c r="F21" s="2">
        <v>2</v>
      </c>
      <c r="G21" s="2">
        <v>2</v>
      </c>
      <c r="H21" s="2">
        <v>1</v>
      </c>
      <c r="I21" s="2">
        <v>0</v>
      </c>
      <c r="J21" s="2">
        <v>0</v>
      </c>
      <c r="K21" s="2">
        <v>0</v>
      </c>
      <c r="L21" s="2">
        <v>0</v>
      </c>
      <c r="M21" s="2">
        <v>0</v>
      </c>
      <c r="N21" s="2">
        <v>1</v>
      </c>
      <c r="O21" s="2" t="s">
        <v>99</v>
      </c>
      <c r="P21" t="s">
        <v>52</v>
      </c>
      <c r="Q21" s="2">
        <v>1</v>
      </c>
      <c r="R21" s="2">
        <v>2</v>
      </c>
      <c r="S21" s="5">
        <v>45409</v>
      </c>
      <c r="T21" s="5">
        <v>45410</v>
      </c>
      <c r="U21" s="28">
        <f t="shared" si="0"/>
        <v>1</v>
      </c>
      <c r="V21" s="2">
        <v>1</v>
      </c>
      <c r="W21" s="2">
        <v>1</v>
      </c>
      <c r="X21" s="2">
        <v>0</v>
      </c>
      <c r="Y21" s="2">
        <v>0</v>
      </c>
      <c r="Z21" s="2">
        <v>1</v>
      </c>
      <c r="AA21" s="2">
        <v>0</v>
      </c>
      <c r="AB21" s="2">
        <v>0</v>
      </c>
      <c r="AC21" s="2">
        <v>0</v>
      </c>
      <c r="AD21" s="2">
        <v>1</v>
      </c>
      <c r="AE21" s="2">
        <v>1</v>
      </c>
      <c r="AF21" s="2" t="s">
        <v>79</v>
      </c>
      <c r="AG21" s="2">
        <v>1</v>
      </c>
      <c r="AH21" s="2">
        <v>1</v>
      </c>
      <c r="AI21" s="2">
        <v>1</v>
      </c>
      <c r="AJ21" s="2">
        <v>1</v>
      </c>
      <c r="AK21" s="2">
        <v>1</v>
      </c>
      <c r="AL21" s="5">
        <v>45414</v>
      </c>
      <c r="AM21" s="2">
        <v>0</v>
      </c>
      <c r="AN21" s="2">
        <v>0</v>
      </c>
      <c r="AO21" s="2">
        <f t="shared" si="2"/>
        <v>5</v>
      </c>
      <c r="AP21" s="2">
        <v>0</v>
      </c>
      <c r="AV21" s="2">
        <v>0</v>
      </c>
      <c r="AW21" s="2">
        <f t="shared" si="3"/>
        <v>0</v>
      </c>
      <c r="AX21" s="2">
        <f t="shared" si="4"/>
        <v>1</v>
      </c>
      <c r="AY21" s="2">
        <v>0</v>
      </c>
      <c r="AZ21" s="2">
        <v>1</v>
      </c>
      <c r="BA21" s="2">
        <v>0</v>
      </c>
      <c r="BB21" s="2" t="s">
        <v>100</v>
      </c>
    </row>
    <row r="22" spans="1:54" s="2" customFormat="1">
      <c r="A22" s="2">
        <v>29</v>
      </c>
      <c r="B22" s="5">
        <v>45347</v>
      </c>
      <c r="C22" s="5">
        <v>45454</v>
      </c>
      <c r="D22" s="2">
        <f t="shared" si="1"/>
        <v>107</v>
      </c>
      <c r="E22" s="2">
        <v>54</v>
      </c>
      <c r="F22" s="2">
        <v>1</v>
      </c>
      <c r="G22" s="2">
        <v>3</v>
      </c>
      <c r="H22" s="2">
        <v>0</v>
      </c>
      <c r="I22" s="2">
        <v>0</v>
      </c>
      <c r="J22" s="2">
        <v>0</v>
      </c>
      <c r="K22" s="2">
        <v>0</v>
      </c>
      <c r="L22" s="2">
        <v>0</v>
      </c>
      <c r="M22" s="2">
        <v>0</v>
      </c>
      <c r="N22" s="2">
        <v>0</v>
      </c>
      <c r="P22" t="s">
        <v>47</v>
      </c>
      <c r="Q22" s="2">
        <v>1</v>
      </c>
      <c r="R22" s="2">
        <v>4</v>
      </c>
      <c r="S22" s="5">
        <v>45407</v>
      </c>
      <c r="T22" s="5">
        <v>45410</v>
      </c>
      <c r="U22" s="28">
        <f t="shared" si="0"/>
        <v>3</v>
      </c>
      <c r="V22" s="2">
        <v>1</v>
      </c>
      <c r="W22" s="2">
        <v>0</v>
      </c>
      <c r="X22" s="2">
        <v>1</v>
      </c>
      <c r="Y22" s="2">
        <v>0</v>
      </c>
      <c r="Z22" s="2">
        <v>0</v>
      </c>
      <c r="AA22" s="2">
        <v>0</v>
      </c>
      <c r="AB22" s="2">
        <v>0</v>
      </c>
      <c r="AC22" s="2">
        <v>0</v>
      </c>
      <c r="AD22" s="2">
        <v>0</v>
      </c>
      <c r="AE22" s="2">
        <v>1</v>
      </c>
      <c r="AF22" s="2" t="s">
        <v>91</v>
      </c>
      <c r="AG22" s="2">
        <v>1</v>
      </c>
      <c r="AH22" s="2">
        <v>1</v>
      </c>
      <c r="AI22" s="2">
        <v>0</v>
      </c>
      <c r="AJ22" s="2">
        <v>1</v>
      </c>
      <c r="AK22" s="2">
        <v>1</v>
      </c>
      <c r="AL22" s="5">
        <v>45411</v>
      </c>
      <c r="AM22" s="2">
        <v>0</v>
      </c>
      <c r="AN22" s="2">
        <v>0</v>
      </c>
      <c r="AO22" s="2">
        <f t="shared" si="2"/>
        <v>4</v>
      </c>
      <c r="AP22" s="2">
        <v>0</v>
      </c>
      <c r="AV22" s="2">
        <v>1</v>
      </c>
      <c r="AW22" s="2">
        <f t="shared" si="3"/>
        <v>0</v>
      </c>
      <c r="AX22" s="2">
        <f t="shared" si="4"/>
        <v>0</v>
      </c>
      <c r="AY22" s="2">
        <v>0</v>
      </c>
      <c r="AZ22" s="2">
        <v>1</v>
      </c>
      <c r="BA22" s="2">
        <v>0</v>
      </c>
      <c r="BB22" s="2" t="s">
        <v>101</v>
      </c>
    </row>
    <row r="23" spans="1:54" s="2" customFormat="1">
      <c r="A23" s="8">
        <v>31</v>
      </c>
      <c r="B23" s="5">
        <v>45343</v>
      </c>
      <c r="C23" s="6">
        <v>45368</v>
      </c>
      <c r="D23" s="2">
        <f t="shared" si="1"/>
        <v>25</v>
      </c>
      <c r="E23" s="2">
        <v>82</v>
      </c>
      <c r="F23" s="2">
        <v>1</v>
      </c>
      <c r="G23" s="2">
        <v>2</v>
      </c>
      <c r="H23" s="2">
        <v>1</v>
      </c>
      <c r="I23" s="2">
        <v>0</v>
      </c>
      <c r="J23" s="2">
        <v>0</v>
      </c>
      <c r="K23" s="2">
        <v>0</v>
      </c>
      <c r="L23" s="2">
        <v>1</v>
      </c>
      <c r="M23" s="2">
        <v>0</v>
      </c>
      <c r="N23" s="2">
        <v>1</v>
      </c>
      <c r="O23" s="2" t="s">
        <v>103</v>
      </c>
      <c r="P23" t="s">
        <v>52</v>
      </c>
      <c r="Q23" s="2">
        <v>1</v>
      </c>
      <c r="R23" s="2">
        <v>2</v>
      </c>
      <c r="S23" s="5">
        <v>45351</v>
      </c>
      <c r="T23" s="5">
        <v>45352</v>
      </c>
      <c r="U23" s="28">
        <f t="shared" si="0"/>
        <v>1</v>
      </c>
      <c r="V23" s="2">
        <v>1</v>
      </c>
      <c r="W23" s="2">
        <v>0</v>
      </c>
      <c r="X23" s="2">
        <v>0</v>
      </c>
      <c r="Y23" s="2">
        <v>1</v>
      </c>
      <c r="Z23" s="2">
        <v>0</v>
      </c>
      <c r="AA23" s="2">
        <v>0</v>
      </c>
      <c r="AB23" s="2">
        <v>0</v>
      </c>
      <c r="AC23" s="2">
        <v>1</v>
      </c>
      <c r="AD23" s="2">
        <v>0</v>
      </c>
      <c r="AE23" s="2">
        <v>1</v>
      </c>
      <c r="AF23" s="2" t="s">
        <v>91</v>
      </c>
      <c r="AG23" s="2">
        <v>1</v>
      </c>
      <c r="AH23" s="2">
        <v>0</v>
      </c>
      <c r="AI23" s="2">
        <v>1</v>
      </c>
      <c r="AJ23" s="2">
        <v>0</v>
      </c>
      <c r="AK23" s="2">
        <v>1</v>
      </c>
      <c r="AL23" s="5">
        <v>45352</v>
      </c>
      <c r="AM23" s="2">
        <v>0</v>
      </c>
      <c r="AN23" s="2">
        <v>1</v>
      </c>
      <c r="AO23" s="2">
        <f t="shared" si="2"/>
        <v>1</v>
      </c>
      <c r="AP23" s="2">
        <v>0</v>
      </c>
      <c r="AV23" s="2">
        <v>1</v>
      </c>
      <c r="AW23" s="2">
        <f t="shared" si="3"/>
        <v>0</v>
      </c>
      <c r="AX23" s="2">
        <f t="shared" si="4"/>
        <v>0</v>
      </c>
      <c r="AY23" s="2">
        <v>0</v>
      </c>
      <c r="AZ23" s="2">
        <v>1</v>
      </c>
      <c r="BA23" s="2">
        <v>1</v>
      </c>
      <c r="BB23" s="2" t="s">
        <v>104</v>
      </c>
    </row>
    <row r="24" spans="1:54" s="2" customFormat="1">
      <c r="A24" s="2">
        <v>34</v>
      </c>
      <c r="B24" s="5">
        <v>45364</v>
      </c>
      <c r="C24" s="5">
        <v>45377</v>
      </c>
      <c r="D24" s="2">
        <f t="shared" si="1"/>
        <v>13</v>
      </c>
      <c r="E24" s="2">
        <v>95</v>
      </c>
      <c r="F24" s="2">
        <v>2</v>
      </c>
      <c r="G24" s="2">
        <v>4</v>
      </c>
      <c r="H24" s="2">
        <v>0</v>
      </c>
      <c r="I24" s="2">
        <v>0</v>
      </c>
      <c r="J24" s="2">
        <v>0</v>
      </c>
      <c r="K24" s="2">
        <v>0</v>
      </c>
      <c r="L24" s="2">
        <v>0</v>
      </c>
      <c r="M24" s="2">
        <v>0</v>
      </c>
      <c r="N24" s="2">
        <v>0</v>
      </c>
      <c r="P24" t="s">
        <v>52</v>
      </c>
      <c r="Q24" s="2">
        <v>1</v>
      </c>
      <c r="R24" s="2">
        <v>5</v>
      </c>
      <c r="S24" s="5">
        <v>45364</v>
      </c>
      <c r="T24" s="5">
        <v>45368</v>
      </c>
      <c r="U24" s="28">
        <f t="shared" si="0"/>
        <v>4</v>
      </c>
      <c r="V24" s="2">
        <v>1</v>
      </c>
      <c r="W24" s="2">
        <v>0</v>
      </c>
      <c r="X24" s="2">
        <v>0</v>
      </c>
      <c r="Y24" s="2">
        <v>0</v>
      </c>
      <c r="Z24" s="2">
        <v>0</v>
      </c>
      <c r="AA24" s="2">
        <v>0</v>
      </c>
      <c r="AB24" s="2">
        <v>0</v>
      </c>
      <c r="AC24" s="2">
        <v>0</v>
      </c>
      <c r="AD24" s="2">
        <v>1</v>
      </c>
      <c r="AE24" s="2">
        <v>1</v>
      </c>
      <c r="AF24" s="2" t="s">
        <v>55</v>
      </c>
      <c r="AG24" s="2">
        <v>1</v>
      </c>
      <c r="AH24" s="2">
        <v>1</v>
      </c>
      <c r="AI24" s="2">
        <v>1</v>
      </c>
      <c r="AJ24" s="2">
        <v>1</v>
      </c>
      <c r="AK24" s="2">
        <v>1</v>
      </c>
      <c r="AL24" s="5">
        <v>45366</v>
      </c>
      <c r="AM24" s="2">
        <v>0</v>
      </c>
      <c r="AN24" s="2">
        <v>0</v>
      </c>
      <c r="AO24" s="2">
        <f t="shared" si="2"/>
        <v>2</v>
      </c>
      <c r="AP24" s="2">
        <v>0</v>
      </c>
      <c r="AV24" s="2">
        <v>0</v>
      </c>
      <c r="AW24" s="2">
        <f t="shared" si="3"/>
        <v>1</v>
      </c>
      <c r="AX24" s="2">
        <f t="shared" si="4"/>
        <v>1</v>
      </c>
      <c r="AY24" s="2">
        <v>0</v>
      </c>
      <c r="AZ24" s="2">
        <v>1</v>
      </c>
      <c r="BA24" s="2">
        <v>0</v>
      </c>
      <c r="BB24" s="2" t="s">
        <v>110</v>
      </c>
    </row>
    <row r="25" spans="1:54" s="2" customFormat="1">
      <c r="A25" s="8">
        <v>36</v>
      </c>
      <c r="B25" s="5">
        <v>45378</v>
      </c>
      <c r="C25" s="6">
        <v>45380</v>
      </c>
      <c r="D25" s="2">
        <f t="shared" si="1"/>
        <v>2</v>
      </c>
      <c r="E25" s="2">
        <v>64</v>
      </c>
      <c r="F25" s="2">
        <v>2</v>
      </c>
      <c r="G25" s="2">
        <v>2</v>
      </c>
      <c r="H25" s="2">
        <v>1</v>
      </c>
      <c r="I25" s="2">
        <v>0</v>
      </c>
      <c r="J25" s="2">
        <v>0</v>
      </c>
      <c r="K25" s="2">
        <v>0</v>
      </c>
      <c r="L25" s="2">
        <v>0</v>
      </c>
      <c r="M25" s="2">
        <v>0</v>
      </c>
      <c r="N25" s="2">
        <v>1</v>
      </c>
      <c r="O25" s="2" t="s">
        <v>63</v>
      </c>
      <c r="P25" t="s">
        <v>52</v>
      </c>
      <c r="Q25" s="2">
        <v>1</v>
      </c>
      <c r="R25" s="2">
        <v>3</v>
      </c>
      <c r="S25" s="5">
        <v>45378</v>
      </c>
      <c r="T25" s="5">
        <v>45379</v>
      </c>
      <c r="U25" s="28">
        <f t="shared" si="0"/>
        <v>1</v>
      </c>
      <c r="V25" s="2">
        <v>0</v>
      </c>
      <c r="W25" s="2">
        <v>0</v>
      </c>
      <c r="X25" s="2">
        <v>0</v>
      </c>
      <c r="Y25" s="2">
        <v>0</v>
      </c>
      <c r="Z25" s="2">
        <v>0</v>
      </c>
      <c r="AA25" s="2">
        <v>0</v>
      </c>
      <c r="AB25" s="2">
        <v>0</v>
      </c>
      <c r="AC25" s="2">
        <v>0</v>
      </c>
      <c r="AD25" s="2">
        <v>0</v>
      </c>
      <c r="AE25" s="2">
        <v>1</v>
      </c>
      <c r="AF25" s="2" t="s">
        <v>55</v>
      </c>
      <c r="AG25" s="2">
        <v>1</v>
      </c>
      <c r="AH25" s="2">
        <v>1</v>
      </c>
      <c r="AI25" s="2">
        <v>1</v>
      </c>
      <c r="AJ25" s="2">
        <v>0</v>
      </c>
      <c r="AK25" s="2">
        <v>1</v>
      </c>
      <c r="AL25" s="5">
        <v>45379</v>
      </c>
      <c r="AM25" s="2">
        <v>1</v>
      </c>
      <c r="AN25" s="2">
        <v>1</v>
      </c>
      <c r="AO25" s="2">
        <f t="shared" si="2"/>
        <v>1</v>
      </c>
      <c r="AP25" s="2">
        <v>0</v>
      </c>
      <c r="AV25" s="2">
        <v>1</v>
      </c>
      <c r="AW25" s="2">
        <f t="shared" si="3"/>
        <v>0</v>
      </c>
      <c r="AX25" s="2">
        <f t="shared" si="4"/>
        <v>0</v>
      </c>
      <c r="AY25" s="2">
        <v>1</v>
      </c>
      <c r="AZ25" s="2">
        <v>1</v>
      </c>
      <c r="BA25" s="2">
        <v>0</v>
      </c>
      <c r="BB25" s="2" t="s">
        <v>112</v>
      </c>
    </row>
    <row r="26" spans="1:54" s="2" customFormat="1">
      <c r="A26" s="2">
        <v>37</v>
      </c>
      <c r="B26" s="5">
        <v>45379</v>
      </c>
      <c r="C26" s="5">
        <v>45390</v>
      </c>
      <c r="D26" s="2">
        <f t="shared" si="1"/>
        <v>11</v>
      </c>
      <c r="E26" s="2">
        <v>87</v>
      </c>
      <c r="F26" s="2">
        <v>2</v>
      </c>
      <c r="G26" s="2">
        <v>2</v>
      </c>
      <c r="H26" s="2">
        <v>1</v>
      </c>
      <c r="I26" s="2">
        <v>0</v>
      </c>
      <c r="J26" s="2">
        <v>0</v>
      </c>
      <c r="K26" s="2">
        <v>1</v>
      </c>
      <c r="L26" s="2">
        <v>0</v>
      </c>
      <c r="M26" s="2">
        <v>0</v>
      </c>
      <c r="N26" s="2">
        <v>0</v>
      </c>
      <c r="O26" s="2" t="s">
        <v>72</v>
      </c>
      <c r="P26" t="s">
        <v>52</v>
      </c>
      <c r="Q26" s="2">
        <v>1</v>
      </c>
      <c r="R26" s="2">
        <v>4</v>
      </c>
      <c r="S26" s="5">
        <v>45379</v>
      </c>
      <c r="T26" s="5">
        <v>45382</v>
      </c>
      <c r="U26" s="28">
        <f t="shared" si="0"/>
        <v>3</v>
      </c>
      <c r="V26" s="2">
        <v>0</v>
      </c>
      <c r="W26" s="2">
        <v>0</v>
      </c>
      <c r="X26" s="2">
        <v>0</v>
      </c>
      <c r="Y26" s="2">
        <v>0</v>
      </c>
      <c r="Z26" s="2">
        <v>0</v>
      </c>
      <c r="AA26" s="2">
        <v>0</v>
      </c>
      <c r="AB26" s="2">
        <v>0</v>
      </c>
      <c r="AC26" s="2">
        <v>0</v>
      </c>
      <c r="AD26" s="2">
        <v>0</v>
      </c>
      <c r="AE26" s="2">
        <v>1</v>
      </c>
      <c r="AF26" s="2" t="s">
        <v>79</v>
      </c>
      <c r="AG26" s="2">
        <v>1</v>
      </c>
      <c r="AH26" s="2">
        <v>1</v>
      </c>
      <c r="AI26" s="2">
        <v>0</v>
      </c>
      <c r="AJ26" s="2">
        <v>0</v>
      </c>
      <c r="AK26" s="2">
        <v>1</v>
      </c>
      <c r="AL26" s="5">
        <v>45383</v>
      </c>
      <c r="AM26" s="2">
        <v>0</v>
      </c>
      <c r="AN26" s="2">
        <v>0</v>
      </c>
      <c r="AO26" s="2">
        <f t="shared" si="2"/>
        <v>4</v>
      </c>
      <c r="AP26" s="2">
        <v>0</v>
      </c>
      <c r="AV26" s="2">
        <v>0</v>
      </c>
      <c r="AW26" s="2">
        <f t="shared" si="3"/>
        <v>0</v>
      </c>
      <c r="AX26" s="2">
        <f t="shared" si="4"/>
        <v>0</v>
      </c>
      <c r="AY26" s="2">
        <v>1</v>
      </c>
      <c r="AZ26" s="2">
        <v>1</v>
      </c>
      <c r="BA26" s="2">
        <v>1</v>
      </c>
      <c r="BB26" s="2" t="s">
        <v>113</v>
      </c>
    </row>
    <row r="27" spans="1:54" s="2" customFormat="1">
      <c r="A27" s="2">
        <v>39</v>
      </c>
      <c r="B27" s="5">
        <v>45443</v>
      </c>
      <c r="C27" s="5">
        <v>45455</v>
      </c>
      <c r="D27" s="2">
        <f t="shared" si="1"/>
        <v>12</v>
      </c>
      <c r="E27" s="2">
        <v>70</v>
      </c>
      <c r="F27" s="2">
        <v>2</v>
      </c>
      <c r="G27" s="2">
        <v>2</v>
      </c>
      <c r="H27" s="2">
        <v>0</v>
      </c>
      <c r="I27" s="2">
        <v>0</v>
      </c>
      <c r="J27" s="2">
        <v>0</v>
      </c>
      <c r="K27" s="2">
        <v>0</v>
      </c>
      <c r="L27" s="2">
        <v>0</v>
      </c>
      <c r="M27" s="2">
        <v>0</v>
      </c>
      <c r="N27" s="2">
        <v>0</v>
      </c>
      <c r="P27" t="s">
        <v>116</v>
      </c>
      <c r="Q27" s="2">
        <v>0</v>
      </c>
      <c r="R27" s="2">
        <v>1</v>
      </c>
      <c r="S27" s="5">
        <v>45444</v>
      </c>
      <c r="T27" s="5">
        <v>45444</v>
      </c>
      <c r="U27" s="28">
        <f t="shared" si="0"/>
        <v>0</v>
      </c>
      <c r="V27" s="2">
        <v>1</v>
      </c>
      <c r="W27" s="2">
        <v>1</v>
      </c>
      <c r="X27" s="2">
        <v>0</v>
      </c>
      <c r="Y27" s="2">
        <v>0</v>
      </c>
      <c r="Z27" s="2">
        <v>0</v>
      </c>
      <c r="AA27" s="2">
        <v>0</v>
      </c>
      <c r="AB27" s="2">
        <v>0</v>
      </c>
      <c r="AC27" s="2">
        <v>0</v>
      </c>
      <c r="AD27" s="2">
        <v>0</v>
      </c>
      <c r="AE27" s="2">
        <v>1</v>
      </c>
      <c r="AF27" s="2" t="s">
        <v>117</v>
      </c>
      <c r="AG27" s="2">
        <v>1</v>
      </c>
      <c r="AH27" s="2">
        <v>1</v>
      </c>
      <c r="AI27" s="2">
        <v>1</v>
      </c>
      <c r="AJ27" s="2">
        <v>1</v>
      </c>
      <c r="AK27" s="2">
        <v>1</v>
      </c>
      <c r="AL27" s="5">
        <v>45448</v>
      </c>
      <c r="AM27" s="2">
        <v>0</v>
      </c>
      <c r="AN27" s="2">
        <v>1</v>
      </c>
      <c r="AO27" s="2">
        <f t="shared" si="2"/>
        <v>4</v>
      </c>
      <c r="AP27" s="2">
        <v>0</v>
      </c>
      <c r="AV27" s="2">
        <v>0</v>
      </c>
      <c r="AW27" s="2">
        <f t="shared" si="3"/>
        <v>1</v>
      </c>
      <c r="AX27" s="2">
        <f t="shared" si="4"/>
        <v>1</v>
      </c>
      <c r="AY27" s="2">
        <v>0</v>
      </c>
      <c r="AZ27" s="2">
        <v>1</v>
      </c>
      <c r="BA27" s="2">
        <v>0</v>
      </c>
      <c r="BB27" s="2" t="s">
        <v>118</v>
      </c>
    </row>
    <row r="28" spans="1:54" s="2" customFormat="1">
      <c r="A28" s="2">
        <v>40</v>
      </c>
      <c r="B28" s="5">
        <v>45449</v>
      </c>
      <c r="C28" s="5">
        <v>45453</v>
      </c>
      <c r="D28" s="2">
        <f t="shared" si="1"/>
        <v>4</v>
      </c>
      <c r="E28" s="2">
        <v>78</v>
      </c>
      <c r="F28" s="2">
        <v>2</v>
      </c>
      <c r="G28" s="2">
        <v>2</v>
      </c>
      <c r="H28" s="2">
        <v>1</v>
      </c>
      <c r="I28" s="2">
        <v>0</v>
      </c>
      <c r="J28" s="2">
        <v>0</v>
      </c>
      <c r="K28" s="2">
        <v>0</v>
      </c>
      <c r="L28" s="2">
        <v>1</v>
      </c>
      <c r="M28" s="2">
        <v>0</v>
      </c>
      <c r="N28" s="2">
        <v>0</v>
      </c>
      <c r="P28" t="s">
        <v>119</v>
      </c>
      <c r="Q28" s="2">
        <v>0</v>
      </c>
      <c r="R28" s="2">
        <v>1</v>
      </c>
      <c r="S28" s="5">
        <v>45449</v>
      </c>
      <c r="T28" s="5">
        <v>45449</v>
      </c>
      <c r="U28" s="28">
        <f t="shared" si="0"/>
        <v>0</v>
      </c>
      <c r="V28" s="2">
        <v>1</v>
      </c>
      <c r="W28" s="2">
        <v>0</v>
      </c>
      <c r="X28" s="2">
        <v>0</v>
      </c>
      <c r="Y28" s="2">
        <v>0</v>
      </c>
      <c r="Z28" s="2">
        <v>0</v>
      </c>
      <c r="AA28" s="2">
        <v>0</v>
      </c>
      <c r="AB28" s="2">
        <v>0</v>
      </c>
      <c r="AC28" s="2">
        <v>0</v>
      </c>
      <c r="AD28" s="2">
        <v>1</v>
      </c>
      <c r="AE28" s="2">
        <v>1</v>
      </c>
      <c r="AF28" s="2" t="s">
        <v>117</v>
      </c>
      <c r="AG28" s="11">
        <v>0</v>
      </c>
      <c r="AH28" s="2">
        <v>1</v>
      </c>
      <c r="AI28" s="2">
        <v>1</v>
      </c>
      <c r="AJ28" s="11">
        <v>1</v>
      </c>
      <c r="AK28" s="2">
        <v>0</v>
      </c>
      <c r="AP28" s="2">
        <v>0</v>
      </c>
      <c r="AV28" s="2">
        <v>0</v>
      </c>
      <c r="AW28" s="2">
        <f t="shared" si="3"/>
        <v>0</v>
      </c>
      <c r="AX28" s="2">
        <f t="shared" si="4"/>
        <v>1</v>
      </c>
      <c r="AY28" s="2">
        <v>0</v>
      </c>
      <c r="AZ28" s="2">
        <v>1</v>
      </c>
      <c r="BA28" s="2">
        <v>0</v>
      </c>
      <c r="BB28" s="2" t="s">
        <v>120</v>
      </c>
    </row>
    <row r="29" spans="1:54" s="2" customFormat="1">
      <c r="A29" s="2">
        <v>42</v>
      </c>
      <c r="B29" s="5">
        <v>45455</v>
      </c>
      <c r="C29" s="5">
        <v>45462</v>
      </c>
      <c r="D29" s="2">
        <f t="shared" si="1"/>
        <v>7</v>
      </c>
      <c r="E29" s="2">
        <v>83</v>
      </c>
      <c r="F29" s="2">
        <v>1</v>
      </c>
      <c r="G29" s="2">
        <v>5</v>
      </c>
      <c r="H29" s="2">
        <v>0</v>
      </c>
      <c r="I29" s="2">
        <v>0</v>
      </c>
      <c r="J29" s="2">
        <v>0</v>
      </c>
      <c r="K29" s="2">
        <v>0</v>
      </c>
      <c r="L29" s="2">
        <v>0</v>
      </c>
      <c r="M29" s="2">
        <v>0</v>
      </c>
      <c r="N29" s="2">
        <v>0</v>
      </c>
      <c r="P29" t="s">
        <v>119</v>
      </c>
      <c r="Q29" s="2">
        <v>0</v>
      </c>
      <c r="R29" s="2">
        <v>1</v>
      </c>
      <c r="S29" s="5">
        <v>45455</v>
      </c>
      <c r="T29" s="5">
        <v>45455</v>
      </c>
      <c r="U29" s="28">
        <f t="shared" si="0"/>
        <v>0</v>
      </c>
      <c r="V29" s="2">
        <v>1</v>
      </c>
      <c r="W29" s="2">
        <v>0</v>
      </c>
      <c r="X29" s="2">
        <v>0</v>
      </c>
      <c r="Y29" s="2">
        <v>0</v>
      </c>
      <c r="Z29" s="2">
        <v>1</v>
      </c>
      <c r="AA29" s="2">
        <v>0</v>
      </c>
      <c r="AB29" s="2">
        <v>0</v>
      </c>
      <c r="AC29" s="2">
        <v>0</v>
      </c>
      <c r="AD29" s="2">
        <v>0</v>
      </c>
      <c r="AE29" s="2">
        <v>1</v>
      </c>
      <c r="AF29" s="2" t="s">
        <v>117</v>
      </c>
      <c r="AG29" s="2">
        <v>1</v>
      </c>
      <c r="AH29" s="2">
        <v>1</v>
      </c>
      <c r="AI29" s="2">
        <v>1</v>
      </c>
      <c r="AJ29" s="2">
        <v>1</v>
      </c>
      <c r="AK29" s="2">
        <v>1</v>
      </c>
      <c r="AL29" s="5">
        <v>45457</v>
      </c>
      <c r="AM29" s="2">
        <v>1</v>
      </c>
      <c r="AN29" s="2">
        <v>0</v>
      </c>
      <c r="AO29" s="2">
        <f t="shared" si="2"/>
        <v>2</v>
      </c>
      <c r="AP29" s="2">
        <v>0</v>
      </c>
      <c r="AQ29" s="5"/>
      <c r="AV29" s="2">
        <v>0</v>
      </c>
      <c r="AW29" s="2">
        <f t="shared" si="3"/>
        <v>1</v>
      </c>
      <c r="AX29" s="2">
        <f t="shared" si="4"/>
        <v>1</v>
      </c>
      <c r="AY29" s="2">
        <v>1</v>
      </c>
      <c r="AZ29" s="2">
        <v>1</v>
      </c>
      <c r="BA29" s="2">
        <v>0</v>
      </c>
      <c r="BB29" s="2" t="s">
        <v>123</v>
      </c>
    </row>
    <row r="30" spans="1:54" s="2" customFormat="1">
      <c r="A30" s="2">
        <v>43</v>
      </c>
      <c r="B30" s="5">
        <v>45460</v>
      </c>
      <c r="C30" s="5">
        <v>45465</v>
      </c>
      <c r="D30" s="2">
        <f t="shared" si="1"/>
        <v>5</v>
      </c>
      <c r="E30" s="2">
        <v>65</v>
      </c>
      <c r="F30" s="2">
        <v>1</v>
      </c>
      <c r="G30" s="2">
        <v>3</v>
      </c>
      <c r="H30" s="2">
        <v>0</v>
      </c>
      <c r="I30" s="2">
        <v>0</v>
      </c>
      <c r="J30" s="2">
        <v>0</v>
      </c>
      <c r="K30" s="2">
        <v>0</v>
      </c>
      <c r="L30" s="2">
        <v>0</v>
      </c>
      <c r="M30" s="2">
        <v>0</v>
      </c>
      <c r="N30" s="2">
        <v>0</v>
      </c>
      <c r="P30" t="s">
        <v>119</v>
      </c>
      <c r="Q30" s="2">
        <v>0</v>
      </c>
      <c r="R30" s="2">
        <v>1</v>
      </c>
      <c r="S30" s="5">
        <v>45460</v>
      </c>
      <c r="T30" s="5">
        <v>45460</v>
      </c>
      <c r="U30" s="28">
        <f t="shared" si="0"/>
        <v>0</v>
      </c>
      <c r="V30" s="2">
        <v>1</v>
      </c>
      <c r="W30" s="2">
        <v>0</v>
      </c>
      <c r="X30" s="2">
        <v>0</v>
      </c>
      <c r="Y30" s="2">
        <v>0</v>
      </c>
      <c r="Z30" s="2">
        <v>0</v>
      </c>
      <c r="AA30" s="2">
        <v>0</v>
      </c>
      <c r="AB30" s="2">
        <v>1</v>
      </c>
      <c r="AC30" s="2">
        <v>0</v>
      </c>
      <c r="AD30" s="2">
        <v>0</v>
      </c>
      <c r="AE30" s="2">
        <v>1</v>
      </c>
      <c r="AF30" s="2" t="s">
        <v>117</v>
      </c>
      <c r="AG30" s="11">
        <v>0</v>
      </c>
      <c r="AH30" s="2">
        <v>0</v>
      </c>
      <c r="AI30" s="2">
        <v>1</v>
      </c>
      <c r="AJ30" s="2">
        <v>1</v>
      </c>
      <c r="AK30" s="2">
        <v>1</v>
      </c>
      <c r="AL30" s="5">
        <v>45463</v>
      </c>
      <c r="AM30" s="2">
        <v>0</v>
      </c>
      <c r="AN30" s="2">
        <v>1</v>
      </c>
      <c r="AO30" s="2">
        <f t="shared" si="2"/>
        <v>3</v>
      </c>
      <c r="AP30" s="2">
        <v>0</v>
      </c>
      <c r="AV30" s="2">
        <v>0</v>
      </c>
      <c r="AW30" s="2">
        <f t="shared" si="3"/>
        <v>1</v>
      </c>
      <c r="AX30" s="2">
        <f t="shared" si="4"/>
        <v>1</v>
      </c>
      <c r="AY30" s="2">
        <v>0</v>
      </c>
      <c r="AZ30" s="2">
        <v>0</v>
      </c>
      <c r="BA30" s="2">
        <v>0</v>
      </c>
      <c r="BB30" s="2" t="s">
        <v>124</v>
      </c>
    </row>
    <row r="31" spans="1:54" s="2" customFormat="1">
      <c r="A31" s="2">
        <v>44</v>
      </c>
      <c r="B31" s="5">
        <v>45473</v>
      </c>
      <c r="C31" s="5">
        <v>45483</v>
      </c>
      <c r="D31" s="2">
        <f t="shared" si="1"/>
        <v>10</v>
      </c>
      <c r="E31" s="2">
        <v>55</v>
      </c>
      <c r="F31" s="2">
        <v>2</v>
      </c>
      <c r="G31" s="2">
        <v>2</v>
      </c>
      <c r="H31" s="2">
        <v>1</v>
      </c>
      <c r="I31" s="2">
        <v>0</v>
      </c>
      <c r="K31" s="2">
        <v>0</v>
      </c>
      <c r="L31" s="2">
        <v>1</v>
      </c>
      <c r="M31" s="2">
        <v>0</v>
      </c>
      <c r="N31" s="2">
        <v>0</v>
      </c>
      <c r="P31" t="s">
        <v>125</v>
      </c>
      <c r="Q31" s="2">
        <v>0</v>
      </c>
      <c r="R31" s="2">
        <v>1</v>
      </c>
      <c r="S31" s="5">
        <v>45473</v>
      </c>
      <c r="T31" s="5">
        <v>45473</v>
      </c>
      <c r="U31" s="28">
        <f t="shared" si="0"/>
        <v>0</v>
      </c>
      <c r="V31" s="2">
        <v>0</v>
      </c>
      <c r="W31" s="2">
        <v>0</v>
      </c>
      <c r="X31" s="2">
        <v>0</v>
      </c>
      <c r="Y31" s="2">
        <v>0</v>
      </c>
      <c r="Z31" s="2">
        <v>0</v>
      </c>
      <c r="AA31" s="2">
        <v>0</v>
      </c>
      <c r="AB31" s="2">
        <v>0</v>
      </c>
      <c r="AC31" s="2">
        <v>0</v>
      </c>
      <c r="AD31" s="2">
        <v>0</v>
      </c>
      <c r="AE31" s="2">
        <v>1</v>
      </c>
      <c r="AF31" s="2" t="s">
        <v>126</v>
      </c>
      <c r="AG31" s="11">
        <v>0</v>
      </c>
      <c r="AH31" s="2">
        <v>1</v>
      </c>
      <c r="AI31" s="2">
        <v>0</v>
      </c>
      <c r="AJ31" s="2">
        <v>1</v>
      </c>
      <c r="AK31" s="2">
        <v>1</v>
      </c>
      <c r="AL31" s="5">
        <v>45475</v>
      </c>
      <c r="AM31" s="2">
        <v>0</v>
      </c>
      <c r="AN31" s="2">
        <v>0</v>
      </c>
      <c r="AO31" s="2">
        <f t="shared" si="2"/>
        <v>2</v>
      </c>
      <c r="AP31" s="2">
        <v>0</v>
      </c>
      <c r="AV31" s="2">
        <v>0</v>
      </c>
      <c r="AW31" s="2">
        <f t="shared" si="3"/>
        <v>0</v>
      </c>
      <c r="AX31" s="2">
        <f t="shared" si="4"/>
        <v>0</v>
      </c>
      <c r="AY31" s="2">
        <v>0</v>
      </c>
      <c r="AZ31" s="2">
        <v>1</v>
      </c>
      <c r="BA31" s="2">
        <v>0</v>
      </c>
      <c r="BB31" s="2" t="s">
        <v>127</v>
      </c>
    </row>
    <row r="32" spans="1:54" s="2" customFormat="1">
      <c r="A32" s="8">
        <v>47</v>
      </c>
      <c r="B32" s="5">
        <v>45433</v>
      </c>
      <c r="C32" s="6">
        <v>45447</v>
      </c>
      <c r="D32" s="2">
        <f t="shared" si="1"/>
        <v>14</v>
      </c>
      <c r="E32" s="2">
        <v>75</v>
      </c>
      <c r="F32" s="2">
        <v>1</v>
      </c>
      <c r="G32" s="2">
        <v>2</v>
      </c>
      <c r="H32" s="2">
        <v>0</v>
      </c>
      <c r="I32" s="2">
        <v>0</v>
      </c>
      <c r="J32" s="2">
        <v>0</v>
      </c>
      <c r="K32" s="2">
        <v>0</v>
      </c>
      <c r="L32" s="2">
        <v>0</v>
      </c>
      <c r="M32" s="2">
        <v>0</v>
      </c>
      <c r="N32" s="2">
        <v>0</v>
      </c>
      <c r="P32" t="s">
        <v>119</v>
      </c>
      <c r="Q32" s="2">
        <v>0</v>
      </c>
      <c r="R32" s="2">
        <v>1</v>
      </c>
      <c r="S32" s="5">
        <v>45433</v>
      </c>
      <c r="T32" s="5">
        <v>45433</v>
      </c>
      <c r="U32" s="28">
        <f t="shared" si="0"/>
        <v>0</v>
      </c>
      <c r="V32" s="2">
        <v>0</v>
      </c>
      <c r="W32" s="2">
        <v>0</v>
      </c>
      <c r="X32" s="2">
        <v>0</v>
      </c>
      <c r="Y32" s="2">
        <v>0</v>
      </c>
      <c r="Z32" s="2">
        <v>0</v>
      </c>
      <c r="AA32" s="2">
        <v>0</v>
      </c>
      <c r="AB32" s="2">
        <v>0</v>
      </c>
      <c r="AC32" s="2">
        <v>0</v>
      </c>
      <c r="AD32" s="2">
        <v>0</v>
      </c>
      <c r="AE32" s="2">
        <v>1</v>
      </c>
      <c r="AF32" s="2" t="s">
        <v>117</v>
      </c>
      <c r="AG32" s="11">
        <v>0</v>
      </c>
      <c r="AH32" s="2">
        <v>0</v>
      </c>
      <c r="AI32" s="2">
        <v>1</v>
      </c>
      <c r="AJ32" s="2">
        <v>1</v>
      </c>
      <c r="AK32" s="2">
        <v>1</v>
      </c>
      <c r="AL32" s="5">
        <v>45436</v>
      </c>
      <c r="AM32" s="2">
        <v>0</v>
      </c>
      <c r="AN32" s="2">
        <v>0</v>
      </c>
      <c r="AO32" s="2">
        <f t="shared" si="2"/>
        <v>3</v>
      </c>
      <c r="AP32" s="2">
        <v>0</v>
      </c>
      <c r="AV32" s="2">
        <v>0</v>
      </c>
      <c r="AW32" s="2">
        <f t="shared" si="3"/>
        <v>0</v>
      </c>
      <c r="AX32" s="2">
        <f t="shared" si="4"/>
        <v>1</v>
      </c>
      <c r="AY32" s="2">
        <v>0</v>
      </c>
      <c r="AZ32" s="2">
        <v>0</v>
      </c>
      <c r="BA32" s="2">
        <v>0</v>
      </c>
      <c r="BB32" s="2" t="s">
        <v>133</v>
      </c>
    </row>
    <row r="33" spans="1:54" s="2" customFormat="1">
      <c r="A33" s="2">
        <v>48</v>
      </c>
      <c r="B33" s="5">
        <v>45441</v>
      </c>
      <c r="C33" s="5">
        <v>45448</v>
      </c>
      <c r="D33" s="2">
        <f t="shared" si="1"/>
        <v>7</v>
      </c>
      <c r="E33" s="2">
        <v>54</v>
      </c>
      <c r="F33" s="2">
        <v>1</v>
      </c>
      <c r="G33" s="2">
        <v>3</v>
      </c>
      <c r="H33" s="2">
        <v>0</v>
      </c>
      <c r="I33" s="2">
        <v>0</v>
      </c>
      <c r="J33" s="2">
        <v>0</v>
      </c>
      <c r="K33" s="2">
        <v>0</v>
      </c>
      <c r="L33" s="2">
        <v>0</v>
      </c>
      <c r="M33" s="2">
        <v>0</v>
      </c>
      <c r="N33" s="2">
        <v>0</v>
      </c>
      <c r="P33" t="s">
        <v>125</v>
      </c>
      <c r="Q33" s="2">
        <v>0</v>
      </c>
      <c r="R33" s="2">
        <v>1</v>
      </c>
      <c r="S33" s="5">
        <v>45441</v>
      </c>
      <c r="T33" s="5">
        <v>45441</v>
      </c>
      <c r="U33" s="28">
        <f t="shared" si="0"/>
        <v>0</v>
      </c>
      <c r="V33" s="2">
        <v>1</v>
      </c>
      <c r="W33" s="2">
        <v>0</v>
      </c>
      <c r="X33" s="2">
        <v>0</v>
      </c>
      <c r="Y33" s="2">
        <v>0</v>
      </c>
      <c r="Z33" s="2">
        <v>0</v>
      </c>
      <c r="AA33" s="2">
        <v>1</v>
      </c>
      <c r="AB33" s="2">
        <v>0</v>
      </c>
      <c r="AC33" s="2">
        <v>0</v>
      </c>
      <c r="AD33" s="2">
        <v>0</v>
      </c>
      <c r="AE33" s="2">
        <v>1</v>
      </c>
      <c r="AF33" s="2" t="s">
        <v>134</v>
      </c>
      <c r="AG33" s="2">
        <v>0</v>
      </c>
      <c r="AH33" s="2">
        <v>0</v>
      </c>
      <c r="AI33" s="2">
        <v>1</v>
      </c>
      <c r="AJ33" s="2">
        <v>1</v>
      </c>
      <c r="AK33" s="2">
        <v>0</v>
      </c>
      <c r="AP33" s="2">
        <v>0</v>
      </c>
      <c r="AV33" s="2">
        <v>0</v>
      </c>
      <c r="AW33" s="2">
        <f t="shared" si="3"/>
        <v>1</v>
      </c>
      <c r="AX33" s="2">
        <f t="shared" si="4"/>
        <v>1</v>
      </c>
      <c r="AY33" s="2">
        <v>0</v>
      </c>
      <c r="AZ33" s="2">
        <v>0</v>
      </c>
      <c r="BA33" s="2">
        <v>0</v>
      </c>
      <c r="BB33" s="2" t="s">
        <v>135</v>
      </c>
    </row>
    <row r="34" spans="1:54" s="2" customFormat="1">
      <c r="A34" s="8">
        <v>49</v>
      </c>
      <c r="B34" s="5">
        <v>45395</v>
      </c>
      <c r="C34" s="6">
        <v>45420</v>
      </c>
      <c r="D34" s="2">
        <f t="shared" si="1"/>
        <v>25</v>
      </c>
      <c r="E34" s="2">
        <v>78</v>
      </c>
      <c r="F34" s="2">
        <v>2</v>
      </c>
      <c r="G34" s="2">
        <v>2</v>
      </c>
      <c r="H34" s="2">
        <v>0</v>
      </c>
      <c r="I34" s="2">
        <v>0</v>
      </c>
      <c r="J34" s="2">
        <v>0</v>
      </c>
      <c r="K34" s="2">
        <v>0</v>
      </c>
      <c r="L34" s="2">
        <v>0</v>
      </c>
      <c r="M34" s="2">
        <v>0</v>
      </c>
      <c r="N34" s="2">
        <v>0</v>
      </c>
      <c r="P34" t="s">
        <v>136</v>
      </c>
      <c r="Q34" s="2">
        <v>0</v>
      </c>
      <c r="R34" s="2">
        <v>1</v>
      </c>
      <c r="S34" s="5">
        <v>45395</v>
      </c>
      <c r="T34" s="5">
        <v>45395</v>
      </c>
      <c r="U34" s="28">
        <f t="shared" si="0"/>
        <v>0</v>
      </c>
      <c r="V34" s="2">
        <v>1</v>
      </c>
      <c r="W34" s="2">
        <v>0</v>
      </c>
      <c r="X34" s="2">
        <v>0</v>
      </c>
      <c r="Y34" s="2">
        <v>0</v>
      </c>
      <c r="Z34" s="2">
        <v>0</v>
      </c>
      <c r="AA34" s="2">
        <v>0</v>
      </c>
      <c r="AB34" s="2">
        <v>0</v>
      </c>
      <c r="AC34" s="2">
        <v>0</v>
      </c>
      <c r="AD34" s="2">
        <v>1</v>
      </c>
      <c r="AE34" s="2">
        <v>1</v>
      </c>
      <c r="AF34" s="2" t="s">
        <v>137</v>
      </c>
      <c r="AG34" s="2">
        <v>1</v>
      </c>
      <c r="AH34" s="2">
        <v>1</v>
      </c>
      <c r="AI34" s="2">
        <v>0</v>
      </c>
      <c r="AJ34" s="2">
        <v>0</v>
      </c>
      <c r="AK34" s="2">
        <v>1</v>
      </c>
      <c r="AL34" s="5">
        <v>45402</v>
      </c>
      <c r="AM34" s="2">
        <v>0</v>
      </c>
      <c r="AN34" s="2">
        <v>0</v>
      </c>
      <c r="AO34" s="2">
        <f t="shared" si="2"/>
        <v>7</v>
      </c>
      <c r="AP34" s="2">
        <v>0</v>
      </c>
      <c r="AV34" s="2">
        <v>1</v>
      </c>
      <c r="AW34" s="2">
        <f t="shared" si="3"/>
        <v>0</v>
      </c>
      <c r="AX34" s="2">
        <f t="shared" si="4"/>
        <v>0</v>
      </c>
      <c r="AY34" s="2">
        <v>0</v>
      </c>
      <c r="AZ34" s="2">
        <v>1</v>
      </c>
      <c r="BA34" s="2">
        <v>0</v>
      </c>
      <c r="BB34" s="2" t="s">
        <v>138</v>
      </c>
    </row>
    <row r="35" spans="1:54" s="2" customFormat="1">
      <c r="A35" s="2">
        <v>50</v>
      </c>
      <c r="B35" s="5">
        <v>45409</v>
      </c>
      <c r="C35" s="5">
        <v>45435</v>
      </c>
      <c r="D35" s="2">
        <f t="shared" si="1"/>
        <v>26</v>
      </c>
      <c r="E35" s="2">
        <v>36</v>
      </c>
      <c r="F35" s="2">
        <v>1</v>
      </c>
      <c r="G35" s="2">
        <v>3</v>
      </c>
      <c r="H35" s="2">
        <v>0</v>
      </c>
      <c r="I35" s="2">
        <v>0</v>
      </c>
      <c r="J35" s="2">
        <v>0</v>
      </c>
      <c r="K35" s="2">
        <v>0</v>
      </c>
      <c r="L35" s="2">
        <v>0</v>
      </c>
      <c r="M35" s="2">
        <v>0</v>
      </c>
      <c r="N35" s="2">
        <v>0</v>
      </c>
      <c r="P35" t="s">
        <v>125</v>
      </c>
      <c r="Q35" s="2">
        <v>0</v>
      </c>
      <c r="R35" s="2">
        <v>1</v>
      </c>
      <c r="S35" s="5">
        <v>45409</v>
      </c>
      <c r="T35" s="5">
        <v>45409</v>
      </c>
      <c r="U35" s="28">
        <f t="shared" si="0"/>
        <v>0</v>
      </c>
      <c r="V35" s="2">
        <v>1</v>
      </c>
      <c r="W35" s="2">
        <v>0</v>
      </c>
      <c r="X35" s="2">
        <v>0</v>
      </c>
      <c r="Y35" s="2">
        <v>0</v>
      </c>
      <c r="Z35" s="2">
        <v>1</v>
      </c>
      <c r="AA35" s="2">
        <v>1</v>
      </c>
      <c r="AB35" s="2">
        <v>0</v>
      </c>
      <c r="AC35" s="2">
        <v>0</v>
      </c>
      <c r="AD35" s="2">
        <v>0</v>
      </c>
      <c r="AE35" s="2">
        <v>1</v>
      </c>
      <c r="AF35" s="2" t="s">
        <v>117</v>
      </c>
      <c r="AG35" s="2">
        <v>1</v>
      </c>
      <c r="AH35" s="2">
        <v>1</v>
      </c>
      <c r="AI35" s="11">
        <v>1</v>
      </c>
      <c r="AJ35" s="2">
        <v>0</v>
      </c>
      <c r="AK35" s="2">
        <v>1</v>
      </c>
      <c r="AL35" s="5">
        <v>45413</v>
      </c>
      <c r="AM35" s="2">
        <v>0</v>
      </c>
      <c r="AN35" s="2">
        <v>0</v>
      </c>
      <c r="AO35" s="2">
        <f t="shared" si="2"/>
        <v>4</v>
      </c>
      <c r="AP35" s="2">
        <v>0</v>
      </c>
      <c r="AV35" s="2">
        <v>1</v>
      </c>
      <c r="AW35" s="2">
        <f t="shared" si="3"/>
        <v>0</v>
      </c>
      <c r="AX35" s="2">
        <f t="shared" si="4"/>
        <v>0</v>
      </c>
      <c r="AY35" s="2">
        <v>0</v>
      </c>
      <c r="AZ35" s="2">
        <v>1</v>
      </c>
      <c r="BA35" s="2">
        <v>0</v>
      </c>
      <c r="BB35" s="2" t="s">
        <v>139</v>
      </c>
    </row>
    <row r="36" spans="1:54" s="2" customFormat="1">
      <c r="A36" s="2">
        <v>51</v>
      </c>
      <c r="B36" s="5">
        <v>45410</v>
      </c>
      <c r="C36" s="5">
        <v>45415</v>
      </c>
      <c r="D36" s="2">
        <f t="shared" si="1"/>
        <v>5</v>
      </c>
      <c r="E36" s="2">
        <v>95</v>
      </c>
      <c r="F36" s="2">
        <v>2</v>
      </c>
      <c r="G36" s="2">
        <v>2</v>
      </c>
      <c r="H36" s="2">
        <v>0</v>
      </c>
      <c r="I36" s="2">
        <v>0</v>
      </c>
      <c r="J36" s="2">
        <v>0</v>
      </c>
      <c r="K36" s="2">
        <v>0</v>
      </c>
      <c r="L36" s="2">
        <v>0</v>
      </c>
      <c r="M36" s="2">
        <v>0</v>
      </c>
      <c r="N36" s="2">
        <v>0</v>
      </c>
      <c r="P36" t="s">
        <v>119</v>
      </c>
      <c r="Q36" s="2">
        <v>0</v>
      </c>
      <c r="R36" s="2">
        <v>1</v>
      </c>
      <c r="S36" s="5">
        <v>45410</v>
      </c>
      <c r="T36" s="5">
        <v>45410</v>
      </c>
      <c r="U36" s="28">
        <f t="shared" si="0"/>
        <v>0</v>
      </c>
      <c r="V36" s="2">
        <v>0</v>
      </c>
      <c r="W36" s="2">
        <v>0</v>
      </c>
      <c r="X36" s="2">
        <v>0</v>
      </c>
      <c r="Y36" s="2">
        <v>0</v>
      </c>
      <c r="Z36" s="2">
        <v>0</v>
      </c>
      <c r="AA36" s="2">
        <v>0</v>
      </c>
      <c r="AB36" s="2">
        <v>0</v>
      </c>
      <c r="AC36" s="2">
        <v>0</v>
      </c>
      <c r="AD36" s="2">
        <v>0</v>
      </c>
      <c r="AE36" s="2">
        <v>1</v>
      </c>
      <c r="AF36" s="2" t="s">
        <v>117</v>
      </c>
      <c r="AG36" s="2">
        <v>0</v>
      </c>
      <c r="AH36" s="2">
        <v>0</v>
      </c>
      <c r="AI36" s="2">
        <v>1</v>
      </c>
      <c r="AJ36" s="2">
        <v>1</v>
      </c>
      <c r="AK36" s="2">
        <v>1</v>
      </c>
      <c r="AL36" s="5">
        <v>45414</v>
      </c>
      <c r="AM36" s="2">
        <v>0</v>
      </c>
      <c r="AN36" s="2">
        <v>0</v>
      </c>
      <c r="AO36" s="2">
        <f t="shared" si="2"/>
        <v>4</v>
      </c>
      <c r="AP36" s="2">
        <v>0</v>
      </c>
      <c r="AV36" s="2">
        <v>0</v>
      </c>
      <c r="AW36" s="2">
        <f t="shared" si="3"/>
        <v>0</v>
      </c>
      <c r="AX36" s="2">
        <f t="shared" si="4"/>
        <v>1</v>
      </c>
      <c r="AY36" s="2">
        <v>0</v>
      </c>
      <c r="AZ36" s="2">
        <v>0</v>
      </c>
      <c r="BA36" s="2">
        <v>0</v>
      </c>
      <c r="BB36" s="2" t="s">
        <v>140</v>
      </c>
    </row>
    <row r="37" spans="1:54" s="2" customFormat="1">
      <c r="A37" s="2">
        <v>53</v>
      </c>
      <c r="B37" s="5">
        <v>45357</v>
      </c>
      <c r="C37" s="5">
        <v>45385</v>
      </c>
      <c r="D37" s="2">
        <f t="shared" si="1"/>
        <v>28</v>
      </c>
      <c r="E37" s="2">
        <v>37</v>
      </c>
      <c r="F37" s="2">
        <v>2</v>
      </c>
      <c r="G37" s="2">
        <v>2</v>
      </c>
      <c r="H37" s="2">
        <v>0</v>
      </c>
      <c r="I37" s="2">
        <v>0</v>
      </c>
      <c r="J37" s="2">
        <v>0</v>
      </c>
      <c r="K37" s="2">
        <v>0</v>
      </c>
      <c r="L37" s="2">
        <v>0</v>
      </c>
      <c r="M37" s="2">
        <v>0</v>
      </c>
      <c r="N37" s="2">
        <v>0</v>
      </c>
      <c r="P37" t="s">
        <v>136</v>
      </c>
      <c r="Q37" s="2">
        <v>0</v>
      </c>
      <c r="R37" s="2">
        <v>1</v>
      </c>
      <c r="S37" s="5">
        <v>45357</v>
      </c>
      <c r="T37" s="5">
        <v>45357</v>
      </c>
      <c r="U37" s="28">
        <f t="shared" si="0"/>
        <v>0</v>
      </c>
      <c r="V37" s="2">
        <v>1</v>
      </c>
      <c r="W37" s="2">
        <v>0</v>
      </c>
      <c r="X37" s="2">
        <v>1</v>
      </c>
      <c r="Y37" s="2">
        <v>0</v>
      </c>
      <c r="Z37" s="2">
        <v>1</v>
      </c>
      <c r="AA37" s="2">
        <v>0</v>
      </c>
      <c r="AB37" s="2">
        <v>0</v>
      </c>
      <c r="AC37" s="2">
        <v>0</v>
      </c>
      <c r="AD37" s="2">
        <v>0</v>
      </c>
      <c r="AE37" s="2">
        <v>1</v>
      </c>
      <c r="AF37" s="2" t="s">
        <v>143</v>
      </c>
      <c r="AG37" s="2">
        <v>1</v>
      </c>
      <c r="AH37" s="2">
        <v>1</v>
      </c>
      <c r="AI37" s="2">
        <v>1</v>
      </c>
      <c r="AJ37" s="2">
        <v>1</v>
      </c>
      <c r="AK37" s="2">
        <v>1</v>
      </c>
      <c r="AL37" s="5">
        <v>45359</v>
      </c>
      <c r="AM37" s="2">
        <v>0</v>
      </c>
      <c r="AN37" s="2">
        <v>0</v>
      </c>
      <c r="AO37" s="2">
        <f t="shared" si="2"/>
        <v>2</v>
      </c>
      <c r="AP37" s="2">
        <v>0</v>
      </c>
      <c r="AV37" s="2">
        <v>1</v>
      </c>
      <c r="AW37" s="2">
        <f t="shared" si="3"/>
        <v>1</v>
      </c>
      <c r="AX37" s="2">
        <f t="shared" si="4"/>
        <v>1</v>
      </c>
      <c r="AY37" s="2">
        <v>0</v>
      </c>
      <c r="AZ37" s="2">
        <v>1</v>
      </c>
      <c r="BA37" s="2">
        <v>0</v>
      </c>
      <c r="BB37" s="2" t="s">
        <v>144</v>
      </c>
    </row>
    <row r="38" spans="1:54" s="2" customFormat="1">
      <c r="A38" s="2">
        <v>54</v>
      </c>
      <c r="B38" s="5">
        <v>45359</v>
      </c>
      <c r="C38" s="5">
        <v>45366</v>
      </c>
      <c r="D38" s="2">
        <f t="shared" si="1"/>
        <v>7</v>
      </c>
      <c r="E38" s="2">
        <v>86</v>
      </c>
      <c r="F38" s="2">
        <v>1</v>
      </c>
      <c r="G38" s="2">
        <v>2</v>
      </c>
      <c r="H38" s="2">
        <v>0</v>
      </c>
      <c r="I38" s="2">
        <v>0</v>
      </c>
      <c r="J38" s="2">
        <v>0</v>
      </c>
      <c r="K38" s="2">
        <v>0</v>
      </c>
      <c r="L38" s="2">
        <v>0</v>
      </c>
      <c r="M38" s="2">
        <v>0</v>
      </c>
      <c r="N38" s="2">
        <v>1</v>
      </c>
      <c r="O38" s="2" t="s">
        <v>145</v>
      </c>
      <c r="P38" t="s">
        <v>116</v>
      </c>
      <c r="Q38" s="2">
        <v>0</v>
      </c>
      <c r="R38" s="2">
        <v>1</v>
      </c>
      <c r="S38" s="5">
        <v>45359</v>
      </c>
      <c r="T38" s="5">
        <v>45359</v>
      </c>
      <c r="U38" s="28">
        <f t="shared" si="0"/>
        <v>0</v>
      </c>
      <c r="V38" s="2">
        <v>1</v>
      </c>
      <c r="W38" s="2">
        <v>0</v>
      </c>
      <c r="X38" s="2">
        <v>0</v>
      </c>
      <c r="Y38" s="2">
        <v>0</v>
      </c>
      <c r="Z38" s="2">
        <v>0</v>
      </c>
      <c r="AA38" s="2">
        <v>0</v>
      </c>
      <c r="AB38" s="2">
        <v>0</v>
      </c>
      <c r="AC38" s="2">
        <v>1</v>
      </c>
      <c r="AD38" s="2">
        <v>0</v>
      </c>
      <c r="AE38" s="2">
        <v>1</v>
      </c>
      <c r="AF38" s="2" t="s">
        <v>146</v>
      </c>
      <c r="AG38" s="2">
        <v>0</v>
      </c>
      <c r="AH38" s="2">
        <v>0</v>
      </c>
      <c r="AI38" s="2">
        <v>1</v>
      </c>
      <c r="AJ38" s="2">
        <v>1</v>
      </c>
      <c r="AK38" s="2">
        <v>1</v>
      </c>
      <c r="AL38" s="5">
        <v>45363</v>
      </c>
      <c r="AM38" s="2">
        <v>0</v>
      </c>
      <c r="AN38" s="2">
        <v>1</v>
      </c>
      <c r="AO38" s="2">
        <f t="shared" si="2"/>
        <v>4</v>
      </c>
      <c r="AP38" s="2">
        <v>0</v>
      </c>
      <c r="AV38" s="2">
        <v>0</v>
      </c>
      <c r="AW38" s="2">
        <f t="shared" si="3"/>
        <v>1</v>
      </c>
      <c r="AX38" s="2">
        <f t="shared" si="4"/>
        <v>1</v>
      </c>
      <c r="AY38" s="2">
        <v>0</v>
      </c>
      <c r="AZ38" s="2">
        <v>0</v>
      </c>
      <c r="BA38" s="2">
        <v>0</v>
      </c>
      <c r="BB38" s="2" t="s">
        <v>147</v>
      </c>
    </row>
    <row r="39" spans="1:54" s="13" customFormat="1">
      <c r="A39" s="13">
        <v>55</v>
      </c>
      <c r="B39" s="18">
        <v>45369</v>
      </c>
      <c r="C39" s="43">
        <v>45377</v>
      </c>
      <c r="D39" s="13">
        <f t="shared" si="1"/>
        <v>8</v>
      </c>
      <c r="E39" s="13">
        <v>74</v>
      </c>
      <c r="F39" s="13">
        <v>2</v>
      </c>
      <c r="G39" s="13">
        <v>2</v>
      </c>
      <c r="H39" s="13">
        <v>0</v>
      </c>
      <c r="I39" s="13">
        <v>0</v>
      </c>
      <c r="J39" s="13">
        <v>0</v>
      </c>
      <c r="K39" s="13">
        <v>0</v>
      </c>
      <c r="L39" s="13">
        <v>0</v>
      </c>
      <c r="M39" s="13">
        <v>0</v>
      </c>
      <c r="N39" s="13">
        <v>1</v>
      </c>
      <c r="O39" s="13" t="s">
        <v>70</v>
      </c>
      <c r="P39" s="14" t="s">
        <v>119</v>
      </c>
      <c r="Q39" s="13">
        <v>0</v>
      </c>
      <c r="R39" s="13">
        <v>1</v>
      </c>
      <c r="S39" s="18">
        <v>45369</v>
      </c>
      <c r="T39" s="18">
        <v>45369</v>
      </c>
      <c r="U39" s="31">
        <f t="shared" si="0"/>
        <v>0</v>
      </c>
      <c r="V39" s="13">
        <v>1</v>
      </c>
      <c r="W39" s="13">
        <v>0</v>
      </c>
      <c r="X39" s="13">
        <v>0</v>
      </c>
      <c r="Y39" s="13">
        <v>0</v>
      </c>
      <c r="Z39" s="13">
        <v>1</v>
      </c>
      <c r="AA39" s="13">
        <v>0</v>
      </c>
      <c r="AB39" s="13">
        <v>0</v>
      </c>
      <c r="AC39" s="13">
        <v>0</v>
      </c>
      <c r="AD39" s="13">
        <v>1</v>
      </c>
      <c r="AE39" s="13">
        <v>1</v>
      </c>
      <c r="AF39" s="13" t="s">
        <v>117</v>
      </c>
      <c r="AG39" s="13">
        <v>1</v>
      </c>
      <c r="AH39" s="13">
        <v>0</v>
      </c>
      <c r="AI39" s="13">
        <v>1</v>
      </c>
      <c r="AJ39" s="13">
        <v>1</v>
      </c>
      <c r="AK39" s="13">
        <v>0</v>
      </c>
      <c r="AO39" s="2"/>
      <c r="AP39" s="13">
        <v>0</v>
      </c>
      <c r="AV39" s="13">
        <v>0</v>
      </c>
      <c r="AW39" s="2">
        <f t="shared" si="3"/>
        <v>1</v>
      </c>
      <c r="AX39" s="2">
        <f t="shared" si="4"/>
        <v>1</v>
      </c>
      <c r="AY39" s="2">
        <v>0</v>
      </c>
      <c r="AZ39" s="2">
        <v>0</v>
      </c>
      <c r="BA39" s="2">
        <v>0</v>
      </c>
      <c r="BB39" s="13" t="s">
        <v>148</v>
      </c>
    </row>
    <row r="40" spans="1:54" s="2" customFormat="1">
      <c r="A40" s="2">
        <v>56</v>
      </c>
      <c r="B40" s="5">
        <v>45458</v>
      </c>
      <c r="C40" s="5">
        <v>45467</v>
      </c>
      <c r="D40" s="2">
        <f>C40-B40</f>
        <v>9</v>
      </c>
      <c r="E40" s="2">
        <v>87</v>
      </c>
      <c r="F40" s="2">
        <v>2</v>
      </c>
      <c r="G40" s="2">
        <v>5</v>
      </c>
      <c r="H40" s="2">
        <v>0</v>
      </c>
      <c r="I40" s="2">
        <v>0</v>
      </c>
      <c r="J40" s="2">
        <v>0</v>
      </c>
      <c r="K40" s="2">
        <v>0</v>
      </c>
      <c r="L40" s="2">
        <v>0</v>
      </c>
      <c r="M40" s="2">
        <v>0</v>
      </c>
      <c r="N40" s="2">
        <v>0</v>
      </c>
      <c r="O40" s="2" t="s">
        <v>70</v>
      </c>
      <c r="P40" t="s">
        <v>155</v>
      </c>
      <c r="Q40" s="2">
        <v>1</v>
      </c>
      <c r="R40" s="2">
        <v>2</v>
      </c>
      <c r="S40" s="5">
        <v>45457</v>
      </c>
      <c r="T40" s="5">
        <v>45458</v>
      </c>
      <c r="U40" s="28">
        <f t="shared" si="0"/>
        <v>1</v>
      </c>
      <c r="V40" s="2">
        <v>1</v>
      </c>
      <c r="W40" s="2">
        <v>0</v>
      </c>
      <c r="X40" s="2">
        <v>0</v>
      </c>
      <c r="Y40" s="2">
        <v>0</v>
      </c>
      <c r="Z40" s="2">
        <v>0</v>
      </c>
      <c r="AA40" s="2">
        <v>0</v>
      </c>
      <c r="AB40" s="2">
        <v>0</v>
      </c>
      <c r="AC40" s="2">
        <v>1</v>
      </c>
      <c r="AD40" s="2">
        <v>0</v>
      </c>
      <c r="AE40" s="2">
        <v>1</v>
      </c>
      <c r="AF40" s="2" t="s">
        <v>146</v>
      </c>
      <c r="AG40" s="2">
        <v>0</v>
      </c>
      <c r="AH40" s="2">
        <v>1</v>
      </c>
      <c r="AI40" s="2">
        <v>1</v>
      </c>
      <c r="AJ40" s="2">
        <v>1</v>
      </c>
      <c r="AK40" s="2">
        <v>1</v>
      </c>
      <c r="AL40" s="5">
        <v>45462</v>
      </c>
      <c r="AM40" s="2">
        <v>0</v>
      </c>
      <c r="AN40" s="2">
        <v>0</v>
      </c>
      <c r="AO40" s="2">
        <f t="shared" si="2"/>
        <v>5</v>
      </c>
      <c r="AP40" s="2">
        <v>0</v>
      </c>
      <c r="AV40" s="2">
        <v>0</v>
      </c>
      <c r="AW40" s="2">
        <f t="shared" si="3"/>
        <v>1</v>
      </c>
      <c r="AX40" s="2">
        <f t="shared" si="4"/>
        <v>1</v>
      </c>
      <c r="AY40" s="2">
        <v>0</v>
      </c>
      <c r="AZ40" s="2">
        <v>1</v>
      </c>
      <c r="BA40" s="2">
        <v>0</v>
      </c>
      <c r="BB40" s="2" t="s">
        <v>156</v>
      </c>
    </row>
    <row r="41" spans="1:54" s="2" customFormat="1">
      <c r="A41" s="2">
        <v>57</v>
      </c>
      <c r="B41" s="5">
        <v>45459</v>
      </c>
      <c r="E41" s="2">
        <v>55</v>
      </c>
      <c r="F41" s="2">
        <v>2</v>
      </c>
      <c r="G41" s="2">
        <v>2</v>
      </c>
      <c r="H41" s="2">
        <v>1</v>
      </c>
      <c r="I41" s="2">
        <v>0</v>
      </c>
      <c r="J41" s="2">
        <v>0</v>
      </c>
      <c r="K41" s="2">
        <v>1</v>
      </c>
      <c r="L41" s="2">
        <v>0</v>
      </c>
      <c r="M41" s="2">
        <v>0</v>
      </c>
      <c r="N41" s="2">
        <v>1</v>
      </c>
      <c r="O41" s="2" t="s">
        <v>157</v>
      </c>
      <c r="P41" t="s">
        <v>155</v>
      </c>
      <c r="Q41" s="2">
        <v>1</v>
      </c>
      <c r="R41" s="2">
        <v>4</v>
      </c>
      <c r="S41" s="5">
        <v>45469</v>
      </c>
      <c r="T41" s="5">
        <v>45472</v>
      </c>
      <c r="U41" s="28">
        <f t="shared" si="0"/>
        <v>3</v>
      </c>
      <c r="V41" s="2">
        <v>0</v>
      </c>
      <c r="W41" s="2">
        <v>0</v>
      </c>
      <c r="X41" s="2">
        <v>0</v>
      </c>
      <c r="Y41" s="2">
        <v>0</v>
      </c>
      <c r="Z41" s="2">
        <v>0</v>
      </c>
      <c r="AA41" s="2">
        <v>0</v>
      </c>
      <c r="AB41" s="2">
        <v>0</v>
      </c>
      <c r="AC41" s="2">
        <v>0</v>
      </c>
      <c r="AD41" s="2">
        <v>0</v>
      </c>
      <c r="AE41" s="2">
        <v>1</v>
      </c>
      <c r="AF41" s="2" t="s">
        <v>158</v>
      </c>
      <c r="AG41" s="2">
        <v>1</v>
      </c>
      <c r="AH41" s="2">
        <v>1</v>
      </c>
      <c r="AI41" s="2">
        <v>1</v>
      </c>
      <c r="AJ41" s="2">
        <v>1</v>
      </c>
      <c r="AK41" s="2">
        <v>1</v>
      </c>
      <c r="AL41" s="5">
        <v>45485</v>
      </c>
      <c r="AM41" s="2">
        <v>0</v>
      </c>
      <c r="AN41" s="2">
        <v>1</v>
      </c>
      <c r="AO41" s="2">
        <f t="shared" si="2"/>
        <v>16</v>
      </c>
      <c r="AP41" s="11">
        <v>0</v>
      </c>
      <c r="AV41" s="2">
        <v>1</v>
      </c>
      <c r="AW41" s="2">
        <f t="shared" si="3"/>
        <v>0</v>
      </c>
      <c r="AX41" s="2">
        <f t="shared" si="4"/>
        <v>1</v>
      </c>
      <c r="AY41" s="2">
        <v>1</v>
      </c>
      <c r="AZ41" s="2">
        <v>1</v>
      </c>
      <c r="BA41" s="2">
        <v>1</v>
      </c>
      <c r="BB41" s="2" t="s">
        <v>159</v>
      </c>
    </row>
    <row r="42" spans="1:54" s="2" customFormat="1">
      <c r="A42" s="2">
        <v>58</v>
      </c>
      <c r="B42" s="5">
        <v>45469</v>
      </c>
      <c r="C42" s="5">
        <v>45484</v>
      </c>
      <c r="D42" s="2">
        <f>C42-B42</f>
        <v>15</v>
      </c>
      <c r="E42" s="2">
        <v>86</v>
      </c>
      <c r="F42" s="2">
        <v>2</v>
      </c>
      <c r="G42" s="2">
        <v>2</v>
      </c>
      <c r="H42" s="2">
        <v>1</v>
      </c>
      <c r="I42" s="2">
        <v>0</v>
      </c>
      <c r="J42" s="2">
        <v>0</v>
      </c>
      <c r="K42" s="2">
        <v>1</v>
      </c>
      <c r="L42" s="2">
        <v>0</v>
      </c>
      <c r="M42" s="2">
        <v>0</v>
      </c>
      <c r="N42" s="2">
        <v>0</v>
      </c>
      <c r="P42" t="s">
        <v>155</v>
      </c>
      <c r="Q42" s="2">
        <v>0</v>
      </c>
      <c r="R42" s="2">
        <v>1</v>
      </c>
      <c r="S42" s="5">
        <v>45471</v>
      </c>
      <c r="T42" s="5">
        <v>45471</v>
      </c>
      <c r="U42" s="28">
        <f t="shared" si="0"/>
        <v>0</v>
      </c>
      <c r="V42" s="2">
        <v>1</v>
      </c>
      <c r="W42" s="2">
        <v>0</v>
      </c>
      <c r="X42" s="2">
        <v>0</v>
      </c>
      <c r="Y42" s="2">
        <v>0</v>
      </c>
      <c r="Z42" s="2">
        <v>0</v>
      </c>
      <c r="AA42" s="2">
        <v>0</v>
      </c>
      <c r="AB42" s="2">
        <v>0</v>
      </c>
      <c r="AC42" s="2">
        <v>1</v>
      </c>
      <c r="AD42" s="2">
        <v>0</v>
      </c>
      <c r="AE42" s="2">
        <v>1</v>
      </c>
      <c r="AF42" s="2" t="s">
        <v>146</v>
      </c>
      <c r="AG42" s="2">
        <v>0</v>
      </c>
      <c r="AH42" s="2">
        <v>1</v>
      </c>
      <c r="AI42" s="2">
        <v>1</v>
      </c>
      <c r="AJ42" s="2">
        <v>1</v>
      </c>
      <c r="AK42" s="2">
        <v>1</v>
      </c>
      <c r="AL42" s="5">
        <v>45474</v>
      </c>
      <c r="AM42" s="2">
        <v>0</v>
      </c>
      <c r="AN42" s="2">
        <v>1</v>
      </c>
      <c r="AO42" s="2">
        <f t="shared" si="2"/>
        <v>3</v>
      </c>
      <c r="AP42" s="2">
        <v>0</v>
      </c>
      <c r="AV42" s="2">
        <v>0</v>
      </c>
      <c r="AW42" s="2">
        <f t="shared" si="3"/>
        <v>0</v>
      </c>
      <c r="AX42" s="2">
        <f t="shared" si="4"/>
        <v>1</v>
      </c>
      <c r="AY42" s="2">
        <v>0</v>
      </c>
      <c r="AZ42" s="2">
        <v>1</v>
      </c>
      <c r="BA42" s="2">
        <v>1</v>
      </c>
      <c r="BB42" s="2" t="s">
        <v>160</v>
      </c>
    </row>
    <row r="43" spans="1:54" s="2" customFormat="1">
      <c r="A43" s="8">
        <v>59</v>
      </c>
      <c r="B43" s="5">
        <v>45421</v>
      </c>
      <c r="C43" s="6">
        <v>45428</v>
      </c>
      <c r="D43" s="2">
        <f>C43-B43</f>
        <v>7</v>
      </c>
      <c r="E43" s="2">
        <v>77</v>
      </c>
      <c r="F43" s="2">
        <v>2</v>
      </c>
      <c r="G43" s="2">
        <v>5</v>
      </c>
      <c r="H43" s="2">
        <v>0</v>
      </c>
      <c r="I43" s="2">
        <v>0</v>
      </c>
      <c r="J43" s="2">
        <v>0</v>
      </c>
      <c r="K43" s="2">
        <v>0</v>
      </c>
      <c r="L43" s="2">
        <v>1</v>
      </c>
      <c r="M43" s="2">
        <v>0</v>
      </c>
      <c r="N43" s="2">
        <v>1</v>
      </c>
      <c r="O43" s="2" t="s">
        <v>70</v>
      </c>
      <c r="P43" t="s">
        <v>163</v>
      </c>
      <c r="Q43" s="2">
        <v>1</v>
      </c>
      <c r="R43" s="2">
        <v>4</v>
      </c>
      <c r="S43" s="5">
        <v>45421</v>
      </c>
      <c r="T43" s="5">
        <v>45428</v>
      </c>
      <c r="U43" s="28">
        <f t="shared" si="0"/>
        <v>7</v>
      </c>
      <c r="V43" s="2">
        <v>1</v>
      </c>
      <c r="W43" s="2">
        <v>0</v>
      </c>
      <c r="X43" s="2">
        <v>0</v>
      </c>
      <c r="Y43" s="2">
        <v>1</v>
      </c>
      <c r="Z43" s="2">
        <v>0</v>
      </c>
      <c r="AA43" s="2">
        <v>1</v>
      </c>
      <c r="AB43" s="2">
        <v>0</v>
      </c>
      <c r="AC43" s="2">
        <v>0</v>
      </c>
      <c r="AD43" s="2">
        <v>0</v>
      </c>
      <c r="AE43" s="2">
        <v>1</v>
      </c>
      <c r="AF43" s="2" t="s">
        <v>48</v>
      </c>
      <c r="AG43" s="2">
        <v>1</v>
      </c>
      <c r="AH43" s="2">
        <v>0</v>
      </c>
      <c r="AI43" s="2">
        <v>1</v>
      </c>
      <c r="AJ43" s="2">
        <v>0</v>
      </c>
      <c r="AK43" s="2">
        <v>1</v>
      </c>
      <c r="AL43" s="5">
        <v>45425</v>
      </c>
      <c r="AM43" s="2">
        <v>0</v>
      </c>
      <c r="AN43" s="2">
        <v>0</v>
      </c>
      <c r="AO43" s="2">
        <f t="shared" si="2"/>
        <v>4</v>
      </c>
      <c r="AP43" s="2">
        <v>0</v>
      </c>
      <c r="AV43" s="2">
        <v>1</v>
      </c>
      <c r="AW43" s="2">
        <f t="shared" si="3"/>
        <v>0</v>
      </c>
      <c r="AX43" s="2">
        <f t="shared" si="4"/>
        <v>0</v>
      </c>
      <c r="AY43" s="2">
        <v>0</v>
      </c>
      <c r="AZ43" s="2">
        <v>0</v>
      </c>
      <c r="BA43" s="2">
        <v>0</v>
      </c>
      <c r="BB43" s="2" t="s">
        <v>164</v>
      </c>
    </row>
    <row r="44" spans="1:54" s="2" customFormat="1">
      <c r="A44" s="2">
        <v>60</v>
      </c>
      <c r="B44" s="5">
        <v>45425</v>
      </c>
      <c r="C44" s="5">
        <v>45444</v>
      </c>
      <c r="D44" s="2">
        <f>C44-B44</f>
        <v>19</v>
      </c>
      <c r="E44" s="2">
        <v>81</v>
      </c>
      <c r="F44" s="2">
        <v>1</v>
      </c>
      <c r="G44" s="2">
        <v>2</v>
      </c>
      <c r="H44" s="2">
        <v>1</v>
      </c>
      <c r="I44" s="2">
        <v>0</v>
      </c>
      <c r="J44" s="2">
        <v>0</v>
      </c>
      <c r="K44" s="2">
        <v>1</v>
      </c>
      <c r="L44" s="2">
        <v>0</v>
      </c>
      <c r="M44" s="2">
        <v>0</v>
      </c>
      <c r="N44" s="2">
        <v>1</v>
      </c>
      <c r="O44" s="2" t="s">
        <v>72</v>
      </c>
      <c r="P44" t="s">
        <v>155</v>
      </c>
      <c r="Q44" s="2">
        <v>1</v>
      </c>
      <c r="R44" s="2">
        <v>2</v>
      </c>
      <c r="S44" s="5">
        <v>45425</v>
      </c>
      <c r="T44" s="5">
        <v>45426</v>
      </c>
      <c r="U44" s="28">
        <f t="shared" si="0"/>
        <v>1</v>
      </c>
      <c r="V44" s="2">
        <v>1</v>
      </c>
      <c r="W44" s="2">
        <v>0</v>
      </c>
      <c r="X44" s="2">
        <v>0</v>
      </c>
      <c r="Y44" s="2">
        <v>0</v>
      </c>
      <c r="Z44" s="2">
        <v>0</v>
      </c>
      <c r="AA44" s="2">
        <v>1</v>
      </c>
      <c r="AB44" s="2">
        <v>0</v>
      </c>
      <c r="AC44" s="2">
        <v>0</v>
      </c>
      <c r="AD44" s="2">
        <v>0</v>
      </c>
      <c r="AE44" s="2">
        <v>1</v>
      </c>
      <c r="AF44" s="2" t="s">
        <v>158</v>
      </c>
      <c r="AG44" s="2">
        <v>1</v>
      </c>
      <c r="AH44" s="2">
        <v>1</v>
      </c>
      <c r="AI44" s="2">
        <v>1</v>
      </c>
      <c r="AJ44" s="2">
        <v>1</v>
      </c>
      <c r="AK44" s="2">
        <v>1</v>
      </c>
      <c r="AL44" s="5">
        <v>45429</v>
      </c>
      <c r="AM44" s="2">
        <v>0</v>
      </c>
      <c r="AN44" s="2">
        <v>1</v>
      </c>
      <c r="AO44" s="2">
        <f t="shared" si="2"/>
        <v>4</v>
      </c>
      <c r="AP44" s="2">
        <v>0</v>
      </c>
      <c r="AV44" s="2">
        <v>0</v>
      </c>
      <c r="AW44" s="2">
        <f t="shared" si="3"/>
        <v>0</v>
      </c>
      <c r="AX44" s="2">
        <f t="shared" si="4"/>
        <v>1</v>
      </c>
      <c r="AY44" s="2">
        <v>0</v>
      </c>
      <c r="AZ44" s="2">
        <v>1</v>
      </c>
      <c r="BA44" s="2">
        <v>1</v>
      </c>
      <c r="BB44" s="2" t="s">
        <v>165</v>
      </c>
    </row>
    <row r="45" spans="1:54" s="2" customFormat="1">
      <c r="A45" s="2">
        <v>61</v>
      </c>
      <c r="B45" s="5">
        <v>45381</v>
      </c>
      <c r="C45" s="5">
        <v>45387</v>
      </c>
      <c r="D45" s="2">
        <f>C45-B45</f>
        <v>6</v>
      </c>
      <c r="E45" s="2">
        <v>87</v>
      </c>
      <c r="F45" s="2">
        <v>2</v>
      </c>
      <c r="G45" s="2">
        <v>3</v>
      </c>
      <c r="H45" s="2">
        <v>1</v>
      </c>
      <c r="I45" s="2">
        <v>0</v>
      </c>
      <c r="J45" s="2">
        <v>0</v>
      </c>
      <c r="K45" s="2">
        <v>1</v>
      </c>
      <c r="L45" s="2">
        <v>0</v>
      </c>
      <c r="M45" s="2">
        <v>0</v>
      </c>
      <c r="N45" s="2">
        <v>1</v>
      </c>
      <c r="O45" s="2" t="s">
        <v>166</v>
      </c>
      <c r="P45" t="s">
        <v>155</v>
      </c>
      <c r="Q45" s="2">
        <v>1</v>
      </c>
      <c r="R45" s="2">
        <v>3</v>
      </c>
      <c r="S45" s="5">
        <v>45382</v>
      </c>
      <c r="T45" s="5">
        <v>45384</v>
      </c>
      <c r="U45" s="28">
        <f t="shared" si="0"/>
        <v>2</v>
      </c>
      <c r="V45" s="2">
        <v>0</v>
      </c>
      <c r="W45" s="2">
        <v>0</v>
      </c>
      <c r="X45" s="2">
        <v>0</v>
      </c>
      <c r="Y45" s="2">
        <v>0</v>
      </c>
      <c r="Z45" s="2">
        <v>0</v>
      </c>
      <c r="AA45" s="2">
        <v>0</v>
      </c>
      <c r="AB45" s="2">
        <v>0</v>
      </c>
      <c r="AC45" s="2">
        <v>0</v>
      </c>
      <c r="AD45" s="2">
        <v>0</v>
      </c>
      <c r="AE45" s="2">
        <v>1</v>
      </c>
      <c r="AF45" s="2" t="s">
        <v>167</v>
      </c>
      <c r="AG45" s="2">
        <v>1</v>
      </c>
      <c r="AH45" s="2">
        <v>0</v>
      </c>
      <c r="AI45" s="2">
        <v>1</v>
      </c>
      <c r="AJ45" s="2">
        <v>1</v>
      </c>
      <c r="AK45" s="2">
        <v>1</v>
      </c>
      <c r="AL45" s="5">
        <v>45383</v>
      </c>
      <c r="AM45" s="2">
        <v>0</v>
      </c>
      <c r="AN45" s="2">
        <v>1</v>
      </c>
      <c r="AO45" s="2">
        <f t="shared" si="2"/>
        <v>1</v>
      </c>
      <c r="AP45" s="2">
        <v>0</v>
      </c>
      <c r="AV45" s="2">
        <v>0</v>
      </c>
      <c r="AW45" s="2">
        <f t="shared" si="3"/>
        <v>0</v>
      </c>
      <c r="AX45" s="2">
        <f t="shared" si="4"/>
        <v>1</v>
      </c>
      <c r="AY45" s="2">
        <v>0</v>
      </c>
      <c r="AZ45" s="2">
        <v>1</v>
      </c>
      <c r="BA45" s="2">
        <v>1</v>
      </c>
      <c r="BB45" s="2" t="s">
        <v>168</v>
      </c>
    </row>
    <row r="46" spans="1:54" s="2" customFormat="1">
      <c r="A46" s="2">
        <v>62</v>
      </c>
      <c r="B46" s="5">
        <v>45398</v>
      </c>
      <c r="C46" s="5">
        <v>45403</v>
      </c>
      <c r="D46" s="11">
        <f>C46-B46</f>
        <v>5</v>
      </c>
      <c r="E46" s="2">
        <v>47</v>
      </c>
      <c r="F46" s="2">
        <v>1</v>
      </c>
      <c r="G46" s="2">
        <v>2</v>
      </c>
      <c r="H46" s="2">
        <v>1</v>
      </c>
      <c r="I46" s="2">
        <v>1</v>
      </c>
      <c r="J46" s="2">
        <v>0</v>
      </c>
      <c r="K46" s="2">
        <v>0</v>
      </c>
      <c r="L46" s="2">
        <v>0</v>
      </c>
      <c r="M46" s="2">
        <v>0</v>
      </c>
      <c r="N46" s="2">
        <v>1</v>
      </c>
      <c r="O46" s="2" t="s">
        <v>169</v>
      </c>
      <c r="P46" t="s">
        <v>155</v>
      </c>
      <c r="Q46" s="2">
        <v>1</v>
      </c>
      <c r="R46" s="2">
        <v>4</v>
      </c>
      <c r="S46" s="5">
        <v>45398</v>
      </c>
      <c r="T46" s="5">
        <v>45403</v>
      </c>
      <c r="U46" s="28">
        <f t="shared" si="0"/>
        <v>5</v>
      </c>
      <c r="V46" s="2">
        <v>1</v>
      </c>
      <c r="W46" s="2">
        <v>0</v>
      </c>
      <c r="X46" s="2">
        <v>1</v>
      </c>
      <c r="Y46" s="2">
        <v>0</v>
      </c>
      <c r="Z46" s="2">
        <v>0</v>
      </c>
      <c r="AA46" s="2">
        <v>0</v>
      </c>
      <c r="AB46" s="2">
        <v>0</v>
      </c>
      <c r="AC46" s="2">
        <v>0</v>
      </c>
      <c r="AD46" s="2">
        <v>0</v>
      </c>
      <c r="AE46" s="2">
        <v>1</v>
      </c>
      <c r="AF46" s="2" t="s">
        <v>158</v>
      </c>
      <c r="AG46" s="2">
        <v>1</v>
      </c>
      <c r="AH46" s="2">
        <v>1</v>
      </c>
      <c r="AI46" s="2">
        <v>1</v>
      </c>
      <c r="AJ46" s="2">
        <v>1</v>
      </c>
      <c r="AK46" s="2">
        <v>1</v>
      </c>
      <c r="AL46" s="5">
        <v>45400</v>
      </c>
      <c r="AM46" s="2">
        <v>1</v>
      </c>
      <c r="AN46" s="2">
        <v>0</v>
      </c>
      <c r="AO46" s="2">
        <f t="shared" si="2"/>
        <v>2</v>
      </c>
      <c r="AP46" s="2">
        <v>0</v>
      </c>
      <c r="AV46" s="2">
        <v>0</v>
      </c>
      <c r="AW46" s="2">
        <f t="shared" si="3"/>
        <v>0</v>
      </c>
      <c r="AX46" s="2">
        <f t="shared" si="4"/>
        <v>1</v>
      </c>
      <c r="AY46" s="2">
        <v>1</v>
      </c>
      <c r="AZ46" s="2">
        <v>1</v>
      </c>
      <c r="BA46" s="2">
        <v>1</v>
      </c>
      <c r="BB46" s="2" t="s">
        <v>170</v>
      </c>
    </row>
    <row r="47" spans="1:54" s="2" customFormat="1">
      <c r="A47" s="2">
        <v>63</v>
      </c>
      <c r="B47" s="5">
        <v>45398</v>
      </c>
      <c r="C47" s="5">
        <v>45442</v>
      </c>
      <c r="D47" s="2">
        <f>C47-B47</f>
        <v>44</v>
      </c>
      <c r="E47" s="2">
        <v>54</v>
      </c>
      <c r="F47" s="2">
        <v>1</v>
      </c>
      <c r="G47" s="2">
        <v>2</v>
      </c>
      <c r="H47" s="2">
        <v>1</v>
      </c>
      <c r="I47" s="2">
        <v>0</v>
      </c>
      <c r="J47" s="2">
        <v>0</v>
      </c>
      <c r="K47" s="2">
        <v>0</v>
      </c>
      <c r="L47" s="2">
        <v>1</v>
      </c>
      <c r="M47" s="2">
        <v>0</v>
      </c>
      <c r="N47" s="2">
        <v>0</v>
      </c>
      <c r="P47" t="s">
        <v>155</v>
      </c>
      <c r="Q47" s="2">
        <v>1</v>
      </c>
      <c r="R47" s="2">
        <v>5</v>
      </c>
      <c r="S47" s="5">
        <v>45398</v>
      </c>
      <c r="T47" s="5">
        <v>45401</v>
      </c>
      <c r="U47" s="28">
        <f t="shared" si="0"/>
        <v>3</v>
      </c>
      <c r="V47" s="2">
        <v>1</v>
      </c>
      <c r="W47" s="2">
        <v>0</v>
      </c>
      <c r="X47" s="2">
        <v>0</v>
      </c>
      <c r="Y47" s="2">
        <v>1</v>
      </c>
      <c r="Z47" s="2">
        <v>0</v>
      </c>
      <c r="AA47" s="2">
        <v>0</v>
      </c>
      <c r="AB47" s="2">
        <v>0</v>
      </c>
      <c r="AC47" s="2">
        <v>0</v>
      </c>
      <c r="AD47" s="2">
        <v>0</v>
      </c>
      <c r="AE47" s="2">
        <v>1</v>
      </c>
      <c r="AF47" s="2" t="s">
        <v>158</v>
      </c>
      <c r="AG47" s="2">
        <v>1</v>
      </c>
      <c r="AH47" s="2">
        <v>1</v>
      </c>
      <c r="AI47" s="2">
        <v>1</v>
      </c>
      <c r="AJ47" s="2">
        <v>1</v>
      </c>
      <c r="AK47" s="2">
        <v>1</v>
      </c>
      <c r="AL47" s="5">
        <v>45401</v>
      </c>
      <c r="AM47" s="2">
        <v>0</v>
      </c>
      <c r="AN47" s="2">
        <v>0</v>
      </c>
      <c r="AO47" s="2">
        <f t="shared" si="2"/>
        <v>3</v>
      </c>
      <c r="AP47" s="2">
        <v>0</v>
      </c>
      <c r="AV47" s="2">
        <v>1</v>
      </c>
      <c r="AW47" s="2">
        <f t="shared" si="3"/>
        <v>0</v>
      </c>
      <c r="AX47" s="2">
        <f t="shared" si="4"/>
        <v>1</v>
      </c>
      <c r="AY47" s="2">
        <v>0</v>
      </c>
      <c r="AZ47" s="2">
        <v>1</v>
      </c>
      <c r="BA47" s="2">
        <v>0</v>
      </c>
      <c r="BB47" s="2" t="s">
        <v>171</v>
      </c>
    </row>
    <row r="48" spans="1:54" s="2" customFormat="1">
      <c r="A48" s="2">
        <v>64</v>
      </c>
      <c r="B48" s="5">
        <v>45409</v>
      </c>
      <c r="C48" s="5">
        <v>45419</v>
      </c>
      <c r="D48" s="2">
        <f>C48-B48</f>
        <v>10</v>
      </c>
      <c r="E48" s="2">
        <v>82</v>
      </c>
      <c r="F48" s="2">
        <v>1</v>
      </c>
      <c r="G48" s="2">
        <v>2</v>
      </c>
      <c r="H48" s="2">
        <v>1</v>
      </c>
      <c r="I48" s="2">
        <v>0</v>
      </c>
      <c r="J48" s="2">
        <v>0</v>
      </c>
      <c r="K48" s="2">
        <v>0</v>
      </c>
      <c r="L48" s="2">
        <v>0</v>
      </c>
      <c r="M48" s="2">
        <v>0</v>
      </c>
      <c r="N48" s="2">
        <v>1</v>
      </c>
      <c r="O48" s="2" t="s">
        <v>172</v>
      </c>
      <c r="P48" t="s">
        <v>155</v>
      </c>
      <c r="Q48" s="2">
        <v>0</v>
      </c>
      <c r="R48" s="2">
        <v>1</v>
      </c>
      <c r="S48" s="5">
        <v>45411</v>
      </c>
      <c r="T48" s="5">
        <v>45411</v>
      </c>
      <c r="U48" s="28">
        <f t="shared" si="0"/>
        <v>0</v>
      </c>
      <c r="V48" s="2">
        <v>1</v>
      </c>
      <c r="W48" s="2">
        <v>0</v>
      </c>
      <c r="X48" s="2">
        <v>0</v>
      </c>
      <c r="Y48" s="2">
        <v>0</v>
      </c>
      <c r="Z48" s="2">
        <v>0</v>
      </c>
      <c r="AA48" s="2">
        <v>0</v>
      </c>
      <c r="AB48" s="2">
        <v>0</v>
      </c>
      <c r="AC48" s="2">
        <v>1</v>
      </c>
      <c r="AD48" s="2">
        <v>0</v>
      </c>
      <c r="AE48" s="2">
        <v>1</v>
      </c>
      <c r="AF48" s="2" t="s">
        <v>173</v>
      </c>
      <c r="AG48" s="2">
        <v>0</v>
      </c>
      <c r="AH48" s="2">
        <v>1</v>
      </c>
      <c r="AI48" s="2">
        <v>1</v>
      </c>
      <c r="AJ48" s="2">
        <v>1</v>
      </c>
      <c r="AK48" s="2">
        <v>1</v>
      </c>
      <c r="AL48" s="5">
        <v>45411</v>
      </c>
      <c r="AM48" s="2">
        <v>0</v>
      </c>
      <c r="AN48" s="2">
        <v>1</v>
      </c>
      <c r="AO48" s="2">
        <f t="shared" si="2"/>
        <v>0</v>
      </c>
      <c r="AP48" s="2">
        <v>0</v>
      </c>
      <c r="AV48" s="2">
        <v>0</v>
      </c>
      <c r="AW48" s="2">
        <f t="shared" si="3"/>
        <v>0</v>
      </c>
      <c r="AX48" s="2">
        <f t="shared" si="4"/>
        <v>1</v>
      </c>
      <c r="AY48" s="2">
        <v>0</v>
      </c>
      <c r="AZ48" s="2">
        <v>1</v>
      </c>
      <c r="BA48" s="2">
        <v>0</v>
      </c>
      <c r="BB48" s="2" t="s">
        <v>174</v>
      </c>
    </row>
    <row r="49" spans="1:54" s="2" customFormat="1">
      <c r="A49" s="2">
        <v>66</v>
      </c>
      <c r="B49" s="5">
        <v>45433</v>
      </c>
      <c r="C49" s="5">
        <v>45443</v>
      </c>
      <c r="D49" s="2">
        <f>C49-B49</f>
        <v>10</v>
      </c>
      <c r="E49" s="2">
        <v>71</v>
      </c>
      <c r="F49" s="2">
        <v>2</v>
      </c>
      <c r="G49" s="2">
        <v>2</v>
      </c>
      <c r="H49" s="2">
        <v>1</v>
      </c>
      <c r="I49" s="2">
        <v>0</v>
      </c>
      <c r="J49" s="2">
        <v>0</v>
      </c>
      <c r="K49" s="2">
        <v>0</v>
      </c>
      <c r="L49" s="2">
        <v>1</v>
      </c>
      <c r="M49" s="2">
        <v>0</v>
      </c>
      <c r="N49" s="2">
        <v>1</v>
      </c>
      <c r="O49" s="2" t="s">
        <v>99</v>
      </c>
      <c r="P49" t="s">
        <v>163</v>
      </c>
      <c r="Q49" s="2">
        <v>0</v>
      </c>
      <c r="R49" s="2">
        <v>1</v>
      </c>
      <c r="S49" s="5">
        <v>45433</v>
      </c>
      <c r="T49" s="5">
        <v>45433</v>
      </c>
      <c r="U49" s="28">
        <f t="shared" si="0"/>
        <v>0</v>
      </c>
      <c r="V49" s="2">
        <v>1</v>
      </c>
      <c r="W49" s="2">
        <v>0</v>
      </c>
      <c r="X49" s="2">
        <v>0</v>
      </c>
      <c r="Y49" s="2">
        <v>1</v>
      </c>
      <c r="Z49" s="2">
        <v>0</v>
      </c>
      <c r="AA49" s="2">
        <v>0</v>
      </c>
      <c r="AB49" s="2">
        <v>0</v>
      </c>
      <c r="AC49" s="2">
        <v>0</v>
      </c>
      <c r="AD49" s="2">
        <v>0</v>
      </c>
      <c r="AE49" s="2">
        <v>1</v>
      </c>
      <c r="AF49" s="2" t="s">
        <v>48</v>
      </c>
      <c r="AG49" s="2">
        <v>1</v>
      </c>
      <c r="AH49" s="2">
        <v>0</v>
      </c>
      <c r="AI49" s="2">
        <v>1</v>
      </c>
      <c r="AJ49" s="2">
        <v>1</v>
      </c>
      <c r="AK49" s="2">
        <v>1</v>
      </c>
      <c r="AL49" s="5">
        <v>45436</v>
      </c>
      <c r="AM49" s="2">
        <v>0</v>
      </c>
      <c r="AN49" s="2">
        <v>0</v>
      </c>
      <c r="AO49" s="2">
        <f t="shared" si="2"/>
        <v>3</v>
      </c>
      <c r="AP49" s="2">
        <v>0</v>
      </c>
      <c r="AV49" s="2">
        <v>0</v>
      </c>
      <c r="AW49" s="2">
        <f t="shared" si="3"/>
        <v>0</v>
      </c>
      <c r="AX49" s="2">
        <f t="shared" si="4"/>
        <v>1</v>
      </c>
      <c r="AY49" s="2">
        <v>0</v>
      </c>
      <c r="AZ49" s="2">
        <v>0</v>
      </c>
      <c r="BA49" s="2">
        <v>0</v>
      </c>
      <c r="BB49" s="2" t="s">
        <v>177</v>
      </c>
    </row>
    <row r="50" spans="1:54" s="13" customFormat="1">
      <c r="A50" s="2">
        <v>67</v>
      </c>
      <c r="B50" s="18">
        <v>45398</v>
      </c>
      <c r="C50" s="18">
        <v>45442</v>
      </c>
      <c r="D50" s="13">
        <f t="shared" ref="D50" si="5">C50-B50</f>
        <v>44</v>
      </c>
      <c r="E50" s="13">
        <v>54</v>
      </c>
      <c r="F50" s="13">
        <v>1</v>
      </c>
      <c r="G50" s="13">
        <v>2</v>
      </c>
      <c r="H50" s="13">
        <v>1</v>
      </c>
      <c r="I50" s="13">
        <v>0</v>
      </c>
      <c r="J50" s="13">
        <v>0</v>
      </c>
      <c r="K50" s="13">
        <v>0</v>
      </c>
      <c r="L50" s="13">
        <v>1</v>
      </c>
      <c r="M50" s="13">
        <v>0</v>
      </c>
      <c r="N50" s="13">
        <v>0</v>
      </c>
      <c r="P50" s="14" t="s">
        <v>155</v>
      </c>
      <c r="Q50" s="13">
        <v>1</v>
      </c>
      <c r="R50" s="13">
        <v>5</v>
      </c>
      <c r="S50" s="18">
        <v>45398</v>
      </c>
      <c r="T50" s="18">
        <v>45401</v>
      </c>
      <c r="U50" s="28">
        <f t="shared" si="0"/>
        <v>3</v>
      </c>
      <c r="V50" s="13">
        <v>1</v>
      </c>
      <c r="W50" s="13">
        <v>0</v>
      </c>
      <c r="X50" s="13">
        <v>0</v>
      </c>
      <c r="Y50" s="13">
        <v>1</v>
      </c>
      <c r="Z50" s="13">
        <v>0</v>
      </c>
      <c r="AA50" s="13">
        <v>1</v>
      </c>
      <c r="AB50" s="13">
        <v>0</v>
      </c>
      <c r="AC50" s="13">
        <v>0</v>
      </c>
      <c r="AD50" s="13">
        <v>0</v>
      </c>
      <c r="AE50" s="13">
        <v>1</v>
      </c>
      <c r="AF50" s="13" t="s">
        <v>158</v>
      </c>
      <c r="AG50" s="13">
        <v>1</v>
      </c>
      <c r="AH50" s="13">
        <v>1</v>
      </c>
      <c r="AI50" s="13">
        <v>1</v>
      </c>
      <c r="AJ50" s="13">
        <v>1</v>
      </c>
      <c r="AK50" s="13">
        <v>1</v>
      </c>
      <c r="AL50" s="18">
        <v>45401</v>
      </c>
      <c r="AM50" s="13">
        <v>0</v>
      </c>
      <c r="AN50" s="13">
        <v>0</v>
      </c>
      <c r="AO50" s="2">
        <f t="shared" si="2"/>
        <v>3</v>
      </c>
      <c r="AP50" s="13">
        <v>0</v>
      </c>
      <c r="AV50" s="13">
        <v>0</v>
      </c>
      <c r="AW50" s="2">
        <f t="shared" si="3"/>
        <v>0</v>
      </c>
      <c r="AX50" s="2">
        <f t="shared" si="4"/>
        <v>1</v>
      </c>
      <c r="AY50" s="2">
        <v>0</v>
      </c>
      <c r="AZ50" s="2">
        <v>1</v>
      </c>
      <c r="BA50" s="2">
        <v>0</v>
      </c>
      <c r="BB50" s="13" t="s">
        <v>178</v>
      </c>
    </row>
    <row r="51" spans="1:54" s="2" customFormat="1">
      <c r="A51" s="2">
        <v>68</v>
      </c>
      <c r="B51" s="5">
        <v>45444</v>
      </c>
      <c r="C51" s="5">
        <v>45449</v>
      </c>
      <c r="D51" s="2">
        <f>C51-B51</f>
        <v>5</v>
      </c>
      <c r="E51" s="2">
        <v>69</v>
      </c>
      <c r="F51" s="2">
        <v>1</v>
      </c>
      <c r="G51" s="2">
        <v>2</v>
      </c>
      <c r="H51" s="2">
        <v>1</v>
      </c>
      <c r="I51" s="2">
        <v>0</v>
      </c>
      <c r="J51" s="2">
        <v>0</v>
      </c>
      <c r="K51" s="2">
        <v>0</v>
      </c>
      <c r="L51" s="2">
        <v>1</v>
      </c>
      <c r="M51" s="2">
        <v>0</v>
      </c>
      <c r="N51" s="2">
        <v>0</v>
      </c>
      <c r="P51" t="s">
        <v>179</v>
      </c>
      <c r="Q51" s="2">
        <v>0</v>
      </c>
      <c r="R51" s="2">
        <v>1</v>
      </c>
      <c r="S51" s="5">
        <v>45444</v>
      </c>
      <c r="T51" s="5">
        <v>45444</v>
      </c>
      <c r="U51" s="28">
        <f t="shared" si="0"/>
        <v>0</v>
      </c>
      <c r="V51" s="2">
        <v>0</v>
      </c>
      <c r="W51" s="2">
        <v>0</v>
      </c>
      <c r="X51" s="2">
        <v>0</v>
      </c>
      <c r="Y51" s="2">
        <v>0</v>
      </c>
      <c r="Z51" s="2">
        <v>0</v>
      </c>
      <c r="AA51" s="2">
        <v>0</v>
      </c>
      <c r="AB51" s="2">
        <v>0</v>
      </c>
      <c r="AC51" s="2">
        <v>0</v>
      </c>
      <c r="AD51" s="2">
        <v>0</v>
      </c>
      <c r="AE51" s="2">
        <v>1</v>
      </c>
      <c r="AF51" s="2" t="s">
        <v>126</v>
      </c>
      <c r="AG51" s="2">
        <v>0</v>
      </c>
      <c r="AH51" s="2">
        <v>1</v>
      </c>
      <c r="AI51" s="2">
        <v>1</v>
      </c>
      <c r="AJ51" s="2">
        <v>1</v>
      </c>
      <c r="AK51" s="2">
        <v>0</v>
      </c>
      <c r="AP51" s="2">
        <v>0</v>
      </c>
      <c r="AV51" s="2">
        <v>0</v>
      </c>
      <c r="AW51" s="2">
        <f t="shared" si="3"/>
        <v>0</v>
      </c>
      <c r="AX51" s="2">
        <f t="shared" si="4"/>
        <v>1</v>
      </c>
      <c r="AY51" s="2">
        <v>0</v>
      </c>
      <c r="AZ51" s="2">
        <v>0</v>
      </c>
      <c r="BA51" s="2">
        <v>0</v>
      </c>
      <c r="BB51" s="2" t="s">
        <v>180</v>
      </c>
    </row>
    <row r="52" spans="1:54" s="2" customFormat="1">
      <c r="A52" s="2">
        <v>69</v>
      </c>
      <c r="B52" s="5">
        <v>45447</v>
      </c>
      <c r="C52" s="5">
        <v>45457</v>
      </c>
      <c r="D52" s="2">
        <f>C52-B52</f>
        <v>10</v>
      </c>
      <c r="E52" s="2">
        <v>53</v>
      </c>
      <c r="F52" s="2">
        <v>1</v>
      </c>
      <c r="G52" s="2">
        <v>2</v>
      </c>
      <c r="H52" s="2">
        <v>0</v>
      </c>
      <c r="I52" s="2">
        <v>0</v>
      </c>
      <c r="J52" s="2">
        <v>0</v>
      </c>
      <c r="K52" s="2">
        <v>0</v>
      </c>
      <c r="L52" s="2">
        <v>0</v>
      </c>
      <c r="M52" s="2">
        <v>0</v>
      </c>
      <c r="N52" s="2">
        <v>0</v>
      </c>
      <c r="P52" t="s">
        <v>179</v>
      </c>
      <c r="Q52" s="2">
        <v>0</v>
      </c>
      <c r="R52" s="2">
        <v>1</v>
      </c>
      <c r="S52" s="5">
        <v>45447</v>
      </c>
      <c r="T52" s="5">
        <v>45447</v>
      </c>
      <c r="U52" s="28">
        <f t="shared" si="0"/>
        <v>0</v>
      </c>
      <c r="V52" s="2">
        <v>0</v>
      </c>
      <c r="W52" s="2">
        <v>0</v>
      </c>
      <c r="X52" s="2">
        <v>0</v>
      </c>
      <c r="Y52" s="2">
        <v>0</v>
      </c>
      <c r="Z52" s="2">
        <v>0</v>
      </c>
      <c r="AA52" s="2">
        <v>0</v>
      </c>
      <c r="AB52" s="2">
        <v>0</v>
      </c>
      <c r="AC52" s="2">
        <v>0</v>
      </c>
      <c r="AD52" s="2">
        <v>0</v>
      </c>
      <c r="AE52" s="2">
        <v>1</v>
      </c>
      <c r="AF52" s="2" t="s">
        <v>68</v>
      </c>
      <c r="AG52" s="2">
        <v>0</v>
      </c>
      <c r="AH52" s="2">
        <v>0</v>
      </c>
      <c r="AI52" s="2">
        <v>1</v>
      </c>
      <c r="AJ52" s="2">
        <v>1</v>
      </c>
      <c r="AK52" s="2">
        <v>0</v>
      </c>
      <c r="AP52" s="2">
        <v>0</v>
      </c>
      <c r="AV52" s="2">
        <v>0</v>
      </c>
      <c r="AW52" s="2">
        <f t="shared" si="3"/>
        <v>0</v>
      </c>
      <c r="AX52" s="2">
        <f t="shared" si="4"/>
        <v>1</v>
      </c>
      <c r="AY52" s="2">
        <v>0</v>
      </c>
      <c r="AZ52" s="2">
        <v>0</v>
      </c>
      <c r="BA52" s="2">
        <v>0</v>
      </c>
      <c r="BB52" s="2" t="s">
        <v>183</v>
      </c>
    </row>
    <row r="53" spans="1:54" s="2" customFormat="1">
      <c r="A53" s="2">
        <v>70</v>
      </c>
      <c r="B53" s="5">
        <v>45449</v>
      </c>
      <c r="C53" s="5">
        <v>45477</v>
      </c>
      <c r="D53" s="2">
        <f>C53-B53</f>
        <v>28</v>
      </c>
      <c r="E53" s="2">
        <v>73</v>
      </c>
      <c r="F53" s="2">
        <v>2</v>
      </c>
      <c r="G53" s="2">
        <v>2</v>
      </c>
      <c r="H53" s="2">
        <v>0</v>
      </c>
      <c r="I53" s="2">
        <v>0</v>
      </c>
      <c r="J53" s="2">
        <v>0</v>
      </c>
      <c r="K53" s="2">
        <v>0</v>
      </c>
      <c r="L53" s="2">
        <v>0</v>
      </c>
      <c r="M53" s="2">
        <v>0</v>
      </c>
      <c r="N53" s="2">
        <v>0</v>
      </c>
      <c r="P53" t="s">
        <v>184</v>
      </c>
      <c r="Q53" s="2">
        <v>0</v>
      </c>
      <c r="R53" s="2">
        <v>1</v>
      </c>
      <c r="S53" s="5">
        <v>45449</v>
      </c>
      <c r="T53" s="5">
        <v>45449</v>
      </c>
      <c r="U53" s="28">
        <f t="shared" si="0"/>
        <v>0</v>
      </c>
      <c r="V53" s="2">
        <v>1</v>
      </c>
      <c r="W53" s="2">
        <v>0</v>
      </c>
      <c r="X53" s="2">
        <v>0</v>
      </c>
      <c r="Y53" s="2">
        <v>0</v>
      </c>
      <c r="Z53" s="2">
        <v>0</v>
      </c>
      <c r="AA53" s="2">
        <v>0</v>
      </c>
      <c r="AB53" s="2">
        <v>0</v>
      </c>
      <c r="AC53" s="2">
        <v>0</v>
      </c>
      <c r="AD53" s="2">
        <v>1</v>
      </c>
      <c r="AE53" s="2">
        <v>1</v>
      </c>
      <c r="AF53" s="2" t="s">
        <v>91</v>
      </c>
      <c r="AG53" s="2">
        <v>0</v>
      </c>
      <c r="AH53" s="2">
        <v>0</v>
      </c>
      <c r="AI53" s="2">
        <v>1</v>
      </c>
      <c r="AJ53" s="2">
        <v>0</v>
      </c>
      <c r="AK53" s="2">
        <v>1</v>
      </c>
      <c r="AL53" s="5">
        <v>45453</v>
      </c>
      <c r="AM53" s="2">
        <v>0</v>
      </c>
      <c r="AN53" s="2">
        <v>1</v>
      </c>
      <c r="AO53" s="2">
        <f t="shared" si="2"/>
        <v>4</v>
      </c>
      <c r="AP53" s="2">
        <v>0</v>
      </c>
      <c r="AV53" s="2">
        <v>1</v>
      </c>
      <c r="AW53" s="2">
        <f t="shared" si="3"/>
        <v>0</v>
      </c>
      <c r="AX53" s="2">
        <f t="shared" si="4"/>
        <v>0</v>
      </c>
      <c r="AY53" s="2">
        <v>0</v>
      </c>
      <c r="AZ53" s="2">
        <v>0</v>
      </c>
      <c r="BA53" s="2">
        <v>0</v>
      </c>
      <c r="BB53" s="2" t="s">
        <v>185</v>
      </c>
    </row>
    <row r="54" spans="1:54" s="2" customFormat="1">
      <c r="A54" s="2">
        <v>71</v>
      </c>
      <c r="B54" s="5">
        <v>45449</v>
      </c>
      <c r="C54" s="5">
        <v>45457</v>
      </c>
      <c r="D54" s="2">
        <f>C54-B54</f>
        <v>8</v>
      </c>
      <c r="E54" s="2">
        <v>69</v>
      </c>
      <c r="F54" s="2">
        <v>1</v>
      </c>
      <c r="G54" s="2">
        <v>2</v>
      </c>
      <c r="H54" s="2">
        <v>1</v>
      </c>
      <c r="I54" s="2">
        <v>0</v>
      </c>
      <c r="J54" s="2">
        <v>0</v>
      </c>
      <c r="K54" s="2">
        <v>0</v>
      </c>
      <c r="L54" s="2">
        <v>0</v>
      </c>
      <c r="M54" s="2">
        <v>0</v>
      </c>
      <c r="N54" s="2">
        <v>1</v>
      </c>
      <c r="O54" s="2" t="s">
        <v>70</v>
      </c>
      <c r="P54" t="s">
        <v>186</v>
      </c>
      <c r="Q54" s="2">
        <v>0</v>
      </c>
      <c r="R54" s="2">
        <v>1</v>
      </c>
      <c r="S54" s="5">
        <v>45449</v>
      </c>
      <c r="T54" s="5">
        <v>45449</v>
      </c>
      <c r="U54" s="28">
        <f t="shared" si="0"/>
        <v>0</v>
      </c>
      <c r="V54" s="2">
        <v>0</v>
      </c>
      <c r="W54" s="2">
        <v>0</v>
      </c>
      <c r="X54" s="2">
        <v>0</v>
      </c>
      <c r="Y54" s="2">
        <v>0</v>
      </c>
      <c r="Z54" s="2">
        <v>0</v>
      </c>
      <c r="AA54" s="2">
        <v>0</v>
      </c>
      <c r="AB54" s="2">
        <v>0</v>
      </c>
      <c r="AC54" s="2">
        <v>0</v>
      </c>
      <c r="AD54" s="2">
        <v>0</v>
      </c>
      <c r="AE54" s="2">
        <v>1</v>
      </c>
      <c r="AF54" s="2" t="s">
        <v>187</v>
      </c>
      <c r="AG54" s="2">
        <v>0</v>
      </c>
      <c r="AH54" s="11">
        <v>1</v>
      </c>
      <c r="AI54" s="2">
        <v>0</v>
      </c>
      <c r="AJ54" s="2">
        <v>1</v>
      </c>
      <c r="AK54" s="2">
        <v>0</v>
      </c>
      <c r="AP54" s="2">
        <v>0</v>
      </c>
      <c r="AV54" s="2">
        <v>0</v>
      </c>
      <c r="AW54" s="2">
        <f t="shared" si="3"/>
        <v>0</v>
      </c>
      <c r="AX54" s="2">
        <f t="shared" si="4"/>
        <v>0</v>
      </c>
      <c r="AY54" s="2">
        <v>0</v>
      </c>
      <c r="AZ54" s="2">
        <v>0</v>
      </c>
      <c r="BA54" s="2">
        <v>0</v>
      </c>
      <c r="BB54" s="2" t="s">
        <v>188</v>
      </c>
    </row>
    <row r="55" spans="1:54" s="2" customFormat="1">
      <c r="A55" s="2">
        <v>72</v>
      </c>
      <c r="B55" s="5">
        <v>45453</v>
      </c>
      <c r="C55" s="5">
        <v>45457</v>
      </c>
      <c r="D55" s="2">
        <f>C55-B55</f>
        <v>4</v>
      </c>
      <c r="E55" s="2">
        <v>63</v>
      </c>
      <c r="F55" s="2">
        <v>2</v>
      </c>
      <c r="G55" s="2">
        <v>2</v>
      </c>
      <c r="H55" s="2">
        <v>0</v>
      </c>
      <c r="I55" s="2">
        <v>0</v>
      </c>
      <c r="J55" s="2">
        <v>0</v>
      </c>
      <c r="K55" s="2">
        <v>0</v>
      </c>
      <c r="L55" s="2">
        <v>0</v>
      </c>
      <c r="M55" s="2">
        <v>0</v>
      </c>
      <c r="N55" s="2">
        <v>0</v>
      </c>
      <c r="P55" t="s">
        <v>179</v>
      </c>
      <c r="Q55" s="2">
        <v>0</v>
      </c>
      <c r="R55" s="2">
        <v>1</v>
      </c>
      <c r="S55" s="5">
        <v>45453</v>
      </c>
      <c r="T55" s="5">
        <v>45453</v>
      </c>
      <c r="U55" s="28">
        <f t="shared" si="0"/>
        <v>0</v>
      </c>
      <c r="V55" s="2">
        <v>0</v>
      </c>
      <c r="W55" s="2">
        <v>0</v>
      </c>
      <c r="X55" s="2">
        <v>0</v>
      </c>
      <c r="Y55" s="2">
        <v>0</v>
      </c>
      <c r="Z55" s="2">
        <v>0</v>
      </c>
      <c r="AA55" s="2">
        <v>0</v>
      </c>
      <c r="AB55" s="2">
        <v>0</v>
      </c>
      <c r="AC55" s="2">
        <v>0</v>
      </c>
      <c r="AD55" s="2">
        <v>0</v>
      </c>
      <c r="AE55" s="2">
        <v>1</v>
      </c>
      <c r="AF55" s="2" t="s">
        <v>68</v>
      </c>
      <c r="AG55" s="2">
        <v>0</v>
      </c>
      <c r="AH55" s="2">
        <v>0</v>
      </c>
      <c r="AI55" s="2">
        <v>1</v>
      </c>
      <c r="AJ55" s="2">
        <v>1</v>
      </c>
      <c r="AK55" s="2">
        <v>0</v>
      </c>
      <c r="AP55" s="2">
        <v>0</v>
      </c>
      <c r="AV55" s="2">
        <v>0</v>
      </c>
      <c r="AW55" s="2">
        <f t="shared" si="3"/>
        <v>0</v>
      </c>
      <c r="AX55" s="2">
        <f t="shared" si="4"/>
        <v>1</v>
      </c>
      <c r="AY55" s="2">
        <v>0</v>
      </c>
      <c r="AZ55" s="2">
        <v>0</v>
      </c>
      <c r="BA55" s="2">
        <v>0</v>
      </c>
      <c r="BB55" s="2" t="s">
        <v>189</v>
      </c>
    </row>
    <row r="56" spans="1:54" s="2" customFormat="1">
      <c r="A56" s="2">
        <v>73</v>
      </c>
      <c r="B56" s="5">
        <v>45454</v>
      </c>
      <c r="C56" s="5">
        <v>45464</v>
      </c>
      <c r="D56" s="2">
        <f t="shared" ref="D56:D114" si="6">C56-B56</f>
        <v>10</v>
      </c>
      <c r="E56" s="2">
        <v>76</v>
      </c>
      <c r="F56" s="2">
        <v>2</v>
      </c>
      <c r="G56" s="2">
        <v>2</v>
      </c>
      <c r="H56" s="2">
        <v>0</v>
      </c>
      <c r="I56" s="2">
        <v>0</v>
      </c>
      <c r="J56" s="2">
        <v>0</v>
      </c>
      <c r="K56" s="2">
        <v>0</v>
      </c>
      <c r="L56" s="2">
        <v>0</v>
      </c>
      <c r="M56" s="2">
        <v>0</v>
      </c>
      <c r="N56" s="2">
        <v>0</v>
      </c>
      <c r="P56" t="s">
        <v>179</v>
      </c>
      <c r="Q56" s="2">
        <v>0</v>
      </c>
      <c r="R56" s="2">
        <v>1</v>
      </c>
      <c r="S56" s="5">
        <v>45454</v>
      </c>
      <c r="T56" s="5">
        <v>45454</v>
      </c>
      <c r="U56" s="28">
        <f t="shared" si="0"/>
        <v>0</v>
      </c>
      <c r="V56" s="2">
        <v>0</v>
      </c>
      <c r="W56" s="2">
        <v>0</v>
      </c>
      <c r="X56" s="2">
        <v>0</v>
      </c>
      <c r="Y56" s="2">
        <v>0</v>
      </c>
      <c r="Z56" s="2">
        <v>0</v>
      </c>
      <c r="AA56" s="2">
        <v>0</v>
      </c>
      <c r="AB56" s="2">
        <v>0</v>
      </c>
      <c r="AC56" s="2">
        <v>0</v>
      </c>
      <c r="AD56" s="2">
        <v>0</v>
      </c>
      <c r="AE56" s="2">
        <v>1</v>
      </c>
      <c r="AF56" s="2" t="s">
        <v>190</v>
      </c>
      <c r="AG56" s="2">
        <v>0</v>
      </c>
      <c r="AH56" s="2">
        <v>0</v>
      </c>
      <c r="AI56" s="2">
        <v>1</v>
      </c>
      <c r="AJ56" s="2">
        <v>1</v>
      </c>
      <c r="AK56" s="11">
        <v>1</v>
      </c>
      <c r="AL56" s="5">
        <v>45455</v>
      </c>
      <c r="AM56" s="2">
        <v>0</v>
      </c>
      <c r="AN56" s="2">
        <v>0</v>
      </c>
      <c r="AO56" s="2">
        <f t="shared" si="2"/>
        <v>1</v>
      </c>
      <c r="AP56" s="2">
        <v>0</v>
      </c>
      <c r="AV56" s="2">
        <v>0</v>
      </c>
      <c r="AW56" s="2">
        <f t="shared" si="3"/>
        <v>0</v>
      </c>
      <c r="AX56" s="2">
        <f t="shared" si="4"/>
        <v>1</v>
      </c>
      <c r="AY56" s="2">
        <v>0</v>
      </c>
      <c r="AZ56" s="2">
        <v>0</v>
      </c>
      <c r="BA56" s="2">
        <v>0</v>
      </c>
      <c r="BB56" s="2" t="s">
        <v>191</v>
      </c>
    </row>
    <row r="57" spans="1:54" s="2" customFormat="1">
      <c r="A57" s="2">
        <v>74</v>
      </c>
      <c r="B57" s="5">
        <v>45454</v>
      </c>
      <c r="C57" s="5">
        <v>45463</v>
      </c>
      <c r="D57" s="2">
        <f t="shared" si="6"/>
        <v>9</v>
      </c>
      <c r="E57" s="2">
        <v>80</v>
      </c>
      <c r="F57" s="2">
        <v>1</v>
      </c>
      <c r="G57" s="2">
        <v>3</v>
      </c>
      <c r="H57" s="2">
        <v>1</v>
      </c>
      <c r="I57" s="2">
        <v>0</v>
      </c>
      <c r="J57" s="2">
        <v>0</v>
      </c>
      <c r="K57" s="2">
        <v>0</v>
      </c>
      <c r="L57" s="2">
        <v>1</v>
      </c>
      <c r="M57" s="2">
        <v>0</v>
      </c>
      <c r="N57" s="2">
        <v>1</v>
      </c>
      <c r="O57" s="2" t="s">
        <v>192</v>
      </c>
      <c r="P57" t="s">
        <v>186</v>
      </c>
      <c r="Q57" s="2">
        <v>0</v>
      </c>
      <c r="R57" s="2">
        <v>1</v>
      </c>
      <c r="S57" s="5">
        <v>45454</v>
      </c>
      <c r="T57" s="5">
        <v>45454</v>
      </c>
      <c r="U57" s="28">
        <f t="shared" si="0"/>
        <v>0</v>
      </c>
      <c r="V57" s="2">
        <v>1</v>
      </c>
      <c r="W57" s="2">
        <v>0</v>
      </c>
      <c r="X57" s="2">
        <v>0</v>
      </c>
      <c r="Y57" s="2">
        <v>1</v>
      </c>
      <c r="Z57" s="2">
        <v>0</v>
      </c>
      <c r="AA57" s="2">
        <v>0</v>
      </c>
      <c r="AB57" s="2">
        <v>0</v>
      </c>
      <c r="AC57" s="2">
        <v>0</v>
      </c>
      <c r="AD57" s="2">
        <v>0</v>
      </c>
      <c r="AE57" s="2">
        <v>1</v>
      </c>
      <c r="AF57" s="2" t="s">
        <v>91</v>
      </c>
      <c r="AG57" s="2">
        <v>0</v>
      </c>
      <c r="AH57" s="2">
        <v>0</v>
      </c>
      <c r="AI57" s="2">
        <v>1</v>
      </c>
      <c r="AJ57" s="2">
        <v>1</v>
      </c>
      <c r="AK57" s="2">
        <v>1</v>
      </c>
      <c r="AL57" s="5">
        <v>45457</v>
      </c>
      <c r="AM57" s="2">
        <v>0</v>
      </c>
      <c r="AN57" s="2">
        <v>1</v>
      </c>
      <c r="AO57" s="2">
        <f t="shared" si="2"/>
        <v>3</v>
      </c>
      <c r="AP57" s="2">
        <v>0</v>
      </c>
      <c r="AV57" s="2">
        <v>0</v>
      </c>
      <c r="AW57" s="2">
        <f t="shared" si="3"/>
        <v>0</v>
      </c>
      <c r="AX57" s="2">
        <f t="shared" si="4"/>
        <v>1</v>
      </c>
      <c r="AY57" s="2">
        <v>0</v>
      </c>
      <c r="AZ57" s="2">
        <v>0</v>
      </c>
      <c r="BA57" s="2">
        <v>0</v>
      </c>
      <c r="BB57" s="2" t="s">
        <v>193</v>
      </c>
    </row>
    <row r="58" spans="1:54" s="2" customFormat="1">
      <c r="A58" s="2">
        <v>75</v>
      </c>
      <c r="B58" s="5">
        <v>45455</v>
      </c>
      <c r="C58" s="5">
        <v>45463</v>
      </c>
      <c r="D58" s="2">
        <f t="shared" si="6"/>
        <v>8</v>
      </c>
      <c r="E58" s="2">
        <v>81</v>
      </c>
      <c r="F58" s="2">
        <v>1</v>
      </c>
      <c r="G58" s="2">
        <v>3</v>
      </c>
      <c r="H58" s="2">
        <v>0</v>
      </c>
      <c r="I58" s="2">
        <v>0</v>
      </c>
      <c r="J58" s="2">
        <v>0</v>
      </c>
      <c r="K58" s="2">
        <v>0</v>
      </c>
      <c r="L58" s="2">
        <v>0</v>
      </c>
      <c r="M58" s="2">
        <v>0</v>
      </c>
      <c r="N58" s="2">
        <v>0</v>
      </c>
      <c r="P58" t="s">
        <v>179</v>
      </c>
      <c r="Q58" s="2">
        <v>0</v>
      </c>
      <c r="R58" s="2">
        <v>1</v>
      </c>
      <c r="S58" s="5">
        <v>45455</v>
      </c>
      <c r="T58" s="5">
        <v>45455</v>
      </c>
      <c r="U58" s="28">
        <f t="shared" si="0"/>
        <v>0</v>
      </c>
      <c r="V58" s="2">
        <v>0</v>
      </c>
      <c r="W58" s="2">
        <v>0</v>
      </c>
      <c r="X58" s="2">
        <v>0</v>
      </c>
      <c r="Y58" s="2">
        <v>0</v>
      </c>
      <c r="Z58" s="2">
        <v>0</v>
      </c>
      <c r="AA58" s="2">
        <v>0</v>
      </c>
      <c r="AB58" s="2">
        <v>0</v>
      </c>
      <c r="AC58" s="2">
        <v>0</v>
      </c>
      <c r="AD58" s="2">
        <v>0</v>
      </c>
      <c r="AE58" s="2">
        <v>1</v>
      </c>
      <c r="AF58" s="2" t="s">
        <v>68</v>
      </c>
      <c r="AG58" s="2">
        <v>0</v>
      </c>
      <c r="AH58" s="2">
        <v>0</v>
      </c>
      <c r="AI58" s="2">
        <v>1</v>
      </c>
      <c r="AJ58" s="2">
        <v>1</v>
      </c>
      <c r="AK58" s="11">
        <v>1</v>
      </c>
      <c r="AL58" s="5">
        <v>45456</v>
      </c>
      <c r="AM58" s="2">
        <v>0</v>
      </c>
      <c r="AN58" s="2">
        <v>0</v>
      </c>
      <c r="AO58" s="2">
        <f t="shared" si="2"/>
        <v>1</v>
      </c>
      <c r="AP58" s="2">
        <v>0</v>
      </c>
      <c r="AV58" s="2">
        <v>1</v>
      </c>
      <c r="AW58" s="2">
        <f t="shared" si="3"/>
        <v>0</v>
      </c>
      <c r="AX58" s="2">
        <f t="shared" si="4"/>
        <v>1</v>
      </c>
      <c r="AY58" s="2">
        <v>0</v>
      </c>
      <c r="AZ58" s="2">
        <v>0</v>
      </c>
      <c r="BA58" s="2">
        <v>0</v>
      </c>
      <c r="BB58" s="2" t="s">
        <v>194</v>
      </c>
    </row>
    <row r="59" spans="1:54" s="2" customFormat="1">
      <c r="A59" s="2">
        <v>78</v>
      </c>
      <c r="B59" s="5">
        <v>45463</v>
      </c>
      <c r="C59" s="5">
        <v>45466</v>
      </c>
      <c r="D59" s="2">
        <f t="shared" si="6"/>
        <v>3</v>
      </c>
      <c r="E59" s="2">
        <v>77</v>
      </c>
      <c r="F59" s="2">
        <v>2</v>
      </c>
      <c r="G59" s="2">
        <v>3</v>
      </c>
      <c r="H59" s="2">
        <v>0</v>
      </c>
      <c r="I59" s="2">
        <v>0</v>
      </c>
      <c r="J59" s="2">
        <v>0</v>
      </c>
      <c r="K59" s="2">
        <v>0</v>
      </c>
      <c r="L59" s="2">
        <v>0</v>
      </c>
      <c r="M59" s="2">
        <v>0</v>
      </c>
      <c r="N59" s="2">
        <v>0</v>
      </c>
      <c r="P59" t="s">
        <v>179</v>
      </c>
      <c r="Q59" s="2">
        <v>0</v>
      </c>
      <c r="R59" s="2">
        <v>1</v>
      </c>
      <c r="S59" s="5">
        <v>45463</v>
      </c>
      <c r="T59" s="5">
        <v>45463</v>
      </c>
      <c r="U59" s="28">
        <f t="shared" si="0"/>
        <v>0</v>
      </c>
      <c r="V59" s="2">
        <v>0</v>
      </c>
      <c r="W59" s="2">
        <v>0</v>
      </c>
      <c r="X59" s="2">
        <v>0</v>
      </c>
      <c r="Y59" s="2">
        <v>0</v>
      </c>
      <c r="Z59" s="2">
        <v>0</v>
      </c>
      <c r="AA59" s="2">
        <v>0</v>
      </c>
      <c r="AB59" s="2">
        <v>0</v>
      </c>
      <c r="AC59" s="2">
        <v>0</v>
      </c>
      <c r="AD59" s="2">
        <v>0</v>
      </c>
      <c r="AE59" s="2">
        <v>0</v>
      </c>
      <c r="AG59" s="2">
        <v>0</v>
      </c>
      <c r="AH59" s="2">
        <v>1</v>
      </c>
      <c r="AI59" s="2">
        <v>1</v>
      </c>
      <c r="AJ59" s="2">
        <v>1</v>
      </c>
      <c r="AK59" s="2">
        <v>0</v>
      </c>
      <c r="AP59" s="2">
        <v>0</v>
      </c>
      <c r="AV59" s="2">
        <v>0</v>
      </c>
      <c r="AW59" s="2">
        <f t="shared" si="3"/>
        <v>0</v>
      </c>
      <c r="AX59" s="2">
        <f t="shared" si="4"/>
        <v>1</v>
      </c>
      <c r="AY59" s="2">
        <v>0</v>
      </c>
      <c r="AZ59" s="2">
        <v>0</v>
      </c>
      <c r="BA59" s="2">
        <v>0</v>
      </c>
      <c r="BB59" s="2" t="s">
        <v>200</v>
      </c>
    </row>
    <row r="60" spans="1:54" s="2" customFormat="1">
      <c r="A60" s="8">
        <v>79</v>
      </c>
      <c r="B60" s="5">
        <v>45464</v>
      </c>
      <c r="C60" s="6">
        <v>45470</v>
      </c>
      <c r="D60" s="2">
        <f t="shared" si="6"/>
        <v>6</v>
      </c>
      <c r="E60" s="2">
        <v>58</v>
      </c>
      <c r="F60" s="2">
        <v>2</v>
      </c>
      <c r="G60" s="2">
        <v>2</v>
      </c>
      <c r="H60" s="2">
        <v>0</v>
      </c>
      <c r="I60" s="2">
        <v>0</v>
      </c>
      <c r="J60" s="2">
        <v>0</v>
      </c>
      <c r="K60" s="2">
        <v>0</v>
      </c>
      <c r="L60" s="2">
        <v>0</v>
      </c>
      <c r="M60" s="2">
        <v>0</v>
      </c>
      <c r="N60" s="2">
        <v>1</v>
      </c>
      <c r="O60" s="2" t="s">
        <v>201</v>
      </c>
      <c r="P60" t="s">
        <v>179</v>
      </c>
      <c r="Q60" s="2">
        <v>0</v>
      </c>
      <c r="R60" s="2">
        <v>1</v>
      </c>
      <c r="S60" s="5">
        <v>45464</v>
      </c>
      <c r="T60" s="5">
        <v>45464</v>
      </c>
      <c r="U60" s="28">
        <f t="shared" si="0"/>
        <v>0</v>
      </c>
      <c r="V60" s="2">
        <v>0</v>
      </c>
      <c r="W60" s="2">
        <v>0</v>
      </c>
      <c r="X60" s="2">
        <v>0</v>
      </c>
      <c r="Y60" s="2">
        <v>0</v>
      </c>
      <c r="Z60" s="2">
        <v>0</v>
      </c>
      <c r="AA60" s="2">
        <v>0</v>
      </c>
      <c r="AB60" s="2">
        <v>0</v>
      </c>
      <c r="AC60" s="2">
        <v>0</v>
      </c>
      <c r="AD60" s="2">
        <v>0</v>
      </c>
      <c r="AE60" s="11">
        <v>1</v>
      </c>
      <c r="AF60" s="2" t="s">
        <v>117</v>
      </c>
      <c r="AG60" s="2">
        <v>0</v>
      </c>
      <c r="AH60" s="2">
        <v>0</v>
      </c>
      <c r="AI60" s="2">
        <v>1</v>
      </c>
      <c r="AJ60" s="2">
        <v>0</v>
      </c>
      <c r="AK60" s="2">
        <v>1</v>
      </c>
      <c r="AL60" s="5">
        <v>45467</v>
      </c>
      <c r="AM60" s="2">
        <v>0</v>
      </c>
      <c r="AN60" s="2">
        <v>0</v>
      </c>
      <c r="AO60" s="2">
        <f t="shared" si="2"/>
        <v>3</v>
      </c>
      <c r="AP60" s="2">
        <v>0</v>
      </c>
      <c r="AV60" s="2">
        <v>0</v>
      </c>
      <c r="AW60" s="2">
        <f t="shared" si="3"/>
        <v>0</v>
      </c>
      <c r="AX60" s="2">
        <f t="shared" si="4"/>
        <v>0</v>
      </c>
      <c r="AY60" s="2">
        <v>0</v>
      </c>
      <c r="AZ60" s="2">
        <v>0</v>
      </c>
      <c r="BA60" s="2">
        <v>0</v>
      </c>
      <c r="BB60" s="2" t="s">
        <v>202</v>
      </c>
    </row>
    <row r="61" spans="1:54" s="2" customFormat="1">
      <c r="A61" s="2">
        <v>80</v>
      </c>
      <c r="B61" s="5">
        <v>45471</v>
      </c>
      <c r="C61" s="5">
        <v>45485</v>
      </c>
      <c r="D61" s="2">
        <f t="shared" si="6"/>
        <v>14</v>
      </c>
      <c r="E61" s="2">
        <v>68</v>
      </c>
      <c r="F61" s="2">
        <v>2</v>
      </c>
      <c r="G61" s="2">
        <v>2</v>
      </c>
      <c r="H61" s="2">
        <v>1</v>
      </c>
      <c r="I61" s="2">
        <v>0</v>
      </c>
      <c r="J61" s="2">
        <v>0</v>
      </c>
      <c r="K61" s="2">
        <v>0</v>
      </c>
      <c r="L61" s="2">
        <v>0</v>
      </c>
      <c r="M61" s="2">
        <v>0</v>
      </c>
      <c r="N61" s="2">
        <v>1</v>
      </c>
      <c r="O61" s="2" t="s">
        <v>70</v>
      </c>
      <c r="P61" t="s">
        <v>179</v>
      </c>
      <c r="Q61" s="2">
        <v>0</v>
      </c>
      <c r="R61" s="2">
        <v>1</v>
      </c>
      <c r="S61" s="5">
        <v>45471</v>
      </c>
      <c r="T61" s="5">
        <v>45471</v>
      </c>
      <c r="U61" s="28">
        <f t="shared" si="0"/>
        <v>0</v>
      </c>
      <c r="V61" s="2">
        <v>0</v>
      </c>
      <c r="W61" s="2">
        <v>0</v>
      </c>
      <c r="X61" s="2">
        <v>0</v>
      </c>
      <c r="Y61" s="2">
        <v>0</v>
      </c>
      <c r="Z61" s="2">
        <v>0</v>
      </c>
      <c r="AA61" s="2">
        <v>0</v>
      </c>
      <c r="AB61" s="2">
        <v>0</v>
      </c>
      <c r="AC61" s="2">
        <v>0</v>
      </c>
      <c r="AD61" s="2">
        <v>0</v>
      </c>
      <c r="AE61" s="2">
        <v>1</v>
      </c>
      <c r="AF61" s="2" t="s">
        <v>55</v>
      </c>
      <c r="AG61" s="2">
        <v>0</v>
      </c>
      <c r="AH61" s="2">
        <v>0</v>
      </c>
      <c r="AI61" s="2">
        <v>1</v>
      </c>
      <c r="AJ61" s="2">
        <v>1</v>
      </c>
      <c r="AK61" s="11">
        <v>1</v>
      </c>
      <c r="AL61" s="5">
        <v>45476</v>
      </c>
      <c r="AM61" s="2">
        <v>0</v>
      </c>
      <c r="AN61" s="2">
        <v>1</v>
      </c>
      <c r="AO61" s="2">
        <f t="shared" si="2"/>
        <v>5</v>
      </c>
      <c r="AP61" s="2">
        <v>0</v>
      </c>
      <c r="AV61" s="2">
        <v>0</v>
      </c>
      <c r="AW61" s="2">
        <f t="shared" si="3"/>
        <v>0</v>
      </c>
      <c r="AX61" s="2">
        <f t="shared" si="4"/>
        <v>1</v>
      </c>
      <c r="AY61" s="2">
        <v>0</v>
      </c>
      <c r="AZ61" s="2">
        <v>0</v>
      </c>
      <c r="BA61" s="2">
        <v>0</v>
      </c>
      <c r="BB61" s="2" t="s">
        <v>205</v>
      </c>
    </row>
    <row r="62" spans="1:54" s="2" customFormat="1">
      <c r="A62" s="2">
        <v>81</v>
      </c>
      <c r="B62" s="5">
        <v>45414</v>
      </c>
      <c r="C62" s="5">
        <v>45421</v>
      </c>
      <c r="D62" s="2">
        <f t="shared" si="6"/>
        <v>7</v>
      </c>
      <c r="E62" s="2">
        <v>84</v>
      </c>
      <c r="F62" s="2">
        <v>1</v>
      </c>
      <c r="G62" s="2">
        <v>3</v>
      </c>
      <c r="H62" s="2">
        <v>0</v>
      </c>
      <c r="I62" s="2">
        <v>0</v>
      </c>
      <c r="J62" s="2">
        <v>0</v>
      </c>
      <c r="K62" s="2">
        <v>0</v>
      </c>
      <c r="L62" s="2">
        <v>0</v>
      </c>
      <c r="M62" s="2">
        <v>0</v>
      </c>
      <c r="N62" s="2">
        <v>0</v>
      </c>
      <c r="P62" t="s">
        <v>179</v>
      </c>
      <c r="Q62" s="2">
        <v>0</v>
      </c>
      <c r="R62" s="2">
        <v>1</v>
      </c>
      <c r="S62" s="5">
        <v>45414</v>
      </c>
      <c r="T62" s="5">
        <v>45414</v>
      </c>
      <c r="U62" s="28">
        <f t="shared" si="0"/>
        <v>0</v>
      </c>
      <c r="V62" s="2">
        <v>0</v>
      </c>
      <c r="W62" s="2">
        <v>0</v>
      </c>
      <c r="X62" s="2">
        <v>0</v>
      </c>
      <c r="Y62" s="2">
        <v>0</v>
      </c>
      <c r="Z62" s="2">
        <v>0</v>
      </c>
      <c r="AA62" s="2">
        <v>0</v>
      </c>
      <c r="AB62" s="2">
        <v>0</v>
      </c>
      <c r="AC62" s="2">
        <v>0</v>
      </c>
      <c r="AD62" s="2">
        <v>0</v>
      </c>
      <c r="AE62" s="2">
        <v>1</v>
      </c>
      <c r="AF62" s="2" t="s">
        <v>68</v>
      </c>
      <c r="AG62" s="2">
        <v>0</v>
      </c>
      <c r="AH62" s="2">
        <v>0</v>
      </c>
      <c r="AI62" s="2">
        <v>1</v>
      </c>
      <c r="AJ62" s="2">
        <v>1</v>
      </c>
      <c r="AK62" s="2">
        <v>0</v>
      </c>
      <c r="AP62" s="2">
        <v>0</v>
      </c>
      <c r="AV62" s="2">
        <v>0</v>
      </c>
      <c r="AW62" s="2">
        <f t="shared" si="3"/>
        <v>0</v>
      </c>
      <c r="AX62" s="2">
        <f t="shared" si="4"/>
        <v>1</v>
      </c>
      <c r="AY62" s="2">
        <v>0</v>
      </c>
      <c r="AZ62" s="2">
        <v>0</v>
      </c>
      <c r="BA62" s="2">
        <v>0</v>
      </c>
      <c r="BB62" s="2" t="s">
        <v>206</v>
      </c>
    </row>
    <row r="63" spans="1:54" s="2" customFormat="1">
      <c r="A63" s="2">
        <v>82</v>
      </c>
      <c r="B63" s="5">
        <v>45411</v>
      </c>
      <c r="C63" s="5">
        <v>45432</v>
      </c>
      <c r="D63" s="2">
        <f t="shared" si="6"/>
        <v>21</v>
      </c>
      <c r="E63" s="2">
        <v>72</v>
      </c>
      <c r="F63" s="2">
        <v>2</v>
      </c>
      <c r="G63" s="2">
        <v>2</v>
      </c>
      <c r="H63" s="2">
        <v>0</v>
      </c>
      <c r="I63" s="2">
        <v>0</v>
      </c>
      <c r="J63" s="2">
        <v>0</v>
      </c>
      <c r="K63" s="2">
        <v>0</v>
      </c>
      <c r="L63" s="2">
        <v>0</v>
      </c>
      <c r="M63" s="2">
        <v>0</v>
      </c>
      <c r="N63" s="2">
        <v>0</v>
      </c>
      <c r="P63" t="s">
        <v>179</v>
      </c>
      <c r="Q63" s="2">
        <v>0</v>
      </c>
      <c r="R63" s="2">
        <v>1</v>
      </c>
      <c r="S63" s="5">
        <v>45417</v>
      </c>
      <c r="T63" s="5">
        <v>45417</v>
      </c>
      <c r="U63" s="28">
        <f t="shared" si="0"/>
        <v>0</v>
      </c>
      <c r="V63" s="2">
        <v>0</v>
      </c>
      <c r="W63" s="2">
        <v>0</v>
      </c>
      <c r="X63" s="2">
        <v>0</v>
      </c>
      <c r="Y63" s="2">
        <v>0</v>
      </c>
      <c r="Z63" s="2">
        <v>0</v>
      </c>
      <c r="AA63" s="2">
        <v>0</v>
      </c>
      <c r="AB63" s="2">
        <v>0</v>
      </c>
      <c r="AC63" s="2">
        <v>0</v>
      </c>
      <c r="AD63" s="2">
        <v>0</v>
      </c>
      <c r="AE63" s="2">
        <v>1</v>
      </c>
      <c r="AF63" s="2" t="s">
        <v>91</v>
      </c>
      <c r="AG63" s="2">
        <v>0</v>
      </c>
      <c r="AH63" s="2">
        <v>1</v>
      </c>
      <c r="AI63" s="2">
        <v>1</v>
      </c>
      <c r="AJ63" s="2">
        <v>1</v>
      </c>
      <c r="AK63" s="11">
        <v>1</v>
      </c>
      <c r="AL63" s="5">
        <v>45419</v>
      </c>
      <c r="AM63" s="2">
        <v>0</v>
      </c>
      <c r="AN63" s="2">
        <v>1</v>
      </c>
      <c r="AO63" s="2">
        <f t="shared" si="2"/>
        <v>2</v>
      </c>
      <c r="AP63" s="2">
        <v>0</v>
      </c>
      <c r="AV63" s="2">
        <v>0</v>
      </c>
      <c r="AW63" s="2">
        <f t="shared" si="3"/>
        <v>0</v>
      </c>
      <c r="AX63" s="2">
        <f t="shared" si="4"/>
        <v>1</v>
      </c>
      <c r="AY63" s="2">
        <v>0</v>
      </c>
      <c r="AZ63" s="2">
        <v>0</v>
      </c>
      <c r="BA63" s="2">
        <v>0</v>
      </c>
      <c r="BB63" s="2" t="s">
        <v>207</v>
      </c>
    </row>
    <row r="64" spans="1:54" s="2" customFormat="1">
      <c r="A64" s="2">
        <v>83</v>
      </c>
      <c r="B64" s="5">
        <v>45418</v>
      </c>
      <c r="C64" s="5">
        <v>45421</v>
      </c>
      <c r="D64" s="2">
        <f t="shared" si="6"/>
        <v>3</v>
      </c>
      <c r="E64" s="2">
        <v>72</v>
      </c>
      <c r="F64" s="2">
        <v>2</v>
      </c>
      <c r="G64" s="2">
        <v>5</v>
      </c>
      <c r="H64" s="2">
        <v>0</v>
      </c>
      <c r="I64" s="2">
        <v>0</v>
      </c>
      <c r="J64" s="2">
        <v>0</v>
      </c>
      <c r="K64" s="2">
        <v>0</v>
      </c>
      <c r="L64" s="2">
        <v>0</v>
      </c>
      <c r="M64" s="2">
        <v>0</v>
      </c>
      <c r="N64" s="2">
        <v>0</v>
      </c>
      <c r="P64" t="s">
        <v>179</v>
      </c>
      <c r="Q64" s="2">
        <v>0</v>
      </c>
      <c r="R64" s="2">
        <v>1</v>
      </c>
      <c r="S64" s="5">
        <v>45418</v>
      </c>
      <c r="T64" s="5">
        <v>45418</v>
      </c>
      <c r="U64" s="28">
        <f t="shared" si="0"/>
        <v>0</v>
      </c>
      <c r="V64" s="2">
        <v>0</v>
      </c>
      <c r="W64" s="2">
        <v>0</v>
      </c>
      <c r="X64" s="2">
        <v>0</v>
      </c>
      <c r="Y64" s="2">
        <v>0</v>
      </c>
      <c r="Z64" s="2">
        <v>0</v>
      </c>
      <c r="AA64" s="2">
        <v>0</v>
      </c>
      <c r="AB64" s="2">
        <v>0</v>
      </c>
      <c r="AC64" s="2">
        <v>0</v>
      </c>
      <c r="AD64" s="2">
        <v>0</v>
      </c>
      <c r="AE64" s="2">
        <v>1</v>
      </c>
      <c r="AF64" s="2" t="s">
        <v>91</v>
      </c>
      <c r="AG64" s="2">
        <v>0</v>
      </c>
      <c r="AH64" s="2">
        <v>0</v>
      </c>
      <c r="AI64" s="2">
        <v>1</v>
      </c>
      <c r="AJ64" s="2">
        <v>1</v>
      </c>
      <c r="AK64" s="2">
        <v>0</v>
      </c>
      <c r="AP64" s="2">
        <v>0</v>
      </c>
      <c r="AV64" s="2">
        <v>0</v>
      </c>
      <c r="AW64" s="2">
        <f t="shared" si="3"/>
        <v>0</v>
      </c>
      <c r="AX64" s="2">
        <f t="shared" si="4"/>
        <v>1</v>
      </c>
      <c r="AY64" s="2">
        <v>0</v>
      </c>
      <c r="AZ64" s="2">
        <v>0</v>
      </c>
      <c r="BA64" s="2">
        <v>0</v>
      </c>
      <c r="BB64" s="2" t="s">
        <v>206</v>
      </c>
    </row>
    <row r="65" spans="1:54" s="2" customFormat="1">
      <c r="A65" s="2">
        <v>84</v>
      </c>
      <c r="B65" s="5">
        <v>45418</v>
      </c>
      <c r="C65" s="5">
        <v>45422</v>
      </c>
      <c r="D65" s="2">
        <f t="shared" si="6"/>
        <v>4</v>
      </c>
      <c r="E65" s="2">
        <v>42</v>
      </c>
      <c r="F65" s="2">
        <v>1</v>
      </c>
      <c r="G65" s="2">
        <v>2</v>
      </c>
      <c r="H65" s="2">
        <v>0</v>
      </c>
      <c r="I65" s="2">
        <v>0</v>
      </c>
      <c r="J65" s="2">
        <v>0</v>
      </c>
      <c r="K65" s="2">
        <v>0</v>
      </c>
      <c r="L65" s="2">
        <v>0</v>
      </c>
      <c r="M65" s="2">
        <v>0</v>
      </c>
      <c r="N65" s="2">
        <v>0</v>
      </c>
      <c r="P65" t="s">
        <v>179</v>
      </c>
      <c r="Q65" s="2">
        <v>0</v>
      </c>
      <c r="R65" s="2">
        <v>1</v>
      </c>
      <c r="S65" s="5">
        <v>45418</v>
      </c>
      <c r="T65" s="5">
        <v>45418</v>
      </c>
      <c r="U65" s="28">
        <f t="shared" si="0"/>
        <v>0</v>
      </c>
      <c r="V65" s="2">
        <v>0</v>
      </c>
      <c r="W65" s="2">
        <v>0</v>
      </c>
      <c r="X65" s="2">
        <v>0</v>
      </c>
      <c r="Y65" s="2">
        <v>0</v>
      </c>
      <c r="Z65" s="2">
        <v>0</v>
      </c>
      <c r="AA65" s="2">
        <v>0</v>
      </c>
      <c r="AB65" s="2">
        <v>0</v>
      </c>
      <c r="AC65" s="2">
        <v>0</v>
      </c>
      <c r="AD65" s="2">
        <v>0</v>
      </c>
      <c r="AE65" s="2">
        <v>1</v>
      </c>
      <c r="AF65" s="2" t="s">
        <v>68</v>
      </c>
      <c r="AG65" s="2">
        <v>0</v>
      </c>
      <c r="AH65" s="2">
        <v>0</v>
      </c>
      <c r="AI65" s="2">
        <v>1</v>
      </c>
      <c r="AJ65" s="2">
        <v>1</v>
      </c>
      <c r="AK65" s="2">
        <v>0</v>
      </c>
      <c r="AP65" s="2">
        <v>0</v>
      </c>
      <c r="AV65" s="2">
        <v>0</v>
      </c>
      <c r="AW65" s="2">
        <f t="shared" si="3"/>
        <v>0</v>
      </c>
      <c r="AX65" s="2">
        <f t="shared" si="4"/>
        <v>1</v>
      </c>
      <c r="AY65" s="2">
        <v>0</v>
      </c>
      <c r="AZ65" s="2">
        <v>0</v>
      </c>
      <c r="BA65" s="2">
        <v>0</v>
      </c>
      <c r="BB65" s="2" t="s">
        <v>206</v>
      </c>
    </row>
    <row r="66" spans="1:54" s="2" customFormat="1">
      <c r="A66" s="2">
        <v>85</v>
      </c>
      <c r="B66" s="5">
        <v>45419</v>
      </c>
      <c r="C66" s="5">
        <v>45436</v>
      </c>
      <c r="D66" s="2">
        <f t="shared" si="6"/>
        <v>17</v>
      </c>
      <c r="E66" s="2">
        <v>57</v>
      </c>
      <c r="F66" s="2">
        <v>1</v>
      </c>
      <c r="G66" s="2">
        <v>2</v>
      </c>
      <c r="H66" s="2">
        <v>0</v>
      </c>
      <c r="I66" s="2">
        <v>0</v>
      </c>
      <c r="J66" s="2">
        <v>0</v>
      </c>
      <c r="K66" s="2">
        <v>0</v>
      </c>
      <c r="L66" s="2">
        <v>0</v>
      </c>
      <c r="M66" s="2">
        <v>0</v>
      </c>
      <c r="N66" s="2">
        <v>0</v>
      </c>
      <c r="P66" t="s">
        <v>208</v>
      </c>
      <c r="Q66" s="2">
        <v>0</v>
      </c>
      <c r="R66" s="2">
        <v>1</v>
      </c>
      <c r="S66" s="5">
        <v>45419</v>
      </c>
      <c r="T66" s="5">
        <v>45419</v>
      </c>
      <c r="U66" s="28">
        <f t="shared" ref="U66:U114" si="7">T66-S66</f>
        <v>0</v>
      </c>
      <c r="V66" s="2">
        <v>0</v>
      </c>
      <c r="W66" s="2">
        <v>0</v>
      </c>
      <c r="X66" s="2">
        <v>0</v>
      </c>
      <c r="Y66" s="2">
        <v>0</v>
      </c>
      <c r="Z66" s="2">
        <v>0</v>
      </c>
      <c r="AA66" s="2">
        <v>0</v>
      </c>
      <c r="AB66" s="2">
        <v>0</v>
      </c>
      <c r="AC66" s="2">
        <v>0</v>
      </c>
      <c r="AD66" s="2">
        <v>0</v>
      </c>
      <c r="AE66" s="2">
        <v>1</v>
      </c>
      <c r="AF66" s="2" t="s">
        <v>209</v>
      </c>
      <c r="AG66" s="11">
        <v>1</v>
      </c>
      <c r="AH66" s="2">
        <v>1</v>
      </c>
      <c r="AI66" s="2">
        <v>0</v>
      </c>
      <c r="AJ66" s="2">
        <v>0</v>
      </c>
      <c r="AK66" s="2">
        <v>1</v>
      </c>
      <c r="AL66" s="5">
        <v>45432</v>
      </c>
      <c r="AM66" s="2">
        <v>0</v>
      </c>
      <c r="AN66" s="2">
        <v>0</v>
      </c>
      <c r="AO66" s="2">
        <f t="shared" si="2"/>
        <v>13</v>
      </c>
      <c r="AP66" s="2">
        <v>0</v>
      </c>
      <c r="AV66" s="2">
        <v>0</v>
      </c>
      <c r="AW66" s="2">
        <f t="shared" si="3"/>
        <v>0</v>
      </c>
      <c r="AX66" s="2">
        <f t="shared" si="4"/>
        <v>0</v>
      </c>
      <c r="AY66" s="2">
        <v>0</v>
      </c>
      <c r="AZ66" s="2">
        <v>0</v>
      </c>
      <c r="BA66" s="2">
        <v>0</v>
      </c>
      <c r="BB66" s="2" t="s">
        <v>210</v>
      </c>
    </row>
    <row r="67" spans="1:54" s="2" customFormat="1">
      <c r="A67" s="2">
        <v>86</v>
      </c>
      <c r="B67" s="5">
        <v>45421</v>
      </c>
      <c r="C67" s="5">
        <v>45443</v>
      </c>
      <c r="D67" s="2">
        <f t="shared" si="6"/>
        <v>22</v>
      </c>
      <c r="E67" s="2">
        <v>57</v>
      </c>
      <c r="F67" s="2">
        <v>2</v>
      </c>
      <c r="G67" s="2">
        <v>2</v>
      </c>
      <c r="H67" s="2">
        <v>0</v>
      </c>
      <c r="I67" s="2">
        <v>0</v>
      </c>
      <c r="J67" s="2">
        <v>0</v>
      </c>
      <c r="K67" s="2">
        <v>0</v>
      </c>
      <c r="L67" s="2">
        <v>0</v>
      </c>
      <c r="M67" s="2">
        <v>0</v>
      </c>
      <c r="N67" s="2">
        <v>0</v>
      </c>
      <c r="P67" t="s">
        <v>179</v>
      </c>
      <c r="Q67" s="2">
        <v>0</v>
      </c>
      <c r="R67" s="2">
        <v>1</v>
      </c>
      <c r="S67" s="5">
        <v>45421</v>
      </c>
      <c r="T67" s="5">
        <v>45421</v>
      </c>
      <c r="U67" s="28">
        <f t="shared" si="7"/>
        <v>0</v>
      </c>
      <c r="V67" s="2">
        <v>0</v>
      </c>
      <c r="W67" s="2">
        <v>0</v>
      </c>
      <c r="X67" s="2">
        <v>0</v>
      </c>
      <c r="Y67" s="2">
        <v>0</v>
      </c>
      <c r="Z67" s="2">
        <v>0</v>
      </c>
      <c r="AA67" s="2">
        <v>0</v>
      </c>
      <c r="AB67" s="2">
        <v>0</v>
      </c>
      <c r="AC67" s="2">
        <v>0</v>
      </c>
      <c r="AD67" s="2">
        <v>0</v>
      </c>
      <c r="AE67" s="2">
        <v>1</v>
      </c>
      <c r="AF67" s="2" t="s">
        <v>91</v>
      </c>
      <c r="AG67" s="2">
        <v>0</v>
      </c>
      <c r="AH67" s="2">
        <v>1</v>
      </c>
      <c r="AI67" s="2">
        <v>0</v>
      </c>
      <c r="AJ67" s="2">
        <v>1</v>
      </c>
      <c r="AK67" s="2">
        <v>1</v>
      </c>
      <c r="AL67" s="5">
        <v>45427</v>
      </c>
      <c r="AM67" s="2">
        <v>0</v>
      </c>
      <c r="AN67" s="2">
        <v>0</v>
      </c>
      <c r="AO67" s="2">
        <f t="shared" ref="AO67:AO114" si="8">AL67-S67</f>
        <v>6</v>
      </c>
      <c r="AP67" s="2">
        <v>0</v>
      </c>
      <c r="AV67" s="2">
        <v>1</v>
      </c>
      <c r="AW67" s="2">
        <f t="shared" ref="AW67:AW114" si="9">COUNTIFS(H67, "0",V67, "1",AE67, "1", AI67, "1",AJ67, "1")</f>
        <v>0</v>
      </c>
      <c r="AX67" s="2">
        <f t="shared" ref="AX67:AX114" si="10">COUNTIFS(AI67, "1",AJ67, "1")</f>
        <v>0</v>
      </c>
      <c r="AY67" s="2">
        <v>0</v>
      </c>
      <c r="AZ67" s="2">
        <v>0</v>
      </c>
      <c r="BA67" s="2">
        <v>0</v>
      </c>
      <c r="BB67" s="2" t="s">
        <v>206</v>
      </c>
    </row>
    <row r="68" spans="1:54" s="2" customFormat="1">
      <c r="A68" s="2">
        <v>87</v>
      </c>
      <c r="B68" s="5">
        <v>45421</v>
      </c>
      <c r="C68" s="5">
        <v>45425</v>
      </c>
      <c r="D68" s="2">
        <f t="shared" si="6"/>
        <v>4</v>
      </c>
      <c r="E68" s="2">
        <v>74</v>
      </c>
      <c r="F68" s="2">
        <v>1</v>
      </c>
      <c r="G68" s="2">
        <v>2</v>
      </c>
      <c r="H68" s="2">
        <v>0</v>
      </c>
      <c r="I68" s="2">
        <v>0</v>
      </c>
      <c r="J68" s="2">
        <v>0</v>
      </c>
      <c r="K68" s="2">
        <v>0</v>
      </c>
      <c r="L68" s="2">
        <v>0</v>
      </c>
      <c r="M68" s="2">
        <v>0</v>
      </c>
      <c r="N68" s="2">
        <v>0</v>
      </c>
      <c r="P68" t="s">
        <v>179</v>
      </c>
      <c r="Q68" s="2">
        <v>0</v>
      </c>
      <c r="R68" s="2">
        <v>1</v>
      </c>
      <c r="S68" s="5">
        <v>45421</v>
      </c>
      <c r="T68" s="5">
        <v>45421</v>
      </c>
      <c r="U68" s="28">
        <f t="shared" si="7"/>
        <v>0</v>
      </c>
      <c r="V68" s="2">
        <v>0</v>
      </c>
      <c r="W68" s="2">
        <v>0</v>
      </c>
      <c r="X68" s="2">
        <v>0</v>
      </c>
      <c r="Y68" s="2">
        <v>0</v>
      </c>
      <c r="Z68" s="2">
        <v>0</v>
      </c>
      <c r="AA68" s="2">
        <v>0</v>
      </c>
      <c r="AB68" s="2">
        <v>0</v>
      </c>
      <c r="AC68" s="2">
        <v>0</v>
      </c>
      <c r="AD68" s="2">
        <v>0</v>
      </c>
      <c r="AE68" s="2">
        <v>0</v>
      </c>
      <c r="AG68" s="2">
        <v>0</v>
      </c>
      <c r="AH68" s="2">
        <v>0</v>
      </c>
      <c r="AI68" s="2">
        <v>1</v>
      </c>
      <c r="AJ68" s="2">
        <v>1</v>
      </c>
      <c r="AK68" s="2">
        <v>0</v>
      </c>
      <c r="AP68" s="2">
        <v>0</v>
      </c>
      <c r="AV68" s="2">
        <v>0</v>
      </c>
      <c r="AW68" s="2">
        <f t="shared" si="9"/>
        <v>0</v>
      </c>
      <c r="AX68" s="2">
        <f t="shared" si="10"/>
        <v>1</v>
      </c>
      <c r="AY68" s="2">
        <v>0</v>
      </c>
      <c r="AZ68" s="2">
        <v>0</v>
      </c>
      <c r="BA68" s="2">
        <v>0</v>
      </c>
      <c r="BB68" s="2" t="s">
        <v>206</v>
      </c>
    </row>
    <row r="69" spans="1:54" s="2" customFormat="1">
      <c r="A69" s="2">
        <v>88</v>
      </c>
      <c r="B69" s="5">
        <v>45423</v>
      </c>
      <c r="C69" s="5">
        <v>45427</v>
      </c>
      <c r="D69" s="2">
        <f t="shared" si="6"/>
        <v>4</v>
      </c>
      <c r="E69" s="2">
        <v>90</v>
      </c>
      <c r="F69" s="2">
        <v>2</v>
      </c>
      <c r="G69" s="2">
        <v>2</v>
      </c>
      <c r="H69" s="2">
        <v>1</v>
      </c>
      <c r="I69" s="2">
        <v>0</v>
      </c>
      <c r="J69" s="2">
        <v>1</v>
      </c>
      <c r="K69" s="2">
        <v>0</v>
      </c>
      <c r="L69" s="2">
        <v>0</v>
      </c>
      <c r="M69" s="2">
        <v>0</v>
      </c>
      <c r="N69" s="2">
        <v>1</v>
      </c>
      <c r="O69" s="2" t="s">
        <v>211</v>
      </c>
      <c r="P69" t="s">
        <v>179</v>
      </c>
      <c r="Q69" s="2">
        <v>0</v>
      </c>
      <c r="R69" s="2">
        <v>1</v>
      </c>
      <c r="S69" s="5">
        <v>45423</v>
      </c>
      <c r="T69" s="5">
        <v>45423</v>
      </c>
      <c r="U69" s="28">
        <f t="shared" si="7"/>
        <v>0</v>
      </c>
      <c r="V69" s="2">
        <v>0</v>
      </c>
      <c r="W69" s="2">
        <v>0</v>
      </c>
      <c r="X69" s="2">
        <v>0</v>
      </c>
      <c r="Y69" s="2">
        <v>0</v>
      </c>
      <c r="Z69" s="2">
        <v>0</v>
      </c>
      <c r="AA69" s="2">
        <v>0</v>
      </c>
      <c r="AB69" s="2">
        <v>0</v>
      </c>
      <c r="AC69" s="2">
        <v>0</v>
      </c>
      <c r="AD69" s="2">
        <v>0</v>
      </c>
      <c r="AE69" s="2">
        <v>0</v>
      </c>
      <c r="AG69" s="2">
        <v>0</v>
      </c>
      <c r="AH69" s="2">
        <v>0</v>
      </c>
      <c r="AI69" s="2">
        <v>1</v>
      </c>
      <c r="AJ69" s="2">
        <v>1</v>
      </c>
      <c r="AK69" s="11">
        <v>1</v>
      </c>
      <c r="AL69" s="5">
        <v>45427</v>
      </c>
      <c r="AM69" s="2">
        <v>0</v>
      </c>
      <c r="AN69" s="2">
        <v>1</v>
      </c>
      <c r="AO69" s="2">
        <f t="shared" si="8"/>
        <v>4</v>
      </c>
      <c r="AP69" s="2">
        <v>0</v>
      </c>
      <c r="AV69" s="2">
        <v>0</v>
      </c>
      <c r="AW69" s="2">
        <f t="shared" si="9"/>
        <v>0</v>
      </c>
      <c r="AX69" s="2">
        <f t="shared" si="10"/>
        <v>1</v>
      </c>
      <c r="AY69" s="2">
        <v>0</v>
      </c>
      <c r="AZ69" s="2">
        <v>0</v>
      </c>
      <c r="BA69" s="2">
        <v>1</v>
      </c>
      <c r="BB69" s="2" t="s">
        <v>212</v>
      </c>
    </row>
    <row r="70" spans="1:54" s="2" customFormat="1">
      <c r="A70" s="2">
        <v>89</v>
      </c>
      <c r="B70" s="5">
        <v>45423</v>
      </c>
      <c r="C70" s="5">
        <v>45426</v>
      </c>
      <c r="D70" s="2">
        <f t="shared" si="6"/>
        <v>3</v>
      </c>
      <c r="E70" s="2">
        <v>83</v>
      </c>
      <c r="F70" s="2">
        <v>1</v>
      </c>
      <c r="G70" s="2">
        <v>2</v>
      </c>
      <c r="H70" s="2">
        <v>1</v>
      </c>
      <c r="I70" s="2">
        <v>0</v>
      </c>
      <c r="J70" s="2">
        <v>0</v>
      </c>
      <c r="K70" s="2">
        <v>0</v>
      </c>
      <c r="L70" s="2">
        <v>0</v>
      </c>
      <c r="M70" s="2">
        <v>0</v>
      </c>
      <c r="N70" s="2">
        <v>1</v>
      </c>
      <c r="O70" s="2" t="s">
        <v>192</v>
      </c>
      <c r="P70" t="s">
        <v>179</v>
      </c>
      <c r="Q70" s="2">
        <v>0</v>
      </c>
      <c r="R70" s="2">
        <v>1</v>
      </c>
      <c r="S70" s="5">
        <v>45423</v>
      </c>
      <c r="T70" s="5">
        <v>45423</v>
      </c>
      <c r="U70" s="28">
        <f t="shared" si="7"/>
        <v>0</v>
      </c>
      <c r="V70" s="2">
        <v>0</v>
      </c>
      <c r="W70" s="2">
        <v>0</v>
      </c>
      <c r="X70" s="2">
        <v>0</v>
      </c>
      <c r="Y70" s="2">
        <v>0</v>
      </c>
      <c r="Z70" s="2">
        <v>0</v>
      </c>
      <c r="AA70" s="2">
        <v>0</v>
      </c>
      <c r="AB70" s="2">
        <v>0</v>
      </c>
      <c r="AC70" s="2">
        <v>0</v>
      </c>
      <c r="AD70" s="2">
        <v>0</v>
      </c>
      <c r="AE70" s="2">
        <v>1</v>
      </c>
      <c r="AF70" s="2" t="s">
        <v>91</v>
      </c>
      <c r="AG70" s="2">
        <v>0</v>
      </c>
      <c r="AH70" s="2">
        <v>0</v>
      </c>
      <c r="AI70" s="2">
        <v>1</v>
      </c>
      <c r="AJ70" s="2">
        <v>1</v>
      </c>
      <c r="AK70" s="2">
        <v>1</v>
      </c>
      <c r="AL70" s="5">
        <v>45426</v>
      </c>
      <c r="AM70" s="2">
        <v>0</v>
      </c>
      <c r="AN70" s="2">
        <v>0</v>
      </c>
      <c r="AO70" s="2">
        <f t="shared" si="8"/>
        <v>3</v>
      </c>
      <c r="AP70" s="2">
        <v>0</v>
      </c>
      <c r="AV70" s="2">
        <v>0</v>
      </c>
      <c r="AW70" s="2">
        <f t="shared" si="9"/>
        <v>0</v>
      </c>
      <c r="AX70" s="2">
        <f t="shared" si="10"/>
        <v>1</v>
      </c>
      <c r="AY70" s="2">
        <v>0</v>
      </c>
      <c r="AZ70" s="2">
        <v>0</v>
      </c>
      <c r="BA70" s="2">
        <v>0</v>
      </c>
      <c r="BB70" s="2" t="s">
        <v>206</v>
      </c>
    </row>
    <row r="71" spans="1:54" s="2" customFormat="1">
      <c r="A71" s="2">
        <v>90</v>
      </c>
      <c r="B71" s="5">
        <v>45425</v>
      </c>
      <c r="C71" s="5">
        <v>45436</v>
      </c>
      <c r="D71" s="2">
        <f t="shared" si="6"/>
        <v>11</v>
      </c>
      <c r="E71" s="2">
        <v>62</v>
      </c>
      <c r="F71" s="2">
        <v>2</v>
      </c>
      <c r="G71" s="2">
        <v>2</v>
      </c>
      <c r="H71" s="2">
        <v>0</v>
      </c>
      <c r="I71" s="2">
        <v>0</v>
      </c>
      <c r="J71" s="2">
        <v>0</v>
      </c>
      <c r="K71" s="2">
        <v>0</v>
      </c>
      <c r="L71" s="2">
        <v>0</v>
      </c>
      <c r="M71" s="2">
        <v>0</v>
      </c>
      <c r="N71" s="2">
        <v>0</v>
      </c>
      <c r="P71" t="s">
        <v>179</v>
      </c>
      <c r="Q71" s="2">
        <v>0</v>
      </c>
      <c r="R71" s="2">
        <v>1</v>
      </c>
      <c r="S71" s="5">
        <v>45425</v>
      </c>
      <c r="T71" s="5">
        <v>45425</v>
      </c>
      <c r="U71" s="28">
        <f t="shared" si="7"/>
        <v>0</v>
      </c>
      <c r="V71" s="2">
        <v>0</v>
      </c>
      <c r="W71" s="2">
        <v>0</v>
      </c>
      <c r="X71" s="2">
        <v>0</v>
      </c>
      <c r="Y71" s="2">
        <v>0</v>
      </c>
      <c r="Z71" s="2">
        <v>0</v>
      </c>
      <c r="AA71" s="2">
        <v>0</v>
      </c>
      <c r="AB71" s="2">
        <v>0</v>
      </c>
      <c r="AC71" s="2">
        <v>0</v>
      </c>
      <c r="AD71" s="2">
        <v>0</v>
      </c>
      <c r="AE71" s="2">
        <v>1</v>
      </c>
      <c r="AF71" s="2" t="s">
        <v>91</v>
      </c>
      <c r="AG71" s="2">
        <v>0</v>
      </c>
      <c r="AH71" s="2">
        <v>0</v>
      </c>
      <c r="AI71" s="2">
        <v>1</v>
      </c>
      <c r="AJ71" s="2">
        <v>1</v>
      </c>
      <c r="AK71" s="2">
        <v>0</v>
      </c>
      <c r="AP71" s="2">
        <v>0</v>
      </c>
      <c r="AV71" s="2">
        <v>0</v>
      </c>
      <c r="AW71" s="2">
        <f t="shared" si="9"/>
        <v>0</v>
      </c>
      <c r="AX71" s="2">
        <f t="shared" si="10"/>
        <v>1</v>
      </c>
      <c r="AY71" s="2">
        <v>0</v>
      </c>
      <c r="AZ71" s="2">
        <v>0</v>
      </c>
      <c r="BA71" s="2">
        <v>0</v>
      </c>
      <c r="BB71" s="2" t="s">
        <v>206</v>
      </c>
    </row>
    <row r="72" spans="1:54" s="2" customFormat="1">
      <c r="A72" s="2">
        <v>91</v>
      </c>
      <c r="B72" s="5">
        <v>45425</v>
      </c>
      <c r="C72" s="5">
        <v>45430</v>
      </c>
      <c r="D72" s="2">
        <f t="shared" si="6"/>
        <v>5</v>
      </c>
      <c r="E72" s="2">
        <v>94</v>
      </c>
      <c r="F72" s="2">
        <v>2</v>
      </c>
      <c r="G72" s="2">
        <v>2</v>
      </c>
      <c r="H72" s="2">
        <v>0</v>
      </c>
      <c r="I72" s="2">
        <v>0</v>
      </c>
      <c r="J72" s="2">
        <v>0</v>
      </c>
      <c r="K72" s="2">
        <v>0</v>
      </c>
      <c r="L72" s="2">
        <v>0</v>
      </c>
      <c r="M72" s="2">
        <v>0</v>
      </c>
      <c r="N72" s="2">
        <v>0</v>
      </c>
      <c r="P72" t="s">
        <v>179</v>
      </c>
      <c r="Q72" s="2">
        <v>0</v>
      </c>
      <c r="R72" s="2">
        <v>1</v>
      </c>
      <c r="S72" s="5">
        <v>45425</v>
      </c>
      <c r="T72" s="5">
        <v>45425</v>
      </c>
      <c r="U72" s="28">
        <f t="shared" si="7"/>
        <v>0</v>
      </c>
      <c r="V72" s="2">
        <v>0</v>
      </c>
      <c r="W72" s="2">
        <v>0</v>
      </c>
      <c r="X72" s="2">
        <v>0</v>
      </c>
      <c r="Y72" s="2">
        <v>0</v>
      </c>
      <c r="Z72" s="2">
        <v>0</v>
      </c>
      <c r="AA72" s="2">
        <v>0</v>
      </c>
      <c r="AB72" s="2">
        <v>0</v>
      </c>
      <c r="AC72" s="2">
        <v>0</v>
      </c>
      <c r="AD72" s="2">
        <v>0</v>
      </c>
      <c r="AE72" s="2">
        <v>1</v>
      </c>
      <c r="AF72" s="2" t="s">
        <v>117</v>
      </c>
      <c r="AG72" s="2">
        <v>0</v>
      </c>
      <c r="AH72" s="2">
        <v>0</v>
      </c>
      <c r="AI72" s="2">
        <v>1</v>
      </c>
      <c r="AJ72" s="2">
        <v>1</v>
      </c>
      <c r="AK72" s="11">
        <v>1</v>
      </c>
      <c r="AL72" s="5">
        <v>45426</v>
      </c>
      <c r="AM72" s="2">
        <v>0</v>
      </c>
      <c r="AN72" s="2">
        <v>0</v>
      </c>
      <c r="AO72" s="2">
        <f t="shared" si="8"/>
        <v>1</v>
      </c>
      <c r="AP72" s="2">
        <v>0</v>
      </c>
      <c r="AV72" s="2">
        <v>0</v>
      </c>
      <c r="AW72" s="2">
        <f t="shared" si="9"/>
        <v>0</v>
      </c>
      <c r="AX72" s="2">
        <f t="shared" si="10"/>
        <v>1</v>
      </c>
      <c r="AY72" s="2">
        <v>0</v>
      </c>
      <c r="AZ72" s="2">
        <v>0</v>
      </c>
      <c r="BA72" s="2">
        <v>0</v>
      </c>
      <c r="BB72" s="2" t="s">
        <v>206</v>
      </c>
    </row>
    <row r="73" spans="1:54" s="2" customFormat="1">
      <c r="A73" s="2">
        <v>92</v>
      </c>
      <c r="B73" s="5">
        <v>45427</v>
      </c>
      <c r="C73" s="5">
        <v>45430</v>
      </c>
      <c r="D73" s="2">
        <f t="shared" si="6"/>
        <v>3</v>
      </c>
      <c r="E73" s="2">
        <v>79</v>
      </c>
      <c r="F73" s="2">
        <v>1</v>
      </c>
      <c r="G73" s="2">
        <v>4</v>
      </c>
      <c r="H73" s="2">
        <v>1</v>
      </c>
      <c r="I73" s="2">
        <v>0</v>
      </c>
      <c r="J73" s="2">
        <v>0</v>
      </c>
      <c r="K73" s="2">
        <v>0</v>
      </c>
      <c r="L73" s="2">
        <v>0</v>
      </c>
      <c r="M73" s="2">
        <v>0</v>
      </c>
      <c r="N73" s="2">
        <v>1</v>
      </c>
      <c r="O73" s="2" t="s">
        <v>213</v>
      </c>
      <c r="P73" t="s">
        <v>195</v>
      </c>
      <c r="Q73" s="2">
        <v>0</v>
      </c>
      <c r="R73" s="2">
        <v>1</v>
      </c>
      <c r="S73" s="5">
        <v>45427</v>
      </c>
      <c r="T73" s="5">
        <v>45427</v>
      </c>
      <c r="U73" s="28">
        <f t="shared" si="7"/>
        <v>0</v>
      </c>
      <c r="V73" s="2">
        <v>0</v>
      </c>
      <c r="W73" s="2">
        <v>0</v>
      </c>
      <c r="X73" s="2">
        <v>0</v>
      </c>
      <c r="Y73" s="2">
        <v>0</v>
      </c>
      <c r="Z73" s="2">
        <v>0</v>
      </c>
      <c r="AA73" s="2">
        <v>0</v>
      </c>
      <c r="AB73" s="2">
        <v>0</v>
      </c>
      <c r="AC73" s="2">
        <v>0</v>
      </c>
      <c r="AD73" s="2">
        <v>0</v>
      </c>
      <c r="AE73" s="2">
        <v>1</v>
      </c>
      <c r="AF73" s="2" t="s">
        <v>214</v>
      </c>
      <c r="AG73" s="2">
        <v>0</v>
      </c>
      <c r="AH73" s="2">
        <v>0</v>
      </c>
      <c r="AI73" s="2">
        <v>1</v>
      </c>
      <c r="AJ73" s="2">
        <v>1</v>
      </c>
      <c r="AK73" s="2">
        <v>1</v>
      </c>
      <c r="AL73" s="5">
        <v>45429</v>
      </c>
      <c r="AM73" s="2">
        <v>0</v>
      </c>
      <c r="AN73" s="2">
        <v>0</v>
      </c>
      <c r="AO73" s="2">
        <f t="shared" si="8"/>
        <v>2</v>
      </c>
      <c r="AP73" s="2">
        <v>0</v>
      </c>
      <c r="AV73" s="2">
        <v>0</v>
      </c>
      <c r="AW73" s="2">
        <f t="shared" si="9"/>
        <v>0</v>
      </c>
      <c r="AX73" s="2">
        <f t="shared" si="10"/>
        <v>1</v>
      </c>
      <c r="AY73" s="2">
        <v>0</v>
      </c>
      <c r="AZ73" s="2">
        <v>0</v>
      </c>
      <c r="BA73" s="2">
        <v>0</v>
      </c>
      <c r="BB73" s="2" t="s">
        <v>206</v>
      </c>
    </row>
    <row r="74" spans="1:54" s="2" customFormat="1">
      <c r="A74" s="2">
        <v>93</v>
      </c>
      <c r="B74" s="5">
        <v>45430</v>
      </c>
      <c r="C74" s="5">
        <v>45439</v>
      </c>
      <c r="D74" s="2">
        <f t="shared" si="6"/>
        <v>9</v>
      </c>
      <c r="E74" s="2">
        <v>45</v>
      </c>
      <c r="F74" s="2">
        <v>2</v>
      </c>
      <c r="G74" s="2">
        <v>2</v>
      </c>
      <c r="H74" s="2">
        <v>0</v>
      </c>
      <c r="I74" s="2">
        <v>0</v>
      </c>
      <c r="J74" s="2">
        <v>0</v>
      </c>
      <c r="K74" s="2">
        <v>0</v>
      </c>
      <c r="L74" s="2">
        <v>0</v>
      </c>
      <c r="M74" s="2">
        <v>0</v>
      </c>
      <c r="N74" s="2">
        <v>0</v>
      </c>
      <c r="P74" t="s">
        <v>215</v>
      </c>
      <c r="Q74" s="2">
        <v>0</v>
      </c>
      <c r="R74" s="2">
        <v>1</v>
      </c>
      <c r="S74" s="5">
        <v>45430</v>
      </c>
      <c r="T74" s="5">
        <v>45430</v>
      </c>
      <c r="U74" s="28">
        <f t="shared" si="7"/>
        <v>0</v>
      </c>
      <c r="V74" s="2">
        <v>0</v>
      </c>
      <c r="W74" s="2">
        <v>0</v>
      </c>
      <c r="X74" s="2">
        <v>0</v>
      </c>
      <c r="Y74" s="2">
        <v>0</v>
      </c>
      <c r="Z74" s="2">
        <v>0</v>
      </c>
      <c r="AA74" s="2">
        <v>0</v>
      </c>
      <c r="AB74" s="2">
        <v>0</v>
      </c>
      <c r="AC74" s="2">
        <v>0</v>
      </c>
      <c r="AD74" s="2">
        <v>0</v>
      </c>
      <c r="AE74" s="2">
        <v>1</v>
      </c>
      <c r="AF74" s="2" t="s">
        <v>91</v>
      </c>
      <c r="AG74" s="2">
        <v>0</v>
      </c>
      <c r="AH74" s="2">
        <v>0</v>
      </c>
      <c r="AI74" s="2">
        <v>1</v>
      </c>
      <c r="AJ74" s="2">
        <v>1</v>
      </c>
      <c r="AK74" s="2">
        <v>0</v>
      </c>
      <c r="AP74" s="2">
        <v>0</v>
      </c>
      <c r="AV74" s="2">
        <v>0</v>
      </c>
      <c r="AW74" s="2">
        <f t="shared" si="9"/>
        <v>0</v>
      </c>
      <c r="AX74" s="2">
        <f t="shared" si="10"/>
        <v>1</v>
      </c>
      <c r="AY74" s="2">
        <v>0</v>
      </c>
      <c r="AZ74" s="2">
        <v>0</v>
      </c>
      <c r="BA74" s="2">
        <v>0</v>
      </c>
      <c r="BB74" s="2" t="s">
        <v>206</v>
      </c>
    </row>
    <row r="75" spans="1:54" s="2" customFormat="1">
      <c r="A75" s="2">
        <v>94</v>
      </c>
      <c r="B75" s="5">
        <v>45433</v>
      </c>
      <c r="C75" s="5">
        <v>45440</v>
      </c>
      <c r="D75" s="2">
        <f t="shared" si="6"/>
        <v>7</v>
      </c>
      <c r="E75" s="2">
        <v>75</v>
      </c>
      <c r="F75" s="2">
        <v>1</v>
      </c>
      <c r="G75" s="2">
        <v>2</v>
      </c>
      <c r="H75" s="2">
        <v>0</v>
      </c>
      <c r="I75" s="2">
        <v>0</v>
      </c>
      <c r="J75" s="2">
        <v>0</v>
      </c>
      <c r="K75" s="2">
        <v>0</v>
      </c>
      <c r="L75" s="2">
        <v>0</v>
      </c>
      <c r="M75" s="2">
        <v>0</v>
      </c>
      <c r="N75" s="2">
        <v>0</v>
      </c>
      <c r="P75" t="s">
        <v>179</v>
      </c>
      <c r="Q75" s="2">
        <v>0</v>
      </c>
      <c r="R75" s="2">
        <v>1</v>
      </c>
      <c r="S75" s="5">
        <v>45433</v>
      </c>
      <c r="T75" s="5">
        <v>45433</v>
      </c>
      <c r="U75" s="28">
        <f t="shared" si="7"/>
        <v>0</v>
      </c>
      <c r="V75" s="2">
        <v>0</v>
      </c>
      <c r="W75" s="2">
        <v>0</v>
      </c>
      <c r="X75" s="2">
        <v>0</v>
      </c>
      <c r="Y75" s="2">
        <v>0</v>
      </c>
      <c r="Z75" s="2">
        <v>0</v>
      </c>
      <c r="AA75" s="2">
        <v>0</v>
      </c>
      <c r="AB75" s="2">
        <v>0</v>
      </c>
      <c r="AC75" s="2">
        <v>0</v>
      </c>
      <c r="AD75" s="2">
        <v>0</v>
      </c>
      <c r="AE75" s="2">
        <v>1</v>
      </c>
      <c r="AF75" s="2" t="s">
        <v>117</v>
      </c>
      <c r="AG75" s="2">
        <v>0</v>
      </c>
      <c r="AH75" s="2">
        <v>0</v>
      </c>
      <c r="AI75" s="2">
        <v>1</v>
      </c>
      <c r="AJ75" s="2">
        <v>1</v>
      </c>
      <c r="AK75" s="11">
        <v>1</v>
      </c>
      <c r="AL75" s="5">
        <v>45440</v>
      </c>
      <c r="AM75" s="2">
        <v>0</v>
      </c>
      <c r="AN75" s="2">
        <v>0</v>
      </c>
      <c r="AO75" s="2">
        <f t="shared" si="8"/>
        <v>7</v>
      </c>
      <c r="AP75" s="2">
        <v>0</v>
      </c>
      <c r="AV75" s="2">
        <v>0</v>
      </c>
      <c r="AW75" s="2">
        <f t="shared" si="9"/>
        <v>0</v>
      </c>
      <c r="AX75" s="2">
        <f t="shared" si="10"/>
        <v>1</v>
      </c>
      <c r="AY75" s="2">
        <v>0</v>
      </c>
      <c r="AZ75" s="2">
        <v>0</v>
      </c>
      <c r="BA75" s="2">
        <v>0</v>
      </c>
      <c r="BB75" s="2" t="s">
        <v>206</v>
      </c>
    </row>
    <row r="76" spans="1:54" s="2" customFormat="1">
      <c r="A76" s="8">
        <v>95</v>
      </c>
      <c r="B76" s="5">
        <v>45434</v>
      </c>
      <c r="C76" s="6">
        <v>45439</v>
      </c>
      <c r="D76" s="2">
        <f t="shared" si="6"/>
        <v>5</v>
      </c>
      <c r="E76" s="2">
        <v>90</v>
      </c>
      <c r="F76" s="2">
        <v>1</v>
      </c>
      <c r="G76" s="2">
        <v>2</v>
      </c>
      <c r="H76" s="2">
        <v>1</v>
      </c>
      <c r="I76" s="2">
        <v>0</v>
      </c>
      <c r="J76" s="2">
        <v>0</v>
      </c>
      <c r="K76" s="2">
        <v>0</v>
      </c>
      <c r="L76" s="2">
        <v>0</v>
      </c>
      <c r="M76" s="2">
        <v>0</v>
      </c>
      <c r="N76" s="2">
        <v>1</v>
      </c>
      <c r="O76" s="2" t="s">
        <v>216</v>
      </c>
      <c r="P76" t="s">
        <v>179</v>
      </c>
      <c r="Q76" s="2">
        <v>1</v>
      </c>
      <c r="R76" s="2">
        <v>2</v>
      </c>
      <c r="S76" s="5">
        <v>45434</v>
      </c>
      <c r="T76" s="5">
        <v>45434</v>
      </c>
      <c r="U76" s="28">
        <f t="shared" si="7"/>
        <v>0</v>
      </c>
      <c r="V76" s="2">
        <v>0</v>
      </c>
      <c r="W76" s="2">
        <v>0</v>
      </c>
      <c r="X76" s="2">
        <v>0</v>
      </c>
      <c r="Y76" s="2">
        <v>0</v>
      </c>
      <c r="Z76" s="2">
        <v>0</v>
      </c>
      <c r="AA76" s="2">
        <v>0</v>
      </c>
      <c r="AB76" s="2">
        <v>0</v>
      </c>
      <c r="AC76" s="2">
        <v>0</v>
      </c>
      <c r="AD76" s="2">
        <v>0</v>
      </c>
      <c r="AE76" s="2">
        <v>1</v>
      </c>
      <c r="AF76" s="2" t="s">
        <v>217</v>
      </c>
      <c r="AG76" s="2">
        <v>0</v>
      </c>
      <c r="AH76" s="2">
        <v>0</v>
      </c>
      <c r="AI76" s="2">
        <v>1</v>
      </c>
      <c r="AJ76" s="2">
        <v>1</v>
      </c>
      <c r="AK76" s="11">
        <v>1</v>
      </c>
      <c r="AL76" s="5">
        <v>45436</v>
      </c>
      <c r="AM76" s="2">
        <v>0</v>
      </c>
      <c r="AN76" s="2">
        <v>0</v>
      </c>
      <c r="AO76" s="2">
        <f t="shared" si="8"/>
        <v>2</v>
      </c>
      <c r="AP76" s="2">
        <v>0</v>
      </c>
      <c r="AV76" s="2">
        <v>0</v>
      </c>
      <c r="AW76" s="2">
        <f t="shared" si="9"/>
        <v>0</v>
      </c>
      <c r="AX76" s="2">
        <f t="shared" si="10"/>
        <v>1</v>
      </c>
      <c r="AY76" s="2">
        <v>0</v>
      </c>
      <c r="AZ76" s="2">
        <v>0</v>
      </c>
      <c r="BA76" s="2">
        <v>0</v>
      </c>
      <c r="BB76" s="2" t="s">
        <v>206</v>
      </c>
    </row>
    <row r="77" spans="1:54" s="2" customFormat="1">
      <c r="A77" s="8">
        <v>96</v>
      </c>
      <c r="B77" s="5">
        <v>45435</v>
      </c>
      <c r="C77" s="6">
        <v>45444</v>
      </c>
      <c r="D77" s="2">
        <f t="shared" si="6"/>
        <v>9</v>
      </c>
      <c r="E77" s="2">
        <v>88</v>
      </c>
      <c r="F77" s="2">
        <v>1</v>
      </c>
      <c r="G77" s="2">
        <v>3</v>
      </c>
      <c r="H77" s="2">
        <v>0</v>
      </c>
      <c r="I77" s="2">
        <v>0</v>
      </c>
      <c r="J77" s="2">
        <v>0</v>
      </c>
      <c r="K77" s="2">
        <v>0</v>
      </c>
      <c r="L77" s="2">
        <v>0</v>
      </c>
      <c r="M77" s="2">
        <v>0</v>
      </c>
      <c r="N77" s="2">
        <v>0</v>
      </c>
      <c r="P77" t="s">
        <v>186</v>
      </c>
      <c r="Q77" s="2">
        <v>0</v>
      </c>
      <c r="R77" s="2">
        <v>1</v>
      </c>
      <c r="S77" s="5">
        <v>45436</v>
      </c>
      <c r="T77" s="5">
        <v>45436</v>
      </c>
      <c r="U77" s="28">
        <f t="shared" si="7"/>
        <v>0</v>
      </c>
      <c r="V77" s="2">
        <v>0</v>
      </c>
      <c r="W77" s="2">
        <v>0</v>
      </c>
      <c r="X77" s="2">
        <v>0</v>
      </c>
      <c r="Y77" s="2">
        <v>0</v>
      </c>
      <c r="Z77" s="2">
        <v>0</v>
      </c>
      <c r="AA77" s="2">
        <v>0</v>
      </c>
      <c r="AB77" s="2">
        <v>0</v>
      </c>
      <c r="AC77" s="2">
        <v>0</v>
      </c>
      <c r="AD77" s="2">
        <v>0</v>
      </c>
      <c r="AE77" s="2">
        <v>1</v>
      </c>
      <c r="AF77" s="2" t="s">
        <v>68</v>
      </c>
      <c r="AG77" s="2">
        <v>0</v>
      </c>
      <c r="AH77" s="2">
        <v>0</v>
      </c>
      <c r="AI77" s="2">
        <v>1</v>
      </c>
      <c r="AJ77" s="2">
        <v>1</v>
      </c>
      <c r="AK77" s="2">
        <v>0</v>
      </c>
      <c r="AP77" s="2">
        <v>0</v>
      </c>
      <c r="AV77" s="2">
        <v>0</v>
      </c>
      <c r="AW77" s="2">
        <f t="shared" si="9"/>
        <v>0</v>
      </c>
      <c r="AX77" s="2">
        <f t="shared" si="10"/>
        <v>1</v>
      </c>
      <c r="AY77" s="2">
        <v>0</v>
      </c>
      <c r="AZ77" s="2">
        <v>0</v>
      </c>
      <c r="BA77" s="2">
        <v>0</v>
      </c>
      <c r="BB77" s="2" t="s">
        <v>206</v>
      </c>
    </row>
    <row r="78" spans="1:54" s="2" customFormat="1">
      <c r="A78" s="2">
        <v>97</v>
      </c>
      <c r="B78" s="5">
        <v>45438</v>
      </c>
      <c r="C78" s="5">
        <v>45442</v>
      </c>
      <c r="D78" s="2">
        <f t="shared" si="6"/>
        <v>4</v>
      </c>
      <c r="E78" s="2">
        <v>96</v>
      </c>
      <c r="F78" s="2">
        <v>2</v>
      </c>
      <c r="G78" s="2">
        <v>2</v>
      </c>
      <c r="H78" s="2">
        <v>0</v>
      </c>
      <c r="I78" s="2">
        <v>0</v>
      </c>
      <c r="J78" s="2">
        <v>0</v>
      </c>
      <c r="K78" s="2">
        <v>0</v>
      </c>
      <c r="L78" s="2">
        <v>0</v>
      </c>
      <c r="M78" s="2">
        <v>0</v>
      </c>
      <c r="N78" s="2">
        <v>0</v>
      </c>
      <c r="P78" t="s">
        <v>208</v>
      </c>
      <c r="Q78" s="2">
        <v>0</v>
      </c>
      <c r="R78" s="2">
        <v>1</v>
      </c>
      <c r="S78" s="5">
        <v>45438</v>
      </c>
      <c r="T78" s="5">
        <v>45438</v>
      </c>
      <c r="U78" s="28">
        <f t="shared" si="7"/>
        <v>0</v>
      </c>
      <c r="V78" s="2">
        <v>0</v>
      </c>
      <c r="W78" s="2">
        <v>0</v>
      </c>
      <c r="X78" s="2">
        <v>0</v>
      </c>
      <c r="Y78" s="2">
        <v>0</v>
      </c>
      <c r="Z78" s="2">
        <v>0</v>
      </c>
      <c r="AA78" s="2">
        <v>0</v>
      </c>
      <c r="AB78" s="2">
        <v>0</v>
      </c>
      <c r="AC78" s="2">
        <v>0</v>
      </c>
      <c r="AD78" s="2">
        <v>0</v>
      </c>
      <c r="AE78" s="2">
        <v>1</v>
      </c>
      <c r="AF78" s="2" t="s">
        <v>91</v>
      </c>
      <c r="AG78" s="2">
        <v>0</v>
      </c>
      <c r="AH78" s="2">
        <v>0</v>
      </c>
      <c r="AI78" s="2">
        <v>1</v>
      </c>
      <c r="AJ78" s="2">
        <v>1</v>
      </c>
      <c r="AK78" s="2">
        <v>0</v>
      </c>
      <c r="AP78" s="2">
        <v>0</v>
      </c>
      <c r="AV78" s="2">
        <v>0</v>
      </c>
      <c r="AW78" s="2">
        <f t="shared" si="9"/>
        <v>0</v>
      </c>
      <c r="AX78" s="2">
        <f t="shared" si="10"/>
        <v>1</v>
      </c>
      <c r="AY78" s="2">
        <v>0</v>
      </c>
      <c r="AZ78" s="2">
        <v>0</v>
      </c>
      <c r="BA78" s="2">
        <v>0</v>
      </c>
      <c r="BB78" s="2" t="s">
        <v>206</v>
      </c>
    </row>
    <row r="79" spans="1:54" s="2" customFormat="1">
      <c r="A79" s="2">
        <v>98</v>
      </c>
      <c r="B79" s="5">
        <v>45439</v>
      </c>
      <c r="C79" s="5">
        <v>45445</v>
      </c>
      <c r="D79" s="2">
        <f t="shared" si="6"/>
        <v>6</v>
      </c>
      <c r="E79" s="2">
        <v>75</v>
      </c>
      <c r="F79" s="2">
        <v>2</v>
      </c>
      <c r="G79" s="2">
        <v>3</v>
      </c>
      <c r="H79" s="2">
        <v>1</v>
      </c>
      <c r="I79" s="2">
        <v>0</v>
      </c>
      <c r="J79" s="2">
        <v>0</v>
      </c>
      <c r="K79" s="2">
        <v>0</v>
      </c>
      <c r="L79" s="2">
        <v>0</v>
      </c>
      <c r="M79" s="2">
        <v>0</v>
      </c>
      <c r="N79" s="2">
        <v>1</v>
      </c>
      <c r="O79" s="2" t="s">
        <v>218</v>
      </c>
      <c r="P79" t="s">
        <v>179</v>
      </c>
      <c r="Q79" s="2">
        <v>0</v>
      </c>
      <c r="R79" s="2">
        <v>1</v>
      </c>
      <c r="S79" s="5">
        <v>45439</v>
      </c>
      <c r="T79" s="5">
        <v>45439</v>
      </c>
      <c r="U79" s="28">
        <f t="shared" si="7"/>
        <v>0</v>
      </c>
      <c r="V79" s="2">
        <v>0</v>
      </c>
      <c r="W79" s="2">
        <v>0</v>
      </c>
      <c r="X79" s="2">
        <v>0</v>
      </c>
      <c r="Y79" s="2">
        <v>0</v>
      </c>
      <c r="Z79" s="2">
        <v>0</v>
      </c>
      <c r="AA79" s="2">
        <v>0</v>
      </c>
      <c r="AB79" s="2">
        <v>0</v>
      </c>
      <c r="AC79" s="2">
        <v>0</v>
      </c>
      <c r="AD79" s="2">
        <v>0</v>
      </c>
      <c r="AE79" s="2">
        <v>1</v>
      </c>
      <c r="AF79" s="2" t="s">
        <v>91</v>
      </c>
      <c r="AG79" s="2">
        <v>0</v>
      </c>
      <c r="AH79" s="2">
        <v>0</v>
      </c>
      <c r="AI79" s="2">
        <v>1</v>
      </c>
      <c r="AJ79" s="2">
        <v>1</v>
      </c>
      <c r="AK79" s="11">
        <v>1</v>
      </c>
      <c r="AL79" s="5">
        <v>45440</v>
      </c>
      <c r="AM79" s="2">
        <v>0</v>
      </c>
      <c r="AN79" s="2">
        <v>1</v>
      </c>
      <c r="AO79" s="2">
        <f t="shared" si="8"/>
        <v>1</v>
      </c>
      <c r="AP79" s="2">
        <v>0</v>
      </c>
      <c r="AV79" s="2">
        <v>1</v>
      </c>
      <c r="AW79" s="2">
        <f t="shared" si="9"/>
        <v>0</v>
      </c>
      <c r="AX79" s="2">
        <f t="shared" si="10"/>
        <v>1</v>
      </c>
      <c r="AY79" s="2">
        <v>0</v>
      </c>
      <c r="AZ79" s="2">
        <v>0</v>
      </c>
      <c r="BA79" s="2">
        <v>0</v>
      </c>
      <c r="BB79" s="2" t="s">
        <v>219</v>
      </c>
    </row>
    <row r="80" spans="1:54" s="2" customFormat="1">
      <c r="A80" s="2">
        <v>99</v>
      </c>
      <c r="B80" s="5">
        <v>45439</v>
      </c>
      <c r="C80" s="5">
        <v>45453</v>
      </c>
      <c r="D80" s="2">
        <f t="shared" si="6"/>
        <v>14</v>
      </c>
      <c r="E80" s="2">
        <v>72</v>
      </c>
      <c r="F80" s="2">
        <v>1</v>
      </c>
      <c r="G80" s="2">
        <v>2</v>
      </c>
      <c r="H80" s="2">
        <v>0</v>
      </c>
      <c r="I80" s="2">
        <v>0</v>
      </c>
      <c r="J80" s="2">
        <v>0</v>
      </c>
      <c r="K80" s="2">
        <v>0</v>
      </c>
      <c r="L80" s="2">
        <v>0</v>
      </c>
      <c r="M80" s="2">
        <v>0</v>
      </c>
      <c r="N80" s="2">
        <v>0</v>
      </c>
      <c r="P80" t="s">
        <v>195</v>
      </c>
      <c r="Q80" s="2">
        <v>0</v>
      </c>
      <c r="R80" s="2">
        <v>1</v>
      </c>
      <c r="S80" s="5">
        <v>45439</v>
      </c>
      <c r="T80" s="5">
        <v>45439</v>
      </c>
      <c r="U80" s="28">
        <f t="shared" si="7"/>
        <v>0</v>
      </c>
      <c r="V80" s="2">
        <v>0</v>
      </c>
      <c r="W80" s="2">
        <v>0</v>
      </c>
      <c r="X80" s="2">
        <v>0</v>
      </c>
      <c r="Y80" s="2">
        <v>0</v>
      </c>
      <c r="Z80" s="2">
        <v>0</v>
      </c>
      <c r="AA80" s="2">
        <v>0</v>
      </c>
      <c r="AB80" s="2">
        <v>0</v>
      </c>
      <c r="AC80" s="2">
        <v>0</v>
      </c>
      <c r="AD80" s="2">
        <v>0</v>
      </c>
      <c r="AE80" s="2">
        <v>1</v>
      </c>
      <c r="AF80" s="2" t="s">
        <v>91</v>
      </c>
      <c r="AG80" s="2">
        <v>0</v>
      </c>
      <c r="AH80" s="2">
        <v>0</v>
      </c>
      <c r="AI80" s="2">
        <v>1</v>
      </c>
      <c r="AJ80" s="2">
        <v>1</v>
      </c>
      <c r="AK80" s="2">
        <v>0</v>
      </c>
      <c r="AP80" s="2">
        <v>0</v>
      </c>
      <c r="AV80" s="2">
        <v>0</v>
      </c>
      <c r="AW80" s="2">
        <f t="shared" si="9"/>
        <v>0</v>
      </c>
      <c r="AX80" s="2">
        <f t="shared" si="10"/>
        <v>1</v>
      </c>
      <c r="AY80" s="2">
        <v>0</v>
      </c>
      <c r="AZ80" s="2">
        <v>0</v>
      </c>
      <c r="BA80" s="2">
        <v>0</v>
      </c>
      <c r="BB80" s="2" t="s">
        <v>206</v>
      </c>
    </row>
    <row r="81" spans="1:54" s="2" customFormat="1">
      <c r="A81" s="2">
        <v>100</v>
      </c>
      <c r="B81" s="5">
        <v>45442</v>
      </c>
      <c r="C81" s="5">
        <v>45443</v>
      </c>
      <c r="D81" s="2">
        <f t="shared" si="6"/>
        <v>1</v>
      </c>
      <c r="E81" s="2">
        <v>39</v>
      </c>
      <c r="F81" s="2">
        <v>1</v>
      </c>
      <c r="G81" s="2">
        <v>3</v>
      </c>
      <c r="H81" s="2">
        <v>0</v>
      </c>
      <c r="I81" s="2">
        <v>0</v>
      </c>
      <c r="J81" s="2">
        <v>0</v>
      </c>
      <c r="K81" s="2">
        <v>0</v>
      </c>
      <c r="L81" s="2">
        <v>0</v>
      </c>
      <c r="M81" s="2">
        <v>0</v>
      </c>
      <c r="N81" s="2">
        <v>0</v>
      </c>
      <c r="P81" t="s">
        <v>179</v>
      </c>
      <c r="Q81" s="2">
        <v>0</v>
      </c>
      <c r="R81" s="2">
        <v>1</v>
      </c>
      <c r="S81" s="5">
        <v>45442</v>
      </c>
      <c r="T81" s="5">
        <v>45442</v>
      </c>
      <c r="U81" s="28">
        <f t="shared" si="7"/>
        <v>0</v>
      </c>
      <c r="V81" s="2">
        <v>0</v>
      </c>
      <c r="W81" s="2">
        <v>0</v>
      </c>
      <c r="X81" s="2">
        <v>0</v>
      </c>
      <c r="Y81" s="2">
        <v>0</v>
      </c>
      <c r="Z81" s="2">
        <v>0</v>
      </c>
      <c r="AA81" s="2">
        <v>0</v>
      </c>
      <c r="AB81" s="2">
        <v>0</v>
      </c>
      <c r="AC81" s="2">
        <v>0</v>
      </c>
      <c r="AD81" s="2">
        <v>0</v>
      </c>
      <c r="AE81" s="2">
        <v>1</v>
      </c>
      <c r="AF81" s="2" t="s">
        <v>117</v>
      </c>
      <c r="AG81" s="2">
        <v>0</v>
      </c>
      <c r="AH81" s="2">
        <v>0</v>
      </c>
      <c r="AI81" s="2">
        <v>1</v>
      </c>
      <c r="AJ81" s="2">
        <v>1</v>
      </c>
      <c r="AK81" s="2">
        <v>0</v>
      </c>
      <c r="AP81" s="2">
        <v>0</v>
      </c>
      <c r="AV81" s="2">
        <v>0</v>
      </c>
      <c r="AW81" s="2">
        <f t="shared" si="9"/>
        <v>0</v>
      </c>
      <c r="AX81" s="2">
        <f t="shared" si="10"/>
        <v>1</v>
      </c>
      <c r="AY81" s="2">
        <v>0</v>
      </c>
      <c r="AZ81" s="2">
        <v>0</v>
      </c>
      <c r="BA81" s="2">
        <v>0</v>
      </c>
      <c r="BB81" s="2" t="s">
        <v>206</v>
      </c>
    </row>
    <row r="82" spans="1:54" s="2" customFormat="1">
      <c r="A82" s="2">
        <v>101</v>
      </c>
      <c r="B82" s="5">
        <v>45384</v>
      </c>
      <c r="C82" s="5">
        <v>45392</v>
      </c>
      <c r="D82" s="2">
        <f t="shared" si="6"/>
        <v>8</v>
      </c>
      <c r="E82" s="2">
        <v>90</v>
      </c>
      <c r="F82" s="2">
        <v>2</v>
      </c>
      <c r="G82" s="2">
        <v>2</v>
      </c>
      <c r="H82" s="2">
        <v>1</v>
      </c>
      <c r="I82" s="2">
        <v>0</v>
      </c>
      <c r="J82" s="2">
        <v>0</v>
      </c>
      <c r="K82" s="2">
        <v>1</v>
      </c>
      <c r="L82" s="2">
        <v>0</v>
      </c>
      <c r="M82" s="2">
        <v>0</v>
      </c>
      <c r="N82" s="2">
        <v>1</v>
      </c>
      <c r="O82" s="2" t="s">
        <v>220</v>
      </c>
      <c r="P82" t="s">
        <v>179</v>
      </c>
      <c r="Q82" s="2">
        <v>0</v>
      </c>
      <c r="R82" s="2">
        <v>1</v>
      </c>
      <c r="S82" s="5">
        <v>45384</v>
      </c>
      <c r="T82" s="5">
        <v>45384</v>
      </c>
      <c r="U82" s="28">
        <f t="shared" si="7"/>
        <v>0</v>
      </c>
      <c r="V82" s="2">
        <v>0</v>
      </c>
      <c r="W82" s="2">
        <v>0</v>
      </c>
      <c r="X82" s="2">
        <v>0</v>
      </c>
      <c r="Y82" s="2">
        <v>0</v>
      </c>
      <c r="Z82" s="2">
        <v>0</v>
      </c>
      <c r="AA82" s="2">
        <v>0</v>
      </c>
      <c r="AB82" s="2">
        <v>0</v>
      </c>
      <c r="AC82" s="2">
        <v>0</v>
      </c>
      <c r="AD82" s="2">
        <v>0</v>
      </c>
      <c r="AE82" s="2">
        <v>1</v>
      </c>
      <c r="AF82" s="2" t="s">
        <v>187</v>
      </c>
      <c r="AG82" s="2">
        <v>0</v>
      </c>
      <c r="AH82" s="2">
        <v>0</v>
      </c>
      <c r="AI82" s="2">
        <v>1</v>
      </c>
      <c r="AJ82" s="2">
        <v>1</v>
      </c>
      <c r="AK82" s="2">
        <v>0</v>
      </c>
      <c r="AP82" s="2">
        <v>0</v>
      </c>
      <c r="AV82" s="2">
        <v>0</v>
      </c>
      <c r="AW82" s="2">
        <f t="shared" si="9"/>
        <v>0</v>
      </c>
      <c r="AX82" s="2">
        <f t="shared" si="10"/>
        <v>1</v>
      </c>
      <c r="AY82" s="2">
        <v>0</v>
      </c>
      <c r="AZ82" s="2">
        <v>0</v>
      </c>
      <c r="BA82" s="2">
        <v>1</v>
      </c>
      <c r="BB82" s="2" t="s">
        <v>206</v>
      </c>
    </row>
    <row r="83" spans="1:54" s="2" customFormat="1">
      <c r="A83" s="2">
        <v>102</v>
      </c>
      <c r="B83" s="5">
        <v>45385</v>
      </c>
      <c r="C83" s="5">
        <v>45389</v>
      </c>
      <c r="D83" s="2">
        <f t="shared" si="6"/>
        <v>4</v>
      </c>
      <c r="E83" s="2">
        <v>92</v>
      </c>
      <c r="F83" s="2">
        <v>2</v>
      </c>
      <c r="G83" s="2">
        <v>2</v>
      </c>
      <c r="H83" s="2">
        <v>0</v>
      </c>
      <c r="I83" s="2">
        <v>0</v>
      </c>
      <c r="J83" s="2">
        <v>0</v>
      </c>
      <c r="K83" s="2">
        <v>0</v>
      </c>
      <c r="L83" s="2">
        <v>0</v>
      </c>
      <c r="M83" s="2">
        <v>0</v>
      </c>
      <c r="N83" s="2">
        <v>0</v>
      </c>
      <c r="P83" t="s">
        <v>179</v>
      </c>
      <c r="Q83" s="2">
        <v>0</v>
      </c>
      <c r="R83" s="2">
        <v>1</v>
      </c>
      <c r="S83" s="5">
        <v>45385</v>
      </c>
      <c r="T83" s="5">
        <v>45385</v>
      </c>
      <c r="U83" s="28">
        <f t="shared" si="7"/>
        <v>0</v>
      </c>
      <c r="V83" s="2">
        <v>0</v>
      </c>
      <c r="W83" s="2">
        <v>0</v>
      </c>
      <c r="X83" s="2">
        <v>0</v>
      </c>
      <c r="Y83" s="2">
        <v>0</v>
      </c>
      <c r="Z83" s="2">
        <v>0</v>
      </c>
      <c r="AA83" s="2">
        <v>0</v>
      </c>
      <c r="AB83" s="2">
        <v>0</v>
      </c>
      <c r="AC83" s="2">
        <v>0</v>
      </c>
      <c r="AD83" s="2">
        <v>0</v>
      </c>
      <c r="AE83" s="2">
        <v>1</v>
      </c>
      <c r="AF83" s="2" t="s">
        <v>68</v>
      </c>
      <c r="AG83" s="2">
        <v>0</v>
      </c>
      <c r="AH83" s="2">
        <v>0</v>
      </c>
      <c r="AI83" s="2">
        <v>1</v>
      </c>
      <c r="AJ83" s="2">
        <v>1</v>
      </c>
      <c r="AK83" s="2">
        <v>0</v>
      </c>
      <c r="AP83" s="2">
        <v>0</v>
      </c>
      <c r="AV83" s="2">
        <v>0</v>
      </c>
      <c r="AW83" s="2">
        <f t="shared" si="9"/>
        <v>0</v>
      </c>
      <c r="AX83" s="2">
        <f t="shared" si="10"/>
        <v>1</v>
      </c>
      <c r="AY83" s="2">
        <v>0</v>
      </c>
      <c r="AZ83" s="2">
        <v>0</v>
      </c>
      <c r="BA83" s="2">
        <v>0</v>
      </c>
      <c r="BB83" s="2" t="s">
        <v>206</v>
      </c>
    </row>
    <row r="84" spans="1:54" s="2" customFormat="1">
      <c r="A84" s="8">
        <v>103</v>
      </c>
      <c r="B84" s="5">
        <v>45390</v>
      </c>
      <c r="C84" s="6">
        <v>45488</v>
      </c>
      <c r="D84" s="11">
        <f t="shared" si="6"/>
        <v>98</v>
      </c>
      <c r="E84" s="2">
        <v>51</v>
      </c>
      <c r="F84" s="2">
        <v>1</v>
      </c>
      <c r="G84" s="2">
        <v>2</v>
      </c>
      <c r="H84" s="2">
        <v>1</v>
      </c>
      <c r="I84" s="2">
        <v>0</v>
      </c>
      <c r="J84" s="2">
        <v>0</v>
      </c>
      <c r="K84" s="2">
        <v>0</v>
      </c>
      <c r="L84" s="2">
        <v>1</v>
      </c>
      <c r="M84" s="2">
        <v>0</v>
      </c>
      <c r="N84" s="2">
        <v>1</v>
      </c>
      <c r="O84" s="2" t="s">
        <v>72</v>
      </c>
      <c r="P84" t="s">
        <v>179</v>
      </c>
      <c r="Q84" s="2">
        <v>0</v>
      </c>
      <c r="R84" s="2">
        <v>1</v>
      </c>
      <c r="S84" s="5">
        <v>45390</v>
      </c>
      <c r="T84" s="5">
        <v>45390</v>
      </c>
      <c r="U84" s="28">
        <f t="shared" si="7"/>
        <v>0</v>
      </c>
      <c r="V84" s="2">
        <v>1</v>
      </c>
      <c r="W84" s="2">
        <v>0</v>
      </c>
      <c r="X84" s="2">
        <v>0</v>
      </c>
      <c r="Y84" s="2">
        <v>1</v>
      </c>
      <c r="Z84" s="2">
        <v>0</v>
      </c>
      <c r="AA84" s="2">
        <v>0</v>
      </c>
      <c r="AB84" s="2">
        <v>0</v>
      </c>
      <c r="AC84" s="2">
        <v>0</v>
      </c>
      <c r="AD84" s="2">
        <v>0</v>
      </c>
      <c r="AE84" s="2">
        <v>1</v>
      </c>
      <c r="AF84" s="2" t="s">
        <v>55</v>
      </c>
      <c r="AG84" s="2">
        <v>0</v>
      </c>
      <c r="AH84" s="2">
        <v>0</v>
      </c>
      <c r="AI84" s="2">
        <v>1</v>
      </c>
      <c r="AJ84" s="2">
        <v>1</v>
      </c>
      <c r="AK84" s="11">
        <v>1</v>
      </c>
      <c r="AL84" s="5">
        <v>45391</v>
      </c>
      <c r="AM84" s="2">
        <v>0</v>
      </c>
      <c r="AN84" s="2">
        <v>0</v>
      </c>
      <c r="AO84" s="2">
        <f t="shared" si="8"/>
        <v>1</v>
      </c>
      <c r="AP84" s="2">
        <v>0</v>
      </c>
      <c r="AV84" s="2">
        <v>1</v>
      </c>
      <c r="AW84" s="2">
        <f t="shared" si="9"/>
        <v>0</v>
      </c>
      <c r="AX84" s="2">
        <f t="shared" si="10"/>
        <v>1</v>
      </c>
      <c r="AY84" s="2">
        <v>0</v>
      </c>
      <c r="AZ84" s="2">
        <v>0</v>
      </c>
      <c r="BA84" s="2">
        <v>0</v>
      </c>
      <c r="BB84" s="2" t="s">
        <v>221</v>
      </c>
    </row>
    <row r="85" spans="1:54" s="2" customFormat="1">
      <c r="A85" s="2">
        <v>104</v>
      </c>
      <c r="B85" s="5">
        <v>45392</v>
      </c>
      <c r="C85" s="5">
        <v>45394</v>
      </c>
      <c r="D85" s="2">
        <f t="shared" si="6"/>
        <v>2</v>
      </c>
      <c r="E85" s="2">
        <v>32</v>
      </c>
      <c r="F85" s="2">
        <v>1</v>
      </c>
      <c r="G85" s="2">
        <v>2</v>
      </c>
      <c r="H85" s="2">
        <v>0</v>
      </c>
      <c r="I85" s="2">
        <v>0</v>
      </c>
      <c r="J85" s="2">
        <v>0</v>
      </c>
      <c r="K85" s="2">
        <v>0</v>
      </c>
      <c r="L85" s="2">
        <v>0</v>
      </c>
      <c r="M85" s="2">
        <v>0</v>
      </c>
      <c r="N85" s="2">
        <v>0</v>
      </c>
      <c r="P85" t="s">
        <v>179</v>
      </c>
      <c r="Q85" s="2">
        <v>0</v>
      </c>
      <c r="R85" s="2">
        <v>1</v>
      </c>
      <c r="S85" s="5">
        <v>45392</v>
      </c>
      <c r="T85" s="5">
        <v>45392</v>
      </c>
      <c r="U85" s="28">
        <f t="shared" si="7"/>
        <v>0</v>
      </c>
      <c r="V85" s="2">
        <v>0</v>
      </c>
      <c r="W85" s="2">
        <v>0</v>
      </c>
      <c r="X85" s="2">
        <v>0</v>
      </c>
      <c r="Y85" s="2">
        <v>0</v>
      </c>
      <c r="Z85" s="2">
        <v>0</v>
      </c>
      <c r="AA85" s="2">
        <v>0</v>
      </c>
      <c r="AB85" s="2">
        <v>0</v>
      </c>
      <c r="AC85" s="2">
        <v>0</v>
      </c>
      <c r="AD85" s="2">
        <v>0</v>
      </c>
      <c r="AE85" s="2">
        <v>0</v>
      </c>
      <c r="AG85" s="2">
        <v>0</v>
      </c>
      <c r="AH85" s="2">
        <v>0</v>
      </c>
      <c r="AI85" s="2">
        <v>1</v>
      </c>
      <c r="AJ85" s="2">
        <v>1</v>
      </c>
      <c r="AK85" s="2">
        <v>0</v>
      </c>
      <c r="AP85" s="2">
        <v>0</v>
      </c>
      <c r="AV85" s="2">
        <v>0</v>
      </c>
      <c r="AW85" s="2">
        <f t="shared" si="9"/>
        <v>0</v>
      </c>
      <c r="AX85" s="2">
        <f t="shared" si="10"/>
        <v>1</v>
      </c>
      <c r="AY85" s="2">
        <v>0</v>
      </c>
      <c r="AZ85" s="2">
        <v>0</v>
      </c>
      <c r="BA85" s="2">
        <v>0</v>
      </c>
      <c r="BB85" s="2" t="s">
        <v>206</v>
      </c>
    </row>
    <row r="86" spans="1:54" s="2" customFormat="1">
      <c r="A86" s="2">
        <v>105</v>
      </c>
      <c r="B86" s="5">
        <v>45395</v>
      </c>
      <c r="C86" s="5">
        <v>45401</v>
      </c>
      <c r="D86" s="2">
        <f t="shared" si="6"/>
        <v>6</v>
      </c>
      <c r="E86" s="2">
        <v>81</v>
      </c>
      <c r="F86" s="2">
        <v>2</v>
      </c>
      <c r="G86" s="2">
        <v>2</v>
      </c>
      <c r="H86" s="2">
        <v>0</v>
      </c>
      <c r="I86" s="2">
        <v>0</v>
      </c>
      <c r="J86" s="2">
        <v>0</v>
      </c>
      <c r="K86" s="2">
        <v>0</v>
      </c>
      <c r="L86" s="2">
        <v>0</v>
      </c>
      <c r="M86" s="2">
        <v>0</v>
      </c>
      <c r="N86" s="2">
        <v>1</v>
      </c>
      <c r="O86" s="2" t="s">
        <v>70</v>
      </c>
      <c r="P86" t="s">
        <v>179</v>
      </c>
      <c r="Q86" s="2">
        <v>0</v>
      </c>
      <c r="R86" s="2">
        <v>1</v>
      </c>
      <c r="S86" s="5">
        <v>45395</v>
      </c>
      <c r="T86" s="5">
        <v>45395</v>
      </c>
      <c r="U86" s="28">
        <f t="shared" si="7"/>
        <v>0</v>
      </c>
      <c r="V86" s="2">
        <v>1</v>
      </c>
      <c r="W86" s="2">
        <v>0</v>
      </c>
      <c r="X86" s="2">
        <v>0</v>
      </c>
      <c r="Y86" s="2">
        <v>0</v>
      </c>
      <c r="Z86" s="2">
        <v>0</v>
      </c>
      <c r="AA86" s="2">
        <v>0</v>
      </c>
      <c r="AB86" s="2">
        <v>0</v>
      </c>
      <c r="AC86" s="2">
        <v>1</v>
      </c>
      <c r="AD86" s="2">
        <v>0</v>
      </c>
      <c r="AE86" s="2">
        <v>1</v>
      </c>
      <c r="AF86" s="2" t="s">
        <v>91</v>
      </c>
      <c r="AG86" s="2">
        <v>0</v>
      </c>
      <c r="AH86" s="2">
        <v>0</v>
      </c>
      <c r="AI86" s="2">
        <v>1</v>
      </c>
      <c r="AJ86" s="2">
        <v>1</v>
      </c>
      <c r="AK86" s="2">
        <v>1</v>
      </c>
      <c r="AL86" s="5">
        <v>45399</v>
      </c>
      <c r="AM86" s="2">
        <v>0</v>
      </c>
      <c r="AN86" s="2">
        <v>0</v>
      </c>
      <c r="AO86" s="2">
        <f t="shared" si="8"/>
        <v>4</v>
      </c>
      <c r="AP86" s="2">
        <v>0</v>
      </c>
      <c r="AV86" s="2">
        <v>0</v>
      </c>
      <c r="AW86" s="2">
        <f t="shared" si="9"/>
        <v>1</v>
      </c>
      <c r="AX86" s="2">
        <f t="shared" si="10"/>
        <v>1</v>
      </c>
      <c r="AY86" s="2">
        <v>0</v>
      </c>
      <c r="AZ86" s="2">
        <v>0</v>
      </c>
      <c r="BA86" s="2">
        <v>0</v>
      </c>
      <c r="BB86" s="2" t="s">
        <v>223</v>
      </c>
    </row>
    <row r="87" spans="1:54" s="2" customFormat="1">
      <c r="A87" s="2">
        <v>106</v>
      </c>
      <c r="B87" s="5">
        <v>45396</v>
      </c>
      <c r="C87" s="5">
        <v>45412</v>
      </c>
      <c r="D87" s="2">
        <f t="shared" si="6"/>
        <v>16</v>
      </c>
      <c r="E87" s="2">
        <v>66</v>
      </c>
      <c r="F87" s="2">
        <v>1</v>
      </c>
      <c r="G87" s="2">
        <v>2</v>
      </c>
      <c r="H87" s="2">
        <v>0</v>
      </c>
      <c r="I87" s="2">
        <v>0</v>
      </c>
      <c r="J87" s="2">
        <v>0</v>
      </c>
      <c r="K87" s="2">
        <v>0</v>
      </c>
      <c r="L87" s="2">
        <v>0</v>
      </c>
      <c r="M87" s="2">
        <v>0</v>
      </c>
      <c r="N87" s="2">
        <v>0</v>
      </c>
      <c r="P87" t="s">
        <v>215</v>
      </c>
      <c r="Q87" s="2">
        <v>1</v>
      </c>
      <c r="R87" s="2">
        <v>2</v>
      </c>
      <c r="S87" s="5">
        <v>45396</v>
      </c>
      <c r="T87" s="5">
        <v>45397</v>
      </c>
      <c r="U87" s="28">
        <f t="shared" si="7"/>
        <v>1</v>
      </c>
      <c r="V87" s="2">
        <v>0</v>
      </c>
      <c r="W87" s="2">
        <v>0</v>
      </c>
      <c r="X87" s="2">
        <v>0</v>
      </c>
      <c r="Y87" s="2">
        <v>0</v>
      </c>
      <c r="Z87" s="2">
        <v>0</v>
      </c>
      <c r="AA87" s="2">
        <v>0</v>
      </c>
      <c r="AB87" s="2">
        <v>0</v>
      </c>
      <c r="AC87" s="2">
        <v>0</v>
      </c>
      <c r="AD87" s="2">
        <v>0</v>
      </c>
      <c r="AE87" s="2">
        <v>1</v>
      </c>
      <c r="AF87" s="2" t="s">
        <v>91</v>
      </c>
      <c r="AG87" s="2">
        <v>0</v>
      </c>
      <c r="AH87" s="2">
        <v>1</v>
      </c>
      <c r="AI87" s="2">
        <v>1</v>
      </c>
      <c r="AJ87" s="2">
        <v>1</v>
      </c>
      <c r="AK87" s="2">
        <v>1</v>
      </c>
      <c r="AL87" s="5">
        <v>45401</v>
      </c>
      <c r="AM87" s="2">
        <v>0</v>
      </c>
      <c r="AN87" s="2">
        <v>0</v>
      </c>
      <c r="AO87" s="2">
        <f t="shared" si="8"/>
        <v>5</v>
      </c>
      <c r="AP87" s="2">
        <v>0</v>
      </c>
      <c r="AV87" s="2">
        <v>0</v>
      </c>
      <c r="AW87" s="2">
        <f t="shared" si="9"/>
        <v>0</v>
      </c>
      <c r="AX87" s="2">
        <f t="shared" si="10"/>
        <v>1</v>
      </c>
      <c r="AY87" s="2">
        <v>0</v>
      </c>
      <c r="AZ87" s="2">
        <v>0</v>
      </c>
      <c r="BA87" s="2">
        <v>0</v>
      </c>
      <c r="BB87" s="2" t="s">
        <v>206</v>
      </c>
    </row>
    <row r="88" spans="1:54" s="2" customFormat="1">
      <c r="A88" s="2">
        <v>107</v>
      </c>
      <c r="B88" s="5">
        <v>45398</v>
      </c>
      <c r="C88" s="5">
        <v>45401</v>
      </c>
      <c r="D88" s="2">
        <f t="shared" si="6"/>
        <v>3</v>
      </c>
      <c r="E88" s="2">
        <v>79</v>
      </c>
      <c r="F88" s="2">
        <v>1</v>
      </c>
      <c r="G88" s="2">
        <v>2</v>
      </c>
      <c r="H88" s="2">
        <v>1</v>
      </c>
      <c r="I88" s="2">
        <v>0</v>
      </c>
      <c r="J88" s="2">
        <v>1</v>
      </c>
      <c r="K88" s="2">
        <v>0</v>
      </c>
      <c r="L88" s="2">
        <v>0</v>
      </c>
      <c r="M88" s="2">
        <v>0</v>
      </c>
      <c r="N88" s="2">
        <v>1</v>
      </c>
      <c r="O88" s="2" t="s">
        <v>224</v>
      </c>
      <c r="P88" t="s">
        <v>179</v>
      </c>
      <c r="Q88" s="2">
        <v>0</v>
      </c>
      <c r="R88" s="2">
        <v>1</v>
      </c>
      <c r="S88" s="5">
        <v>45398</v>
      </c>
      <c r="T88" s="5">
        <v>45398</v>
      </c>
      <c r="U88" s="28">
        <f t="shared" si="7"/>
        <v>0</v>
      </c>
      <c r="V88" s="2">
        <v>0</v>
      </c>
      <c r="W88" s="2">
        <v>0</v>
      </c>
      <c r="X88" s="2">
        <v>0</v>
      </c>
      <c r="Y88" s="2">
        <v>0</v>
      </c>
      <c r="Z88" s="2">
        <v>0</v>
      </c>
      <c r="AA88" s="2">
        <v>0</v>
      </c>
      <c r="AB88" s="2">
        <v>0</v>
      </c>
      <c r="AC88" s="2">
        <v>0</v>
      </c>
      <c r="AD88" s="2">
        <v>0</v>
      </c>
      <c r="AE88" s="2">
        <v>1</v>
      </c>
      <c r="AF88" s="2" t="s">
        <v>117</v>
      </c>
      <c r="AG88" s="2">
        <v>0</v>
      </c>
      <c r="AH88" s="2">
        <v>0</v>
      </c>
      <c r="AI88" s="2">
        <v>1</v>
      </c>
      <c r="AJ88" s="2">
        <v>1</v>
      </c>
      <c r="AK88" s="11">
        <v>1</v>
      </c>
      <c r="AL88" s="5">
        <v>45400</v>
      </c>
      <c r="AM88" s="2">
        <v>0</v>
      </c>
      <c r="AN88" s="2">
        <v>0</v>
      </c>
      <c r="AO88" s="2">
        <f t="shared" si="8"/>
        <v>2</v>
      </c>
      <c r="AP88" s="2">
        <v>0</v>
      </c>
      <c r="AV88" s="2">
        <v>0</v>
      </c>
      <c r="AW88" s="2">
        <f t="shared" si="9"/>
        <v>0</v>
      </c>
      <c r="AX88" s="2">
        <f t="shared" si="10"/>
        <v>1</v>
      </c>
      <c r="AY88" s="2">
        <v>0</v>
      </c>
      <c r="AZ88" s="2">
        <v>0</v>
      </c>
      <c r="BA88" s="2">
        <v>1</v>
      </c>
      <c r="BB88" s="2" t="s">
        <v>206</v>
      </c>
    </row>
    <row r="89" spans="1:54" s="2" customFormat="1">
      <c r="A89" s="2">
        <v>109</v>
      </c>
      <c r="B89" s="5">
        <v>45365</v>
      </c>
      <c r="C89" s="5">
        <v>45420</v>
      </c>
      <c r="D89" s="2">
        <f t="shared" si="6"/>
        <v>55</v>
      </c>
      <c r="E89" s="2">
        <v>38</v>
      </c>
      <c r="F89" s="2">
        <v>1</v>
      </c>
      <c r="G89" s="2">
        <v>2</v>
      </c>
      <c r="H89" s="2">
        <v>0</v>
      </c>
      <c r="I89" s="2">
        <v>0</v>
      </c>
      <c r="J89" s="2">
        <v>0</v>
      </c>
      <c r="K89" s="2">
        <v>0</v>
      </c>
      <c r="L89" s="2">
        <v>0</v>
      </c>
      <c r="M89" s="2">
        <v>0</v>
      </c>
      <c r="N89" s="2">
        <v>0</v>
      </c>
      <c r="P89" t="s">
        <v>179</v>
      </c>
      <c r="Q89" s="2">
        <v>0</v>
      </c>
      <c r="R89" s="2">
        <v>1</v>
      </c>
      <c r="S89" s="5">
        <v>45400</v>
      </c>
      <c r="T89" s="5">
        <v>45400</v>
      </c>
      <c r="U89" s="28">
        <f t="shared" si="7"/>
        <v>0</v>
      </c>
      <c r="V89" s="2">
        <v>0</v>
      </c>
      <c r="W89" s="2">
        <v>0</v>
      </c>
      <c r="X89" s="2">
        <v>0</v>
      </c>
      <c r="Y89" s="2">
        <v>0</v>
      </c>
      <c r="Z89" s="2">
        <v>0</v>
      </c>
      <c r="AA89" s="2">
        <v>0</v>
      </c>
      <c r="AB89" s="2">
        <v>0</v>
      </c>
      <c r="AC89" s="2">
        <v>0</v>
      </c>
      <c r="AD89" s="2">
        <v>0</v>
      </c>
      <c r="AE89" s="2">
        <v>1</v>
      </c>
      <c r="AF89" s="2" t="s">
        <v>91</v>
      </c>
      <c r="AG89" s="2">
        <v>0</v>
      </c>
      <c r="AH89" s="2">
        <v>1</v>
      </c>
      <c r="AI89" s="2">
        <v>1</v>
      </c>
      <c r="AJ89" s="2">
        <v>1</v>
      </c>
      <c r="AK89" s="2">
        <v>0</v>
      </c>
      <c r="AP89" s="2">
        <v>0</v>
      </c>
      <c r="AV89" s="2">
        <v>1</v>
      </c>
      <c r="AW89" s="2">
        <f t="shared" si="9"/>
        <v>0</v>
      </c>
      <c r="AX89" s="2">
        <f t="shared" si="10"/>
        <v>1</v>
      </c>
      <c r="AY89" s="2">
        <v>0</v>
      </c>
      <c r="AZ89" s="2">
        <v>0</v>
      </c>
      <c r="BA89" s="2">
        <v>0</v>
      </c>
      <c r="BB89" s="2" t="s">
        <v>227</v>
      </c>
    </row>
    <row r="90" spans="1:54" s="2" customFormat="1">
      <c r="A90" s="8">
        <v>110</v>
      </c>
      <c r="B90" s="5">
        <v>45402</v>
      </c>
      <c r="C90" s="6">
        <v>45408</v>
      </c>
      <c r="D90" s="2">
        <f t="shared" si="6"/>
        <v>6</v>
      </c>
      <c r="E90" s="2">
        <v>86</v>
      </c>
      <c r="F90" s="2">
        <v>2</v>
      </c>
      <c r="G90" s="2">
        <v>2</v>
      </c>
      <c r="H90" s="2">
        <v>0</v>
      </c>
      <c r="I90" s="2">
        <v>0</v>
      </c>
      <c r="J90" s="2">
        <v>0</v>
      </c>
      <c r="K90" s="2">
        <v>0</v>
      </c>
      <c r="L90" s="2">
        <v>0</v>
      </c>
      <c r="M90" s="2">
        <v>0</v>
      </c>
      <c r="N90" s="2">
        <v>0</v>
      </c>
      <c r="P90" t="s">
        <v>195</v>
      </c>
      <c r="Q90" s="2">
        <v>0</v>
      </c>
      <c r="R90" s="2">
        <v>1</v>
      </c>
      <c r="S90" s="5">
        <v>45402</v>
      </c>
      <c r="T90" s="5">
        <v>45402</v>
      </c>
      <c r="U90" s="28">
        <f t="shared" si="7"/>
        <v>0</v>
      </c>
      <c r="V90" s="2">
        <v>0</v>
      </c>
      <c r="W90" s="2">
        <v>0</v>
      </c>
      <c r="X90" s="2">
        <v>0</v>
      </c>
      <c r="Y90" s="2">
        <v>0</v>
      </c>
      <c r="Z90" s="2">
        <v>0</v>
      </c>
      <c r="AA90" s="2">
        <v>0</v>
      </c>
      <c r="AB90" s="2">
        <v>0</v>
      </c>
      <c r="AC90" s="2">
        <v>0</v>
      </c>
      <c r="AD90" s="2">
        <v>0</v>
      </c>
      <c r="AE90" s="2">
        <v>1</v>
      </c>
      <c r="AF90" s="2" t="s">
        <v>91</v>
      </c>
      <c r="AG90" s="2">
        <v>0</v>
      </c>
      <c r="AH90" s="2">
        <v>1</v>
      </c>
      <c r="AI90" s="2">
        <v>1</v>
      </c>
      <c r="AJ90" s="2">
        <v>1</v>
      </c>
      <c r="AK90" s="2">
        <v>0</v>
      </c>
      <c r="AP90" s="2">
        <v>0</v>
      </c>
      <c r="AV90" s="2">
        <v>0</v>
      </c>
      <c r="AW90" s="2">
        <f t="shared" si="9"/>
        <v>0</v>
      </c>
      <c r="AX90" s="2">
        <f t="shared" si="10"/>
        <v>1</v>
      </c>
      <c r="AY90" s="2">
        <v>0</v>
      </c>
      <c r="AZ90" s="2">
        <v>0</v>
      </c>
      <c r="BA90" s="2">
        <v>0</v>
      </c>
      <c r="BB90" s="2" t="s">
        <v>206</v>
      </c>
    </row>
    <row r="91" spans="1:54" s="2" customFormat="1">
      <c r="A91" s="2">
        <v>111</v>
      </c>
      <c r="B91" s="5">
        <v>45405</v>
      </c>
      <c r="C91" s="5">
        <v>45413</v>
      </c>
      <c r="D91" s="2">
        <f t="shared" si="6"/>
        <v>8</v>
      </c>
      <c r="E91" s="2">
        <v>58</v>
      </c>
      <c r="F91" s="2">
        <v>2</v>
      </c>
      <c r="G91" s="2">
        <v>2</v>
      </c>
      <c r="H91" s="2">
        <v>1</v>
      </c>
      <c r="I91" s="2">
        <v>0</v>
      </c>
      <c r="J91" s="2">
        <v>0</v>
      </c>
      <c r="K91" s="2">
        <v>0</v>
      </c>
      <c r="L91" s="2">
        <v>0</v>
      </c>
      <c r="M91" s="2">
        <v>0</v>
      </c>
      <c r="N91" s="2">
        <v>1</v>
      </c>
      <c r="O91" s="2" t="s">
        <v>166</v>
      </c>
      <c r="P91" t="s">
        <v>215</v>
      </c>
      <c r="Q91" s="2">
        <v>0</v>
      </c>
      <c r="R91" s="2">
        <v>1</v>
      </c>
      <c r="S91" s="5">
        <v>45405</v>
      </c>
      <c r="T91" s="5">
        <v>45405</v>
      </c>
      <c r="U91" s="28">
        <f t="shared" si="7"/>
        <v>0</v>
      </c>
      <c r="V91" s="2">
        <v>0</v>
      </c>
      <c r="W91" s="2">
        <v>0</v>
      </c>
      <c r="X91" s="2">
        <v>0</v>
      </c>
      <c r="Y91" s="2">
        <v>0</v>
      </c>
      <c r="Z91" s="2">
        <v>0</v>
      </c>
      <c r="AA91" s="2">
        <v>0</v>
      </c>
      <c r="AB91" s="2">
        <v>0</v>
      </c>
      <c r="AC91" s="2">
        <v>0</v>
      </c>
      <c r="AD91" s="2">
        <v>0</v>
      </c>
      <c r="AE91" s="2">
        <v>1</v>
      </c>
      <c r="AF91" s="2" t="s">
        <v>91</v>
      </c>
      <c r="AG91" s="2">
        <v>0</v>
      </c>
      <c r="AH91" s="2">
        <v>0</v>
      </c>
      <c r="AI91" s="2">
        <v>1</v>
      </c>
      <c r="AJ91" s="2">
        <v>1</v>
      </c>
      <c r="AK91" s="2">
        <v>0</v>
      </c>
      <c r="AP91" s="2">
        <v>0</v>
      </c>
      <c r="AV91" s="2">
        <v>0</v>
      </c>
      <c r="AW91" s="2">
        <f t="shared" si="9"/>
        <v>0</v>
      </c>
      <c r="AX91" s="2">
        <f t="shared" si="10"/>
        <v>1</v>
      </c>
      <c r="AY91" s="2">
        <v>0</v>
      </c>
      <c r="AZ91" s="2">
        <v>0</v>
      </c>
      <c r="BA91" s="2">
        <v>0</v>
      </c>
      <c r="BB91" s="2" t="s">
        <v>206</v>
      </c>
    </row>
    <row r="92" spans="1:54" s="2" customFormat="1">
      <c r="A92" s="2">
        <v>112</v>
      </c>
      <c r="B92" s="5">
        <v>45406</v>
      </c>
      <c r="C92" s="5">
        <v>45412</v>
      </c>
      <c r="D92" s="2">
        <f t="shared" si="6"/>
        <v>6</v>
      </c>
      <c r="E92" s="2">
        <v>28</v>
      </c>
      <c r="F92" s="2">
        <v>1</v>
      </c>
      <c r="G92" s="2">
        <v>2</v>
      </c>
      <c r="H92" s="2">
        <v>0</v>
      </c>
      <c r="I92" s="2">
        <v>0</v>
      </c>
      <c r="J92" s="2">
        <v>0</v>
      </c>
      <c r="K92" s="2">
        <v>0</v>
      </c>
      <c r="L92" s="2">
        <v>0</v>
      </c>
      <c r="M92" s="2">
        <v>0</v>
      </c>
      <c r="N92" s="2">
        <v>0</v>
      </c>
      <c r="P92" t="s">
        <v>208</v>
      </c>
      <c r="Q92" s="2">
        <v>0</v>
      </c>
      <c r="R92" s="2">
        <v>1</v>
      </c>
      <c r="S92" s="5">
        <v>45406</v>
      </c>
      <c r="T92" s="5">
        <v>45406</v>
      </c>
      <c r="U92" s="28">
        <f t="shared" si="7"/>
        <v>0</v>
      </c>
      <c r="V92" s="2">
        <v>0</v>
      </c>
      <c r="W92" s="2">
        <v>0</v>
      </c>
      <c r="X92" s="2">
        <v>0</v>
      </c>
      <c r="Y92" s="2">
        <v>0</v>
      </c>
      <c r="Z92" s="2">
        <v>0</v>
      </c>
      <c r="AA92" s="2">
        <v>0</v>
      </c>
      <c r="AB92" s="2">
        <v>0</v>
      </c>
      <c r="AC92" s="2">
        <v>0</v>
      </c>
      <c r="AD92" s="2">
        <v>0</v>
      </c>
      <c r="AE92" s="2">
        <v>1</v>
      </c>
      <c r="AF92" s="2" t="s">
        <v>91</v>
      </c>
      <c r="AG92" s="2">
        <v>0</v>
      </c>
      <c r="AH92" s="2">
        <v>0</v>
      </c>
      <c r="AI92" s="2">
        <v>1</v>
      </c>
      <c r="AJ92" s="2">
        <v>1</v>
      </c>
      <c r="AK92" s="2">
        <v>0</v>
      </c>
      <c r="AP92" s="2">
        <v>0</v>
      </c>
      <c r="AV92" s="2">
        <v>0</v>
      </c>
      <c r="AW92" s="2">
        <f t="shared" si="9"/>
        <v>0</v>
      </c>
      <c r="AX92" s="2">
        <f t="shared" si="10"/>
        <v>1</v>
      </c>
      <c r="AY92" s="2">
        <v>0</v>
      </c>
      <c r="AZ92" s="2">
        <v>0</v>
      </c>
      <c r="BA92" s="2">
        <v>0</v>
      </c>
      <c r="BB92" s="2" t="s">
        <v>206</v>
      </c>
    </row>
    <row r="93" spans="1:54" s="2" customFormat="1">
      <c r="A93" s="2">
        <v>113</v>
      </c>
      <c r="B93" s="5">
        <v>45407</v>
      </c>
      <c r="C93" s="5">
        <v>45431</v>
      </c>
      <c r="D93" s="2">
        <f t="shared" si="6"/>
        <v>24</v>
      </c>
      <c r="E93" s="2">
        <v>89</v>
      </c>
      <c r="F93" s="2">
        <v>2</v>
      </c>
      <c r="G93" s="2">
        <v>3</v>
      </c>
      <c r="H93" s="2">
        <v>0</v>
      </c>
      <c r="I93" s="2">
        <v>0</v>
      </c>
      <c r="J93" s="2">
        <v>0</v>
      </c>
      <c r="K93" s="2">
        <v>0</v>
      </c>
      <c r="L93" s="2">
        <v>0</v>
      </c>
      <c r="M93" s="2">
        <v>0</v>
      </c>
      <c r="N93" s="2">
        <v>0</v>
      </c>
      <c r="P93" t="s">
        <v>195</v>
      </c>
      <c r="Q93" s="2">
        <v>0</v>
      </c>
      <c r="R93" s="2">
        <v>1</v>
      </c>
      <c r="S93" s="5">
        <v>45407</v>
      </c>
      <c r="T93" s="5">
        <v>45407</v>
      </c>
      <c r="U93" s="28">
        <f t="shared" si="7"/>
        <v>0</v>
      </c>
      <c r="V93" s="2">
        <v>0</v>
      </c>
      <c r="W93" s="2">
        <v>0</v>
      </c>
      <c r="X93" s="2">
        <v>0</v>
      </c>
      <c r="Y93" s="2">
        <v>0</v>
      </c>
      <c r="Z93" s="2">
        <v>0</v>
      </c>
      <c r="AA93" s="2">
        <v>0</v>
      </c>
      <c r="AB93" s="2">
        <v>0</v>
      </c>
      <c r="AC93" s="2">
        <v>0</v>
      </c>
      <c r="AD93" s="2">
        <v>0</v>
      </c>
      <c r="AE93" s="2">
        <v>1</v>
      </c>
      <c r="AF93" s="2" t="s">
        <v>217</v>
      </c>
      <c r="AG93" s="2">
        <v>0</v>
      </c>
      <c r="AH93" s="2">
        <v>0</v>
      </c>
      <c r="AI93" s="2">
        <v>1</v>
      </c>
      <c r="AJ93" s="2">
        <v>1</v>
      </c>
      <c r="AK93" s="11">
        <v>1</v>
      </c>
      <c r="AL93" s="5">
        <v>45419</v>
      </c>
      <c r="AM93" s="2">
        <v>0</v>
      </c>
      <c r="AN93" s="2">
        <v>1</v>
      </c>
      <c r="AO93" s="2">
        <f t="shared" si="8"/>
        <v>12</v>
      </c>
      <c r="AP93" s="2">
        <v>0</v>
      </c>
      <c r="AV93" s="2">
        <v>0</v>
      </c>
      <c r="AW93" s="2">
        <f t="shared" si="9"/>
        <v>0</v>
      </c>
      <c r="AX93" s="2">
        <f t="shared" si="10"/>
        <v>1</v>
      </c>
      <c r="AY93" s="2">
        <v>0</v>
      </c>
      <c r="AZ93" s="2">
        <v>0</v>
      </c>
      <c r="BA93" s="2">
        <v>0</v>
      </c>
      <c r="BB93" s="2" t="s">
        <v>228</v>
      </c>
    </row>
    <row r="94" spans="1:54" s="2" customFormat="1">
      <c r="A94" s="8">
        <v>114</v>
      </c>
      <c r="B94" s="5">
        <v>45408</v>
      </c>
      <c r="C94" s="6">
        <v>45429</v>
      </c>
      <c r="D94" s="2">
        <f t="shared" si="6"/>
        <v>21</v>
      </c>
      <c r="E94" s="2">
        <v>88</v>
      </c>
      <c r="F94" s="2">
        <v>2</v>
      </c>
      <c r="G94" s="2">
        <v>2</v>
      </c>
      <c r="H94" s="2">
        <v>1</v>
      </c>
      <c r="I94" s="2">
        <v>0</v>
      </c>
      <c r="J94" s="2">
        <v>0</v>
      </c>
      <c r="K94" s="2">
        <v>1</v>
      </c>
      <c r="L94" s="2">
        <v>0</v>
      </c>
      <c r="M94" s="2">
        <v>0</v>
      </c>
      <c r="N94" s="2">
        <v>1</v>
      </c>
      <c r="O94" s="2" t="s">
        <v>181</v>
      </c>
      <c r="P94" t="s">
        <v>179</v>
      </c>
      <c r="Q94" s="2">
        <v>0</v>
      </c>
      <c r="R94" s="2">
        <v>1</v>
      </c>
      <c r="S94" s="5">
        <v>45408</v>
      </c>
      <c r="T94" s="5">
        <v>45408</v>
      </c>
      <c r="U94" s="28">
        <f t="shared" si="7"/>
        <v>0</v>
      </c>
      <c r="V94" s="2">
        <v>0</v>
      </c>
      <c r="W94" s="2">
        <v>0</v>
      </c>
      <c r="X94" s="2">
        <v>0</v>
      </c>
      <c r="Y94" s="2">
        <v>0</v>
      </c>
      <c r="Z94" s="2">
        <v>0</v>
      </c>
      <c r="AA94" s="2">
        <v>0</v>
      </c>
      <c r="AB94" s="2">
        <v>0</v>
      </c>
      <c r="AC94" s="2">
        <v>0</v>
      </c>
      <c r="AD94" s="2">
        <v>0</v>
      </c>
      <c r="AE94" s="2">
        <v>1</v>
      </c>
      <c r="AF94" s="2" t="s">
        <v>229</v>
      </c>
      <c r="AG94" s="2">
        <v>0</v>
      </c>
      <c r="AH94" s="2">
        <v>0</v>
      </c>
      <c r="AI94" s="2">
        <v>1</v>
      </c>
      <c r="AJ94" s="2">
        <v>0</v>
      </c>
      <c r="AK94" s="2">
        <v>1</v>
      </c>
      <c r="AL94" s="5">
        <v>45419</v>
      </c>
      <c r="AM94" s="2">
        <v>0</v>
      </c>
      <c r="AN94" s="2">
        <v>1</v>
      </c>
      <c r="AO94" s="2">
        <f t="shared" si="8"/>
        <v>11</v>
      </c>
      <c r="AP94" s="2">
        <v>0</v>
      </c>
      <c r="AV94" s="2">
        <v>0</v>
      </c>
      <c r="AW94" s="2">
        <f t="shared" si="9"/>
        <v>0</v>
      </c>
      <c r="AX94" s="2">
        <f t="shared" si="10"/>
        <v>0</v>
      </c>
      <c r="AY94" s="2">
        <v>0</v>
      </c>
      <c r="AZ94" s="2">
        <v>0</v>
      </c>
      <c r="BA94" s="2">
        <v>1</v>
      </c>
      <c r="BB94" s="2" t="s">
        <v>206</v>
      </c>
    </row>
    <row r="95" spans="1:54" s="2" customFormat="1">
      <c r="A95" s="2">
        <v>115</v>
      </c>
      <c r="B95" s="5">
        <v>45409</v>
      </c>
      <c r="C95" s="5">
        <v>45413</v>
      </c>
      <c r="D95" s="2">
        <f t="shared" si="6"/>
        <v>4</v>
      </c>
      <c r="E95" s="2">
        <v>43</v>
      </c>
      <c r="F95" s="2">
        <v>2</v>
      </c>
      <c r="G95" s="2">
        <v>2</v>
      </c>
      <c r="H95" s="2">
        <v>1</v>
      </c>
      <c r="I95" s="2">
        <v>0</v>
      </c>
      <c r="J95" s="2">
        <v>0</v>
      </c>
      <c r="K95" s="2">
        <v>0</v>
      </c>
      <c r="L95" s="2">
        <v>0</v>
      </c>
      <c r="M95" s="2">
        <v>0</v>
      </c>
      <c r="N95" s="2">
        <v>1</v>
      </c>
      <c r="O95" s="2" t="s">
        <v>230</v>
      </c>
      <c r="P95" t="s">
        <v>208</v>
      </c>
      <c r="Q95" s="2">
        <v>0</v>
      </c>
      <c r="R95" s="2">
        <v>1</v>
      </c>
      <c r="S95" s="5">
        <v>45409</v>
      </c>
      <c r="T95" s="5">
        <v>45409</v>
      </c>
      <c r="U95" s="28">
        <f t="shared" si="7"/>
        <v>0</v>
      </c>
      <c r="V95" s="2">
        <v>0</v>
      </c>
      <c r="W95" s="2">
        <v>0</v>
      </c>
      <c r="X95" s="2">
        <v>0</v>
      </c>
      <c r="Y95" s="2">
        <v>0</v>
      </c>
      <c r="Z95" s="2">
        <v>0</v>
      </c>
      <c r="AA95" s="2">
        <v>0</v>
      </c>
      <c r="AB95" s="2">
        <v>0</v>
      </c>
      <c r="AC95" s="2">
        <v>0</v>
      </c>
      <c r="AD95" s="2">
        <v>0</v>
      </c>
      <c r="AE95" s="2">
        <v>1</v>
      </c>
      <c r="AF95" s="2" t="s">
        <v>91</v>
      </c>
      <c r="AG95" s="2">
        <v>0</v>
      </c>
      <c r="AH95" s="2">
        <v>0</v>
      </c>
      <c r="AI95" s="2">
        <v>1</v>
      </c>
      <c r="AJ95" s="2">
        <v>1</v>
      </c>
      <c r="AK95" s="2">
        <v>1</v>
      </c>
      <c r="AL95" s="5">
        <v>45411</v>
      </c>
      <c r="AM95" s="2">
        <v>0</v>
      </c>
      <c r="AN95" s="2">
        <v>0</v>
      </c>
      <c r="AO95" s="2">
        <f t="shared" si="8"/>
        <v>2</v>
      </c>
      <c r="AP95" s="2">
        <v>0</v>
      </c>
      <c r="AV95" s="2">
        <v>0</v>
      </c>
      <c r="AW95" s="2">
        <f t="shared" si="9"/>
        <v>0</v>
      </c>
      <c r="AX95" s="2">
        <f t="shared" si="10"/>
        <v>1</v>
      </c>
      <c r="AY95" s="2">
        <v>0</v>
      </c>
      <c r="AZ95" s="2">
        <v>0</v>
      </c>
      <c r="BA95" s="2">
        <v>0</v>
      </c>
      <c r="BB95" s="2" t="s">
        <v>206</v>
      </c>
    </row>
    <row r="96" spans="1:54" s="2" customFormat="1">
      <c r="A96" s="2">
        <v>116</v>
      </c>
      <c r="B96" s="5">
        <v>45412</v>
      </c>
      <c r="C96" s="5">
        <v>45419</v>
      </c>
      <c r="D96" s="2">
        <f t="shared" si="6"/>
        <v>7</v>
      </c>
      <c r="E96" s="2">
        <v>92</v>
      </c>
      <c r="F96" s="2">
        <v>1</v>
      </c>
      <c r="G96" s="2">
        <v>2</v>
      </c>
      <c r="H96" s="2">
        <v>0</v>
      </c>
      <c r="I96" s="2">
        <v>0</v>
      </c>
      <c r="J96" s="2">
        <v>0</v>
      </c>
      <c r="K96" s="2">
        <v>0</v>
      </c>
      <c r="L96" s="2">
        <v>0</v>
      </c>
      <c r="M96" s="2">
        <v>0</v>
      </c>
      <c r="N96" s="2">
        <v>0</v>
      </c>
      <c r="P96" t="s">
        <v>208</v>
      </c>
      <c r="Q96" s="2">
        <v>0</v>
      </c>
      <c r="R96" s="2">
        <v>1</v>
      </c>
      <c r="S96" s="5">
        <v>45412</v>
      </c>
      <c r="T96" s="5">
        <v>45412</v>
      </c>
      <c r="U96" s="28">
        <f t="shared" si="7"/>
        <v>0</v>
      </c>
      <c r="V96" s="2">
        <v>0</v>
      </c>
      <c r="W96" s="2">
        <v>0</v>
      </c>
      <c r="X96" s="2">
        <v>0</v>
      </c>
      <c r="Y96" s="2">
        <v>0</v>
      </c>
      <c r="Z96" s="2">
        <v>0</v>
      </c>
      <c r="AA96" s="2">
        <v>0</v>
      </c>
      <c r="AB96" s="2">
        <v>0</v>
      </c>
      <c r="AC96" s="2">
        <v>0</v>
      </c>
      <c r="AD96" s="2">
        <v>0</v>
      </c>
      <c r="AE96" s="2">
        <v>1</v>
      </c>
      <c r="AF96" s="2" t="s">
        <v>68</v>
      </c>
      <c r="AG96" s="2">
        <v>0</v>
      </c>
      <c r="AH96" s="2">
        <v>0</v>
      </c>
      <c r="AI96" s="2">
        <v>1</v>
      </c>
      <c r="AJ96" s="2">
        <v>1</v>
      </c>
      <c r="AK96" s="2">
        <v>0</v>
      </c>
      <c r="AP96" s="2">
        <v>0</v>
      </c>
      <c r="AV96" s="2">
        <v>0</v>
      </c>
      <c r="AW96" s="2">
        <f t="shared" si="9"/>
        <v>0</v>
      </c>
      <c r="AX96" s="2">
        <f t="shared" si="10"/>
        <v>1</v>
      </c>
      <c r="AY96" s="2">
        <v>0</v>
      </c>
      <c r="AZ96" s="2">
        <v>0</v>
      </c>
      <c r="BA96" s="2">
        <v>0</v>
      </c>
      <c r="BB96" s="2" t="s">
        <v>231</v>
      </c>
    </row>
    <row r="97" spans="1:54" s="2" customFormat="1">
      <c r="A97" s="2">
        <v>117</v>
      </c>
      <c r="B97" s="5">
        <v>45352</v>
      </c>
      <c r="C97" s="5">
        <v>45359</v>
      </c>
      <c r="D97" s="2">
        <f t="shared" si="6"/>
        <v>7</v>
      </c>
      <c r="E97" s="2">
        <v>82</v>
      </c>
      <c r="F97" s="2">
        <v>2</v>
      </c>
      <c r="G97" s="2">
        <v>2</v>
      </c>
      <c r="H97" s="2">
        <v>0</v>
      </c>
      <c r="I97" s="2">
        <v>0</v>
      </c>
      <c r="J97" s="2">
        <v>0</v>
      </c>
      <c r="K97" s="2">
        <v>0</v>
      </c>
      <c r="L97" s="2">
        <v>0</v>
      </c>
      <c r="M97" s="2">
        <v>0</v>
      </c>
      <c r="N97" s="2">
        <v>0</v>
      </c>
      <c r="P97" t="s">
        <v>208</v>
      </c>
      <c r="Q97" s="2">
        <v>0</v>
      </c>
      <c r="R97" s="2">
        <v>1</v>
      </c>
      <c r="S97" s="5">
        <v>45352</v>
      </c>
      <c r="T97" s="5">
        <v>45352</v>
      </c>
      <c r="U97" s="28">
        <f t="shared" si="7"/>
        <v>0</v>
      </c>
      <c r="V97" s="2">
        <v>0</v>
      </c>
      <c r="W97" s="2">
        <v>0</v>
      </c>
      <c r="X97" s="2">
        <v>0</v>
      </c>
      <c r="Y97" s="2">
        <v>0</v>
      </c>
      <c r="Z97" s="2">
        <v>0</v>
      </c>
      <c r="AA97" s="2">
        <v>0</v>
      </c>
      <c r="AB97" s="2">
        <v>0</v>
      </c>
      <c r="AC97" s="2">
        <v>0</v>
      </c>
      <c r="AD97" s="2">
        <v>0</v>
      </c>
      <c r="AE97" s="2">
        <v>1</v>
      </c>
      <c r="AF97" s="2" t="s">
        <v>117</v>
      </c>
      <c r="AG97" s="2">
        <v>0</v>
      </c>
      <c r="AH97" s="2">
        <v>0</v>
      </c>
      <c r="AI97" s="2">
        <v>1</v>
      </c>
      <c r="AJ97" s="2">
        <v>1</v>
      </c>
      <c r="AK97" s="2">
        <v>0</v>
      </c>
      <c r="AP97" s="2">
        <v>0</v>
      </c>
      <c r="AV97" s="2">
        <v>0</v>
      </c>
      <c r="AW97" s="2">
        <f t="shared" si="9"/>
        <v>0</v>
      </c>
      <c r="AX97" s="2">
        <f t="shared" si="10"/>
        <v>1</v>
      </c>
      <c r="AY97" s="2">
        <v>0</v>
      </c>
      <c r="AZ97" s="2">
        <v>0</v>
      </c>
      <c r="BA97" s="2">
        <v>0</v>
      </c>
      <c r="BB97" s="2" t="s">
        <v>231</v>
      </c>
    </row>
    <row r="98" spans="1:54" s="2" customFormat="1">
      <c r="A98" s="2">
        <v>118</v>
      </c>
      <c r="B98" s="5">
        <v>45353</v>
      </c>
      <c r="C98" s="5">
        <v>45360</v>
      </c>
      <c r="D98" s="2">
        <f t="shared" si="6"/>
        <v>7</v>
      </c>
      <c r="E98" s="2">
        <v>44</v>
      </c>
      <c r="F98" s="2">
        <v>2</v>
      </c>
      <c r="G98" s="2">
        <v>3</v>
      </c>
      <c r="H98" s="2">
        <v>1</v>
      </c>
      <c r="I98" s="2">
        <v>0</v>
      </c>
      <c r="J98" s="2">
        <v>0</v>
      </c>
      <c r="K98" s="2">
        <v>0</v>
      </c>
      <c r="L98" s="2">
        <v>1</v>
      </c>
      <c r="M98" s="2">
        <v>0</v>
      </c>
      <c r="N98" s="2">
        <v>0</v>
      </c>
      <c r="P98" t="s">
        <v>195</v>
      </c>
      <c r="Q98" s="2">
        <v>0</v>
      </c>
      <c r="R98" s="2">
        <v>1</v>
      </c>
      <c r="S98" s="5">
        <v>45353</v>
      </c>
      <c r="T98" s="5">
        <v>45353</v>
      </c>
      <c r="U98" s="28">
        <f t="shared" si="7"/>
        <v>0</v>
      </c>
      <c r="V98" s="2">
        <v>0</v>
      </c>
      <c r="W98" s="2">
        <v>0</v>
      </c>
      <c r="X98" s="2">
        <v>0</v>
      </c>
      <c r="Y98" s="2">
        <v>0</v>
      </c>
      <c r="Z98" s="2">
        <v>0</v>
      </c>
      <c r="AA98" s="2">
        <v>0</v>
      </c>
      <c r="AB98" s="2">
        <v>0</v>
      </c>
      <c r="AC98" s="2">
        <v>0</v>
      </c>
      <c r="AD98" s="2">
        <v>0</v>
      </c>
      <c r="AE98" s="2">
        <v>1</v>
      </c>
      <c r="AF98" s="2" t="s">
        <v>91</v>
      </c>
      <c r="AG98" s="2">
        <v>0</v>
      </c>
      <c r="AH98" s="2">
        <v>1</v>
      </c>
      <c r="AI98" s="2">
        <v>1</v>
      </c>
      <c r="AJ98" s="2">
        <v>1</v>
      </c>
      <c r="AK98" s="2">
        <v>0</v>
      </c>
      <c r="AP98" s="2">
        <v>0</v>
      </c>
      <c r="AV98" s="2">
        <v>0</v>
      </c>
      <c r="AW98" s="2">
        <f t="shared" si="9"/>
        <v>0</v>
      </c>
      <c r="AX98" s="2">
        <f t="shared" si="10"/>
        <v>1</v>
      </c>
      <c r="AY98" s="2">
        <v>0</v>
      </c>
      <c r="AZ98" s="2">
        <v>0</v>
      </c>
      <c r="BA98" s="2">
        <v>0</v>
      </c>
      <c r="BB98" s="2" t="s">
        <v>232</v>
      </c>
    </row>
    <row r="99" spans="1:54" s="2" customFormat="1">
      <c r="A99" s="2">
        <v>119</v>
      </c>
      <c r="B99" s="5">
        <v>45354</v>
      </c>
      <c r="C99" s="5">
        <v>45365</v>
      </c>
      <c r="D99" s="2">
        <f t="shared" si="6"/>
        <v>11</v>
      </c>
      <c r="E99" s="2">
        <v>65</v>
      </c>
      <c r="F99" s="2">
        <v>1</v>
      </c>
      <c r="G99" s="2">
        <v>2</v>
      </c>
      <c r="H99" s="2">
        <v>0</v>
      </c>
      <c r="I99" s="2">
        <v>0</v>
      </c>
      <c r="J99" s="2">
        <v>0</v>
      </c>
      <c r="K99" s="2">
        <v>0</v>
      </c>
      <c r="L99" s="2">
        <v>0</v>
      </c>
      <c r="M99" s="2">
        <v>0</v>
      </c>
      <c r="N99" s="2">
        <v>0</v>
      </c>
      <c r="P99" t="s">
        <v>179</v>
      </c>
      <c r="Q99" s="2">
        <v>0</v>
      </c>
      <c r="R99" s="2">
        <v>1</v>
      </c>
      <c r="S99" s="5">
        <v>45354</v>
      </c>
      <c r="T99" s="5">
        <v>45354</v>
      </c>
      <c r="U99" s="28">
        <f t="shared" si="7"/>
        <v>0</v>
      </c>
      <c r="V99" s="2">
        <v>0</v>
      </c>
      <c r="W99" s="2">
        <v>0</v>
      </c>
      <c r="X99" s="2">
        <v>0</v>
      </c>
      <c r="Y99" s="2">
        <v>0</v>
      </c>
      <c r="Z99" s="2">
        <v>0</v>
      </c>
      <c r="AA99" s="2">
        <v>0</v>
      </c>
      <c r="AB99" s="2">
        <v>0</v>
      </c>
      <c r="AC99" s="2">
        <v>0</v>
      </c>
      <c r="AD99" s="2">
        <v>0</v>
      </c>
      <c r="AE99" s="2">
        <v>1</v>
      </c>
      <c r="AF99" s="2" t="s">
        <v>233</v>
      </c>
      <c r="AG99" s="2">
        <v>0</v>
      </c>
      <c r="AH99" s="2">
        <v>0</v>
      </c>
      <c r="AI99" s="2">
        <v>1</v>
      </c>
      <c r="AJ99" s="2">
        <v>1</v>
      </c>
      <c r="AK99" s="2">
        <v>1</v>
      </c>
      <c r="AL99" s="5">
        <v>45357</v>
      </c>
      <c r="AM99" s="2">
        <v>0</v>
      </c>
      <c r="AN99" s="2">
        <v>0</v>
      </c>
      <c r="AO99" s="2">
        <f t="shared" si="8"/>
        <v>3</v>
      </c>
      <c r="AP99" s="2">
        <v>0</v>
      </c>
      <c r="AV99" s="2">
        <v>0</v>
      </c>
      <c r="AW99" s="2">
        <f t="shared" si="9"/>
        <v>0</v>
      </c>
      <c r="AX99" s="2">
        <f t="shared" si="10"/>
        <v>1</v>
      </c>
      <c r="AY99" s="2">
        <v>0</v>
      </c>
      <c r="AZ99" s="2">
        <v>0</v>
      </c>
      <c r="BA99" s="2">
        <v>0</v>
      </c>
      <c r="BB99" s="2" t="s">
        <v>206</v>
      </c>
    </row>
    <row r="100" spans="1:54" s="2" customFormat="1">
      <c r="A100" s="2">
        <v>120</v>
      </c>
      <c r="B100" s="5">
        <v>45354</v>
      </c>
      <c r="C100" s="5">
        <v>45358</v>
      </c>
      <c r="D100" s="2">
        <f t="shared" si="6"/>
        <v>4</v>
      </c>
      <c r="E100" s="2">
        <v>77</v>
      </c>
      <c r="F100" s="2">
        <v>2</v>
      </c>
      <c r="G100" s="2">
        <v>3</v>
      </c>
      <c r="H100" s="2">
        <v>0</v>
      </c>
      <c r="I100" s="2">
        <v>0</v>
      </c>
      <c r="J100" s="2">
        <v>0</v>
      </c>
      <c r="K100" s="2">
        <v>0</v>
      </c>
      <c r="L100" s="2">
        <v>0</v>
      </c>
      <c r="M100" s="2">
        <v>0</v>
      </c>
      <c r="N100" s="2">
        <v>0</v>
      </c>
      <c r="P100" t="s">
        <v>208</v>
      </c>
      <c r="Q100" s="2">
        <v>0</v>
      </c>
      <c r="R100" s="2">
        <v>1</v>
      </c>
      <c r="S100" s="5">
        <v>45354</v>
      </c>
      <c r="T100" s="5">
        <v>45354</v>
      </c>
      <c r="U100" s="28">
        <f t="shared" si="7"/>
        <v>0</v>
      </c>
      <c r="V100" s="2">
        <v>0</v>
      </c>
      <c r="W100" s="2">
        <v>0</v>
      </c>
      <c r="X100" s="2">
        <v>0</v>
      </c>
      <c r="Y100" s="2">
        <v>0</v>
      </c>
      <c r="Z100" s="2">
        <v>0</v>
      </c>
      <c r="AA100" s="2">
        <v>0</v>
      </c>
      <c r="AB100" s="2">
        <v>0</v>
      </c>
      <c r="AC100" s="2">
        <v>0</v>
      </c>
      <c r="AD100" s="2">
        <v>0</v>
      </c>
      <c r="AE100" s="2">
        <v>1</v>
      </c>
      <c r="AF100" s="2" t="s">
        <v>91</v>
      </c>
      <c r="AG100" s="2">
        <v>0</v>
      </c>
      <c r="AH100" s="2">
        <v>1</v>
      </c>
      <c r="AI100" s="2">
        <v>1</v>
      </c>
      <c r="AJ100" s="2">
        <v>1</v>
      </c>
      <c r="AK100" s="2">
        <v>1</v>
      </c>
      <c r="AL100" s="5">
        <v>45357</v>
      </c>
      <c r="AM100" s="2">
        <v>0</v>
      </c>
      <c r="AN100" s="2">
        <v>0</v>
      </c>
      <c r="AO100" s="2">
        <f t="shared" si="8"/>
        <v>3</v>
      </c>
      <c r="AP100" s="2">
        <v>0</v>
      </c>
      <c r="AV100" s="2">
        <v>0</v>
      </c>
      <c r="AW100" s="2">
        <f t="shared" si="9"/>
        <v>0</v>
      </c>
      <c r="AX100" s="2">
        <f t="shared" si="10"/>
        <v>1</v>
      </c>
      <c r="AY100" s="2">
        <v>0</v>
      </c>
      <c r="AZ100" s="2">
        <v>0</v>
      </c>
      <c r="BA100" s="2">
        <v>0</v>
      </c>
      <c r="BB100" s="2" t="s">
        <v>206</v>
      </c>
    </row>
    <row r="101" spans="1:54" s="2" customFormat="1">
      <c r="A101" s="2">
        <v>121</v>
      </c>
      <c r="B101" s="5">
        <v>45356</v>
      </c>
      <c r="C101" s="5">
        <v>45363</v>
      </c>
      <c r="D101" s="2">
        <f t="shared" si="6"/>
        <v>7</v>
      </c>
      <c r="E101" s="2">
        <v>70</v>
      </c>
      <c r="F101" s="2">
        <v>1</v>
      </c>
      <c r="G101" s="2">
        <v>2</v>
      </c>
      <c r="H101" s="2">
        <v>0</v>
      </c>
      <c r="I101" s="2">
        <v>0</v>
      </c>
      <c r="J101" s="2">
        <v>0</v>
      </c>
      <c r="K101" s="2">
        <v>0</v>
      </c>
      <c r="L101" s="2">
        <v>0</v>
      </c>
      <c r="M101" s="2">
        <v>0</v>
      </c>
      <c r="N101" s="2">
        <v>0</v>
      </c>
      <c r="P101" t="s">
        <v>179</v>
      </c>
      <c r="Q101" s="2">
        <v>0</v>
      </c>
      <c r="R101" s="2">
        <v>1</v>
      </c>
      <c r="S101" s="5">
        <v>45356</v>
      </c>
      <c r="T101" s="5">
        <v>45356</v>
      </c>
      <c r="U101" s="28">
        <f t="shared" si="7"/>
        <v>0</v>
      </c>
      <c r="V101" s="2">
        <v>0</v>
      </c>
      <c r="W101" s="2">
        <v>0</v>
      </c>
      <c r="X101" s="2">
        <v>0</v>
      </c>
      <c r="Y101" s="2">
        <v>0</v>
      </c>
      <c r="Z101" s="2">
        <v>0</v>
      </c>
      <c r="AA101" s="2">
        <v>0</v>
      </c>
      <c r="AB101" s="2">
        <v>0</v>
      </c>
      <c r="AC101" s="2">
        <v>0</v>
      </c>
      <c r="AD101" s="2">
        <v>0</v>
      </c>
      <c r="AE101" s="2">
        <v>1</v>
      </c>
      <c r="AF101" s="2" t="s">
        <v>68</v>
      </c>
      <c r="AG101" s="2">
        <v>0</v>
      </c>
      <c r="AH101" s="2">
        <v>0</v>
      </c>
      <c r="AI101" s="2">
        <v>1</v>
      </c>
      <c r="AJ101" s="2">
        <v>1</v>
      </c>
      <c r="AK101" s="2">
        <v>1</v>
      </c>
      <c r="AL101" s="5">
        <v>45362</v>
      </c>
      <c r="AM101" s="2">
        <v>0</v>
      </c>
      <c r="AN101" s="2">
        <v>1</v>
      </c>
      <c r="AO101" s="2">
        <f t="shared" si="8"/>
        <v>6</v>
      </c>
      <c r="AP101" s="2">
        <v>0</v>
      </c>
      <c r="AV101" s="2">
        <v>0</v>
      </c>
      <c r="AW101" s="2">
        <f t="shared" si="9"/>
        <v>0</v>
      </c>
      <c r="AX101" s="2">
        <f t="shared" si="10"/>
        <v>1</v>
      </c>
      <c r="AY101" s="2">
        <v>0</v>
      </c>
      <c r="AZ101" s="2">
        <v>0</v>
      </c>
      <c r="BA101" s="2">
        <v>0</v>
      </c>
      <c r="BB101" s="2" t="s">
        <v>234</v>
      </c>
    </row>
    <row r="102" spans="1:54" s="2" customFormat="1">
      <c r="A102" s="2">
        <v>122</v>
      </c>
      <c r="B102" s="5">
        <v>45357</v>
      </c>
      <c r="C102" s="5">
        <v>45360</v>
      </c>
      <c r="D102" s="2">
        <f t="shared" si="6"/>
        <v>3</v>
      </c>
      <c r="E102" s="2">
        <v>70</v>
      </c>
      <c r="F102" s="2">
        <v>1</v>
      </c>
      <c r="G102" s="2">
        <v>3</v>
      </c>
      <c r="H102" s="2">
        <v>0</v>
      </c>
      <c r="I102" s="2">
        <v>0</v>
      </c>
      <c r="J102" s="2">
        <v>0</v>
      </c>
      <c r="K102" s="2">
        <v>0</v>
      </c>
      <c r="L102" s="2">
        <v>0</v>
      </c>
      <c r="M102" s="2">
        <v>0</v>
      </c>
      <c r="N102" s="2">
        <v>0</v>
      </c>
      <c r="P102" t="s">
        <v>195</v>
      </c>
      <c r="Q102" s="2">
        <v>0</v>
      </c>
      <c r="R102" s="2">
        <v>1</v>
      </c>
      <c r="S102" s="5">
        <v>45357</v>
      </c>
      <c r="T102" s="5">
        <v>45357</v>
      </c>
      <c r="U102" s="28">
        <f t="shared" si="7"/>
        <v>0</v>
      </c>
      <c r="V102" s="2">
        <v>0</v>
      </c>
      <c r="W102" s="2">
        <v>0</v>
      </c>
      <c r="X102" s="2">
        <v>0</v>
      </c>
      <c r="Y102" s="2">
        <v>0</v>
      </c>
      <c r="Z102" s="2">
        <v>0</v>
      </c>
      <c r="AA102" s="2">
        <v>0</v>
      </c>
      <c r="AB102" s="2">
        <v>0</v>
      </c>
      <c r="AC102" s="2">
        <v>0</v>
      </c>
      <c r="AD102" s="2">
        <v>0</v>
      </c>
      <c r="AE102" s="2">
        <v>1</v>
      </c>
      <c r="AF102" s="2" t="s">
        <v>117</v>
      </c>
      <c r="AG102" s="2">
        <v>0</v>
      </c>
      <c r="AH102" s="2">
        <v>0</v>
      </c>
      <c r="AI102" s="2">
        <v>1</v>
      </c>
      <c r="AJ102" s="2">
        <v>1</v>
      </c>
      <c r="AK102" s="2">
        <v>0</v>
      </c>
      <c r="AP102" s="2">
        <v>0</v>
      </c>
      <c r="AV102" s="2">
        <v>0</v>
      </c>
      <c r="AW102" s="2">
        <f t="shared" si="9"/>
        <v>0</v>
      </c>
      <c r="AX102" s="2">
        <f t="shared" si="10"/>
        <v>1</v>
      </c>
      <c r="AY102" s="2">
        <v>0</v>
      </c>
      <c r="AZ102" s="2">
        <v>0</v>
      </c>
      <c r="BA102" s="2">
        <v>0</v>
      </c>
      <c r="BB102" s="2" t="s">
        <v>235</v>
      </c>
    </row>
    <row r="103" spans="1:54" s="2" customFormat="1">
      <c r="A103" s="2">
        <v>123</v>
      </c>
      <c r="B103" s="5">
        <v>45359</v>
      </c>
      <c r="C103" s="5">
        <v>45362</v>
      </c>
      <c r="D103" s="2">
        <f t="shared" si="6"/>
        <v>3</v>
      </c>
      <c r="E103" s="2">
        <v>75</v>
      </c>
      <c r="F103" s="2">
        <v>1</v>
      </c>
      <c r="G103" s="2">
        <v>3</v>
      </c>
      <c r="H103" s="2">
        <v>1</v>
      </c>
      <c r="I103" s="2">
        <v>0</v>
      </c>
      <c r="J103" s="2">
        <v>0</v>
      </c>
      <c r="K103" s="2">
        <v>0</v>
      </c>
      <c r="L103" s="2">
        <v>0</v>
      </c>
      <c r="M103" s="2">
        <v>0</v>
      </c>
      <c r="N103" s="2">
        <v>1</v>
      </c>
      <c r="O103" s="2" t="s">
        <v>70</v>
      </c>
      <c r="P103" t="s">
        <v>195</v>
      </c>
      <c r="Q103" s="2">
        <v>0</v>
      </c>
      <c r="R103" s="2">
        <v>1</v>
      </c>
      <c r="S103" s="5">
        <v>45359</v>
      </c>
      <c r="T103" s="5">
        <v>45359</v>
      </c>
      <c r="U103" s="28">
        <f t="shared" si="7"/>
        <v>0</v>
      </c>
      <c r="V103" s="2">
        <v>0</v>
      </c>
      <c r="W103" s="2">
        <v>0</v>
      </c>
      <c r="X103" s="2">
        <v>0</v>
      </c>
      <c r="Y103" s="2">
        <v>0</v>
      </c>
      <c r="Z103" s="2">
        <v>0</v>
      </c>
      <c r="AA103" s="2">
        <v>0</v>
      </c>
      <c r="AB103" s="2">
        <v>0</v>
      </c>
      <c r="AC103" s="2">
        <v>0</v>
      </c>
      <c r="AD103" s="2">
        <v>0</v>
      </c>
      <c r="AE103" s="2">
        <v>1</v>
      </c>
      <c r="AF103" s="2" t="s">
        <v>117</v>
      </c>
      <c r="AG103" s="2">
        <v>0</v>
      </c>
      <c r="AH103" s="2">
        <v>0</v>
      </c>
      <c r="AI103" s="2">
        <v>1</v>
      </c>
      <c r="AJ103" s="2">
        <v>1</v>
      </c>
      <c r="AK103" s="11">
        <v>1</v>
      </c>
      <c r="AL103" s="5">
        <v>45361</v>
      </c>
      <c r="AM103" s="2">
        <v>0</v>
      </c>
      <c r="AN103" s="2">
        <v>1</v>
      </c>
      <c r="AO103" s="2">
        <f t="shared" si="8"/>
        <v>2</v>
      </c>
      <c r="AP103" s="2">
        <v>0</v>
      </c>
      <c r="AV103" s="2">
        <v>0</v>
      </c>
      <c r="AW103" s="2">
        <f t="shared" si="9"/>
        <v>0</v>
      </c>
      <c r="AX103" s="2">
        <f t="shared" si="10"/>
        <v>1</v>
      </c>
      <c r="AY103" s="2">
        <v>0</v>
      </c>
      <c r="AZ103" s="2">
        <v>0</v>
      </c>
      <c r="BA103" s="2">
        <v>0</v>
      </c>
      <c r="BB103" s="2" t="s">
        <v>236</v>
      </c>
    </row>
    <row r="104" spans="1:54" s="2" customFormat="1">
      <c r="A104" s="2">
        <v>124</v>
      </c>
      <c r="B104" s="5">
        <v>45359</v>
      </c>
      <c r="C104" s="5">
        <v>45362</v>
      </c>
      <c r="D104" s="2">
        <f t="shared" si="6"/>
        <v>3</v>
      </c>
      <c r="E104" s="2">
        <v>60</v>
      </c>
      <c r="F104" s="2">
        <v>2</v>
      </c>
      <c r="G104" s="2">
        <v>3</v>
      </c>
      <c r="H104" s="2">
        <v>0</v>
      </c>
      <c r="I104" s="2">
        <v>0</v>
      </c>
      <c r="J104" s="2">
        <v>0</v>
      </c>
      <c r="K104" s="2">
        <v>0</v>
      </c>
      <c r="L104" s="2">
        <v>0</v>
      </c>
      <c r="M104" s="2">
        <v>0</v>
      </c>
      <c r="N104" s="2">
        <v>0</v>
      </c>
      <c r="P104" t="s">
        <v>195</v>
      </c>
      <c r="Q104" s="2">
        <v>0</v>
      </c>
      <c r="R104" s="2">
        <v>1</v>
      </c>
      <c r="S104" s="5">
        <v>45359</v>
      </c>
      <c r="T104" s="5">
        <v>45359</v>
      </c>
      <c r="U104" s="28">
        <f t="shared" si="7"/>
        <v>0</v>
      </c>
      <c r="V104" s="2">
        <v>0</v>
      </c>
      <c r="W104" s="2">
        <v>0</v>
      </c>
      <c r="X104" s="2">
        <v>0</v>
      </c>
      <c r="Y104" s="2">
        <v>0</v>
      </c>
      <c r="Z104" s="2">
        <v>0</v>
      </c>
      <c r="AA104" s="2">
        <v>0</v>
      </c>
      <c r="AB104" s="2">
        <v>0</v>
      </c>
      <c r="AC104" s="2">
        <v>0</v>
      </c>
      <c r="AD104" s="2">
        <v>0</v>
      </c>
      <c r="AE104" s="2">
        <v>1</v>
      </c>
      <c r="AF104" s="2" t="s">
        <v>117</v>
      </c>
      <c r="AG104" s="2">
        <v>0</v>
      </c>
      <c r="AH104" s="2">
        <v>0</v>
      </c>
      <c r="AI104" s="2">
        <v>1</v>
      </c>
      <c r="AJ104" s="2">
        <v>1</v>
      </c>
      <c r="AK104" s="2">
        <v>0</v>
      </c>
      <c r="AP104" s="2">
        <v>0</v>
      </c>
      <c r="AV104" s="2">
        <v>0</v>
      </c>
      <c r="AW104" s="2">
        <f t="shared" si="9"/>
        <v>0</v>
      </c>
      <c r="AX104" s="2">
        <f t="shared" si="10"/>
        <v>1</v>
      </c>
      <c r="AY104" s="2">
        <v>0</v>
      </c>
      <c r="AZ104" s="2">
        <v>0</v>
      </c>
      <c r="BA104" s="2">
        <v>0</v>
      </c>
      <c r="BB104" s="2" t="s">
        <v>206</v>
      </c>
    </row>
    <row r="105" spans="1:54" s="2" customFormat="1">
      <c r="A105" s="2">
        <v>125</v>
      </c>
      <c r="B105" s="5">
        <v>45361</v>
      </c>
      <c r="C105" s="5">
        <v>45373</v>
      </c>
      <c r="D105" s="2">
        <f t="shared" si="6"/>
        <v>12</v>
      </c>
      <c r="E105" s="2">
        <v>71</v>
      </c>
      <c r="F105" s="2">
        <v>1</v>
      </c>
      <c r="G105" s="2">
        <v>2</v>
      </c>
      <c r="H105" s="2">
        <v>1</v>
      </c>
      <c r="I105" s="2">
        <v>0</v>
      </c>
      <c r="J105" s="2">
        <v>0</v>
      </c>
      <c r="K105" s="2">
        <v>0</v>
      </c>
      <c r="L105" s="2">
        <v>1</v>
      </c>
      <c r="M105" s="2">
        <v>0</v>
      </c>
      <c r="N105" s="2">
        <v>0</v>
      </c>
      <c r="P105" t="s">
        <v>179</v>
      </c>
      <c r="Q105" s="2">
        <v>0</v>
      </c>
      <c r="R105" s="2">
        <v>1</v>
      </c>
      <c r="S105" s="5">
        <v>45361</v>
      </c>
      <c r="T105" s="5">
        <v>45361</v>
      </c>
      <c r="U105" s="28">
        <f t="shared" si="7"/>
        <v>0</v>
      </c>
      <c r="V105" s="2">
        <v>1</v>
      </c>
      <c r="W105" s="2">
        <v>0</v>
      </c>
      <c r="X105" s="2">
        <v>0</v>
      </c>
      <c r="Y105" s="2">
        <v>1</v>
      </c>
      <c r="Z105" s="2">
        <v>0</v>
      </c>
      <c r="AA105" s="2">
        <v>0</v>
      </c>
      <c r="AB105" s="2">
        <v>0</v>
      </c>
      <c r="AC105" s="2">
        <v>0</v>
      </c>
      <c r="AD105" s="2">
        <v>0</v>
      </c>
      <c r="AE105" s="2">
        <v>1</v>
      </c>
      <c r="AF105" s="2" t="s">
        <v>237</v>
      </c>
      <c r="AG105" s="2">
        <v>0</v>
      </c>
      <c r="AH105" s="2">
        <v>1</v>
      </c>
      <c r="AI105" s="2">
        <v>1</v>
      </c>
      <c r="AJ105" s="2">
        <v>1</v>
      </c>
      <c r="AK105" s="2">
        <v>1</v>
      </c>
      <c r="AL105" s="5">
        <v>45362</v>
      </c>
      <c r="AM105" s="2">
        <v>0</v>
      </c>
      <c r="AN105" s="2">
        <v>0</v>
      </c>
      <c r="AO105" s="2">
        <f t="shared" si="8"/>
        <v>1</v>
      </c>
      <c r="AP105" s="2">
        <v>0</v>
      </c>
      <c r="AV105" s="2">
        <v>0</v>
      </c>
      <c r="AW105" s="2">
        <f t="shared" si="9"/>
        <v>0</v>
      </c>
      <c r="AX105" s="2">
        <f t="shared" si="10"/>
        <v>1</v>
      </c>
      <c r="AY105" s="2">
        <v>0</v>
      </c>
      <c r="AZ105" s="2">
        <v>0</v>
      </c>
      <c r="BA105" s="2">
        <v>0</v>
      </c>
      <c r="BB105" s="2" t="s">
        <v>238</v>
      </c>
    </row>
    <row r="106" spans="1:54" s="2" customFormat="1">
      <c r="A106" s="2">
        <v>126</v>
      </c>
      <c r="B106" s="5">
        <v>45362</v>
      </c>
      <c r="C106" s="5">
        <v>45367</v>
      </c>
      <c r="D106" s="2">
        <f t="shared" si="6"/>
        <v>5</v>
      </c>
      <c r="E106" s="2">
        <v>80</v>
      </c>
      <c r="F106" s="2">
        <v>2</v>
      </c>
      <c r="G106" s="2">
        <v>2</v>
      </c>
      <c r="H106" s="2">
        <v>1</v>
      </c>
      <c r="I106" s="2">
        <v>0</v>
      </c>
      <c r="J106" s="2">
        <v>0</v>
      </c>
      <c r="K106" s="2">
        <v>0</v>
      </c>
      <c r="L106" s="2">
        <v>0</v>
      </c>
      <c r="M106" s="2">
        <v>0</v>
      </c>
      <c r="N106" s="2">
        <v>1</v>
      </c>
      <c r="O106" s="2" t="s">
        <v>70</v>
      </c>
      <c r="P106" t="s">
        <v>195</v>
      </c>
      <c r="Q106" s="2">
        <v>0</v>
      </c>
      <c r="R106" s="2">
        <v>1</v>
      </c>
      <c r="S106" s="5">
        <v>45362</v>
      </c>
      <c r="T106" s="5">
        <v>45362</v>
      </c>
      <c r="U106" s="28">
        <f t="shared" si="7"/>
        <v>0</v>
      </c>
      <c r="V106" s="2">
        <v>0</v>
      </c>
      <c r="W106" s="2">
        <v>0</v>
      </c>
      <c r="X106" s="2">
        <v>0</v>
      </c>
      <c r="Y106" s="2">
        <v>0</v>
      </c>
      <c r="Z106" s="2">
        <v>0</v>
      </c>
      <c r="AA106" s="2">
        <v>0</v>
      </c>
      <c r="AB106" s="2">
        <v>0</v>
      </c>
      <c r="AC106" s="2">
        <v>0</v>
      </c>
      <c r="AD106" s="2">
        <v>0</v>
      </c>
      <c r="AE106" s="2">
        <v>1</v>
      </c>
      <c r="AF106" s="2" t="s">
        <v>239</v>
      </c>
      <c r="AG106" s="2">
        <v>0</v>
      </c>
      <c r="AH106" s="2">
        <v>1</v>
      </c>
      <c r="AI106" s="2">
        <v>1</v>
      </c>
      <c r="AJ106" s="2">
        <v>0</v>
      </c>
      <c r="AK106" s="2">
        <v>1</v>
      </c>
      <c r="AL106" s="5">
        <v>45366</v>
      </c>
      <c r="AM106" s="2">
        <v>0</v>
      </c>
      <c r="AN106" s="2">
        <v>0</v>
      </c>
      <c r="AO106" s="2">
        <f t="shared" si="8"/>
        <v>4</v>
      </c>
      <c r="AP106" s="2">
        <v>0</v>
      </c>
      <c r="AV106" s="2">
        <v>0</v>
      </c>
      <c r="AW106" s="2">
        <f t="shared" si="9"/>
        <v>0</v>
      </c>
      <c r="AX106" s="2">
        <f t="shared" si="10"/>
        <v>0</v>
      </c>
      <c r="AY106" s="2">
        <v>0</v>
      </c>
      <c r="AZ106" s="2">
        <v>0</v>
      </c>
      <c r="BA106" s="2">
        <v>0</v>
      </c>
      <c r="BB106" s="2" t="s">
        <v>206</v>
      </c>
    </row>
    <row r="107" spans="1:54" s="2" customFormat="1">
      <c r="A107" s="2">
        <v>127</v>
      </c>
      <c r="B107" s="5">
        <v>45362</v>
      </c>
      <c r="C107" s="5">
        <v>45370</v>
      </c>
      <c r="D107" s="2">
        <f t="shared" si="6"/>
        <v>8</v>
      </c>
      <c r="E107" s="2">
        <v>61</v>
      </c>
      <c r="F107" s="2">
        <v>1</v>
      </c>
      <c r="G107" s="2">
        <v>3</v>
      </c>
      <c r="H107" s="2">
        <v>0</v>
      </c>
      <c r="I107" s="2">
        <v>0</v>
      </c>
      <c r="J107" s="2">
        <v>0</v>
      </c>
      <c r="K107" s="2">
        <v>0</v>
      </c>
      <c r="L107" s="2">
        <v>0</v>
      </c>
      <c r="M107" s="2">
        <v>0</v>
      </c>
      <c r="N107" s="2">
        <v>0</v>
      </c>
      <c r="P107" t="s">
        <v>195</v>
      </c>
      <c r="Q107" s="2">
        <v>0</v>
      </c>
      <c r="R107" s="2">
        <v>1</v>
      </c>
      <c r="S107" s="5">
        <v>45362</v>
      </c>
      <c r="T107" s="5">
        <v>45362</v>
      </c>
      <c r="U107" s="28">
        <f t="shared" si="7"/>
        <v>0</v>
      </c>
      <c r="V107" s="2">
        <v>0</v>
      </c>
      <c r="W107" s="2">
        <v>0</v>
      </c>
      <c r="X107" s="2">
        <v>0</v>
      </c>
      <c r="Y107" s="2">
        <v>0</v>
      </c>
      <c r="Z107" s="2">
        <v>0</v>
      </c>
      <c r="AA107" s="2">
        <v>0</v>
      </c>
      <c r="AB107" s="2">
        <v>0</v>
      </c>
      <c r="AC107" s="2">
        <v>0</v>
      </c>
      <c r="AD107" s="2">
        <v>0</v>
      </c>
      <c r="AE107" s="2">
        <v>1</v>
      </c>
      <c r="AF107" s="2" t="s">
        <v>217</v>
      </c>
      <c r="AG107" s="2">
        <v>0</v>
      </c>
      <c r="AH107" s="2">
        <v>1</v>
      </c>
      <c r="AI107" s="2">
        <v>1</v>
      </c>
      <c r="AJ107" s="2">
        <v>1</v>
      </c>
      <c r="AK107" s="2">
        <v>1</v>
      </c>
      <c r="AL107" s="5">
        <v>45364</v>
      </c>
      <c r="AM107" s="2">
        <v>0</v>
      </c>
      <c r="AN107" s="2">
        <v>0</v>
      </c>
      <c r="AO107" s="2">
        <f t="shared" si="8"/>
        <v>2</v>
      </c>
      <c r="AP107" s="2">
        <v>0</v>
      </c>
      <c r="AV107" s="2">
        <v>0</v>
      </c>
      <c r="AW107" s="2">
        <f t="shared" si="9"/>
        <v>0</v>
      </c>
      <c r="AX107" s="2">
        <f t="shared" si="10"/>
        <v>1</v>
      </c>
      <c r="AY107" s="2">
        <v>0</v>
      </c>
      <c r="AZ107" s="2">
        <v>0</v>
      </c>
      <c r="BA107" s="2">
        <v>0</v>
      </c>
      <c r="BB107" s="2" t="s">
        <v>206</v>
      </c>
    </row>
    <row r="108" spans="1:54" s="2" customFormat="1">
      <c r="A108" s="2">
        <v>128</v>
      </c>
      <c r="B108" s="5">
        <v>45365</v>
      </c>
      <c r="C108" s="5">
        <v>45377</v>
      </c>
      <c r="D108" s="2">
        <f t="shared" si="6"/>
        <v>12</v>
      </c>
      <c r="E108" s="2">
        <v>54</v>
      </c>
      <c r="F108" s="2">
        <v>1</v>
      </c>
      <c r="G108" s="2">
        <v>2</v>
      </c>
      <c r="H108" s="2">
        <v>1</v>
      </c>
      <c r="I108" s="2">
        <v>0</v>
      </c>
      <c r="J108" s="2">
        <v>0</v>
      </c>
      <c r="K108" s="2">
        <v>0</v>
      </c>
      <c r="L108" s="2">
        <v>1</v>
      </c>
      <c r="M108" s="2">
        <v>0</v>
      </c>
      <c r="N108" s="2">
        <v>0</v>
      </c>
      <c r="P108" t="s">
        <v>179</v>
      </c>
      <c r="Q108" s="2">
        <v>0</v>
      </c>
      <c r="R108" s="2">
        <v>1</v>
      </c>
      <c r="S108" s="5">
        <v>45365</v>
      </c>
      <c r="T108" s="5">
        <v>45365</v>
      </c>
      <c r="U108" s="28">
        <f t="shared" si="7"/>
        <v>0</v>
      </c>
      <c r="V108" s="2">
        <v>1</v>
      </c>
      <c r="W108" s="2">
        <v>0</v>
      </c>
      <c r="X108" s="2">
        <v>0</v>
      </c>
      <c r="Y108" s="2">
        <v>1</v>
      </c>
      <c r="Z108" s="2">
        <v>0</v>
      </c>
      <c r="AA108" s="2">
        <v>0</v>
      </c>
      <c r="AB108" s="2">
        <v>0</v>
      </c>
      <c r="AC108" s="2">
        <v>0</v>
      </c>
      <c r="AD108" s="2">
        <v>0</v>
      </c>
      <c r="AE108" s="2">
        <v>1</v>
      </c>
      <c r="AF108" s="2" t="s">
        <v>240</v>
      </c>
      <c r="AG108" s="2">
        <v>0</v>
      </c>
      <c r="AH108" s="2">
        <v>1</v>
      </c>
      <c r="AI108" s="2">
        <v>1</v>
      </c>
      <c r="AJ108" s="2">
        <v>1</v>
      </c>
      <c r="AK108" s="2">
        <v>1</v>
      </c>
      <c r="AL108" s="5">
        <v>45370</v>
      </c>
      <c r="AM108" s="2">
        <v>0</v>
      </c>
      <c r="AN108" s="2">
        <v>0</v>
      </c>
      <c r="AO108" s="2">
        <f t="shared" si="8"/>
        <v>5</v>
      </c>
      <c r="AP108" s="2">
        <v>0</v>
      </c>
      <c r="AV108" s="2">
        <v>0</v>
      </c>
      <c r="AW108" s="2">
        <f t="shared" si="9"/>
        <v>0</v>
      </c>
      <c r="AX108" s="2">
        <f t="shared" si="10"/>
        <v>1</v>
      </c>
      <c r="AY108" s="2">
        <v>0</v>
      </c>
      <c r="AZ108" s="2">
        <v>0</v>
      </c>
      <c r="BA108" s="2">
        <v>0</v>
      </c>
      <c r="BB108" s="2" t="s">
        <v>241</v>
      </c>
    </row>
    <row r="109" spans="1:54" s="2" customFormat="1">
      <c r="A109" s="2">
        <v>129</v>
      </c>
      <c r="B109" s="5">
        <v>45365</v>
      </c>
      <c r="C109" s="5">
        <v>45378</v>
      </c>
      <c r="D109" s="2">
        <f t="shared" si="6"/>
        <v>13</v>
      </c>
      <c r="E109" s="2">
        <v>74</v>
      </c>
      <c r="F109" s="2">
        <v>1</v>
      </c>
      <c r="G109" s="2">
        <v>2</v>
      </c>
      <c r="H109" s="2">
        <v>0</v>
      </c>
      <c r="I109" s="2">
        <v>0</v>
      </c>
      <c r="J109" s="2">
        <v>0</v>
      </c>
      <c r="K109" s="2">
        <v>0</v>
      </c>
      <c r="L109" s="2">
        <v>0</v>
      </c>
      <c r="M109" s="2">
        <v>0</v>
      </c>
      <c r="N109" s="2">
        <v>0</v>
      </c>
      <c r="P109" t="s">
        <v>179</v>
      </c>
      <c r="Q109" s="2">
        <v>0</v>
      </c>
      <c r="R109" s="2">
        <v>1</v>
      </c>
      <c r="S109" s="5">
        <v>45365</v>
      </c>
      <c r="T109" s="5">
        <v>45365</v>
      </c>
      <c r="U109" s="28">
        <f t="shared" si="7"/>
        <v>0</v>
      </c>
      <c r="V109" s="2">
        <v>0</v>
      </c>
      <c r="W109" s="2">
        <v>0</v>
      </c>
      <c r="X109" s="2">
        <v>0</v>
      </c>
      <c r="Y109" s="2">
        <v>0</v>
      </c>
      <c r="Z109" s="2">
        <v>0</v>
      </c>
      <c r="AA109" s="2">
        <v>0</v>
      </c>
      <c r="AB109" s="2">
        <v>0</v>
      </c>
      <c r="AC109" s="2">
        <v>0</v>
      </c>
      <c r="AD109" s="2">
        <v>0</v>
      </c>
      <c r="AE109" s="2">
        <v>1</v>
      </c>
      <c r="AF109" s="2" t="s">
        <v>68</v>
      </c>
      <c r="AG109" s="2">
        <v>0</v>
      </c>
      <c r="AH109" s="2">
        <v>0</v>
      </c>
      <c r="AI109" s="2">
        <v>1</v>
      </c>
      <c r="AJ109" s="2">
        <v>0</v>
      </c>
      <c r="AK109" s="2">
        <v>0</v>
      </c>
      <c r="AP109" s="2">
        <v>0</v>
      </c>
      <c r="AV109" s="2">
        <v>0</v>
      </c>
      <c r="AW109" s="2">
        <f t="shared" si="9"/>
        <v>0</v>
      </c>
      <c r="AX109" s="2">
        <f t="shared" si="10"/>
        <v>0</v>
      </c>
      <c r="AY109" s="2">
        <v>0</v>
      </c>
      <c r="AZ109" s="2">
        <v>0</v>
      </c>
      <c r="BA109" s="2">
        <v>0</v>
      </c>
      <c r="BB109" s="2" t="s">
        <v>206</v>
      </c>
    </row>
    <row r="110" spans="1:54" s="2" customFormat="1">
      <c r="A110" s="2">
        <v>130</v>
      </c>
      <c r="B110" s="5">
        <v>45367</v>
      </c>
      <c r="C110" s="5">
        <v>45370</v>
      </c>
      <c r="D110" s="2">
        <f t="shared" si="6"/>
        <v>3</v>
      </c>
      <c r="E110" s="2">
        <v>53</v>
      </c>
      <c r="F110" s="2">
        <v>1</v>
      </c>
      <c r="G110" s="2">
        <v>5</v>
      </c>
      <c r="H110" s="2">
        <v>0</v>
      </c>
      <c r="I110" s="2">
        <v>0</v>
      </c>
      <c r="J110" s="2">
        <v>0</v>
      </c>
      <c r="K110" s="2">
        <v>0</v>
      </c>
      <c r="L110" s="2">
        <v>0</v>
      </c>
      <c r="M110" s="2">
        <v>0</v>
      </c>
      <c r="N110" s="2">
        <v>0</v>
      </c>
      <c r="P110" t="s">
        <v>179</v>
      </c>
      <c r="Q110" s="2">
        <v>0</v>
      </c>
      <c r="R110" s="2">
        <v>1</v>
      </c>
      <c r="S110" s="5">
        <v>45367</v>
      </c>
      <c r="T110" s="5">
        <v>45367</v>
      </c>
      <c r="U110" s="28">
        <f t="shared" si="7"/>
        <v>0</v>
      </c>
      <c r="V110" s="2">
        <v>0</v>
      </c>
      <c r="W110" s="2">
        <v>0</v>
      </c>
      <c r="X110" s="2">
        <v>0</v>
      </c>
      <c r="Y110" s="2">
        <v>0</v>
      </c>
      <c r="Z110" s="2">
        <v>0</v>
      </c>
      <c r="AA110" s="2">
        <v>0</v>
      </c>
      <c r="AB110" s="2">
        <v>0</v>
      </c>
      <c r="AC110" s="2">
        <v>0</v>
      </c>
      <c r="AD110" s="2">
        <v>0</v>
      </c>
      <c r="AE110" s="2">
        <v>1</v>
      </c>
      <c r="AF110" s="2" t="s">
        <v>117</v>
      </c>
      <c r="AG110" s="2">
        <v>0</v>
      </c>
      <c r="AH110" s="2">
        <v>0</v>
      </c>
      <c r="AI110" s="2">
        <v>1</v>
      </c>
      <c r="AJ110" s="2">
        <v>1</v>
      </c>
      <c r="AK110" s="2">
        <v>0</v>
      </c>
      <c r="AP110" s="2">
        <v>0</v>
      </c>
      <c r="AV110" s="2">
        <v>0</v>
      </c>
      <c r="AW110" s="2">
        <f t="shared" si="9"/>
        <v>0</v>
      </c>
      <c r="AX110" s="2">
        <f t="shared" si="10"/>
        <v>1</v>
      </c>
      <c r="AY110" s="2">
        <v>0</v>
      </c>
      <c r="AZ110" s="2">
        <v>0</v>
      </c>
      <c r="BA110" s="2">
        <v>0</v>
      </c>
      <c r="BB110" s="2" t="s">
        <v>206</v>
      </c>
    </row>
    <row r="111" spans="1:54" s="2" customFormat="1">
      <c r="A111" s="2">
        <v>131</v>
      </c>
      <c r="B111" s="5">
        <v>45368</v>
      </c>
      <c r="C111" s="5">
        <v>45376</v>
      </c>
      <c r="D111" s="2">
        <f t="shared" si="6"/>
        <v>8</v>
      </c>
      <c r="E111" s="2">
        <v>23</v>
      </c>
      <c r="F111" s="2">
        <v>2</v>
      </c>
      <c r="G111" s="2">
        <v>2</v>
      </c>
      <c r="H111" s="2">
        <v>0</v>
      </c>
      <c r="I111" s="2">
        <v>0</v>
      </c>
      <c r="J111" s="2">
        <v>0</v>
      </c>
      <c r="K111" s="2">
        <v>0</v>
      </c>
      <c r="L111" s="2">
        <v>0</v>
      </c>
      <c r="M111" s="2">
        <v>0</v>
      </c>
      <c r="N111" s="2">
        <v>0</v>
      </c>
      <c r="P111" t="s">
        <v>179</v>
      </c>
      <c r="Q111" s="2">
        <v>0</v>
      </c>
      <c r="R111" s="2">
        <v>1</v>
      </c>
      <c r="S111" s="5">
        <v>45368</v>
      </c>
      <c r="T111" s="5">
        <v>45368</v>
      </c>
      <c r="U111" s="28">
        <f t="shared" si="7"/>
        <v>0</v>
      </c>
      <c r="V111" s="2">
        <v>0</v>
      </c>
      <c r="W111" s="2">
        <v>0</v>
      </c>
      <c r="X111" s="2">
        <v>0</v>
      </c>
      <c r="Y111" s="2">
        <v>0</v>
      </c>
      <c r="Z111" s="2">
        <v>0</v>
      </c>
      <c r="AA111" s="2">
        <v>0</v>
      </c>
      <c r="AB111" s="2">
        <v>0</v>
      </c>
      <c r="AC111" s="2">
        <v>0</v>
      </c>
      <c r="AD111" s="2">
        <v>0</v>
      </c>
      <c r="AE111" s="2">
        <v>1</v>
      </c>
      <c r="AF111" s="2" t="s">
        <v>91</v>
      </c>
      <c r="AG111" s="2">
        <v>0</v>
      </c>
      <c r="AH111" s="2">
        <v>1</v>
      </c>
      <c r="AI111" s="2">
        <v>0</v>
      </c>
      <c r="AJ111" s="2">
        <v>1</v>
      </c>
      <c r="AK111" s="11">
        <v>1</v>
      </c>
      <c r="AL111" s="5">
        <v>45373</v>
      </c>
      <c r="AM111" s="2">
        <v>0</v>
      </c>
      <c r="AN111" s="2">
        <v>0</v>
      </c>
      <c r="AO111" s="2">
        <f t="shared" si="8"/>
        <v>5</v>
      </c>
      <c r="AP111" s="2">
        <v>0</v>
      </c>
      <c r="AV111" s="2">
        <v>0</v>
      </c>
      <c r="AW111" s="2">
        <f t="shared" si="9"/>
        <v>0</v>
      </c>
      <c r="AX111" s="2">
        <f t="shared" si="10"/>
        <v>0</v>
      </c>
      <c r="AY111" s="2">
        <v>0</v>
      </c>
      <c r="AZ111" s="2">
        <v>0</v>
      </c>
      <c r="BA111" s="2">
        <v>0</v>
      </c>
      <c r="BB111" s="2" t="s">
        <v>206</v>
      </c>
    </row>
    <row r="112" spans="1:54" s="2" customFormat="1">
      <c r="A112" s="2">
        <v>132</v>
      </c>
      <c r="B112" s="5">
        <v>45363</v>
      </c>
      <c r="C112" s="5">
        <v>45401</v>
      </c>
      <c r="D112" s="2">
        <f t="shared" si="6"/>
        <v>38</v>
      </c>
      <c r="E112" s="2">
        <v>41</v>
      </c>
      <c r="F112" s="2">
        <v>1</v>
      </c>
      <c r="G112" s="2">
        <v>3</v>
      </c>
      <c r="H112" s="2">
        <v>1</v>
      </c>
      <c r="I112" s="2">
        <v>0</v>
      </c>
      <c r="J112" s="2">
        <v>0</v>
      </c>
      <c r="K112" s="2">
        <v>0</v>
      </c>
      <c r="L112" s="2">
        <v>1</v>
      </c>
      <c r="M112" s="2">
        <v>0</v>
      </c>
      <c r="N112" s="2">
        <v>0</v>
      </c>
      <c r="P112" t="s">
        <v>179</v>
      </c>
      <c r="Q112" s="2">
        <v>0</v>
      </c>
      <c r="R112" s="2">
        <v>1</v>
      </c>
      <c r="S112" s="5">
        <v>45370</v>
      </c>
      <c r="T112" s="5">
        <v>45370</v>
      </c>
      <c r="U112" s="28">
        <f t="shared" si="7"/>
        <v>0</v>
      </c>
      <c r="V112" s="2">
        <v>1</v>
      </c>
      <c r="W112" s="2">
        <v>0</v>
      </c>
      <c r="X112" s="2">
        <v>0</v>
      </c>
      <c r="Y112" s="2">
        <v>1</v>
      </c>
      <c r="Z112" s="2">
        <v>0</v>
      </c>
      <c r="AA112" s="2">
        <v>0</v>
      </c>
      <c r="AB112" s="2">
        <v>0</v>
      </c>
      <c r="AC112" s="2">
        <v>0</v>
      </c>
      <c r="AD112" s="2">
        <v>0</v>
      </c>
      <c r="AE112" s="2">
        <v>1</v>
      </c>
      <c r="AF112" s="2" t="s">
        <v>91</v>
      </c>
      <c r="AG112" s="2">
        <v>1</v>
      </c>
      <c r="AH112" s="2">
        <v>1</v>
      </c>
      <c r="AI112" s="2">
        <v>1</v>
      </c>
      <c r="AJ112" s="2">
        <v>1</v>
      </c>
      <c r="AK112" s="2">
        <v>1</v>
      </c>
      <c r="AL112" s="5">
        <v>45372</v>
      </c>
      <c r="AM112" s="2">
        <v>0</v>
      </c>
      <c r="AN112" s="2">
        <v>0</v>
      </c>
      <c r="AO112" s="2">
        <f t="shared" si="8"/>
        <v>2</v>
      </c>
      <c r="AP112" s="2">
        <v>0</v>
      </c>
      <c r="AV112" s="2">
        <v>0</v>
      </c>
      <c r="AW112" s="2">
        <f t="shared" si="9"/>
        <v>0</v>
      </c>
      <c r="AX112" s="2">
        <f t="shared" si="10"/>
        <v>1</v>
      </c>
      <c r="AY112" s="2">
        <v>0</v>
      </c>
      <c r="AZ112" s="2">
        <v>0</v>
      </c>
      <c r="BA112" s="2">
        <v>0</v>
      </c>
      <c r="BB112" s="2" t="s">
        <v>242</v>
      </c>
    </row>
    <row r="113" spans="1:54" s="2" customFormat="1">
      <c r="A113" s="2">
        <v>133</v>
      </c>
      <c r="B113" s="5">
        <v>45372</v>
      </c>
      <c r="C113" s="5">
        <v>45377</v>
      </c>
      <c r="D113" s="2">
        <f t="shared" si="6"/>
        <v>5</v>
      </c>
      <c r="E113" s="2">
        <v>73</v>
      </c>
      <c r="F113" s="2">
        <v>2</v>
      </c>
      <c r="G113" s="2">
        <v>2</v>
      </c>
      <c r="H113" s="2">
        <v>1</v>
      </c>
      <c r="I113" s="2">
        <v>0</v>
      </c>
      <c r="J113" s="2">
        <v>0</v>
      </c>
      <c r="K113" s="2">
        <v>0</v>
      </c>
      <c r="L113" s="2">
        <v>1</v>
      </c>
      <c r="M113" s="2">
        <v>0</v>
      </c>
      <c r="N113" s="2">
        <v>0</v>
      </c>
      <c r="P113" t="s">
        <v>195</v>
      </c>
      <c r="Q113" s="2">
        <v>0</v>
      </c>
      <c r="R113" s="2">
        <v>1</v>
      </c>
      <c r="S113" s="5">
        <v>45372</v>
      </c>
      <c r="T113" s="5">
        <v>45372</v>
      </c>
      <c r="U113" s="28">
        <f t="shared" si="7"/>
        <v>0</v>
      </c>
      <c r="V113" s="2">
        <v>0</v>
      </c>
      <c r="W113" s="2">
        <v>0</v>
      </c>
      <c r="X113" s="2">
        <v>0</v>
      </c>
      <c r="Y113" s="2">
        <v>0</v>
      </c>
      <c r="Z113" s="2">
        <v>0</v>
      </c>
      <c r="AA113" s="2">
        <v>0</v>
      </c>
      <c r="AB113" s="2">
        <v>0</v>
      </c>
      <c r="AC113" s="2">
        <v>0</v>
      </c>
      <c r="AD113" s="2">
        <v>0</v>
      </c>
      <c r="AE113" s="2">
        <v>1</v>
      </c>
      <c r="AF113" s="2" t="s">
        <v>68</v>
      </c>
      <c r="AG113" s="2">
        <v>0</v>
      </c>
      <c r="AH113" s="2">
        <v>1</v>
      </c>
      <c r="AI113" s="2">
        <v>1</v>
      </c>
      <c r="AJ113" s="2">
        <v>1</v>
      </c>
      <c r="AK113" s="2">
        <v>0</v>
      </c>
      <c r="AP113" s="2">
        <v>0</v>
      </c>
      <c r="AV113" s="2">
        <v>0</v>
      </c>
      <c r="AW113" s="2">
        <f t="shared" si="9"/>
        <v>0</v>
      </c>
      <c r="AX113" s="2">
        <f t="shared" si="10"/>
        <v>1</v>
      </c>
      <c r="AY113" s="2">
        <v>0</v>
      </c>
      <c r="AZ113" s="2">
        <v>0</v>
      </c>
      <c r="BA113" s="2">
        <v>0</v>
      </c>
      <c r="BB113" s="2" t="s">
        <v>243</v>
      </c>
    </row>
    <row r="114" spans="1:54" s="2" customFormat="1">
      <c r="A114" s="2">
        <v>134</v>
      </c>
      <c r="B114" s="5">
        <v>45378</v>
      </c>
      <c r="C114" s="5">
        <v>45387</v>
      </c>
      <c r="D114" s="2">
        <f t="shared" si="6"/>
        <v>9</v>
      </c>
      <c r="E114" s="2">
        <v>59</v>
      </c>
      <c r="F114" s="2">
        <v>2</v>
      </c>
      <c r="G114" s="2">
        <v>2</v>
      </c>
      <c r="H114" s="2">
        <v>0</v>
      </c>
      <c r="I114" s="2">
        <v>0</v>
      </c>
      <c r="J114" s="2">
        <v>0</v>
      </c>
      <c r="K114" s="2">
        <v>0</v>
      </c>
      <c r="L114" s="2">
        <v>0</v>
      </c>
      <c r="M114" s="2">
        <v>0</v>
      </c>
      <c r="N114" s="2">
        <v>0</v>
      </c>
      <c r="P114" t="s">
        <v>179</v>
      </c>
      <c r="Q114" s="2">
        <v>0</v>
      </c>
      <c r="R114" s="2">
        <v>1</v>
      </c>
      <c r="S114" s="5">
        <v>45378</v>
      </c>
      <c r="T114" s="5">
        <v>45378</v>
      </c>
      <c r="U114" s="28">
        <f t="shared" si="7"/>
        <v>0</v>
      </c>
      <c r="V114" s="2">
        <v>0</v>
      </c>
      <c r="W114" s="2">
        <v>0</v>
      </c>
      <c r="X114" s="2">
        <v>0</v>
      </c>
      <c r="Y114" s="2">
        <v>0</v>
      </c>
      <c r="Z114" s="2">
        <v>0</v>
      </c>
      <c r="AA114" s="2">
        <v>0</v>
      </c>
      <c r="AB114" s="2">
        <v>0</v>
      </c>
      <c r="AC114" s="2">
        <v>0</v>
      </c>
      <c r="AD114" s="2">
        <v>0</v>
      </c>
      <c r="AE114" s="2">
        <v>1</v>
      </c>
      <c r="AF114" s="2" t="s">
        <v>117</v>
      </c>
      <c r="AG114" s="2">
        <v>0</v>
      </c>
      <c r="AH114" s="2">
        <v>1</v>
      </c>
      <c r="AI114" s="2">
        <v>1</v>
      </c>
      <c r="AJ114" s="2">
        <v>1</v>
      </c>
      <c r="AK114" s="2">
        <v>0</v>
      </c>
      <c r="AP114" s="2">
        <v>0</v>
      </c>
      <c r="AV114" s="2">
        <v>0</v>
      </c>
      <c r="AW114" s="2">
        <f t="shared" si="9"/>
        <v>0</v>
      </c>
      <c r="AX114" s="2">
        <f t="shared" si="10"/>
        <v>1</v>
      </c>
      <c r="AY114" s="2">
        <v>0</v>
      </c>
      <c r="AZ114" s="2">
        <v>0</v>
      </c>
      <c r="BA114" s="2">
        <v>0</v>
      </c>
      <c r="BB114" s="2" t="s">
        <v>206</v>
      </c>
    </row>
    <row r="116" spans="1:54">
      <c r="D116" t="s">
        <v>298</v>
      </c>
      <c r="E116">
        <f>AVERAGE(D2:D114)</f>
        <v>13.018018018018019</v>
      </c>
      <c r="F116">
        <f>AVERAGE(E2:E114)</f>
        <v>69.053097345132741</v>
      </c>
      <c r="S116">
        <f>AVERAGE(R2:R114)</f>
        <v>1.6194690265486726</v>
      </c>
      <c r="V116">
        <f>AVERAGE(U2:U114)</f>
        <v>0.66371681415929207</v>
      </c>
    </row>
    <row r="117" spans="1:54">
      <c r="D117" t="s">
        <v>299</v>
      </c>
      <c r="E117">
        <f>STDEV(D2:D114)</f>
        <v>15.471958201258515</v>
      </c>
      <c r="F117">
        <f>STDEV(E2:E114)</f>
        <v>16.347695724455118</v>
      </c>
      <c r="S117">
        <f>STDEV(R2:R114)</f>
        <v>1.1597304495226193</v>
      </c>
      <c r="V117">
        <f>STDEV(U2:U114)</f>
        <v>1.3403798733210095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A8E3B-7DB7-4F61-8F2B-E186BA793182}">
  <dimension ref="A1:CE164"/>
  <sheetViews>
    <sheetView topLeftCell="A15" workbookViewId="0">
      <selection activeCell="L26" sqref="L26"/>
    </sheetView>
  </sheetViews>
  <sheetFormatPr defaultRowHeight="15"/>
  <cols>
    <col min="1" max="69" width="9.140625" customWidth="1"/>
    <col min="70" max="70" width="11.85546875" customWidth="1"/>
    <col min="71" max="71" width="11.42578125" customWidth="1"/>
    <col min="72" max="72" width="7.85546875" customWidth="1"/>
    <col min="73" max="73" width="11.42578125" customWidth="1"/>
    <col min="74" max="86" width="9.140625" customWidth="1"/>
  </cols>
  <sheetData>
    <row r="1" spans="1:61" s="1" customFormat="1" ht="63.75" customHeight="1">
      <c r="A1" s="1" t="s">
        <v>0</v>
      </c>
      <c r="B1" s="44" t="s">
        <v>1</v>
      </c>
      <c r="C1" s="44" t="s">
        <v>2</v>
      </c>
      <c r="D1" s="44" t="s">
        <v>3</v>
      </c>
      <c r="E1" s="44" t="s">
        <v>4</v>
      </c>
      <c r="F1" s="44" t="s">
        <v>5</v>
      </c>
      <c r="G1" s="44" t="s">
        <v>6</v>
      </c>
      <c r="H1" s="1" t="s">
        <v>7</v>
      </c>
      <c r="I1" s="1" t="s">
        <v>8</v>
      </c>
      <c r="J1" s="1" t="s">
        <v>9</v>
      </c>
      <c r="K1" s="1" t="s">
        <v>10</v>
      </c>
      <c r="L1" s="1" t="s">
        <v>11</v>
      </c>
      <c r="M1" s="1" t="s">
        <v>12</v>
      </c>
      <c r="N1" s="1" t="s">
        <v>13</v>
      </c>
      <c r="O1" s="1" t="s">
        <v>14</v>
      </c>
      <c r="P1" s="4" t="s">
        <v>15</v>
      </c>
      <c r="Q1" s="1" t="s">
        <v>276</v>
      </c>
      <c r="R1" s="1" t="s">
        <v>277</v>
      </c>
      <c r="S1" s="1" t="s">
        <v>278</v>
      </c>
      <c r="T1" s="1" t="s">
        <v>279</v>
      </c>
      <c r="U1" s="1" t="s">
        <v>16</v>
      </c>
      <c r="V1" s="1" t="s">
        <v>17</v>
      </c>
      <c r="W1" s="1" t="s">
        <v>18</v>
      </c>
      <c r="X1" s="1" t="s">
        <v>19</v>
      </c>
      <c r="Y1" s="1" t="s">
        <v>275</v>
      </c>
      <c r="Z1" s="1" t="s">
        <v>20</v>
      </c>
      <c r="AA1" s="1" t="s">
        <v>21</v>
      </c>
      <c r="AB1" s="1" t="s">
        <v>22</v>
      </c>
      <c r="AC1" s="1" t="s">
        <v>23</v>
      </c>
      <c r="AD1" s="1" t="s">
        <v>24</v>
      </c>
      <c r="AE1" s="1" t="s">
        <v>25</v>
      </c>
      <c r="AF1" s="1" t="s">
        <v>26</v>
      </c>
      <c r="AG1" s="1" t="s">
        <v>27</v>
      </c>
      <c r="AH1" s="1" t="s">
        <v>28</v>
      </c>
      <c r="AI1" s="4" t="s">
        <v>29</v>
      </c>
      <c r="AJ1" s="1" t="s">
        <v>30</v>
      </c>
      <c r="AK1" s="1" t="s">
        <v>31</v>
      </c>
      <c r="AL1" s="1" t="s">
        <v>32</v>
      </c>
      <c r="AM1" s="1" t="s">
        <v>280</v>
      </c>
      <c r="AN1" s="1" t="s">
        <v>281</v>
      </c>
      <c r="AO1" s="1" t="s">
        <v>282</v>
      </c>
      <c r="AP1" s="1" t="s">
        <v>33</v>
      </c>
      <c r="AQ1" s="1" t="s">
        <v>34</v>
      </c>
      <c r="AR1" s="4" t="s">
        <v>35</v>
      </c>
      <c r="AS1" s="4" t="s">
        <v>36</v>
      </c>
      <c r="AT1" s="1" t="s">
        <v>37</v>
      </c>
      <c r="AU1" s="1" t="s">
        <v>38</v>
      </c>
      <c r="AV1" s="1" t="s">
        <v>283</v>
      </c>
      <c r="AW1" s="44" t="s">
        <v>39</v>
      </c>
      <c r="AX1" s="44" t="s">
        <v>40</v>
      </c>
      <c r="AY1" s="1" t="s">
        <v>41</v>
      </c>
      <c r="AZ1" s="1" t="s">
        <v>42</v>
      </c>
      <c r="BA1" s="4" t="s">
        <v>43</v>
      </c>
      <c r="BB1" s="1" t="s">
        <v>294</v>
      </c>
      <c r="BC1" s="1" t="s">
        <v>44</v>
      </c>
      <c r="BD1" s="1" t="s">
        <v>295</v>
      </c>
      <c r="BE1" s="1" t="s">
        <v>296</v>
      </c>
      <c r="BF1" s="1" t="s">
        <v>284</v>
      </c>
      <c r="BG1" s="1" t="s">
        <v>285</v>
      </c>
      <c r="BH1" s="1" t="s">
        <v>286</v>
      </c>
      <c r="BI1" s="1" t="s">
        <v>45</v>
      </c>
    </row>
    <row r="2" spans="1:61" s="2" customFormat="1">
      <c r="A2" s="2">
        <v>1</v>
      </c>
      <c r="B2" s="5">
        <v>45442</v>
      </c>
      <c r="C2" s="5">
        <v>45462</v>
      </c>
      <c r="D2" s="2">
        <f>C2-B2</f>
        <v>20</v>
      </c>
      <c r="E2" s="2">
        <v>85</v>
      </c>
      <c r="F2" s="2">
        <v>1</v>
      </c>
      <c r="G2" s="2">
        <v>2</v>
      </c>
      <c r="H2" s="2">
        <v>1</v>
      </c>
      <c r="I2" s="2">
        <v>0</v>
      </c>
      <c r="J2" s="2">
        <v>1</v>
      </c>
      <c r="K2" s="2">
        <v>1</v>
      </c>
      <c r="L2" s="2">
        <v>0</v>
      </c>
      <c r="M2" s="2">
        <v>0</v>
      </c>
      <c r="N2" s="2">
        <v>1</v>
      </c>
      <c r="O2" s="2" t="s">
        <v>46</v>
      </c>
      <c r="P2" t="s">
        <v>47</v>
      </c>
      <c r="Q2" s="2">
        <v>1</v>
      </c>
      <c r="R2" s="2">
        <v>0</v>
      </c>
      <c r="S2" s="2">
        <v>0</v>
      </c>
      <c r="T2" s="2">
        <v>0</v>
      </c>
      <c r="U2" s="2">
        <v>1</v>
      </c>
      <c r="V2" s="2">
        <v>11</v>
      </c>
      <c r="W2" s="5">
        <v>45442</v>
      </c>
      <c r="X2" s="5">
        <v>45455</v>
      </c>
      <c r="Y2" s="28">
        <f>X2-W2</f>
        <v>13</v>
      </c>
      <c r="Z2" s="2">
        <v>0</v>
      </c>
      <c r="AA2" s="2">
        <v>0</v>
      </c>
      <c r="AB2" s="2">
        <v>0</v>
      </c>
      <c r="AC2" s="2">
        <v>0</v>
      </c>
      <c r="AD2" s="2">
        <v>0</v>
      </c>
      <c r="AE2" s="2">
        <v>0</v>
      </c>
      <c r="AF2" s="2">
        <v>0</v>
      </c>
      <c r="AG2" s="2">
        <v>0</v>
      </c>
      <c r="AH2" s="2">
        <v>0</v>
      </c>
      <c r="AI2" s="2">
        <v>1</v>
      </c>
      <c r="AJ2" s="2" t="s">
        <v>48</v>
      </c>
      <c r="AK2" s="2">
        <v>1</v>
      </c>
      <c r="AL2" s="2">
        <v>0</v>
      </c>
      <c r="AM2" s="2">
        <v>0</v>
      </c>
      <c r="AN2" s="2">
        <v>0</v>
      </c>
      <c r="AO2" s="2">
        <v>1</v>
      </c>
      <c r="AP2" s="2">
        <v>1</v>
      </c>
      <c r="AQ2" s="2">
        <v>1</v>
      </c>
      <c r="AR2" s="2">
        <v>1</v>
      </c>
      <c r="AS2" s="5">
        <v>45443</v>
      </c>
      <c r="AT2" s="2">
        <v>0</v>
      </c>
      <c r="AU2" s="11">
        <v>0</v>
      </c>
      <c r="AV2" s="11">
        <f>Table2[[#This Row],[TTE date]]-Table2[[#This Row],[Date initial positive Bcx]]</f>
        <v>1</v>
      </c>
      <c r="AW2" s="2">
        <v>1</v>
      </c>
      <c r="AX2" s="5">
        <v>45446</v>
      </c>
      <c r="AY2" s="2">
        <v>0</v>
      </c>
      <c r="AZ2" s="2">
        <v>0</v>
      </c>
      <c r="BA2" s="2">
        <v>0</v>
      </c>
      <c r="BB2" s="2">
        <f>AX2-W2</f>
        <v>4</v>
      </c>
      <c r="BC2" s="2">
        <v>0</v>
      </c>
      <c r="BD2" s="2">
        <f>COUNTIFS(H2, "0",Z2, "1",AI2, "1", AP2, "1",AQ2, "1")</f>
        <v>0</v>
      </c>
      <c r="BE2" s="2">
        <f>COUNTIFS(AP2, "1",AQ2, "1")</f>
        <v>1</v>
      </c>
      <c r="BF2" s="2">
        <v>0</v>
      </c>
      <c r="BG2" s="2">
        <v>1</v>
      </c>
      <c r="BH2" s="2">
        <v>1</v>
      </c>
      <c r="BI2" s="2" t="s">
        <v>49</v>
      </c>
    </row>
    <row r="3" spans="1:61" s="2" customFormat="1">
      <c r="A3" s="8">
        <v>3</v>
      </c>
      <c r="B3" s="5">
        <v>45448</v>
      </c>
      <c r="C3" s="6">
        <v>45465</v>
      </c>
      <c r="D3" s="2">
        <f t="shared" ref="D3:D18" si="0">C3-B3</f>
        <v>17</v>
      </c>
      <c r="E3" s="2">
        <v>62</v>
      </c>
      <c r="F3" s="2">
        <v>1</v>
      </c>
      <c r="G3" s="2">
        <v>2</v>
      </c>
      <c r="H3" s="2">
        <v>1</v>
      </c>
      <c r="I3" s="2">
        <v>0</v>
      </c>
      <c r="J3" s="2">
        <v>0</v>
      </c>
      <c r="K3" s="2">
        <v>0</v>
      </c>
      <c r="L3" s="2">
        <v>0</v>
      </c>
      <c r="M3" s="2">
        <v>0</v>
      </c>
      <c r="N3" s="2">
        <v>1</v>
      </c>
      <c r="O3" s="2" t="s">
        <v>51</v>
      </c>
      <c r="P3" t="s">
        <v>52</v>
      </c>
      <c r="Q3" s="2">
        <v>1</v>
      </c>
      <c r="R3" s="2">
        <v>0</v>
      </c>
      <c r="S3" s="2">
        <v>0</v>
      </c>
      <c r="T3" s="2">
        <v>0</v>
      </c>
      <c r="U3" s="2">
        <v>1</v>
      </c>
      <c r="V3" s="2">
        <v>5</v>
      </c>
      <c r="W3" s="5">
        <v>45448</v>
      </c>
      <c r="X3" s="5">
        <v>45454</v>
      </c>
      <c r="Y3" s="28">
        <f t="shared" ref="Y3:Y22" si="1">X3-W3</f>
        <v>6</v>
      </c>
      <c r="Z3" s="2">
        <v>0</v>
      </c>
      <c r="AA3" s="2">
        <v>0</v>
      </c>
      <c r="AB3" s="2">
        <v>0</v>
      </c>
      <c r="AC3" s="2">
        <v>0</v>
      </c>
      <c r="AD3" s="2">
        <v>0</v>
      </c>
      <c r="AE3" s="2">
        <v>0</v>
      </c>
      <c r="AF3" s="2">
        <v>0</v>
      </c>
      <c r="AG3" s="2">
        <v>0</v>
      </c>
      <c r="AH3" s="2">
        <v>1</v>
      </c>
      <c r="AI3" s="2">
        <v>1</v>
      </c>
      <c r="AJ3" s="2" t="s">
        <v>53</v>
      </c>
      <c r="AK3" s="2">
        <v>0</v>
      </c>
      <c r="AL3" s="2">
        <v>1</v>
      </c>
      <c r="AM3" s="2">
        <v>0</v>
      </c>
      <c r="AN3" s="2">
        <v>1</v>
      </c>
      <c r="AO3" s="2">
        <v>0</v>
      </c>
      <c r="AP3" s="2">
        <v>0</v>
      </c>
      <c r="AQ3" s="2">
        <v>1</v>
      </c>
      <c r="AR3" s="2">
        <v>1</v>
      </c>
      <c r="AS3" s="5">
        <v>45448</v>
      </c>
      <c r="AT3" s="2">
        <v>0</v>
      </c>
      <c r="AU3" s="2">
        <v>0</v>
      </c>
      <c r="AV3" s="2">
        <f>Table2[[#This Row],[TTE date]]-Table2[[#This Row],[Date initial positive Bcx]]</f>
        <v>2</v>
      </c>
      <c r="AW3" s="2">
        <v>1</v>
      </c>
      <c r="AX3" s="5">
        <v>45455</v>
      </c>
      <c r="AY3" s="2">
        <v>0</v>
      </c>
      <c r="AZ3" s="2">
        <v>1</v>
      </c>
      <c r="BA3" s="2">
        <v>0</v>
      </c>
      <c r="BB3" s="2">
        <f>AX3-W3</f>
        <v>7</v>
      </c>
      <c r="BC3" s="2">
        <v>1</v>
      </c>
      <c r="BD3" s="2">
        <f>COUNTIFS(H3, "0",Z3, "1",AI3, "1", AP3, "1",AQ3, "1")</f>
        <v>0</v>
      </c>
      <c r="BE3" s="2">
        <f>COUNTIFS(AP3, "1",AQ3, "1")</f>
        <v>0</v>
      </c>
      <c r="BF3" s="2">
        <v>0</v>
      </c>
      <c r="BG3" s="2">
        <v>1</v>
      </c>
      <c r="BH3" s="2">
        <v>0</v>
      </c>
      <c r="BI3" s="2" t="s">
        <v>54</v>
      </c>
    </row>
    <row r="4" spans="1:61" s="2" customFormat="1">
      <c r="A4" s="2">
        <v>4</v>
      </c>
      <c r="B4" s="5">
        <v>45449</v>
      </c>
      <c r="C4" s="5">
        <v>45455</v>
      </c>
      <c r="D4" s="2">
        <f t="shared" si="0"/>
        <v>6</v>
      </c>
      <c r="E4" s="2">
        <v>77</v>
      </c>
      <c r="F4" s="2">
        <v>1</v>
      </c>
      <c r="G4" s="2">
        <v>2</v>
      </c>
      <c r="H4" s="2">
        <v>0</v>
      </c>
      <c r="I4" s="2">
        <v>0</v>
      </c>
      <c r="J4" s="2">
        <v>0</v>
      </c>
      <c r="K4" s="2">
        <v>0</v>
      </c>
      <c r="L4" s="2">
        <v>0</v>
      </c>
      <c r="M4" s="2">
        <v>0</v>
      </c>
      <c r="N4" s="2">
        <v>0</v>
      </c>
      <c r="P4" t="s">
        <v>52</v>
      </c>
      <c r="Q4" s="2">
        <v>1</v>
      </c>
      <c r="R4" s="2">
        <v>0</v>
      </c>
      <c r="S4" s="2">
        <v>0</v>
      </c>
      <c r="T4" s="2">
        <v>0</v>
      </c>
      <c r="U4" s="2">
        <v>1</v>
      </c>
      <c r="V4" s="2">
        <v>2</v>
      </c>
      <c r="W4" s="5">
        <v>45449</v>
      </c>
      <c r="X4" s="5">
        <v>45450</v>
      </c>
      <c r="Y4" s="28">
        <f t="shared" si="1"/>
        <v>1</v>
      </c>
      <c r="Z4" s="2">
        <v>1</v>
      </c>
      <c r="AA4" s="2">
        <v>0</v>
      </c>
      <c r="AB4" s="2">
        <v>0</v>
      </c>
      <c r="AC4" s="2">
        <v>0</v>
      </c>
      <c r="AD4" s="2">
        <v>0</v>
      </c>
      <c r="AE4" s="2">
        <v>0</v>
      </c>
      <c r="AF4" s="2">
        <v>0</v>
      </c>
      <c r="AG4" s="2">
        <v>1</v>
      </c>
      <c r="AH4" s="2">
        <v>1</v>
      </c>
      <c r="AI4" s="2">
        <v>1</v>
      </c>
      <c r="AJ4" s="2" t="s">
        <v>55</v>
      </c>
      <c r="AK4" s="2">
        <v>0</v>
      </c>
      <c r="AL4" s="2">
        <v>1</v>
      </c>
      <c r="AM4" s="2">
        <v>1</v>
      </c>
      <c r="AN4" s="2">
        <v>0</v>
      </c>
      <c r="AO4" s="2">
        <v>0</v>
      </c>
      <c r="AP4" s="2">
        <v>1</v>
      </c>
      <c r="AQ4" s="2">
        <v>1</v>
      </c>
      <c r="AR4" s="2">
        <v>1</v>
      </c>
      <c r="AS4" s="5">
        <v>45450</v>
      </c>
      <c r="AT4" s="2">
        <v>0</v>
      </c>
      <c r="AU4" s="2">
        <v>0</v>
      </c>
      <c r="AV4" s="2">
        <f>Table2[[#This Row],[TTE date]]-Table2[[#This Row],[Date initial positive Bcx]]</f>
        <v>0</v>
      </c>
      <c r="AW4" s="2">
        <v>1</v>
      </c>
      <c r="AX4" s="5">
        <v>45453</v>
      </c>
      <c r="AY4" s="2">
        <v>0</v>
      </c>
      <c r="AZ4" s="2">
        <v>0</v>
      </c>
      <c r="BA4" s="2">
        <v>0</v>
      </c>
      <c r="BB4" s="2">
        <f>AX4-W4</f>
        <v>4</v>
      </c>
      <c r="BC4" s="2">
        <v>0</v>
      </c>
      <c r="BD4" s="2">
        <f>COUNTIFS(H4, "0",Z4, "1",AI4, "1", AP4, "1",AQ4, "1")</f>
        <v>1</v>
      </c>
      <c r="BE4" s="2">
        <f>COUNTIFS(AP4, "1",AQ4, "1")</f>
        <v>1</v>
      </c>
      <c r="BF4" s="2">
        <v>0</v>
      </c>
      <c r="BG4" s="2">
        <v>1</v>
      </c>
      <c r="BH4" s="2">
        <v>0</v>
      </c>
      <c r="BI4" s="2" t="s">
        <v>56</v>
      </c>
    </row>
    <row r="5" spans="1:61" s="2" customFormat="1">
      <c r="A5" s="2">
        <v>15</v>
      </c>
      <c r="B5" s="5">
        <v>45420</v>
      </c>
      <c r="C5" s="5">
        <v>45432</v>
      </c>
      <c r="D5" s="2">
        <f t="shared" si="0"/>
        <v>12</v>
      </c>
      <c r="E5" s="2">
        <v>77</v>
      </c>
      <c r="F5" s="2">
        <v>1</v>
      </c>
      <c r="G5" s="2">
        <v>2</v>
      </c>
      <c r="H5" s="2">
        <v>1</v>
      </c>
      <c r="I5" s="2">
        <v>0</v>
      </c>
      <c r="J5" s="2">
        <v>0</v>
      </c>
      <c r="K5" s="2">
        <v>0</v>
      </c>
      <c r="L5" s="2">
        <v>0</v>
      </c>
      <c r="M5" s="2">
        <v>0</v>
      </c>
      <c r="N5" s="2">
        <v>1</v>
      </c>
      <c r="O5" s="10" t="s">
        <v>76</v>
      </c>
      <c r="P5" t="s">
        <v>52</v>
      </c>
      <c r="Q5" s="2">
        <v>1</v>
      </c>
      <c r="R5" s="2">
        <v>0</v>
      </c>
      <c r="S5" s="2">
        <v>0</v>
      </c>
      <c r="T5" s="2">
        <v>0</v>
      </c>
      <c r="U5" s="2">
        <v>0</v>
      </c>
      <c r="V5" s="2">
        <v>1</v>
      </c>
      <c r="W5" s="5">
        <v>45420</v>
      </c>
      <c r="X5" s="5">
        <v>45420</v>
      </c>
      <c r="Y5" s="28">
        <f t="shared" si="1"/>
        <v>0</v>
      </c>
      <c r="Z5" s="2">
        <v>1</v>
      </c>
      <c r="AA5" s="2">
        <v>0</v>
      </c>
      <c r="AB5" s="2">
        <v>0</v>
      </c>
      <c r="AC5" s="2">
        <v>0</v>
      </c>
      <c r="AD5" s="2">
        <v>1</v>
      </c>
      <c r="AE5" s="2">
        <v>0</v>
      </c>
      <c r="AF5" s="2">
        <v>0</v>
      </c>
      <c r="AG5" s="2">
        <v>1</v>
      </c>
      <c r="AH5" s="2">
        <v>0</v>
      </c>
      <c r="AI5" s="2">
        <v>1</v>
      </c>
      <c r="AJ5" s="2" t="s">
        <v>55</v>
      </c>
      <c r="AK5" s="2">
        <v>1</v>
      </c>
      <c r="AL5" s="2">
        <v>1</v>
      </c>
      <c r="AM5" s="2">
        <v>1</v>
      </c>
      <c r="AN5" s="2">
        <v>0</v>
      </c>
      <c r="AO5" s="2">
        <v>0</v>
      </c>
      <c r="AP5" s="2">
        <v>1</v>
      </c>
      <c r="AQ5" s="2">
        <v>1</v>
      </c>
      <c r="AR5" s="2">
        <v>1</v>
      </c>
      <c r="AS5" s="5">
        <v>45421</v>
      </c>
      <c r="AT5" s="2">
        <v>0</v>
      </c>
      <c r="AU5" s="2">
        <v>0</v>
      </c>
      <c r="AV5" s="2">
        <f>Table2[[#This Row],[TTE date]]-Table2[[#This Row],[Date initial positive Bcx]]</f>
        <v>1</v>
      </c>
      <c r="AW5" s="2">
        <v>1</v>
      </c>
      <c r="AX5" s="5">
        <v>45425</v>
      </c>
      <c r="AY5" s="2">
        <v>0</v>
      </c>
      <c r="AZ5" s="2">
        <v>0</v>
      </c>
      <c r="BA5" s="2">
        <v>0</v>
      </c>
      <c r="BB5" s="2">
        <f>AX5-W5</f>
        <v>5</v>
      </c>
      <c r="BC5" s="2">
        <v>0</v>
      </c>
      <c r="BD5" s="2">
        <f>COUNTIFS(H5, "0",Z5, "1",AI5, "1", AP5, "1",AQ5, "1")</f>
        <v>0</v>
      </c>
      <c r="BE5" s="2">
        <f>COUNTIFS(AP5, "1",AQ5, "1")</f>
        <v>1</v>
      </c>
      <c r="BF5" s="2">
        <v>0</v>
      </c>
      <c r="BG5" s="2">
        <v>1</v>
      </c>
      <c r="BH5" s="2">
        <v>0</v>
      </c>
      <c r="BI5" s="2" t="s">
        <v>77</v>
      </c>
    </row>
    <row r="6" spans="1:61" s="2" customFormat="1">
      <c r="A6" s="2">
        <v>18</v>
      </c>
      <c r="B6" s="5">
        <v>45385</v>
      </c>
      <c r="C6" s="5">
        <v>45395</v>
      </c>
      <c r="D6" s="2">
        <f t="shared" si="0"/>
        <v>10</v>
      </c>
      <c r="E6" s="2">
        <v>51</v>
      </c>
      <c r="F6" s="2">
        <v>1</v>
      </c>
      <c r="G6" s="2">
        <v>3</v>
      </c>
      <c r="H6" s="2">
        <v>0</v>
      </c>
      <c r="I6" s="2">
        <v>0</v>
      </c>
      <c r="J6" s="2">
        <v>0</v>
      </c>
      <c r="K6" s="2">
        <v>0</v>
      </c>
      <c r="L6" s="2">
        <v>0</v>
      </c>
      <c r="M6" s="2">
        <v>0</v>
      </c>
      <c r="N6" s="2">
        <v>0</v>
      </c>
      <c r="P6" t="s">
        <v>52</v>
      </c>
      <c r="Q6" s="2">
        <v>1</v>
      </c>
      <c r="R6" s="2">
        <v>0</v>
      </c>
      <c r="S6" s="2">
        <v>0</v>
      </c>
      <c r="T6" s="2">
        <v>0</v>
      </c>
      <c r="U6" s="2">
        <v>1</v>
      </c>
      <c r="V6" s="2">
        <v>3</v>
      </c>
      <c r="W6" s="5">
        <v>45385</v>
      </c>
      <c r="X6" s="5">
        <v>45388</v>
      </c>
      <c r="Y6" s="28">
        <f t="shared" si="1"/>
        <v>3</v>
      </c>
      <c r="Z6" s="2">
        <v>1</v>
      </c>
      <c r="AA6" s="2">
        <v>1</v>
      </c>
      <c r="AB6" s="2">
        <v>0</v>
      </c>
      <c r="AC6" s="2">
        <v>0</v>
      </c>
      <c r="AD6" s="2">
        <v>0</v>
      </c>
      <c r="AE6" s="2">
        <v>0</v>
      </c>
      <c r="AF6" s="2">
        <v>0</v>
      </c>
      <c r="AG6" s="2">
        <v>0</v>
      </c>
      <c r="AH6" s="2">
        <v>0</v>
      </c>
      <c r="AI6" s="2">
        <v>1</v>
      </c>
      <c r="AJ6" s="2" t="s">
        <v>55</v>
      </c>
      <c r="AK6" s="2">
        <v>1</v>
      </c>
      <c r="AL6" s="2">
        <v>1</v>
      </c>
      <c r="AM6" s="2">
        <v>1</v>
      </c>
      <c r="AN6" s="2">
        <v>0</v>
      </c>
      <c r="AO6" s="2">
        <v>0</v>
      </c>
      <c r="AP6" s="2">
        <v>1</v>
      </c>
      <c r="AQ6" s="2">
        <v>1</v>
      </c>
      <c r="AR6" s="2">
        <v>1</v>
      </c>
      <c r="AS6" s="5">
        <v>45387</v>
      </c>
      <c r="AT6" s="2">
        <v>0</v>
      </c>
      <c r="AU6" s="2">
        <v>0</v>
      </c>
      <c r="AV6" s="2">
        <f>Table2[[#This Row],[TTE date]]-Table2[[#This Row],[Date initial positive Bcx]]</f>
        <v>1</v>
      </c>
      <c r="AW6" s="2">
        <v>1</v>
      </c>
      <c r="AX6" s="5">
        <v>45391</v>
      </c>
      <c r="AY6" s="2">
        <v>0</v>
      </c>
      <c r="AZ6" s="2">
        <v>0</v>
      </c>
      <c r="BA6" s="2">
        <v>0</v>
      </c>
      <c r="BB6" s="2">
        <f>AX6-W6</f>
        <v>6</v>
      </c>
      <c r="BC6" s="2">
        <v>0</v>
      </c>
      <c r="BD6" s="2">
        <f>COUNTIFS(H6, "0",Z6, "1",AI6, "1", AP6, "1",AQ6, "1")</f>
        <v>1</v>
      </c>
      <c r="BE6" s="2">
        <f>COUNTIFS(AP6, "1",AQ6, "1")</f>
        <v>1</v>
      </c>
      <c r="BF6" s="2">
        <v>0</v>
      </c>
      <c r="BG6" s="2">
        <v>1</v>
      </c>
      <c r="BH6" s="2">
        <v>0</v>
      </c>
      <c r="BI6" s="2" t="s">
        <v>83</v>
      </c>
    </row>
    <row r="7" spans="1:61" s="2" customFormat="1">
      <c r="A7" s="2">
        <v>22</v>
      </c>
      <c r="B7" s="5">
        <v>45401</v>
      </c>
      <c r="C7" s="5">
        <v>45408</v>
      </c>
      <c r="D7" s="2">
        <f t="shared" si="0"/>
        <v>7</v>
      </c>
      <c r="E7" s="2">
        <v>79</v>
      </c>
      <c r="F7" s="2">
        <v>1</v>
      </c>
      <c r="G7" s="2">
        <v>2</v>
      </c>
      <c r="H7" s="2">
        <v>1</v>
      </c>
      <c r="I7" s="2">
        <v>0</v>
      </c>
      <c r="J7" s="2">
        <v>0</v>
      </c>
      <c r="K7" s="2">
        <v>1</v>
      </c>
      <c r="L7" s="2">
        <v>0</v>
      </c>
      <c r="M7" s="2">
        <v>0</v>
      </c>
      <c r="N7" s="2">
        <v>1</v>
      </c>
      <c r="O7" s="2" t="s">
        <v>63</v>
      </c>
      <c r="P7" t="s">
        <v>52</v>
      </c>
      <c r="Q7" s="2">
        <v>1</v>
      </c>
      <c r="R7" s="2">
        <v>0</v>
      </c>
      <c r="S7" s="2">
        <v>0</v>
      </c>
      <c r="T7" s="2">
        <v>0</v>
      </c>
      <c r="U7" s="2">
        <v>1</v>
      </c>
      <c r="V7" s="2">
        <v>1</v>
      </c>
      <c r="W7" s="5">
        <v>45401</v>
      </c>
      <c r="X7" s="5">
        <v>45401</v>
      </c>
      <c r="Y7" s="28">
        <f t="shared" si="1"/>
        <v>0</v>
      </c>
      <c r="Z7" s="2">
        <v>0</v>
      </c>
      <c r="AA7" s="2">
        <v>0</v>
      </c>
      <c r="AB7" s="2">
        <v>0</v>
      </c>
      <c r="AC7" s="2">
        <v>0</v>
      </c>
      <c r="AD7" s="2">
        <v>0</v>
      </c>
      <c r="AE7" s="2">
        <v>0</v>
      </c>
      <c r="AF7" s="2">
        <v>0</v>
      </c>
      <c r="AG7" s="2">
        <v>0</v>
      </c>
      <c r="AH7" s="2">
        <v>1</v>
      </c>
      <c r="AI7" s="2">
        <v>1</v>
      </c>
      <c r="AJ7" s="2" t="s">
        <v>55</v>
      </c>
      <c r="AK7" s="2">
        <v>1</v>
      </c>
      <c r="AL7" s="2">
        <v>1</v>
      </c>
      <c r="AM7" s="2">
        <v>1</v>
      </c>
      <c r="AN7" s="2">
        <v>0</v>
      </c>
      <c r="AO7" s="2">
        <v>0</v>
      </c>
      <c r="AP7" s="2">
        <v>1</v>
      </c>
      <c r="AQ7" s="2">
        <v>0</v>
      </c>
      <c r="AR7" s="2">
        <v>1</v>
      </c>
      <c r="AS7" s="5">
        <v>45406</v>
      </c>
      <c r="AT7" s="2">
        <v>0</v>
      </c>
      <c r="AU7" s="2">
        <v>0</v>
      </c>
      <c r="AV7" s="2">
        <f>Table2[[#This Row],[TTE date]]-Table2[[#This Row],[Date initial positive Bcx]]</f>
        <v>1</v>
      </c>
      <c r="AW7" s="2">
        <v>1</v>
      </c>
      <c r="AX7" s="5">
        <v>45408</v>
      </c>
      <c r="AY7" s="2">
        <v>0</v>
      </c>
      <c r="AZ7" s="2">
        <v>0</v>
      </c>
      <c r="BA7" s="2">
        <v>0</v>
      </c>
      <c r="BB7" s="2">
        <f>AX7-W7</f>
        <v>7</v>
      </c>
      <c r="BC7" s="2">
        <v>0</v>
      </c>
      <c r="BD7" s="2">
        <f>COUNTIFS(H7, "0",Z7, "1",AI7, "1", AP7, "1",AQ7, "1")</f>
        <v>0</v>
      </c>
      <c r="BE7" s="2">
        <f>COUNTIFS(AP7, "1",AQ7, "1")</f>
        <v>0</v>
      </c>
      <c r="BF7" s="2">
        <v>0</v>
      </c>
      <c r="BG7" s="2">
        <v>1</v>
      </c>
      <c r="BH7" s="2">
        <v>1</v>
      </c>
      <c r="BI7" s="2" t="s">
        <v>90</v>
      </c>
    </row>
    <row r="8" spans="1:61" s="2" customFormat="1">
      <c r="A8" s="2">
        <v>23</v>
      </c>
      <c r="B8" s="5">
        <v>45401</v>
      </c>
      <c r="C8" s="5">
        <v>45447</v>
      </c>
      <c r="D8" s="2">
        <f t="shared" si="0"/>
        <v>46</v>
      </c>
      <c r="E8" s="2">
        <v>46</v>
      </c>
      <c r="F8" s="2">
        <v>2</v>
      </c>
      <c r="G8" s="2">
        <v>2</v>
      </c>
      <c r="H8" s="2">
        <v>1</v>
      </c>
      <c r="I8" s="2">
        <v>1</v>
      </c>
      <c r="J8" s="2">
        <v>0</v>
      </c>
      <c r="K8" s="2">
        <v>0</v>
      </c>
      <c r="L8" s="2">
        <v>1</v>
      </c>
      <c r="M8" s="2">
        <v>0</v>
      </c>
      <c r="N8" s="2">
        <v>0</v>
      </c>
      <c r="P8" t="s">
        <v>47</v>
      </c>
      <c r="Q8" s="2">
        <v>1</v>
      </c>
      <c r="R8" s="2">
        <v>0</v>
      </c>
      <c r="S8" s="2">
        <v>0</v>
      </c>
      <c r="T8" s="2">
        <v>0</v>
      </c>
      <c r="U8" s="2">
        <v>1</v>
      </c>
      <c r="V8" s="2">
        <v>3</v>
      </c>
      <c r="W8" s="5">
        <v>45401</v>
      </c>
      <c r="X8" s="5">
        <v>45404</v>
      </c>
      <c r="Y8" s="28">
        <f t="shared" si="1"/>
        <v>3</v>
      </c>
      <c r="Z8" s="2">
        <v>1</v>
      </c>
      <c r="AA8" s="2">
        <v>0</v>
      </c>
      <c r="AB8" s="2">
        <v>0</v>
      </c>
      <c r="AC8" s="2">
        <v>1</v>
      </c>
      <c r="AD8" s="2">
        <v>0</v>
      </c>
      <c r="AE8" s="2">
        <v>0</v>
      </c>
      <c r="AF8" s="2">
        <v>0</v>
      </c>
      <c r="AG8" s="2">
        <v>0</v>
      </c>
      <c r="AH8" s="2">
        <v>0</v>
      </c>
      <c r="AI8" s="2">
        <v>1</v>
      </c>
      <c r="AJ8" s="2" t="s">
        <v>91</v>
      </c>
      <c r="AK8" s="2">
        <v>1</v>
      </c>
      <c r="AL8" s="2">
        <v>0</v>
      </c>
      <c r="AM8" s="2">
        <v>0</v>
      </c>
      <c r="AN8" s="2">
        <v>0</v>
      </c>
      <c r="AO8" s="2">
        <v>1</v>
      </c>
      <c r="AP8" s="2">
        <v>1</v>
      </c>
      <c r="AQ8" s="2">
        <v>1</v>
      </c>
      <c r="AR8" s="2">
        <v>1</v>
      </c>
      <c r="AS8" s="5">
        <v>45406</v>
      </c>
      <c r="AT8" s="2">
        <v>0</v>
      </c>
      <c r="AU8" s="2">
        <v>0</v>
      </c>
      <c r="AV8" s="53">
        <f>Table2[[#This Row],[TTE date]]-Table2[[#This Row],[Date initial positive Bcx]]</f>
        <v>2</v>
      </c>
      <c r="AW8" s="2">
        <v>1</v>
      </c>
      <c r="AX8" s="5">
        <v>45408</v>
      </c>
      <c r="AY8" s="2">
        <v>0</v>
      </c>
      <c r="AZ8" s="2">
        <v>0</v>
      </c>
      <c r="BA8" s="2">
        <v>0</v>
      </c>
      <c r="BB8" s="2">
        <f>AX8-W8</f>
        <v>7</v>
      </c>
      <c r="BC8" s="2">
        <v>0</v>
      </c>
      <c r="BD8" s="2">
        <f>COUNTIFS(H8, "0",Z8, "1",AI8, "1", AP8, "1",AQ8, "1")</f>
        <v>0</v>
      </c>
      <c r="BE8" s="2">
        <f>COUNTIFS(AP8, "1",AQ8, "1")</f>
        <v>1</v>
      </c>
      <c r="BF8" s="2">
        <v>0</v>
      </c>
      <c r="BG8" s="2">
        <v>1</v>
      </c>
      <c r="BH8" s="2">
        <v>1</v>
      </c>
      <c r="BI8" s="2" t="s">
        <v>92</v>
      </c>
    </row>
    <row r="9" spans="1:61" s="2" customFormat="1">
      <c r="A9" s="2">
        <v>24</v>
      </c>
      <c r="B9" s="5">
        <v>45402</v>
      </c>
      <c r="C9" s="5">
        <v>45412</v>
      </c>
      <c r="D9" s="2">
        <f t="shared" si="0"/>
        <v>10</v>
      </c>
      <c r="E9" s="2">
        <v>87</v>
      </c>
      <c r="F9" s="2">
        <v>2</v>
      </c>
      <c r="G9" s="2">
        <v>2</v>
      </c>
      <c r="H9" s="2">
        <v>1</v>
      </c>
      <c r="I9" s="2">
        <v>0</v>
      </c>
      <c r="J9" s="2">
        <v>0</v>
      </c>
      <c r="K9" s="2">
        <v>0</v>
      </c>
      <c r="L9" s="2">
        <v>0</v>
      </c>
      <c r="M9" s="2">
        <v>0</v>
      </c>
      <c r="N9" s="2">
        <v>1</v>
      </c>
      <c r="O9" s="2" t="s">
        <v>93</v>
      </c>
      <c r="P9" t="s">
        <v>52</v>
      </c>
      <c r="Q9" s="2">
        <v>1</v>
      </c>
      <c r="R9" s="2">
        <v>0</v>
      </c>
      <c r="S9" s="2">
        <v>0</v>
      </c>
      <c r="T9" s="2">
        <v>0</v>
      </c>
      <c r="U9" s="2">
        <v>1</v>
      </c>
      <c r="V9" s="2">
        <v>2</v>
      </c>
      <c r="W9" s="5">
        <v>45402</v>
      </c>
      <c r="X9" s="5">
        <v>45403</v>
      </c>
      <c r="Y9" s="28">
        <f t="shared" si="1"/>
        <v>1</v>
      </c>
      <c r="Z9" s="2">
        <v>0</v>
      </c>
      <c r="AA9" s="2">
        <v>0</v>
      </c>
      <c r="AB9" s="2">
        <v>0</v>
      </c>
      <c r="AC9" s="2">
        <v>0</v>
      </c>
      <c r="AD9" s="2">
        <v>0</v>
      </c>
      <c r="AE9" s="2">
        <v>0</v>
      </c>
      <c r="AF9" s="2">
        <v>0</v>
      </c>
      <c r="AG9" s="2">
        <v>0</v>
      </c>
      <c r="AH9" s="2">
        <v>0</v>
      </c>
      <c r="AI9" s="2">
        <v>1</v>
      </c>
      <c r="AJ9" s="2" t="s">
        <v>55</v>
      </c>
      <c r="AK9" s="11">
        <v>1</v>
      </c>
      <c r="AL9" s="2">
        <v>1</v>
      </c>
      <c r="AM9" s="2">
        <v>1</v>
      </c>
      <c r="AN9" s="2">
        <v>0</v>
      </c>
      <c r="AO9" s="2">
        <v>0</v>
      </c>
      <c r="AP9" s="2">
        <v>1</v>
      </c>
      <c r="AQ9" s="2">
        <v>1</v>
      </c>
      <c r="AR9" s="2">
        <v>1</v>
      </c>
      <c r="AS9" s="5">
        <v>45406</v>
      </c>
      <c r="AT9" s="2">
        <v>0</v>
      </c>
      <c r="AU9" s="2">
        <v>0</v>
      </c>
      <c r="AV9" s="2">
        <f>Table2[[#This Row],[TTE date]]-Table2[[#This Row],[Date initial positive Bcx]]</f>
        <v>1</v>
      </c>
      <c r="AW9" s="2">
        <v>1</v>
      </c>
      <c r="AX9" s="5">
        <v>45411</v>
      </c>
      <c r="AY9" s="2">
        <v>0</v>
      </c>
      <c r="AZ9" s="2">
        <v>0</v>
      </c>
      <c r="BA9" s="53">
        <v>1</v>
      </c>
      <c r="BB9" s="2">
        <f>AX9-W9</f>
        <v>9</v>
      </c>
      <c r="BC9" s="2">
        <v>0</v>
      </c>
      <c r="BD9" s="2">
        <f>COUNTIFS(H9, "0",Z9, "1",AI9, "1", AP9, "1",AQ9, "1")</f>
        <v>0</v>
      </c>
      <c r="BE9" s="2">
        <f>COUNTIFS(AP9, "1",AQ9, "1")</f>
        <v>1</v>
      </c>
      <c r="BF9" s="2">
        <v>0</v>
      </c>
      <c r="BG9" s="2">
        <v>1</v>
      </c>
      <c r="BH9" s="2">
        <v>0</v>
      </c>
      <c r="BI9" s="2" t="s">
        <v>94</v>
      </c>
    </row>
    <row r="10" spans="1:61" s="2" customFormat="1">
      <c r="A10" s="2">
        <v>30</v>
      </c>
      <c r="B10" s="5">
        <v>45351</v>
      </c>
      <c r="C10" s="5">
        <v>45379</v>
      </c>
      <c r="D10" s="2">
        <f t="shared" si="0"/>
        <v>28</v>
      </c>
      <c r="E10" s="2">
        <v>28</v>
      </c>
      <c r="F10" s="2">
        <v>2</v>
      </c>
      <c r="G10" s="2">
        <v>2</v>
      </c>
      <c r="H10" s="2">
        <v>1</v>
      </c>
      <c r="I10" s="2">
        <v>1</v>
      </c>
      <c r="J10" s="2">
        <v>0</v>
      </c>
      <c r="K10" s="2">
        <v>0</v>
      </c>
      <c r="L10" s="2">
        <v>0</v>
      </c>
      <c r="M10" s="2">
        <v>0</v>
      </c>
      <c r="N10" s="2">
        <v>0</v>
      </c>
      <c r="P10" t="s">
        <v>47</v>
      </c>
      <c r="Q10" s="2">
        <v>1</v>
      </c>
      <c r="R10" s="2">
        <v>0</v>
      </c>
      <c r="S10" s="2">
        <v>0</v>
      </c>
      <c r="T10" s="2">
        <v>0</v>
      </c>
      <c r="U10" s="2">
        <v>1</v>
      </c>
      <c r="V10" s="2">
        <v>3</v>
      </c>
      <c r="W10" s="5">
        <v>45351</v>
      </c>
      <c r="X10" s="5">
        <v>45353</v>
      </c>
      <c r="Y10" s="28">
        <f t="shared" si="1"/>
        <v>2</v>
      </c>
      <c r="Z10" s="2">
        <v>1</v>
      </c>
      <c r="AA10" s="2">
        <v>0</v>
      </c>
      <c r="AB10" s="2">
        <v>0</v>
      </c>
      <c r="AC10" s="2">
        <v>0</v>
      </c>
      <c r="AD10" s="2">
        <v>0</v>
      </c>
      <c r="AE10" s="2">
        <v>0</v>
      </c>
      <c r="AF10" s="2">
        <v>1</v>
      </c>
      <c r="AG10" s="2">
        <v>0</v>
      </c>
      <c r="AH10" s="2">
        <v>0</v>
      </c>
      <c r="AI10" s="2">
        <v>1</v>
      </c>
      <c r="AJ10" s="2" t="s">
        <v>91</v>
      </c>
      <c r="AK10" s="2">
        <v>1</v>
      </c>
      <c r="AL10" s="2">
        <v>1</v>
      </c>
      <c r="AM10" s="2">
        <v>0</v>
      </c>
      <c r="AN10" s="2">
        <v>1</v>
      </c>
      <c r="AO10" s="2">
        <v>0</v>
      </c>
      <c r="AP10" s="2">
        <v>0</v>
      </c>
      <c r="AQ10" s="2">
        <v>1</v>
      </c>
      <c r="AR10" s="2">
        <v>1</v>
      </c>
      <c r="AS10" s="5">
        <v>45352</v>
      </c>
      <c r="AT10" s="2">
        <v>0</v>
      </c>
      <c r="AU10" s="2">
        <v>1</v>
      </c>
      <c r="AV10" s="2">
        <f>Table2[[#This Row],[TTE date]]-Table2[[#This Row],[Date initial positive Bcx]]</f>
        <v>4</v>
      </c>
      <c r="AW10" s="2">
        <v>1</v>
      </c>
      <c r="AX10" s="5">
        <v>45365</v>
      </c>
      <c r="AY10" s="2">
        <v>0</v>
      </c>
      <c r="AZ10" s="2">
        <v>1</v>
      </c>
      <c r="BA10" s="2">
        <v>0</v>
      </c>
      <c r="BB10" s="2">
        <f>AX10-W10</f>
        <v>14</v>
      </c>
      <c r="BC10" s="2">
        <v>0</v>
      </c>
      <c r="BD10" s="2">
        <f>COUNTIFS(H10, "0",Z10, "1",AI10, "1", AP10, "1",AQ10, "1")</f>
        <v>0</v>
      </c>
      <c r="BE10" s="2">
        <f>COUNTIFS(AP10, "1",AQ10, "1")</f>
        <v>0</v>
      </c>
      <c r="BF10" s="2">
        <v>0</v>
      </c>
      <c r="BG10" s="2">
        <v>1</v>
      </c>
      <c r="BH10" s="2">
        <v>1</v>
      </c>
      <c r="BI10" s="2" t="s">
        <v>102</v>
      </c>
    </row>
    <row r="11" spans="1:61" s="2" customFormat="1">
      <c r="A11" s="2">
        <v>32</v>
      </c>
      <c r="B11" s="5">
        <v>45355</v>
      </c>
      <c r="C11" s="5">
        <v>45378</v>
      </c>
      <c r="D11" s="2">
        <f t="shared" si="0"/>
        <v>23</v>
      </c>
      <c r="E11" s="2">
        <v>79</v>
      </c>
      <c r="F11" s="2">
        <v>2</v>
      </c>
      <c r="G11" s="2">
        <v>2</v>
      </c>
      <c r="H11" s="2">
        <v>1</v>
      </c>
      <c r="I11" s="2">
        <v>0</v>
      </c>
      <c r="J11" s="2">
        <v>0</v>
      </c>
      <c r="K11" s="2">
        <v>0</v>
      </c>
      <c r="L11" s="2">
        <v>0</v>
      </c>
      <c r="M11" s="2">
        <v>0</v>
      </c>
      <c r="N11" s="2">
        <v>1</v>
      </c>
      <c r="O11" s="2" t="s">
        <v>106</v>
      </c>
      <c r="P11" t="s">
        <v>47</v>
      </c>
      <c r="Q11" s="2">
        <v>1</v>
      </c>
      <c r="R11" s="2">
        <v>0</v>
      </c>
      <c r="S11" s="2">
        <v>0</v>
      </c>
      <c r="T11" s="2">
        <v>0</v>
      </c>
      <c r="U11" s="2">
        <v>1</v>
      </c>
      <c r="V11" s="2">
        <v>5</v>
      </c>
      <c r="W11" s="5">
        <v>45355</v>
      </c>
      <c r="X11" s="5">
        <v>45359</v>
      </c>
      <c r="Y11" s="28">
        <f t="shared" si="1"/>
        <v>4</v>
      </c>
      <c r="Z11" s="2">
        <v>0</v>
      </c>
      <c r="AA11" s="2">
        <v>0</v>
      </c>
      <c r="AB11" s="2">
        <v>0</v>
      </c>
      <c r="AC11" s="2">
        <v>0</v>
      </c>
      <c r="AD11" s="2">
        <v>0</v>
      </c>
      <c r="AE11" s="2">
        <v>0</v>
      </c>
      <c r="AF11" s="2">
        <v>0</v>
      </c>
      <c r="AG11" s="2">
        <v>0</v>
      </c>
      <c r="AH11" s="2">
        <v>0</v>
      </c>
      <c r="AI11" s="2">
        <v>1</v>
      </c>
      <c r="AJ11" s="2" t="s">
        <v>48</v>
      </c>
      <c r="AK11" s="2">
        <v>1</v>
      </c>
      <c r="AL11" s="2">
        <v>1</v>
      </c>
      <c r="AM11" s="2">
        <v>1</v>
      </c>
      <c r="AN11" s="2">
        <v>0</v>
      </c>
      <c r="AO11" s="2">
        <v>0</v>
      </c>
      <c r="AP11" s="2">
        <v>1</v>
      </c>
      <c r="AQ11" s="2">
        <v>1</v>
      </c>
      <c r="AR11" s="2">
        <v>1</v>
      </c>
      <c r="AS11" s="5">
        <v>45357</v>
      </c>
      <c r="AT11" s="2">
        <v>0</v>
      </c>
      <c r="AU11" s="2">
        <v>0</v>
      </c>
      <c r="AV11" s="2">
        <f>Table2[[#This Row],[TTE date]]-Table2[[#This Row],[Date initial positive Bcx]]</f>
        <v>0</v>
      </c>
      <c r="AW11" s="2">
        <v>1</v>
      </c>
      <c r="AX11" s="5">
        <v>45364</v>
      </c>
      <c r="AY11" s="2">
        <v>0</v>
      </c>
      <c r="AZ11" s="2">
        <v>0</v>
      </c>
      <c r="BA11" s="2">
        <v>0</v>
      </c>
      <c r="BB11" s="2">
        <f>AX11-W11</f>
        <v>9</v>
      </c>
      <c r="BC11" s="2">
        <v>0</v>
      </c>
      <c r="BD11" s="2">
        <f>COUNTIFS(H11, "0",Z11, "1",AI11, "1", AP11, "1",AQ11, "1")</f>
        <v>0</v>
      </c>
      <c r="BE11" s="2">
        <f>COUNTIFS(AP11, "1",AQ11, "1")</f>
        <v>1</v>
      </c>
      <c r="BF11" s="2">
        <v>0</v>
      </c>
      <c r="BG11" s="2">
        <v>1</v>
      </c>
      <c r="BH11" s="2">
        <v>0</v>
      </c>
      <c r="BI11" s="2" t="s">
        <v>107</v>
      </c>
    </row>
    <row r="12" spans="1:61" s="2" customFormat="1">
      <c r="A12" s="8">
        <v>33</v>
      </c>
      <c r="B12" s="5">
        <v>45356</v>
      </c>
      <c r="C12" s="6">
        <v>45383</v>
      </c>
      <c r="D12" s="2">
        <f t="shared" si="0"/>
        <v>27</v>
      </c>
      <c r="E12" s="2">
        <v>77</v>
      </c>
      <c r="F12" s="2">
        <v>2</v>
      </c>
      <c r="G12" s="2">
        <v>3</v>
      </c>
      <c r="H12" s="2">
        <v>1</v>
      </c>
      <c r="I12" s="2">
        <v>0</v>
      </c>
      <c r="J12" s="2">
        <v>0</v>
      </c>
      <c r="K12" s="2">
        <v>1</v>
      </c>
      <c r="L12" s="2">
        <v>0</v>
      </c>
      <c r="M12" s="2">
        <v>0</v>
      </c>
      <c r="N12" s="2">
        <v>1</v>
      </c>
      <c r="O12" s="2" t="s">
        <v>108</v>
      </c>
      <c r="P12" t="s">
        <v>52</v>
      </c>
      <c r="Q12" s="2">
        <v>1</v>
      </c>
      <c r="R12" s="2">
        <v>0</v>
      </c>
      <c r="S12" s="2">
        <v>0</v>
      </c>
      <c r="T12" s="2">
        <v>0</v>
      </c>
      <c r="U12" s="2">
        <v>1</v>
      </c>
      <c r="V12" s="2">
        <v>3</v>
      </c>
      <c r="W12" s="5">
        <v>45364</v>
      </c>
      <c r="X12" s="5">
        <v>45366</v>
      </c>
      <c r="Y12" s="28">
        <f t="shared" si="1"/>
        <v>2</v>
      </c>
      <c r="Z12" s="2">
        <v>0</v>
      </c>
      <c r="AA12" s="2">
        <v>0</v>
      </c>
      <c r="AB12" s="2">
        <v>0</v>
      </c>
      <c r="AC12" s="2">
        <v>0</v>
      </c>
      <c r="AD12" s="2">
        <v>0</v>
      </c>
      <c r="AE12" s="2">
        <v>0</v>
      </c>
      <c r="AF12" s="2">
        <v>0</v>
      </c>
      <c r="AG12" s="2">
        <v>0</v>
      </c>
      <c r="AH12" s="2">
        <v>0</v>
      </c>
      <c r="AI12" s="2">
        <v>1</v>
      </c>
      <c r="AJ12" s="2" t="s">
        <v>55</v>
      </c>
      <c r="AK12" s="2">
        <v>1</v>
      </c>
      <c r="AL12" s="2">
        <v>0</v>
      </c>
      <c r="AM12" s="2">
        <v>0</v>
      </c>
      <c r="AN12" s="2">
        <v>0</v>
      </c>
      <c r="AO12" s="2">
        <v>1</v>
      </c>
      <c r="AP12" s="2">
        <v>1</v>
      </c>
      <c r="AQ12" s="2">
        <v>1</v>
      </c>
      <c r="AR12" s="2">
        <v>1</v>
      </c>
      <c r="AS12" s="5">
        <v>45365</v>
      </c>
      <c r="AT12" s="2">
        <v>0</v>
      </c>
      <c r="AU12" s="2">
        <v>0</v>
      </c>
      <c r="AV12" s="2">
        <f>Table2[[#This Row],[TTE date]]-Table2[[#This Row],[Date initial positive Bcx]]</f>
        <v>1</v>
      </c>
      <c r="AW12" s="2">
        <v>1</v>
      </c>
      <c r="AX12" s="5">
        <v>45366</v>
      </c>
      <c r="AY12" s="53">
        <v>1</v>
      </c>
      <c r="AZ12" s="2">
        <v>0</v>
      </c>
      <c r="BA12" s="2">
        <v>0</v>
      </c>
      <c r="BB12" s="2">
        <f>AX12-W12</f>
        <v>2</v>
      </c>
      <c r="BC12" s="2">
        <v>0</v>
      </c>
      <c r="BD12" s="2">
        <f>COUNTIFS(H12, "0",Z12, "1",AI12, "1", AP12, "1",AQ12, "1")</f>
        <v>0</v>
      </c>
      <c r="BE12" s="2">
        <f>COUNTIFS(AP12, "1",AQ12, "1")</f>
        <v>1</v>
      </c>
      <c r="BF12" s="2">
        <v>1</v>
      </c>
      <c r="BG12" s="2">
        <v>1</v>
      </c>
      <c r="BH12" s="2">
        <v>1</v>
      </c>
      <c r="BI12" s="2" t="s">
        <v>109</v>
      </c>
    </row>
    <row r="13" spans="1:61" s="2" customFormat="1">
      <c r="A13" s="2">
        <v>35</v>
      </c>
      <c r="B13" s="5">
        <v>45390</v>
      </c>
      <c r="C13" s="5">
        <v>45425</v>
      </c>
      <c r="D13" s="2">
        <f t="shared" si="0"/>
        <v>35</v>
      </c>
      <c r="E13" s="2">
        <v>42</v>
      </c>
      <c r="F13" s="2">
        <v>2</v>
      </c>
      <c r="G13" s="2">
        <v>4</v>
      </c>
      <c r="H13" s="2">
        <v>1</v>
      </c>
      <c r="I13" s="2">
        <v>1</v>
      </c>
      <c r="J13" s="2">
        <v>0</v>
      </c>
      <c r="K13" s="2">
        <v>0</v>
      </c>
      <c r="L13" s="2">
        <v>0</v>
      </c>
      <c r="M13" s="2">
        <v>0</v>
      </c>
      <c r="N13" s="2">
        <v>0</v>
      </c>
      <c r="P13" t="s">
        <v>47</v>
      </c>
      <c r="Q13" s="2">
        <v>1</v>
      </c>
      <c r="R13" s="2">
        <v>0</v>
      </c>
      <c r="S13" s="2">
        <v>0</v>
      </c>
      <c r="T13" s="2">
        <v>0</v>
      </c>
      <c r="U13" s="2">
        <v>1</v>
      </c>
      <c r="V13" s="11">
        <v>5</v>
      </c>
      <c r="W13" s="5">
        <v>45393</v>
      </c>
      <c r="X13" s="5">
        <v>45398</v>
      </c>
      <c r="Y13" s="28">
        <f t="shared" si="1"/>
        <v>5</v>
      </c>
      <c r="Z13" s="2">
        <v>1</v>
      </c>
      <c r="AA13" s="2">
        <v>1</v>
      </c>
      <c r="AB13" s="2">
        <v>1</v>
      </c>
      <c r="AC13" s="2">
        <v>0</v>
      </c>
      <c r="AD13" s="2">
        <v>0</v>
      </c>
      <c r="AE13" s="2">
        <v>0</v>
      </c>
      <c r="AF13" s="2">
        <v>0</v>
      </c>
      <c r="AG13" s="2">
        <v>0</v>
      </c>
      <c r="AH13" s="2">
        <v>0</v>
      </c>
      <c r="AI13" s="2">
        <v>1</v>
      </c>
      <c r="AJ13" s="2" t="s">
        <v>48</v>
      </c>
      <c r="AK13" s="2">
        <v>1</v>
      </c>
      <c r="AL13" s="2">
        <v>1</v>
      </c>
      <c r="AM13" s="2">
        <v>0</v>
      </c>
      <c r="AN13" s="2">
        <v>1</v>
      </c>
      <c r="AO13" s="2">
        <v>0</v>
      </c>
      <c r="AP13" s="2">
        <v>0</v>
      </c>
      <c r="AQ13" s="2">
        <v>1</v>
      </c>
      <c r="AR13" s="2">
        <v>1</v>
      </c>
      <c r="AS13" s="5">
        <v>45397</v>
      </c>
      <c r="AT13" s="2">
        <v>0</v>
      </c>
      <c r="AU13" s="2">
        <v>0</v>
      </c>
      <c r="AV13" s="2">
        <f>Table2[[#This Row],[TTE date]]-Table2[[#This Row],[Date initial positive Bcx]]</f>
        <v>6</v>
      </c>
      <c r="AW13" s="2">
        <v>1</v>
      </c>
      <c r="AX13" s="5">
        <v>45397</v>
      </c>
      <c r="AY13" s="2">
        <v>0</v>
      </c>
      <c r="AZ13" s="2">
        <v>0</v>
      </c>
      <c r="BA13" s="2">
        <v>0</v>
      </c>
      <c r="BB13" s="2">
        <f>AX13-W13</f>
        <v>4</v>
      </c>
      <c r="BC13" s="2">
        <v>0</v>
      </c>
      <c r="BD13" s="2">
        <f>COUNTIFS(H13, "0",Z13, "1",AI13, "1", AP13, "1",AQ13, "1")</f>
        <v>0</v>
      </c>
      <c r="BE13" s="2">
        <f>COUNTIFS(AP13, "1",AQ13, "1")</f>
        <v>0</v>
      </c>
      <c r="BF13" s="2">
        <v>0</v>
      </c>
      <c r="BG13" s="2">
        <v>1</v>
      </c>
      <c r="BH13" s="2">
        <v>1</v>
      </c>
      <c r="BI13" s="2" t="s">
        <v>111</v>
      </c>
    </row>
    <row r="14" spans="1:61" s="13" customFormat="1">
      <c r="A14" s="2">
        <v>38</v>
      </c>
      <c r="B14" s="18">
        <v>45381</v>
      </c>
      <c r="C14" s="18">
        <v>45412</v>
      </c>
      <c r="D14" s="13">
        <f t="shared" si="0"/>
        <v>31</v>
      </c>
      <c r="E14" s="13">
        <v>69</v>
      </c>
      <c r="F14" s="13">
        <v>2</v>
      </c>
      <c r="G14" s="13">
        <v>3</v>
      </c>
      <c r="H14" s="13">
        <v>0</v>
      </c>
      <c r="I14" s="13">
        <v>0</v>
      </c>
      <c r="J14" s="13">
        <v>0</v>
      </c>
      <c r="K14" s="13">
        <v>0</v>
      </c>
      <c r="L14" s="13">
        <v>0</v>
      </c>
      <c r="M14" s="13">
        <v>0</v>
      </c>
      <c r="N14" s="13">
        <v>0</v>
      </c>
      <c r="P14" s="14" t="s">
        <v>114</v>
      </c>
      <c r="Q14" s="13">
        <v>1</v>
      </c>
      <c r="R14" s="13">
        <v>0</v>
      </c>
      <c r="S14" s="13">
        <v>0</v>
      </c>
      <c r="T14" s="13">
        <v>0</v>
      </c>
      <c r="U14" s="13">
        <v>0</v>
      </c>
      <c r="V14" s="13">
        <v>1</v>
      </c>
      <c r="W14" s="18">
        <v>45381</v>
      </c>
      <c r="X14" s="18">
        <v>45381</v>
      </c>
      <c r="Y14" s="28">
        <f t="shared" si="1"/>
        <v>0</v>
      </c>
      <c r="Z14" s="13">
        <v>0</v>
      </c>
      <c r="AA14" s="13">
        <v>0</v>
      </c>
      <c r="AB14" s="13">
        <v>0</v>
      </c>
      <c r="AC14" s="13">
        <v>0</v>
      </c>
      <c r="AD14" s="13">
        <v>0</v>
      </c>
      <c r="AE14" s="13">
        <v>0</v>
      </c>
      <c r="AF14" s="13">
        <v>0</v>
      </c>
      <c r="AG14" s="13">
        <v>0</v>
      </c>
      <c r="AH14" s="13">
        <v>0</v>
      </c>
      <c r="AI14" s="13">
        <v>1</v>
      </c>
      <c r="AJ14" s="13" t="s">
        <v>48</v>
      </c>
      <c r="AK14" s="13">
        <v>1</v>
      </c>
      <c r="AL14" s="13">
        <v>1</v>
      </c>
      <c r="AM14" s="13">
        <v>1</v>
      </c>
      <c r="AN14" s="13">
        <v>0</v>
      </c>
      <c r="AO14" s="13">
        <v>0</v>
      </c>
      <c r="AP14" s="13">
        <v>1</v>
      </c>
      <c r="AQ14" s="13">
        <v>1</v>
      </c>
      <c r="AR14" s="13">
        <v>1</v>
      </c>
      <c r="AS14" s="18">
        <v>45383</v>
      </c>
      <c r="AT14" s="13">
        <v>0</v>
      </c>
      <c r="AU14" s="13">
        <v>1</v>
      </c>
      <c r="AV14" s="13">
        <f>Table2[[#This Row],[TTE date]]-Table2[[#This Row],[Date initial positive Bcx]]</f>
        <v>4</v>
      </c>
      <c r="AW14" s="13">
        <v>1</v>
      </c>
      <c r="AX14" s="18">
        <v>45385</v>
      </c>
      <c r="AY14" s="13">
        <v>0</v>
      </c>
      <c r="AZ14" s="13">
        <v>0</v>
      </c>
      <c r="BA14" s="54">
        <v>1</v>
      </c>
      <c r="BB14" s="2">
        <f>AX14-W14</f>
        <v>4</v>
      </c>
      <c r="BC14" s="13">
        <v>0</v>
      </c>
      <c r="BD14" s="2">
        <f>COUNTIFS(H14, "0",Z14, "1",AI14, "1", AP14, "1",AQ14, "1")</f>
        <v>0</v>
      </c>
      <c r="BE14" s="2">
        <f>COUNTIFS(AP14, "1",AQ14, "1")</f>
        <v>1</v>
      </c>
      <c r="BF14" s="2">
        <v>0</v>
      </c>
      <c r="BG14" s="2">
        <v>1</v>
      </c>
      <c r="BH14" s="2">
        <v>0</v>
      </c>
      <c r="BI14" s="13" t="s">
        <v>115</v>
      </c>
    </row>
    <row r="15" spans="1:61" s="2" customFormat="1">
      <c r="A15" s="2">
        <v>41</v>
      </c>
      <c r="B15" s="5">
        <v>45450</v>
      </c>
      <c r="C15" s="5">
        <v>45456</v>
      </c>
      <c r="D15" s="2">
        <f t="shared" si="0"/>
        <v>6</v>
      </c>
      <c r="E15" s="2">
        <v>71</v>
      </c>
      <c r="F15" s="2">
        <v>1</v>
      </c>
      <c r="G15" s="2">
        <v>2</v>
      </c>
      <c r="H15" s="2">
        <v>1</v>
      </c>
      <c r="I15" s="2">
        <v>0</v>
      </c>
      <c r="J15" s="2">
        <v>1</v>
      </c>
      <c r="K15" s="2">
        <v>0</v>
      </c>
      <c r="L15" s="2">
        <v>0</v>
      </c>
      <c r="M15" s="2">
        <v>0</v>
      </c>
      <c r="N15" s="2">
        <v>0</v>
      </c>
      <c r="P15" t="s">
        <v>121</v>
      </c>
      <c r="Q15" s="2">
        <v>0</v>
      </c>
      <c r="R15" s="2">
        <v>1</v>
      </c>
      <c r="S15" s="2">
        <v>0</v>
      </c>
      <c r="T15" s="2">
        <v>0</v>
      </c>
      <c r="U15" s="2">
        <v>0</v>
      </c>
      <c r="V15" s="2">
        <v>1</v>
      </c>
      <c r="W15" s="5">
        <v>45450</v>
      </c>
      <c r="X15" s="5">
        <v>45450</v>
      </c>
      <c r="Y15" s="28">
        <f t="shared" si="1"/>
        <v>0</v>
      </c>
      <c r="Z15" s="2">
        <v>0</v>
      </c>
      <c r="AA15" s="2">
        <v>0</v>
      </c>
      <c r="AB15" s="2">
        <v>0</v>
      </c>
      <c r="AC15" s="2">
        <v>0</v>
      </c>
      <c r="AD15" s="2">
        <v>0</v>
      </c>
      <c r="AE15" s="2">
        <v>0</v>
      </c>
      <c r="AF15" s="2">
        <v>0</v>
      </c>
      <c r="AG15" s="2">
        <v>0</v>
      </c>
      <c r="AH15" s="2">
        <v>0</v>
      </c>
      <c r="AI15" s="2">
        <v>1</v>
      </c>
      <c r="AJ15" s="2" t="s">
        <v>117</v>
      </c>
      <c r="AK15" s="2">
        <v>1</v>
      </c>
      <c r="AL15" s="2">
        <v>1</v>
      </c>
      <c r="AM15" s="2">
        <v>1</v>
      </c>
      <c r="AN15" s="2">
        <v>0</v>
      </c>
      <c r="AO15" s="2">
        <v>0</v>
      </c>
      <c r="AP15" s="2">
        <v>1</v>
      </c>
      <c r="AQ15" s="2">
        <v>1</v>
      </c>
      <c r="AR15" s="2">
        <v>1</v>
      </c>
      <c r="AS15" s="5">
        <v>45453</v>
      </c>
      <c r="AT15" s="2">
        <v>0</v>
      </c>
      <c r="AU15" s="2">
        <v>0</v>
      </c>
      <c r="AV15" s="2">
        <f>Table2[[#This Row],[TTE date]]-Table2[[#This Row],[Date initial positive Bcx]]</f>
        <v>1</v>
      </c>
      <c r="AW15" s="2">
        <v>1</v>
      </c>
      <c r="AX15" s="5">
        <v>45455</v>
      </c>
      <c r="AY15" s="2">
        <v>0</v>
      </c>
      <c r="AZ15" s="2">
        <v>1</v>
      </c>
      <c r="BA15" s="2">
        <v>0</v>
      </c>
      <c r="BB15" s="2">
        <f>AX15-W15</f>
        <v>5</v>
      </c>
      <c r="BC15" s="2">
        <v>0</v>
      </c>
      <c r="BD15" s="2">
        <f>COUNTIFS(H15, "0",Z15, "1",AI15, "1", AP15, "1",AQ15, "1")</f>
        <v>0</v>
      </c>
      <c r="BE15" s="2">
        <f>COUNTIFS(AP15, "1",AQ15, "1")</f>
        <v>1</v>
      </c>
      <c r="BF15" s="2">
        <v>0</v>
      </c>
      <c r="BG15" s="2">
        <v>1</v>
      </c>
      <c r="BH15" s="2">
        <v>1</v>
      </c>
      <c r="BI15" s="2" t="s">
        <v>122</v>
      </c>
    </row>
    <row r="16" spans="1:61" s="2" customFormat="1">
      <c r="A16" s="2">
        <v>45</v>
      </c>
      <c r="B16" s="5">
        <v>45421</v>
      </c>
      <c r="C16" s="5">
        <v>45426</v>
      </c>
      <c r="D16" s="2">
        <f t="shared" si="0"/>
        <v>5</v>
      </c>
      <c r="E16" s="2">
        <v>58</v>
      </c>
      <c r="F16" s="2">
        <v>1</v>
      </c>
      <c r="G16" s="2">
        <v>3</v>
      </c>
      <c r="H16" s="2">
        <v>0</v>
      </c>
      <c r="I16" s="2">
        <v>0</v>
      </c>
      <c r="J16" s="2">
        <v>0</v>
      </c>
      <c r="K16" s="2">
        <v>0</v>
      </c>
      <c r="L16" s="2">
        <v>0</v>
      </c>
      <c r="M16" s="2">
        <v>0</v>
      </c>
      <c r="N16" s="2">
        <v>1</v>
      </c>
      <c r="O16" s="2" t="s">
        <v>128</v>
      </c>
      <c r="P16" t="s">
        <v>116</v>
      </c>
      <c r="Q16" s="2">
        <v>0</v>
      </c>
      <c r="R16" s="2">
        <v>1</v>
      </c>
      <c r="S16" s="2">
        <v>0</v>
      </c>
      <c r="T16" s="2">
        <v>0</v>
      </c>
      <c r="U16" s="2">
        <v>0</v>
      </c>
      <c r="V16" s="2">
        <v>1</v>
      </c>
      <c r="W16" s="5">
        <v>45421</v>
      </c>
      <c r="X16" s="5">
        <v>45421</v>
      </c>
      <c r="Y16" s="28">
        <f t="shared" si="1"/>
        <v>0</v>
      </c>
      <c r="Z16" s="2">
        <v>1</v>
      </c>
      <c r="AA16" s="2">
        <v>0</v>
      </c>
      <c r="AB16" s="2">
        <v>0</v>
      </c>
      <c r="AC16" s="2">
        <v>0</v>
      </c>
      <c r="AD16" s="2">
        <v>0</v>
      </c>
      <c r="AE16" s="2">
        <v>0</v>
      </c>
      <c r="AF16" s="2">
        <v>0</v>
      </c>
      <c r="AG16" s="2">
        <v>0</v>
      </c>
      <c r="AH16" s="2">
        <v>1</v>
      </c>
      <c r="AI16" s="2">
        <v>1</v>
      </c>
      <c r="AJ16" s="2" t="s">
        <v>129</v>
      </c>
      <c r="AK16" s="11">
        <v>0</v>
      </c>
      <c r="AL16" s="2">
        <v>1</v>
      </c>
      <c r="AM16" s="2">
        <v>1</v>
      </c>
      <c r="AN16" s="2">
        <v>0</v>
      </c>
      <c r="AO16" s="2">
        <v>0</v>
      </c>
      <c r="AP16" s="2">
        <v>1</v>
      </c>
      <c r="AQ16" s="2">
        <v>1</v>
      </c>
      <c r="AR16" s="2">
        <v>1</v>
      </c>
      <c r="AS16" s="5">
        <v>45422</v>
      </c>
      <c r="AT16" s="2">
        <v>0</v>
      </c>
      <c r="AU16" s="2">
        <v>0</v>
      </c>
      <c r="AV16" s="2">
        <f>Table2[[#This Row],[TTE date]]-Table2[[#This Row],[Date initial positive Bcx]]</f>
        <v>1</v>
      </c>
      <c r="AW16" s="2">
        <v>1</v>
      </c>
      <c r="AX16" s="5">
        <v>45425</v>
      </c>
      <c r="AY16" s="53">
        <v>1</v>
      </c>
      <c r="AZ16" s="2">
        <v>0</v>
      </c>
      <c r="BA16" s="53">
        <v>1</v>
      </c>
      <c r="BB16" s="2">
        <f>AX16-W16</f>
        <v>4</v>
      </c>
      <c r="BC16" s="2">
        <v>0</v>
      </c>
      <c r="BD16" s="2">
        <f>COUNTIFS(H16, "0",Z16, "1",AI16, "1", AP16, "1",AQ16, "1")</f>
        <v>1</v>
      </c>
      <c r="BE16" s="2">
        <f>COUNTIFS(AP16, "1",AQ16, "1")</f>
        <v>1</v>
      </c>
      <c r="BF16" s="2">
        <v>1</v>
      </c>
      <c r="BG16" s="2">
        <v>1</v>
      </c>
      <c r="BH16" s="2">
        <v>0</v>
      </c>
      <c r="BI16" s="2" t="s">
        <v>130</v>
      </c>
    </row>
    <row r="17" spans="1:83" s="2" customFormat="1">
      <c r="A17" s="8">
        <v>46</v>
      </c>
      <c r="B17" s="5">
        <v>45428</v>
      </c>
      <c r="C17" s="6">
        <v>45448</v>
      </c>
      <c r="D17" s="2">
        <f t="shared" si="0"/>
        <v>20</v>
      </c>
      <c r="E17" s="2">
        <v>77</v>
      </c>
      <c r="F17" s="2">
        <v>1</v>
      </c>
      <c r="G17" s="2">
        <v>2</v>
      </c>
      <c r="H17" s="2">
        <v>0</v>
      </c>
      <c r="I17" s="2">
        <v>0</v>
      </c>
      <c r="J17" s="2">
        <v>0</v>
      </c>
      <c r="K17" s="2">
        <v>0</v>
      </c>
      <c r="L17" s="2">
        <v>0</v>
      </c>
      <c r="M17" s="2">
        <v>0</v>
      </c>
      <c r="N17" s="2">
        <v>0</v>
      </c>
      <c r="P17" t="s">
        <v>119</v>
      </c>
      <c r="Q17" s="2">
        <v>0</v>
      </c>
      <c r="R17" s="2">
        <v>1</v>
      </c>
      <c r="S17" s="2">
        <v>0</v>
      </c>
      <c r="T17" s="2">
        <v>0</v>
      </c>
      <c r="U17" s="2">
        <v>0</v>
      </c>
      <c r="V17" s="2">
        <v>1</v>
      </c>
      <c r="W17" s="5">
        <v>45429</v>
      </c>
      <c r="X17" s="5">
        <v>45429</v>
      </c>
      <c r="Y17" s="28">
        <f t="shared" si="1"/>
        <v>0</v>
      </c>
      <c r="Z17" s="2">
        <v>1</v>
      </c>
      <c r="AA17" s="2">
        <v>0</v>
      </c>
      <c r="AB17" s="2">
        <v>0</v>
      </c>
      <c r="AC17" s="2">
        <v>0</v>
      </c>
      <c r="AD17" s="2">
        <v>0</v>
      </c>
      <c r="AE17" s="2">
        <v>0</v>
      </c>
      <c r="AF17" s="2">
        <v>0</v>
      </c>
      <c r="AG17" s="2">
        <v>0</v>
      </c>
      <c r="AH17" s="2">
        <v>1</v>
      </c>
      <c r="AI17" s="2">
        <v>1</v>
      </c>
      <c r="AJ17" s="11" t="s">
        <v>91</v>
      </c>
      <c r="AK17" s="2">
        <v>1</v>
      </c>
      <c r="AL17" s="2">
        <v>1</v>
      </c>
      <c r="AM17" s="2">
        <v>0</v>
      </c>
      <c r="AN17" s="2">
        <v>1</v>
      </c>
      <c r="AO17" s="2">
        <v>0</v>
      </c>
      <c r="AP17" s="2">
        <v>0</v>
      </c>
      <c r="AQ17" s="2">
        <v>0</v>
      </c>
      <c r="AR17" s="2">
        <v>1</v>
      </c>
      <c r="AS17" s="5">
        <v>45433</v>
      </c>
      <c r="AT17" s="2">
        <v>0</v>
      </c>
      <c r="AU17" s="2">
        <v>0</v>
      </c>
      <c r="AV17" s="2">
        <f>Table2[[#This Row],[TTE date]]-Table2[[#This Row],[Date initial positive Bcx]]</f>
        <v>3</v>
      </c>
      <c r="AW17" s="2">
        <v>1</v>
      </c>
      <c r="AX17" s="5">
        <v>45434</v>
      </c>
      <c r="AY17" s="2">
        <v>0</v>
      </c>
      <c r="AZ17" s="2">
        <v>0</v>
      </c>
      <c r="BA17" s="2">
        <v>0</v>
      </c>
      <c r="BB17" s="2">
        <f>AX17-W17</f>
        <v>5</v>
      </c>
      <c r="BC17" s="2">
        <v>1</v>
      </c>
      <c r="BD17" s="2">
        <f>COUNTIFS(H17, "0",Z17, "1",AI17, "1", AP17, "1",AQ17, "1")</f>
        <v>0</v>
      </c>
      <c r="BE17" s="2">
        <f>COUNTIFS(AP17, "1",AQ17, "1")</f>
        <v>0</v>
      </c>
      <c r="BF17" s="2">
        <v>0</v>
      </c>
      <c r="BG17" s="2">
        <v>1</v>
      </c>
      <c r="BH17" s="2">
        <v>0</v>
      </c>
      <c r="BI17" s="2" t="s">
        <v>132</v>
      </c>
    </row>
    <row r="18" spans="1:83" s="2" customFormat="1">
      <c r="A18" s="2">
        <v>52</v>
      </c>
      <c r="B18" s="5">
        <v>45356</v>
      </c>
      <c r="C18" s="5">
        <v>45366</v>
      </c>
      <c r="D18" s="2">
        <f t="shared" si="0"/>
        <v>10</v>
      </c>
      <c r="E18" s="2">
        <v>42</v>
      </c>
      <c r="F18" s="2">
        <v>1</v>
      </c>
      <c r="G18" s="2">
        <v>2</v>
      </c>
      <c r="H18" s="2">
        <v>1</v>
      </c>
      <c r="I18" s="2">
        <v>0</v>
      </c>
      <c r="J18" s="2">
        <v>0</v>
      </c>
      <c r="K18" s="2">
        <v>0</v>
      </c>
      <c r="L18" s="2">
        <v>0</v>
      </c>
      <c r="M18" s="2">
        <v>0</v>
      </c>
      <c r="N18" s="2">
        <v>1</v>
      </c>
      <c r="O18" s="2" t="s">
        <v>141</v>
      </c>
      <c r="P18" t="s">
        <v>121</v>
      </c>
      <c r="Q18" s="2">
        <v>0</v>
      </c>
      <c r="R18" s="2">
        <v>1</v>
      </c>
      <c r="S18" s="2">
        <v>0</v>
      </c>
      <c r="T18" s="2">
        <v>0</v>
      </c>
      <c r="U18" s="2">
        <v>1</v>
      </c>
      <c r="V18" s="2">
        <v>2</v>
      </c>
      <c r="W18" s="5">
        <v>45356</v>
      </c>
      <c r="X18" s="5">
        <v>45357</v>
      </c>
      <c r="Y18" s="28">
        <f t="shared" si="1"/>
        <v>1</v>
      </c>
      <c r="Z18" s="2">
        <v>0</v>
      </c>
      <c r="AA18" s="2">
        <v>0</v>
      </c>
      <c r="AB18" s="2">
        <v>0</v>
      </c>
      <c r="AC18" s="2">
        <v>0</v>
      </c>
      <c r="AD18" s="2">
        <v>0</v>
      </c>
      <c r="AE18" s="2">
        <v>0</v>
      </c>
      <c r="AF18" s="2">
        <v>0</v>
      </c>
      <c r="AG18" s="2">
        <v>0</v>
      </c>
      <c r="AH18" s="2">
        <v>0</v>
      </c>
      <c r="AI18" s="2">
        <v>1</v>
      </c>
      <c r="AJ18" s="2" t="s">
        <v>117</v>
      </c>
      <c r="AK18" s="2">
        <v>1</v>
      </c>
      <c r="AL18" s="2">
        <v>1</v>
      </c>
      <c r="AM18" s="2">
        <v>1</v>
      </c>
      <c r="AN18" s="2">
        <v>0</v>
      </c>
      <c r="AO18" s="2">
        <v>0</v>
      </c>
      <c r="AP18" s="2">
        <v>1</v>
      </c>
      <c r="AQ18" s="2">
        <v>1</v>
      </c>
      <c r="AR18" s="2">
        <v>1</v>
      </c>
      <c r="AS18" s="5">
        <v>45357</v>
      </c>
      <c r="AT18" s="2">
        <v>1</v>
      </c>
      <c r="AU18" s="11">
        <v>1</v>
      </c>
      <c r="AV18" s="11">
        <f>Table2[[#This Row],[TTE date]]-Table2[[#This Row],[Date initial positive Bcx]]</f>
        <v>2</v>
      </c>
      <c r="AW18" s="11">
        <v>1</v>
      </c>
      <c r="AX18" s="5">
        <v>45359</v>
      </c>
      <c r="AY18" s="11">
        <v>1</v>
      </c>
      <c r="AZ18" s="2">
        <v>1</v>
      </c>
      <c r="BA18" s="2">
        <v>0</v>
      </c>
      <c r="BB18" s="2">
        <f>AX18-W18</f>
        <v>3</v>
      </c>
      <c r="BC18" s="2">
        <v>0</v>
      </c>
      <c r="BD18" s="2">
        <f>COUNTIFS(H18, "0",Z18, "1",AI18, "1", AP18, "1",AQ18, "1")</f>
        <v>0</v>
      </c>
      <c r="BE18" s="2">
        <f>COUNTIFS(AP18, "1",AQ18, "1")</f>
        <v>1</v>
      </c>
      <c r="BF18" s="2">
        <v>1</v>
      </c>
      <c r="BG18" s="2">
        <v>1</v>
      </c>
      <c r="BH18" s="2">
        <v>0</v>
      </c>
      <c r="BI18" s="2" t="s">
        <v>142</v>
      </c>
    </row>
    <row r="19" spans="1:83" s="2" customFormat="1">
      <c r="A19" s="2">
        <v>65</v>
      </c>
      <c r="B19" s="5">
        <v>45375</v>
      </c>
      <c r="C19" s="5">
        <v>45388</v>
      </c>
      <c r="D19" s="2">
        <f>C19-B19</f>
        <v>13</v>
      </c>
      <c r="E19" s="2">
        <v>54</v>
      </c>
      <c r="F19" s="2">
        <v>2</v>
      </c>
      <c r="G19" s="2">
        <v>2</v>
      </c>
      <c r="H19" s="2">
        <v>0</v>
      </c>
      <c r="I19" s="2">
        <v>0</v>
      </c>
      <c r="J19" s="2">
        <v>0</v>
      </c>
      <c r="K19" s="2">
        <v>0</v>
      </c>
      <c r="L19" s="2">
        <v>0</v>
      </c>
      <c r="M19" s="2">
        <v>0</v>
      </c>
      <c r="N19" s="2">
        <v>0</v>
      </c>
      <c r="P19" t="s">
        <v>155</v>
      </c>
      <c r="Q19" s="2">
        <v>0</v>
      </c>
      <c r="R19" s="2">
        <v>0</v>
      </c>
      <c r="S19" s="2">
        <v>1</v>
      </c>
      <c r="T19" s="2">
        <v>0</v>
      </c>
      <c r="U19" s="2">
        <v>1</v>
      </c>
      <c r="V19" s="2">
        <v>6</v>
      </c>
      <c r="W19" s="5">
        <v>45375</v>
      </c>
      <c r="X19" s="5">
        <v>45380</v>
      </c>
      <c r="Y19" s="28">
        <f t="shared" si="1"/>
        <v>5</v>
      </c>
      <c r="Z19" s="2">
        <v>1</v>
      </c>
      <c r="AA19" s="2">
        <v>0</v>
      </c>
      <c r="AB19" s="2">
        <v>0</v>
      </c>
      <c r="AC19" s="2">
        <v>0</v>
      </c>
      <c r="AD19" s="2">
        <v>0</v>
      </c>
      <c r="AE19" s="2">
        <v>0</v>
      </c>
      <c r="AF19" s="2">
        <v>0</v>
      </c>
      <c r="AG19" s="2">
        <v>1</v>
      </c>
      <c r="AH19" s="2">
        <v>0</v>
      </c>
      <c r="AI19" s="2">
        <v>1</v>
      </c>
      <c r="AJ19" s="2" t="s">
        <v>175</v>
      </c>
      <c r="AK19" s="2">
        <v>0</v>
      </c>
      <c r="AL19" s="2">
        <v>1</v>
      </c>
      <c r="AM19" s="2">
        <v>0</v>
      </c>
      <c r="AN19" s="2">
        <v>1</v>
      </c>
      <c r="AO19" s="2">
        <v>0</v>
      </c>
      <c r="AP19" s="2">
        <v>0</v>
      </c>
      <c r="AQ19" s="2">
        <v>1</v>
      </c>
      <c r="AR19" s="2">
        <v>1</v>
      </c>
      <c r="AS19" s="5">
        <v>45380</v>
      </c>
      <c r="AT19" s="2">
        <v>0</v>
      </c>
      <c r="AU19" s="2">
        <v>0</v>
      </c>
      <c r="AV19" s="2">
        <f>Table2[[#This Row],[TTE date]]-Table2[[#This Row],[Date initial positive Bcx]]</f>
        <v>2</v>
      </c>
      <c r="AW19" s="2">
        <v>1</v>
      </c>
      <c r="AX19" s="5">
        <v>45383</v>
      </c>
      <c r="AY19" s="2">
        <v>0</v>
      </c>
      <c r="AZ19" s="2">
        <v>0</v>
      </c>
      <c r="BA19" s="53">
        <v>1</v>
      </c>
      <c r="BB19" s="2">
        <f>AX19-W19</f>
        <v>8</v>
      </c>
      <c r="BC19" s="2">
        <v>0</v>
      </c>
      <c r="BD19" s="2">
        <f>COUNTIFS(H19, "0",Z19, "1",AI19, "1", AP19, "1",AQ19, "1")</f>
        <v>0</v>
      </c>
      <c r="BE19" s="2">
        <f>COUNTIFS(AP19, "1",AQ19, "1")</f>
        <v>0</v>
      </c>
      <c r="BF19" s="2">
        <v>0</v>
      </c>
      <c r="BG19" s="2">
        <v>1</v>
      </c>
      <c r="BH19" s="2">
        <v>0</v>
      </c>
      <c r="BI19" s="2" t="s">
        <v>176</v>
      </c>
    </row>
    <row r="20" spans="1:83" s="2" customFormat="1">
      <c r="A20" s="2">
        <v>76</v>
      </c>
      <c r="B20" s="5">
        <v>45457</v>
      </c>
      <c r="C20" s="5">
        <v>45468</v>
      </c>
      <c r="D20" s="2">
        <f t="shared" ref="D20:D22" si="2">C20-B20</f>
        <v>11</v>
      </c>
      <c r="E20" s="2">
        <v>59</v>
      </c>
      <c r="F20" s="2">
        <v>1</v>
      </c>
      <c r="G20" s="2">
        <v>3</v>
      </c>
      <c r="H20" s="2">
        <v>0</v>
      </c>
      <c r="I20" s="2">
        <v>0</v>
      </c>
      <c r="J20" s="2">
        <v>0</v>
      </c>
      <c r="K20" s="2">
        <v>0</v>
      </c>
      <c r="L20" s="2">
        <v>0</v>
      </c>
      <c r="M20" s="2">
        <v>0</v>
      </c>
      <c r="N20" s="2">
        <v>0</v>
      </c>
      <c r="P20" t="s">
        <v>179</v>
      </c>
      <c r="Q20" s="2">
        <v>0</v>
      </c>
      <c r="R20" s="2">
        <v>0</v>
      </c>
      <c r="S20" s="2">
        <v>0</v>
      </c>
      <c r="T20" s="2">
        <v>1</v>
      </c>
      <c r="U20" s="2">
        <v>1</v>
      </c>
      <c r="V20" s="2">
        <v>3</v>
      </c>
      <c r="W20" s="5">
        <v>45457</v>
      </c>
      <c r="X20" s="5">
        <v>45460</v>
      </c>
      <c r="Y20" s="28">
        <f t="shared" si="1"/>
        <v>3</v>
      </c>
      <c r="Z20" s="2">
        <v>1</v>
      </c>
      <c r="AA20" s="2">
        <v>1</v>
      </c>
      <c r="AB20" s="2">
        <v>1</v>
      </c>
      <c r="AC20" s="2">
        <v>0</v>
      </c>
      <c r="AD20" s="2">
        <v>0</v>
      </c>
      <c r="AE20" s="2">
        <v>0</v>
      </c>
      <c r="AF20" s="2">
        <v>0</v>
      </c>
      <c r="AG20" s="2">
        <v>0</v>
      </c>
      <c r="AH20" s="2">
        <v>0</v>
      </c>
      <c r="AI20" s="2">
        <v>1</v>
      </c>
      <c r="AJ20" s="2" t="s">
        <v>55</v>
      </c>
      <c r="AK20" s="2">
        <v>1</v>
      </c>
      <c r="AL20" s="2">
        <v>1</v>
      </c>
      <c r="AM20" s="2">
        <v>1</v>
      </c>
      <c r="AN20" s="2">
        <v>0</v>
      </c>
      <c r="AO20" s="2">
        <v>0</v>
      </c>
      <c r="AP20" s="2">
        <v>1</v>
      </c>
      <c r="AQ20" s="2">
        <v>1</v>
      </c>
      <c r="AR20" s="2">
        <v>1</v>
      </c>
      <c r="AS20" s="5">
        <v>45461</v>
      </c>
      <c r="AT20" s="2">
        <v>0</v>
      </c>
      <c r="AU20" s="2">
        <v>0</v>
      </c>
      <c r="AV20" s="2">
        <f>Table2[[#This Row],[TTE date]]-Table2[[#This Row],[Date initial positive Bcx]]</f>
        <v>1</v>
      </c>
      <c r="AW20" s="2">
        <v>1</v>
      </c>
      <c r="AX20" s="5">
        <v>45463</v>
      </c>
      <c r="AY20" s="2">
        <v>0</v>
      </c>
      <c r="AZ20" s="2">
        <v>0</v>
      </c>
      <c r="BA20" s="2">
        <v>0</v>
      </c>
      <c r="BB20" s="2">
        <f>AX20-W20</f>
        <v>6</v>
      </c>
      <c r="BC20" s="2">
        <v>0</v>
      </c>
      <c r="BD20" s="2">
        <f>COUNTIFS(H20, "0",Z20, "1",AI20, "1", AP20, "1",AQ20, "1")</f>
        <v>1</v>
      </c>
      <c r="BE20" s="2">
        <f>COUNTIFS(AP20, "1",AQ20, "1")</f>
        <v>1</v>
      </c>
      <c r="BF20" s="2">
        <v>0</v>
      </c>
      <c r="BG20" s="2">
        <v>0</v>
      </c>
      <c r="BH20" s="2">
        <v>0</v>
      </c>
    </row>
    <row r="21" spans="1:83" s="2" customFormat="1">
      <c r="A21" s="2">
        <v>77</v>
      </c>
      <c r="B21" s="5">
        <v>45460</v>
      </c>
      <c r="C21" s="5">
        <v>45475</v>
      </c>
      <c r="D21" s="2">
        <f t="shared" si="2"/>
        <v>15</v>
      </c>
      <c r="E21" s="2">
        <v>69</v>
      </c>
      <c r="F21" s="2">
        <v>2</v>
      </c>
      <c r="G21" s="2">
        <v>2</v>
      </c>
      <c r="H21" s="2">
        <v>1</v>
      </c>
      <c r="I21" s="2">
        <v>0</v>
      </c>
      <c r="J21" s="2">
        <v>0</v>
      </c>
      <c r="K21" s="2">
        <v>1</v>
      </c>
      <c r="L21" s="2">
        <v>0</v>
      </c>
      <c r="M21" s="2">
        <v>0</v>
      </c>
      <c r="N21" s="2">
        <v>0</v>
      </c>
      <c r="P21" t="s">
        <v>195</v>
      </c>
      <c r="Q21" s="2">
        <v>0</v>
      </c>
      <c r="R21" s="2">
        <v>0</v>
      </c>
      <c r="S21" s="2">
        <v>0</v>
      </c>
      <c r="T21" s="2">
        <v>1</v>
      </c>
      <c r="U21" s="2">
        <v>0</v>
      </c>
      <c r="V21" s="2">
        <v>1</v>
      </c>
      <c r="W21" s="5">
        <v>45460</v>
      </c>
      <c r="X21" s="5">
        <v>45460</v>
      </c>
      <c r="Y21" s="28">
        <f t="shared" si="1"/>
        <v>0</v>
      </c>
      <c r="Z21" s="2">
        <v>0</v>
      </c>
      <c r="AA21" s="2">
        <v>0</v>
      </c>
      <c r="AB21" s="2">
        <v>0</v>
      </c>
      <c r="AC21" s="2">
        <v>0</v>
      </c>
      <c r="AD21" s="2">
        <v>0</v>
      </c>
      <c r="AE21" s="2">
        <v>0</v>
      </c>
      <c r="AF21" s="2">
        <v>0</v>
      </c>
      <c r="AG21" s="2">
        <v>0</v>
      </c>
      <c r="AH21" s="2">
        <v>0</v>
      </c>
      <c r="AI21" s="2">
        <v>1</v>
      </c>
      <c r="AJ21" s="2" t="s">
        <v>196</v>
      </c>
      <c r="AK21" s="2">
        <v>0</v>
      </c>
      <c r="AL21" s="2">
        <v>1</v>
      </c>
      <c r="AM21" s="2">
        <v>1</v>
      </c>
      <c r="AN21" s="2">
        <v>0</v>
      </c>
      <c r="AO21" s="2">
        <v>0</v>
      </c>
      <c r="AP21" s="2">
        <v>1</v>
      </c>
      <c r="AQ21" s="2">
        <v>1</v>
      </c>
      <c r="AR21" s="2">
        <v>0</v>
      </c>
      <c r="AW21" s="2">
        <v>1</v>
      </c>
      <c r="AX21" s="5">
        <v>45462</v>
      </c>
      <c r="AY21" s="2">
        <v>0</v>
      </c>
      <c r="AZ21" s="2">
        <v>0</v>
      </c>
      <c r="BA21" s="2">
        <v>0</v>
      </c>
      <c r="BB21" s="2">
        <f>AX21-W21</f>
        <v>2</v>
      </c>
      <c r="BC21" s="2">
        <v>0</v>
      </c>
      <c r="BD21" s="2">
        <f>COUNTIFS(H21, "0",Z21, "1",AI21, "1", AP21, "1",AQ21, "1")</f>
        <v>0</v>
      </c>
      <c r="BE21" s="2">
        <f>COUNTIFS(AP21, "1",AQ21, "1")</f>
        <v>1</v>
      </c>
      <c r="BF21" s="2">
        <v>0</v>
      </c>
      <c r="BG21" s="2">
        <v>1</v>
      </c>
      <c r="BH21" s="2">
        <v>1</v>
      </c>
      <c r="BI21" s="2" t="s">
        <v>197</v>
      </c>
    </row>
    <row r="22" spans="1:83" s="2" customFormat="1">
      <c r="A22" s="2">
        <v>108</v>
      </c>
      <c r="B22" s="5">
        <v>45398</v>
      </c>
      <c r="C22" s="5">
        <v>45412</v>
      </c>
      <c r="D22" s="2">
        <f t="shared" si="2"/>
        <v>14</v>
      </c>
      <c r="E22" s="2">
        <v>78</v>
      </c>
      <c r="F22" s="2">
        <v>2</v>
      </c>
      <c r="G22" s="2">
        <v>2</v>
      </c>
      <c r="H22" s="2">
        <v>1</v>
      </c>
      <c r="I22" s="2">
        <v>0</v>
      </c>
      <c r="J22" s="2">
        <v>1</v>
      </c>
      <c r="K22" s="2">
        <v>0</v>
      </c>
      <c r="L22" s="2">
        <v>0</v>
      </c>
      <c r="M22" s="2">
        <v>0</v>
      </c>
      <c r="N22" s="2">
        <v>1</v>
      </c>
      <c r="O22" s="2" t="s">
        <v>225</v>
      </c>
      <c r="P22" t="s">
        <v>179</v>
      </c>
      <c r="Q22" s="2">
        <v>0</v>
      </c>
      <c r="R22" s="2">
        <v>0</v>
      </c>
      <c r="S22" s="2">
        <v>0</v>
      </c>
      <c r="T22" s="2">
        <v>1</v>
      </c>
      <c r="U22" s="2">
        <v>1</v>
      </c>
      <c r="V22" s="2">
        <v>4</v>
      </c>
      <c r="W22" s="5">
        <v>45398</v>
      </c>
      <c r="X22" s="5">
        <v>45404</v>
      </c>
      <c r="Y22" s="28">
        <f t="shared" si="1"/>
        <v>6</v>
      </c>
      <c r="Z22" s="2">
        <v>0</v>
      </c>
      <c r="AA22" s="2">
        <v>0</v>
      </c>
      <c r="AB22" s="2">
        <v>0</v>
      </c>
      <c r="AC22" s="2">
        <v>0</v>
      </c>
      <c r="AD22" s="2">
        <v>0</v>
      </c>
      <c r="AE22" s="2">
        <v>0</v>
      </c>
      <c r="AF22" s="2">
        <v>0</v>
      </c>
      <c r="AG22" s="2">
        <v>0</v>
      </c>
      <c r="AH22" s="2">
        <v>0</v>
      </c>
      <c r="AI22" s="2">
        <v>1</v>
      </c>
      <c r="AJ22" s="2" t="s">
        <v>91</v>
      </c>
      <c r="AK22" s="2">
        <v>1</v>
      </c>
      <c r="AL22" s="2">
        <v>1</v>
      </c>
      <c r="AM22" s="2">
        <v>1</v>
      </c>
      <c r="AN22" s="2">
        <v>0</v>
      </c>
      <c r="AO22" s="2">
        <v>0</v>
      </c>
      <c r="AP22" s="2">
        <v>1</v>
      </c>
      <c r="AQ22" s="2">
        <v>1</v>
      </c>
      <c r="AR22" s="2">
        <v>1</v>
      </c>
      <c r="AS22" s="5">
        <v>45399</v>
      </c>
      <c r="AT22" s="2">
        <v>0</v>
      </c>
      <c r="AU22" s="2">
        <v>1</v>
      </c>
      <c r="AV22" s="2">
        <f>Table2[[#This Row],[TTE date]]-Table2[[#This Row],[Date initial positive Bcx]]</f>
        <v>4</v>
      </c>
      <c r="AW22" s="2">
        <v>1</v>
      </c>
      <c r="AX22" s="5">
        <v>45404</v>
      </c>
      <c r="AY22" s="53">
        <v>1</v>
      </c>
      <c r="AZ22" s="2">
        <v>1</v>
      </c>
      <c r="BA22" s="53">
        <v>1</v>
      </c>
      <c r="BB22" s="2">
        <f>AX22-W22</f>
        <v>6</v>
      </c>
      <c r="BC22" s="2">
        <v>0</v>
      </c>
      <c r="BD22" s="2">
        <f>COUNTIFS(H22, "0",Z22, "1",AI22, "1", AP22, "1",AQ22, "1")</f>
        <v>0</v>
      </c>
      <c r="BE22" s="2">
        <f>COUNTIFS(AP22, "1",AQ22, "1")</f>
        <v>1</v>
      </c>
      <c r="BF22" s="2">
        <v>1</v>
      </c>
      <c r="BG22" s="2">
        <v>1</v>
      </c>
      <c r="BH22" s="2">
        <v>1</v>
      </c>
      <c r="BI22" s="2" t="s">
        <v>226</v>
      </c>
    </row>
    <row r="24" spans="1:83">
      <c r="D24" t="s">
        <v>298</v>
      </c>
      <c r="E24">
        <f>AVERAGE(D2:D22)</f>
        <v>17.428571428571427</v>
      </c>
      <c r="F24">
        <f>AVERAGE(E2:E22)</f>
        <v>65.095238095238102</v>
      </c>
      <c r="I24">
        <f>SUM(H2:H22)</f>
        <v>14</v>
      </c>
      <c r="J24">
        <f t="shared" ref="J24:V24" si="3">SUM(I2:I22)</f>
        <v>3</v>
      </c>
      <c r="K24">
        <f t="shared" si="3"/>
        <v>3</v>
      </c>
      <c r="L24">
        <f t="shared" si="3"/>
        <v>4</v>
      </c>
      <c r="M24">
        <f t="shared" si="3"/>
        <v>1</v>
      </c>
      <c r="N24">
        <f t="shared" si="3"/>
        <v>0</v>
      </c>
      <c r="O24">
        <f t="shared" si="3"/>
        <v>10</v>
      </c>
      <c r="P24">
        <f t="shared" si="3"/>
        <v>0</v>
      </c>
      <c r="Q24">
        <f t="shared" si="3"/>
        <v>0</v>
      </c>
      <c r="R24">
        <f t="shared" si="3"/>
        <v>13</v>
      </c>
      <c r="S24">
        <f t="shared" si="3"/>
        <v>4</v>
      </c>
      <c r="T24">
        <f t="shared" si="3"/>
        <v>1</v>
      </c>
      <c r="U24">
        <f t="shared" si="3"/>
        <v>3</v>
      </c>
      <c r="V24">
        <f t="shared" si="3"/>
        <v>15</v>
      </c>
      <c r="W24">
        <f t="shared" ref="G24:Z24" si="4">AVERAGE(V2:V22)</f>
        <v>3.0476190476190474</v>
      </c>
      <c r="Z24">
        <f t="shared" si="4"/>
        <v>2.6190476190476191</v>
      </c>
      <c r="AW24">
        <f t="shared" ref="AW24" si="5">AVERAGE(AV2:AV22)</f>
        <v>1.9</v>
      </c>
      <c r="BC24">
        <f>AVERAGE(BB2:BB22)</f>
        <v>5.7619047619047619</v>
      </c>
    </row>
    <row r="25" spans="1:83">
      <c r="D25" t="s">
        <v>299</v>
      </c>
      <c r="E25">
        <f>STDEV(D2:D22)</f>
        <v>10.851596327598205</v>
      </c>
      <c r="F25">
        <f>STDEV(E2:E22)</f>
        <v>16.260088443501047</v>
      </c>
      <c r="W25">
        <f t="shared" ref="G25:Z25" si="6">STDEV(V2:V22)</f>
        <v>2.4181850730701009</v>
      </c>
      <c r="Z25">
        <f t="shared" si="6"/>
        <v>3.169797950598594</v>
      </c>
      <c r="AW25">
        <f t="shared" ref="AW25" si="7">STDEV(AV2:AV22)</f>
        <v>1.5525869752736796</v>
      </c>
      <c r="BC25">
        <f>STDEV(BB2:BB22)</f>
        <v>2.7550818845319629</v>
      </c>
    </row>
    <row r="27" spans="1:83" ht="49.5" customHeight="1">
      <c r="AD27" s="84" t="s">
        <v>300</v>
      </c>
      <c r="AE27" s="84"/>
      <c r="AF27" s="84"/>
      <c r="AG27" s="84"/>
      <c r="AI27" s="84" t="s">
        <v>301</v>
      </c>
      <c r="AJ27" s="84"/>
      <c r="AK27" s="84"/>
      <c r="AL27" s="84"/>
      <c r="AN27" s="84" t="s">
        <v>302</v>
      </c>
      <c r="AO27" s="84"/>
      <c r="AP27" s="84"/>
      <c r="AQ27" s="84"/>
      <c r="AS27" s="84" t="s">
        <v>303</v>
      </c>
      <c r="AT27" s="84"/>
      <c r="AU27" s="84"/>
      <c r="AV27" s="84"/>
      <c r="AX27" s="84" t="s">
        <v>304</v>
      </c>
      <c r="AY27" s="84"/>
      <c r="AZ27" s="84"/>
      <c r="BA27" s="84"/>
      <c r="BC27" s="84" t="s">
        <v>305</v>
      </c>
      <c r="BD27" s="84"/>
      <c r="BE27" s="84"/>
      <c r="BF27" s="84"/>
      <c r="BH27" s="84" t="s">
        <v>306</v>
      </c>
      <c r="BI27" s="84"/>
      <c r="BJ27" s="84"/>
      <c r="BK27" s="84"/>
      <c r="BM27" s="81" t="s">
        <v>307</v>
      </c>
      <c r="BN27" s="82"/>
      <c r="BO27" s="82"/>
      <c r="BP27" s="83"/>
      <c r="BR27" s="81" t="s">
        <v>308</v>
      </c>
      <c r="BS27" s="82"/>
      <c r="BT27" s="82"/>
      <c r="BU27" s="83"/>
      <c r="CD27" t="s">
        <v>309</v>
      </c>
      <c r="CE27" t="s">
        <v>310</v>
      </c>
    </row>
    <row r="28" spans="1:83">
      <c r="B28" s="61" t="s">
        <v>311</v>
      </c>
      <c r="C28" s="48" t="s">
        <v>312</v>
      </c>
      <c r="D28" s="49" t="s">
        <v>313</v>
      </c>
      <c r="E28">
        <f>TTEST(C29:C162,D29:D49,2,3)</f>
        <v>0.38988508142456024</v>
      </c>
      <c r="F28" s="48" t="s">
        <v>314</v>
      </c>
      <c r="G28" s="49" t="s">
        <v>315</v>
      </c>
      <c r="H28">
        <f>TTEST(F29:F162,G29:G49,2,3)</f>
        <v>0.1786158865375507</v>
      </c>
      <c r="I28" s="48" t="s">
        <v>316</v>
      </c>
      <c r="J28" s="49" t="s">
        <v>317</v>
      </c>
      <c r="K28" s="47">
        <f>TTEST(I29:I162,J29:J49,2,3)</f>
        <v>3.7132957235856613E-2</v>
      </c>
      <c r="L28" s="48" t="s">
        <v>318</v>
      </c>
      <c r="M28" s="49" t="s">
        <v>319</v>
      </c>
      <c r="N28">
        <f>TTEST(L29:L141,M29:M49,2,3)</f>
        <v>0.31484338693240937</v>
      </c>
      <c r="O28" s="48" t="s">
        <v>320</v>
      </c>
      <c r="P28" s="49" t="s">
        <v>321</v>
      </c>
      <c r="Q28">
        <f>TTEST(O29:O141,P29:P49,2,3)</f>
        <v>0.12188340818822871</v>
      </c>
      <c r="R28" s="48" t="s">
        <v>322</v>
      </c>
      <c r="S28" s="49" t="s">
        <v>323</v>
      </c>
      <c r="T28" s="47">
        <f>TTEST(R29:R141,S29:S49,2,3)</f>
        <v>1.470262931415247E-2</v>
      </c>
      <c r="U28" s="48" t="s">
        <v>324</v>
      </c>
      <c r="V28" s="49" t="s">
        <v>325</v>
      </c>
      <c r="W28" s="47">
        <f>TTEST(U29:U141,V29:V49,2,3)</f>
        <v>1.1088272694306631E-2</v>
      </c>
      <c r="AD28" s="45" t="s">
        <v>326</v>
      </c>
      <c r="AE28" s="45" t="s">
        <v>43</v>
      </c>
      <c r="AI28" s="45" t="s">
        <v>326</v>
      </c>
      <c r="AJ28" s="45" t="s">
        <v>43</v>
      </c>
      <c r="AN28" s="45" t="s">
        <v>326</v>
      </c>
      <c r="AO28" s="45" t="s">
        <v>43</v>
      </c>
      <c r="AS28" s="45" t="s">
        <v>326</v>
      </c>
      <c r="AT28" s="45" t="s">
        <v>43</v>
      </c>
      <c r="AX28" s="45" t="s">
        <v>326</v>
      </c>
      <c r="AY28" s="45" t="s">
        <v>43</v>
      </c>
      <c r="BC28" s="45" t="s">
        <v>326</v>
      </c>
      <c r="BD28" s="45" t="s">
        <v>43</v>
      </c>
      <c r="BH28" s="45" t="s">
        <v>326</v>
      </c>
      <c r="BI28" s="45" t="s">
        <v>43</v>
      </c>
      <c r="BM28" s="62" t="s">
        <v>326</v>
      </c>
      <c r="BN28" s="45" t="s">
        <v>43</v>
      </c>
      <c r="BP28" s="55"/>
      <c r="BR28" s="62" t="s">
        <v>326</v>
      </c>
      <c r="BS28" s="45" t="s">
        <v>43</v>
      </c>
      <c r="BU28" s="55"/>
      <c r="CC28" s="50" t="s">
        <v>327</v>
      </c>
      <c r="CD28">
        <f>BD36</f>
        <v>5.333333333333333</v>
      </c>
      <c r="CE28">
        <f>BD30</f>
        <v>4</v>
      </c>
    </row>
    <row r="29" spans="1:83">
      <c r="B29" s="61" t="s">
        <v>328</v>
      </c>
      <c r="C29">
        <v>85</v>
      </c>
      <c r="D29">
        <v>85</v>
      </c>
      <c r="E29">
        <f>SUM(COUNT(D29:D49)+COUNT(C29:C162)) - 2</f>
        <v>153</v>
      </c>
      <c r="F29">
        <v>20</v>
      </c>
      <c r="G29">
        <v>20</v>
      </c>
      <c r="H29">
        <f>SUM(COUNT(G29:G49)+COUNT(F29:F162)) - 2</f>
        <v>151</v>
      </c>
      <c r="I29">
        <v>11</v>
      </c>
      <c r="J29">
        <v>11</v>
      </c>
      <c r="K29">
        <f>SUM(COUNT(J29:J49)+COUNT(I29:I162)) - 2</f>
        <v>153</v>
      </c>
      <c r="L29">
        <v>78</v>
      </c>
      <c r="M29">
        <v>85</v>
      </c>
      <c r="P29">
        <v>20</v>
      </c>
      <c r="R29">
        <v>6</v>
      </c>
      <c r="S29">
        <v>11</v>
      </c>
      <c r="T29">
        <f>SUM(COUNT(S29:S49)+COUNT(R29:R141)) - 2</f>
        <v>132</v>
      </c>
      <c r="U29">
        <v>4</v>
      </c>
      <c r="V29">
        <v>13</v>
      </c>
      <c r="W29">
        <f>SUM(COUNT(V29:V49)+COUNT(U29:U141)) - 2</f>
        <v>132</v>
      </c>
      <c r="AD29" s="45" t="s">
        <v>295</v>
      </c>
      <c r="AE29">
        <v>0</v>
      </c>
      <c r="AF29">
        <v>1</v>
      </c>
      <c r="AG29" t="s">
        <v>329</v>
      </c>
      <c r="AI29" s="45" t="s">
        <v>296</v>
      </c>
      <c r="AJ29">
        <v>0</v>
      </c>
      <c r="AK29">
        <v>1</v>
      </c>
      <c r="AL29" t="s">
        <v>329</v>
      </c>
      <c r="AN29" s="45" t="s">
        <v>32</v>
      </c>
      <c r="AO29">
        <v>0</v>
      </c>
      <c r="AP29">
        <v>1</v>
      </c>
      <c r="AQ29" t="s">
        <v>329</v>
      </c>
      <c r="AS29" s="45" t="s">
        <v>33</v>
      </c>
      <c r="AT29">
        <v>0</v>
      </c>
      <c r="AU29">
        <v>1</v>
      </c>
      <c r="AV29" t="s">
        <v>329</v>
      </c>
      <c r="AX29" s="45" t="s">
        <v>34</v>
      </c>
      <c r="AY29">
        <v>0</v>
      </c>
      <c r="AZ29">
        <v>1</v>
      </c>
      <c r="BA29" t="s">
        <v>329</v>
      </c>
      <c r="BC29" s="45" t="s">
        <v>7</v>
      </c>
      <c r="BD29">
        <v>0</v>
      </c>
      <c r="BE29">
        <v>1</v>
      </c>
      <c r="BF29" t="s">
        <v>329</v>
      </c>
      <c r="BH29" s="45" t="s">
        <v>20</v>
      </c>
      <c r="BI29">
        <v>0</v>
      </c>
      <c r="BJ29">
        <v>1</v>
      </c>
      <c r="BK29" t="s">
        <v>329</v>
      </c>
      <c r="BM29" s="62" t="s">
        <v>31</v>
      </c>
      <c r="BN29">
        <v>0</v>
      </c>
      <c r="BO29">
        <v>1</v>
      </c>
      <c r="BP29" s="55" t="s">
        <v>329</v>
      </c>
      <c r="BR29" s="62" t="s">
        <v>296</v>
      </c>
      <c r="BS29">
        <v>0</v>
      </c>
      <c r="BT29">
        <v>1</v>
      </c>
      <c r="BU29" s="55" t="s">
        <v>329</v>
      </c>
      <c r="CC29" s="50" t="s">
        <v>330</v>
      </c>
      <c r="CD29">
        <f>BE36</f>
        <v>1.6666666666666667</v>
      </c>
      <c r="CE29">
        <f>BE30</f>
        <v>3</v>
      </c>
    </row>
    <row r="30" spans="1:83">
      <c r="B30" s="61" t="s">
        <v>331</v>
      </c>
      <c r="C30">
        <v>78</v>
      </c>
      <c r="D30">
        <v>62</v>
      </c>
      <c r="G30">
        <v>17</v>
      </c>
      <c r="I30">
        <v>6</v>
      </c>
      <c r="J30">
        <v>5</v>
      </c>
      <c r="K30">
        <f>TINV(K28,K29)</f>
        <v>2.1026562020549737</v>
      </c>
      <c r="L30">
        <v>71</v>
      </c>
      <c r="M30">
        <v>62</v>
      </c>
      <c r="O30">
        <v>3</v>
      </c>
      <c r="P30">
        <v>17</v>
      </c>
      <c r="R30">
        <v>2</v>
      </c>
      <c r="S30">
        <v>5</v>
      </c>
      <c r="T30">
        <f>TINV(T28,T29)</f>
        <v>2.4721482206126861</v>
      </c>
      <c r="U30">
        <v>1</v>
      </c>
      <c r="V30">
        <v>6</v>
      </c>
      <c r="W30">
        <f>TINV(W28,W29)</f>
        <v>2.5762297263352805</v>
      </c>
      <c r="AD30">
        <v>0</v>
      </c>
      <c r="AE30">
        <v>13</v>
      </c>
      <c r="AF30">
        <v>4</v>
      </c>
      <c r="AG30">
        <v>17</v>
      </c>
      <c r="AI30">
        <v>0</v>
      </c>
      <c r="AJ30">
        <v>5</v>
      </c>
      <c r="AK30">
        <v>1</v>
      </c>
      <c r="AL30">
        <v>6</v>
      </c>
      <c r="AN30">
        <v>0</v>
      </c>
      <c r="AO30">
        <v>3</v>
      </c>
      <c r="AQ30">
        <v>3</v>
      </c>
      <c r="AS30">
        <v>0</v>
      </c>
      <c r="AT30">
        <v>4</v>
      </c>
      <c r="AU30">
        <v>1</v>
      </c>
      <c r="AV30">
        <v>5</v>
      </c>
      <c r="AX30">
        <v>0</v>
      </c>
      <c r="AY30">
        <v>2</v>
      </c>
      <c r="BA30">
        <v>2</v>
      </c>
      <c r="BC30">
        <v>0</v>
      </c>
      <c r="BD30">
        <v>4</v>
      </c>
      <c r="BE30" s="61">
        <v>3</v>
      </c>
      <c r="BF30">
        <v>7</v>
      </c>
      <c r="BH30">
        <v>0</v>
      </c>
      <c r="BI30">
        <v>8</v>
      </c>
      <c r="BJ30">
        <v>3</v>
      </c>
      <c r="BK30">
        <v>11</v>
      </c>
      <c r="BM30" s="56">
        <v>0</v>
      </c>
      <c r="BN30">
        <v>3</v>
      </c>
      <c r="BO30">
        <v>2</v>
      </c>
      <c r="BP30" s="55">
        <v>5</v>
      </c>
      <c r="BR30" s="56">
        <v>0</v>
      </c>
      <c r="BS30">
        <v>5</v>
      </c>
      <c r="BT30">
        <v>1</v>
      </c>
      <c r="BU30" s="55">
        <v>6</v>
      </c>
      <c r="CC30" s="50" t="s">
        <v>332</v>
      </c>
      <c r="CD30">
        <f>BD37</f>
        <v>10.666666666666666</v>
      </c>
      <c r="CE30">
        <f>BD31</f>
        <v>12</v>
      </c>
    </row>
    <row r="31" spans="1:83">
      <c r="B31" s="61" t="s">
        <v>333</v>
      </c>
      <c r="C31">
        <v>62</v>
      </c>
      <c r="D31">
        <v>77</v>
      </c>
      <c r="F31">
        <v>17</v>
      </c>
      <c r="G31">
        <v>6</v>
      </c>
      <c r="I31">
        <v>5</v>
      </c>
      <c r="J31">
        <v>2</v>
      </c>
      <c r="L31">
        <v>81</v>
      </c>
      <c r="M31">
        <v>77</v>
      </c>
      <c r="O31">
        <v>11</v>
      </c>
      <c r="P31">
        <v>6</v>
      </c>
      <c r="R31">
        <v>4</v>
      </c>
      <c r="S31">
        <v>2</v>
      </c>
      <c r="T31">
        <f>SQRT(((2.41^2)/21)+((1.15^2)/113))</f>
        <v>0.53691687466422522</v>
      </c>
      <c r="U31">
        <v>4</v>
      </c>
      <c r="V31">
        <v>1</v>
      </c>
      <c r="W31">
        <f>SQRT(((3.16^2)/21)+((1.34^2)/113))</f>
        <v>0.7009957399239225</v>
      </c>
      <c r="AD31">
        <v>1</v>
      </c>
      <c r="AE31">
        <v>3</v>
      </c>
      <c r="AF31">
        <v>1</v>
      </c>
      <c r="AG31">
        <v>4</v>
      </c>
      <c r="AI31">
        <v>1</v>
      </c>
      <c r="AJ31">
        <v>11</v>
      </c>
      <c r="AK31">
        <v>4</v>
      </c>
      <c r="AL31">
        <v>15</v>
      </c>
      <c r="AN31">
        <v>1</v>
      </c>
      <c r="AO31">
        <v>13</v>
      </c>
      <c r="AP31">
        <v>5</v>
      </c>
      <c r="AQ31">
        <v>18</v>
      </c>
      <c r="AS31">
        <v>1</v>
      </c>
      <c r="AT31">
        <v>12</v>
      </c>
      <c r="AU31">
        <v>4</v>
      </c>
      <c r="AV31">
        <v>16</v>
      </c>
      <c r="AX31">
        <v>1</v>
      </c>
      <c r="AY31">
        <v>14</v>
      </c>
      <c r="AZ31">
        <v>5</v>
      </c>
      <c r="BA31">
        <v>19</v>
      </c>
      <c r="BC31">
        <v>1</v>
      </c>
      <c r="BD31">
        <v>12</v>
      </c>
      <c r="BE31">
        <v>2</v>
      </c>
      <c r="BF31">
        <v>14</v>
      </c>
      <c r="BH31">
        <v>1</v>
      </c>
      <c r="BI31">
        <v>8</v>
      </c>
      <c r="BJ31">
        <v>2</v>
      </c>
      <c r="BK31">
        <v>10</v>
      </c>
      <c r="BM31" s="56">
        <v>1</v>
      </c>
      <c r="BN31">
        <v>13</v>
      </c>
      <c r="BO31">
        <v>3</v>
      </c>
      <c r="BP31" s="55">
        <v>16</v>
      </c>
      <c r="BR31" s="56">
        <v>1</v>
      </c>
      <c r="BS31">
        <v>11</v>
      </c>
      <c r="BT31">
        <v>4</v>
      </c>
      <c r="BU31" s="55">
        <v>15</v>
      </c>
      <c r="CC31" s="50" t="s">
        <v>334</v>
      </c>
      <c r="CD31">
        <f>BE37</f>
        <v>3.3333333333333335</v>
      </c>
      <c r="CE31">
        <f>BE31</f>
        <v>2</v>
      </c>
    </row>
    <row r="32" spans="1:83">
      <c r="B32" s="61" t="s">
        <v>335</v>
      </c>
      <c r="C32">
        <v>77</v>
      </c>
      <c r="D32">
        <v>77</v>
      </c>
      <c r="F32">
        <v>6</v>
      </c>
      <c r="G32">
        <v>12</v>
      </c>
      <c r="I32">
        <v>2</v>
      </c>
      <c r="J32">
        <v>1</v>
      </c>
      <c r="L32">
        <v>45</v>
      </c>
      <c r="M32">
        <v>77</v>
      </c>
      <c r="O32">
        <v>32</v>
      </c>
      <c r="P32">
        <v>12</v>
      </c>
      <c r="R32">
        <v>1</v>
      </c>
      <c r="S32">
        <v>1</v>
      </c>
      <c r="T32">
        <f>_xlfn.CONFIDENCE.T(0.05,T31,T29)</f>
        <v>9.2448261005910179E-2</v>
      </c>
      <c r="U32">
        <v>0</v>
      </c>
      <c r="V32">
        <v>0</v>
      </c>
      <c r="W32">
        <f>_xlfn.CONFIDENCE.T(0.05,W31,W29)</f>
        <v>0.12069994478949078</v>
      </c>
      <c r="AD32" t="s">
        <v>329</v>
      </c>
      <c r="AE32">
        <v>16</v>
      </c>
      <c r="AF32">
        <v>5</v>
      </c>
      <c r="AG32">
        <v>21</v>
      </c>
      <c r="AI32" t="s">
        <v>329</v>
      </c>
      <c r="AJ32">
        <v>16</v>
      </c>
      <c r="AK32">
        <v>5</v>
      </c>
      <c r="AL32">
        <v>21</v>
      </c>
      <c r="AN32" t="s">
        <v>329</v>
      </c>
      <c r="AO32">
        <v>16</v>
      </c>
      <c r="AP32">
        <v>5</v>
      </c>
      <c r="AQ32">
        <v>21</v>
      </c>
      <c r="AS32" t="s">
        <v>329</v>
      </c>
      <c r="AT32">
        <v>16</v>
      </c>
      <c r="AU32">
        <v>5</v>
      </c>
      <c r="AV32">
        <v>21</v>
      </c>
      <c r="AX32" t="s">
        <v>329</v>
      </c>
      <c r="AY32">
        <v>16</v>
      </c>
      <c r="AZ32">
        <v>5</v>
      </c>
      <c r="BA32">
        <v>21</v>
      </c>
      <c r="BC32" t="s">
        <v>329</v>
      </c>
      <c r="BD32">
        <v>16</v>
      </c>
      <c r="BE32">
        <v>5</v>
      </c>
      <c r="BF32">
        <v>21</v>
      </c>
      <c r="BH32" t="s">
        <v>329</v>
      </c>
      <c r="BI32">
        <v>16</v>
      </c>
      <c r="BJ32">
        <v>5</v>
      </c>
      <c r="BK32">
        <v>21</v>
      </c>
      <c r="BM32" s="56" t="s">
        <v>329</v>
      </c>
      <c r="BN32">
        <v>16</v>
      </c>
      <c r="BO32">
        <v>5</v>
      </c>
      <c r="BP32" s="55">
        <v>21</v>
      </c>
      <c r="BR32" s="56" t="s">
        <v>329</v>
      </c>
      <c r="BS32">
        <v>16</v>
      </c>
      <c r="BT32">
        <v>5</v>
      </c>
      <c r="BU32" s="55">
        <v>21</v>
      </c>
    </row>
    <row r="33" spans="2:73">
      <c r="B33" s="61" t="s">
        <v>336</v>
      </c>
      <c r="C33">
        <v>71</v>
      </c>
      <c r="D33">
        <v>51</v>
      </c>
      <c r="F33">
        <v>3</v>
      </c>
      <c r="G33">
        <v>10</v>
      </c>
      <c r="I33">
        <v>2</v>
      </c>
      <c r="J33">
        <v>3</v>
      </c>
      <c r="L33">
        <v>60</v>
      </c>
      <c r="M33">
        <v>51</v>
      </c>
      <c r="O33">
        <v>10</v>
      </c>
      <c r="P33">
        <v>10</v>
      </c>
      <c r="R33">
        <v>2</v>
      </c>
      <c r="S33">
        <v>3</v>
      </c>
      <c r="T33">
        <f>3.04-1.61</f>
        <v>1.43</v>
      </c>
      <c r="U33">
        <v>1</v>
      </c>
      <c r="V33">
        <v>3</v>
      </c>
      <c r="W33">
        <f>2.61-0.66</f>
        <v>1.9499999999999997</v>
      </c>
      <c r="BM33" s="56"/>
      <c r="BP33" s="55"/>
      <c r="BR33" s="56"/>
      <c r="BU33" s="55"/>
    </row>
    <row r="34" spans="2:73">
      <c r="B34" s="61" t="s">
        <v>337</v>
      </c>
      <c r="C34">
        <v>81</v>
      </c>
      <c r="D34">
        <v>79</v>
      </c>
      <c r="F34">
        <v>11</v>
      </c>
      <c r="G34">
        <v>7</v>
      </c>
      <c r="I34">
        <v>4</v>
      </c>
      <c r="J34">
        <v>1</v>
      </c>
      <c r="L34">
        <v>64</v>
      </c>
      <c r="M34">
        <v>79</v>
      </c>
      <c r="O34">
        <v>12</v>
      </c>
      <c r="P34">
        <v>7</v>
      </c>
      <c r="R34">
        <v>2</v>
      </c>
      <c r="S34">
        <v>1</v>
      </c>
      <c r="T34">
        <f>T33+T32</f>
        <v>1.52244826100591</v>
      </c>
      <c r="U34">
        <v>1</v>
      </c>
      <c r="V34">
        <v>0</v>
      </c>
      <c r="W34">
        <f>W33+W32</f>
        <v>2.0706999447894905</v>
      </c>
      <c r="BM34" s="56"/>
      <c r="BP34" s="55"/>
      <c r="BR34" s="56"/>
      <c r="BU34" s="55"/>
    </row>
    <row r="35" spans="2:73">
      <c r="B35" s="61" t="s">
        <v>338</v>
      </c>
      <c r="C35">
        <v>45</v>
      </c>
      <c r="D35">
        <v>46</v>
      </c>
      <c r="F35">
        <v>32</v>
      </c>
      <c r="G35">
        <v>46</v>
      </c>
      <c r="I35">
        <v>1</v>
      </c>
      <c r="J35">
        <v>3</v>
      </c>
      <c r="L35">
        <v>46</v>
      </c>
      <c r="M35">
        <v>46</v>
      </c>
      <c r="O35">
        <v>7</v>
      </c>
      <c r="P35">
        <v>46</v>
      </c>
      <c r="R35">
        <v>5</v>
      </c>
      <c r="S35">
        <v>3</v>
      </c>
      <c r="T35">
        <f>T33-T32</f>
        <v>1.3375517389940899</v>
      </c>
      <c r="U35">
        <v>5</v>
      </c>
      <c r="V35">
        <v>3</v>
      </c>
      <c r="W35">
        <f>W33-W32</f>
        <v>1.829300055210509</v>
      </c>
      <c r="AD35" s="46"/>
      <c r="AE35" s="46">
        <v>0</v>
      </c>
      <c r="AF35" s="46">
        <v>1</v>
      </c>
      <c r="AI35" s="46"/>
      <c r="AJ35" s="46">
        <v>0</v>
      </c>
      <c r="AK35" s="46">
        <v>1</v>
      </c>
      <c r="AN35" s="46"/>
      <c r="AO35" s="46">
        <v>0</v>
      </c>
      <c r="AP35" s="46">
        <v>1</v>
      </c>
      <c r="AS35" s="46"/>
      <c r="AT35" s="46">
        <v>0</v>
      </c>
      <c r="AU35" s="46">
        <v>1</v>
      </c>
      <c r="AX35" s="46"/>
      <c r="AY35" s="46">
        <v>0</v>
      </c>
      <c r="AZ35" s="46">
        <v>1</v>
      </c>
      <c r="BC35" s="46"/>
      <c r="BD35" s="46">
        <v>0</v>
      </c>
      <c r="BE35" s="46">
        <v>1</v>
      </c>
      <c r="BH35" s="46"/>
      <c r="BI35" s="46">
        <v>0</v>
      </c>
      <c r="BJ35" s="46">
        <v>1</v>
      </c>
      <c r="BM35" s="58"/>
      <c r="BN35" s="46">
        <v>0</v>
      </c>
      <c r="BO35" s="46">
        <v>1</v>
      </c>
      <c r="BP35" s="55"/>
      <c r="BR35" s="58"/>
      <c r="BS35" s="46">
        <v>0</v>
      </c>
      <c r="BT35" s="46">
        <v>1</v>
      </c>
      <c r="BU35" s="55"/>
    </row>
    <row r="36" spans="2:73">
      <c r="C36">
        <v>60</v>
      </c>
      <c r="D36">
        <v>87</v>
      </c>
      <c r="F36">
        <v>10</v>
      </c>
      <c r="G36">
        <v>10</v>
      </c>
      <c r="I36">
        <v>2</v>
      </c>
      <c r="J36">
        <v>2</v>
      </c>
      <c r="L36">
        <v>74</v>
      </c>
      <c r="M36">
        <v>87</v>
      </c>
      <c r="O36">
        <v>31</v>
      </c>
      <c r="P36">
        <v>10</v>
      </c>
      <c r="R36">
        <v>1</v>
      </c>
      <c r="S36">
        <v>2</v>
      </c>
      <c r="U36">
        <v>0</v>
      </c>
      <c r="V36">
        <v>1</v>
      </c>
      <c r="AD36">
        <v>0</v>
      </c>
      <c r="AE36">
        <f>(AG30*AE32)/AG32</f>
        <v>12.952380952380953</v>
      </c>
      <c r="AF36">
        <f>(AG30*AF32)/AG32</f>
        <v>4.0476190476190474</v>
      </c>
      <c r="AI36">
        <v>0</v>
      </c>
      <c r="AJ36">
        <f>(AL30*AJ32)/AL32</f>
        <v>4.5714285714285712</v>
      </c>
      <c r="AK36">
        <f>(AL30*AK32)/AL32</f>
        <v>1.4285714285714286</v>
      </c>
      <c r="AN36">
        <v>0</v>
      </c>
      <c r="AO36">
        <f>(AQ30*AO32)/AQ32</f>
        <v>2.2857142857142856</v>
      </c>
      <c r="AP36">
        <f>(AQ30*AP32)/AQ32</f>
        <v>0.7142857142857143</v>
      </c>
      <c r="AS36">
        <v>0</v>
      </c>
      <c r="AT36">
        <f>(AV30*AT32)/AV32</f>
        <v>3.8095238095238093</v>
      </c>
      <c r="AU36">
        <f>(AV30*AU32)/AV32</f>
        <v>1.1904761904761905</v>
      </c>
      <c r="AX36">
        <v>0</v>
      </c>
      <c r="AY36">
        <f>(BA30*AY32)/BA32</f>
        <v>1.5238095238095237</v>
      </c>
      <c r="AZ36">
        <f>(BA30*AZ32)/BA32</f>
        <v>0.47619047619047616</v>
      </c>
      <c r="BC36">
        <v>0</v>
      </c>
      <c r="BD36">
        <f>(BF30*BD32)/BF32</f>
        <v>5.333333333333333</v>
      </c>
      <c r="BE36">
        <f>(BF30*BE32)/BF32</f>
        <v>1.6666666666666667</v>
      </c>
      <c r="BH36">
        <v>0</v>
      </c>
      <c r="BI36">
        <f>(BK30*BI32)/BK32</f>
        <v>8.3809523809523814</v>
      </c>
      <c r="BJ36">
        <f>(BK30*BJ32)/BK32</f>
        <v>2.6190476190476191</v>
      </c>
      <c r="BM36" s="56">
        <v>0</v>
      </c>
      <c r="BN36">
        <f>(BP30*BN32)/BP32</f>
        <v>3.8095238095238093</v>
      </c>
      <c r="BO36">
        <f>(BP30*BO32)/BP32</f>
        <v>1.1904761904761905</v>
      </c>
      <c r="BP36" s="55"/>
      <c r="BR36" s="56">
        <v>0</v>
      </c>
      <c r="BS36">
        <f>(BU30*BS32)/BU32</f>
        <v>4.5714285714285712</v>
      </c>
      <c r="BT36">
        <f>(BU30*BT32)/BU32</f>
        <v>1.4285714285714286</v>
      </c>
      <c r="BU36" s="55"/>
    </row>
    <row r="37" spans="2:73">
      <c r="C37">
        <v>64</v>
      </c>
      <c r="D37">
        <v>28</v>
      </c>
      <c r="F37">
        <v>12</v>
      </c>
      <c r="G37">
        <v>28</v>
      </c>
      <c r="I37">
        <v>2</v>
      </c>
      <c r="J37">
        <v>3</v>
      </c>
      <c r="L37">
        <v>70</v>
      </c>
      <c r="M37">
        <v>28</v>
      </c>
      <c r="O37">
        <v>10</v>
      </c>
      <c r="P37">
        <v>28</v>
      </c>
      <c r="R37">
        <v>2</v>
      </c>
      <c r="S37">
        <v>3</v>
      </c>
      <c r="U37">
        <v>2</v>
      </c>
      <c r="V37">
        <v>2</v>
      </c>
      <c r="AD37">
        <v>1</v>
      </c>
      <c r="AE37">
        <f>(AE32*AG31)/AG32</f>
        <v>3.0476190476190474</v>
      </c>
      <c r="AF37">
        <f>(AF32*AG31)/AG32</f>
        <v>0.95238095238095233</v>
      </c>
      <c r="AI37">
        <v>1</v>
      </c>
      <c r="AJ37">
        <f>(AJ32*AL31)/AL32</f>
        <v>11.428571428571429</v>
      </c>
      <c r="AK37">
        <f>(AK32*AL31)/AL32</f>
        <v>3.5714285714285716</v>
      </c>
      <c r="AN37">
        <v>1</v>
      </c>
      <c r="AO37">
        <f>(AO32*AQ31)/AQ32</f>
        <v>13.714285714285714</v>
      </c>
      <c r="AP37">
        <f>(AP32*AQ31)/AQ32</f>
        <v>4.2857142857142856</v>
      </c>
      <c r="AS37">
        <v>1</v>
      </c>
      <c r="AT37">
        <f>(AT32*AV31)/AV32</f>
        <v>12.19047619047619</v>
      </c>
      <c r="AU37">
        <f>(AU32*AV31)/AV32</f>
        <v>3.8095238095238093</v>
      </c>
      <c r="AX37">
        <v>1</v>
      </c>
      <c r="AY37">
        <f>(AY32*BA31)/BA32</f>
        <v>14.476190476190476</v>
      </c>
      <c r="AZ37">
        <f>(AZ32*BA31)/BA32</f>
        <v>4.5238095238095237</v>
      </c>
      <c r="BC37">
        <v>1</v>
      </c>
      <c r="BD37">
        <f>(BD32*BF31)/BF32</f>
        <v>10.666666666666666</v>
      </c>
      <c r="BE37">
        <f>(BE32*BF31)/BF32</f>
        <v>3.3333333333333335</v>
      </c>
      <c r="BH37">
        <v>1</v>
      </c>
      <c r="BI37">
        <f>(BI32*BK31)/BK32</f>
        <v>7.6190476190476186</v>
      </c>
      <c r="BJ37">
        <f>(BJ32*BK31)/BK32</f>
        <v>2.3809523809523809</v>
      </c>
      <c r="BM37" s="56">
        <v>1</v>
      </c>
      <c r="BN37">
        <f>(BN32*BP31)/BP32</f>
        <v>12.19047619047619</v>
      </c>
      <c r="BO37">
        <f>(BO32*BP31)/BP32</f>
        <v>3.8095238095238093</v>
      </c>
      <c r="BP37" s="55"/>
      <c r="BR37" s="56">
        <v>1</v>
      </c>
      <c r="BS37">
        <f>(BS32*BU31)/BU32</f>
        <v>11.428571428571429</v>
      </c>
      <c r="BT37">
        <f>(BT32*BU31)/BU32</f>
        <v>3.5714285714285716</v>
      </c>
      <c r="BU37" s="55"/>
    </row>
    <row r="38" spans="2:73">
      <c r="C38">
        <v>46</v>
      </c>
      <c r="D38">
        <v>79</v>
      </c>
      <c r="F38">
        <v>7</v>
      </c>
      <c r="G38">
        <v>23</v>
      </c>
      <c r="I38">
        <v>5</v>
      </c>
      <c r="J38">
        <v>5</v>
      </c>
      <c r="L38">
        <v>91</v>
      </c>
      <c r="M38">
        <v>79</v>
      </c>
      <c r="O38">
        <v>22</v>
      </c>
      <c r="P38">
        <v>23</v>
      </c>
      <c r="R38">
        <v>2</v>
      </c>
      <c r="S38">
        <v>5</v>
      </c>
      <c r="U38">
        <v>1</v>
      </c>
      <c r="V38">
        <v>4</v>
      </c>
      <c r="BM38" s="56"/>
      <c r="BP38" s="55"/>
      <c r="BR38" s="56"/>
      <c r="BU38" s="55"/>
    </row>
    <row r="39" spans="2:73">
      <c r="C39">
        <v>74</v>
      </c>
      <c r="D39">
        <v>77</v>
      </c>
      <c r="F39">
        <v>31</v>
      </c>
      <c r="G39">
        <v>27</v>
      </c>
      <c r="I39">
        <v>1</v>
      </c>
      <c r="J39">
        <v>3</v>
      </c>
      <c r="L39">
        <v>71</v>
      </c>
      <c r="M39">
        <v>77</v>
      </c>
      <c r="O39">
        <v>14</v>
      </c>
      <c r="P39">
        <v>27</v>
      </c>
      <c r="R39">
        <v>3</v>
      </c>
      <c r="S39">
        <v>3</v>
      </c>
      <c r="U39">
        <v>3</v>
      </c>
      <c r="V39">
        <v>2</v>
      </c>
      <c r="AD39">
        <f>_xlfn.CHISQ.TEST(AE30:AF31,AE36:AF37)</f>
        <v>0.95045829904382995</v>
      </c>
      <c r="AI39">
        <f>_xlfn.CHISQ.TEST(AJ30:AK31,AJ36:AK37)</f>
        <v>0.62692777942608391</v>
      </c>
      <c r="AN39">
        <f>_xlfn.CHISQ.TEST(AO30:AP31,AO36:AP37)</f>
        <v>0.53789008106979685</v>
      </c>
      <c r="AS39">
        <f>_xlfn.CHISQ.TEST(AT30:AU31,AT36:AU37)</f>
        <v>0.81876882152062391</v>
      </c>
      <c r="AX39">
        <f>_xlfn.CHISQ.TEST(AY30:AZ31,AY36:AZ37)</f>
        <v>0.64318639123151466</v>
      </c>
      <c r="BC39" s="47">
        <f>_xlfn.CHISQ.TEST(BD30:BE31,BD36:BE37)</f>
        <v>0.14729913862267605</v>
      </c>
      <c r="BH39">
        <f>_xlfn.CHISQ.TEST(BI30:BJ31,BI36:BJ37)</f>
        <v>0.69594258499308137</v>
      </c>
      <c r="BM39" s="57">
        <f>_xlfn.CHISQ.TEST(BN30:BO31,BN36:BO37)</f>
        <v>0.33015717651052212</v>
      </c>
      <c r="BN39" s="59"/>
      <c r="BO39" s="59"/>
      <c r="BP39" s="60"/>
      <c r="BR39" s="57">
        <f>_xlfn.CHISQ.TEST(BS30:BT31,BS36:BT37)</f>
        <v>0.62692777942608391</v>
      </c>
      <c r="BS39" s="59"/>
      <c r="BT39" s="59"/>
      <c r="BU39" s="60"/>
    </row>
    <row r="40" spans="2:73">
      <c r="C40">
        <v>70</v>
      </c>
      <c r="D40">
        <v>42</v>
      </c>
      <c r="F40">
        <v>10</v>
      </c>
      <c r="G40">
        <v>35</v>
      </c>
      <c r="I40">
        <v>2</v>
      </c>
      <c r="J40">
        <v>5</v>
      </c>
      <c r="L40">
        <v>83</v>
      </c>
      <c r="M40">
        <v>42</v>
      </c>
      <c r="O40">
        <v>15</v>
      </c>
      <c r="P40">
        <v>35</v>
      </c>
      <c r="R40">
        <v>3</v>
      </c>
      <c r="S40">
        <v>5</v>
      </c>
      <c r="U40">
        <v>2</v>
      </c>
      <c r="V40">
        <v>5</v>
      </c>
    </row>
    <row r="41" spans="2:73">
      <c r="C41">
        <v>91</v>
      </c>
      <c r="D41">
        <v>69</v>
      </c>
      <c r="F41">
        <v>22</v>
      </c>
      <c r="G41">
        <v>31</v>
      </c>
      <c r="I41">
        <v>2</v>
      </c>
      <c r="J41">
        <v>1</v>
      </c>
      <c r="L41">
        <v>59</v>
      </c>
      <c r="M41">
        <v>69</v>
      </c>
      <c r="O41">
        <v>20</v>
      </c>
      <c r="P41">
        <v>31</v>
      </c>
      <c r="R41">
        <v>2</v>
      </c>
      <c r="S41">
        <v>1</v>
      </c>
      <c r="U41">
        <v>1</v>
      </c>
      <c r="V41">
        <v>0</v>
      </c>
    </row>
    <row r="42" spans="2:73" ht="53.25" customHeight="1">
      <c r="C42">
        <v>71</v>
      </c>
      <c r="D42">
        <v>71</v>
      </c>
      <c r="F42">
        <v>14</v>
      </c>
      <c r="G42">
        <v>6</v>
      </c>
      <c r="I42">
        <v>3</v>
      </c>
      <c r="J42">
        <v>1</v>
      </c>
      <c r="L42">
        <v>65</v>
      </c>
      <c r="M42">
        <v>71</v>
      </c>
      <c r="O42">
        <v>5</v>
      </c>
      <c r="P42">
        <v>6</v>
      </c>
      <c r="R42">
        <v>3</v>
      </c>
      <c r="S42">
        <v>1</v>
      </c>
      <c r="U42">
        <v>1</v>
      </c>
      <c r="V42">
        <v>0</v>
      </c>
      <c r="AD42" s="84" t="s">
        <v>339</v>
      </c>
      <c r="AE42" s="84"/>
      <c r="AF42" s="84"/>
      <c r="AG42" s="84"/>
      <c r="AI42" s="84" t="s">
        <v>340</v>
      </c>
      <c r="AJ42" s="84"/>
      <c r="AK42" s="84"/>
      <c r="AL42" s="84"/>
      <c r="AN42" s="84" t="s">
        <v>341</v>
      </c>
      <c r="AO42" s="84"/>
      <c r="AP42" s="84"/>
      <c r="AQ42" s="84"/>
      <c r="AS42" s="84" t="s">
        <v>342</v>
      </c>
      <c r="AT42" s="84"/>
      <c r="AU42" s="84"/>
      <c r="AV42" s="84"/>
      <c r="AX42" s="84" t="s">
        <v>343</v>
      </c>
      <c r="AY42" s="84"/>
      <c r="AZ42" s="84"/>
      <c r="BA42" s="84"/>
      <c r="BC42" s="84" t="s">
        <v>344</v>
      </c>
      <c r="BD42" s="84"/>
      <c r="BE42" s="84"/>
      <c r="BF42" s="84"/>
      <c r="BH42" s="84" t="s">
        <v>345</v>
      </c>
      <c r="BI42" s="84"/>
      <c r="BJ42" s="84"/>
      <c r="BK42" s="84"/>
      <c r="BM42" s="84" t="s">
        <v>346</v>
      </c>
      <c r="BN42" s="84"/>
      <c r="BO42" s="84"/>
      <c r="BP42" s="84"/>
      <c r="BR42" s="85" t="s">
        <v>347</v>
      </c>
      <c r="BS42" s="86"/>
      <c r="BT42" s="86"/>
      <c r="BU42" s="87"/>
    </row>
    <row r="43" spans="2:73" ht="14.25" customHeight="1">
      <c r="C43">
        <v>77</v>
      </c>
      <c r="D43">
        <v>58</v>
      </c>
      <c r="F43">
        <v>12</v>
      </c>
      <c r="G43">
        <v>5</v>
      </c>
      <c r="I43">
        <v>1</v>
      </c>
      <c r="J43">
        <v>1</v>
      </c>
      <c r="L43">
        <v>85</v>
      </c>
      <c r="M43">
        <v>58</v>
      </c>
      <c r="O43">
        <v>9</v>
      </c>
      <c r="P43">
        <v>5</v>
      </c>
      <c r="R43">
        <v>2</v>
      </c>
      <c r="S43">
        <v>1</v>
      </c>
      <c r="U43">
        <v>0</v>
      </c>
      <c r="V43">
        <v>0</v>
      </c>
      <c r="AD43" s="45" t="s">
        <v>326</v>
      </c>
      <c r="AE43" s="45" t="s">
        <v>41</v>
      </c>
      <c r="AI43" s="45" t="s">
        <v>326</v>
      </c>
      <c r="AJ43" s="45" t="s">
        <v>41</v>
      </c>
      <c r="AN43" s="45" t="s">
        <v>326</v>
      </c>
      <c r="AO43" s="45" t="s">
        <v>41</v>
      </c>
      <c r="AS43" s="45" t="s">
        <v>326</v>
      </c>
      <c r="AT43" s="45" t="s">
        <v>41</v>
      </c>
      <c r="AX43" s="45" t="s">
        <v>326</v>
      </c>
      <c r="AY43" s="45" t="s">
        <v>41</v>
      </c>
      <c r="BC43" s="45" t="s">
        <v>326</v>
      </c>
      <c r="BD43" s="45" t="s">
        <v>41</v>
      </c>
      <c r="BH43" s="45" t="s">
        <v>326</v>
      </c>
      <c r="BI43" s="45" t="s">
        <v>41</v>
      </c>
      <c r="BM43" s="45" t="s">
        <v>326</v>
      </c>
      <c r="BN43" s="45" t="s">
        <v>41</v>
      </c>
      <c r="BR43" s="65" t="s">
        <v>326</v>
      </c>
      <c r="BS43" s="45" t="s">
        <v>41</v>
      </c>
      <c r="BU43" s="66"/>
    </row>
    <row r="44" spans="2:73" ht="10.5" customHeight="1">
      <c r="C44">
        <v>83</v>
      </c>
      <c r="D44">
        <v>77</v>
      </c>
      <c r="F44">
        <v>15</v>
      </c>
      <c r="G44">
        <v>20</v>
      </c>
      <c r="I44">
        <v>3</v>
      </c>
      <c r="J44">
        <v>1</v>
      </c>
      <c r="L44">
        <v>85</v>
      </c>
      <c r="M44">
        <v>77</v>
      </c>
      <c r="O44">
        <v>8</v>
      </c>
      <c r="P44">
        <v>20</v>
      </c>
      <c r="R44">
        <v>3</v>
      </c>
      <c r="S44">
        <v>1</v>
      </c>
      <c r="U44">
        <v>2</v>
      </c>
      <c r="V44">
        <v>0</v>
      </c>
      <c r="AD44" s="45" t="s">
        <v>295</v>
      </c>
      <c r="AE44">
        <v>0</v>
      </c>
      <c r="AF44">
        <v>1</v>
      </c>
      <c r="AG44" t="s">
        <v>329</v>
      </c>
      <c r="AI44" s="45" t="s">
        <v>296</v>
      </c>
      <c r="AJ44">
        <v>0</v>
      </c>
      <c r="AK44">
        <v>1</v>
      </c>
      <c r="AL44" t="s">
        <v>329</v>
      </c>
      <c r="AN44" s="45" t="s">
        <v>32</v>
      </c>
      <c r="AO44">
        <v>0</v>
      </c>
      <c r="AP44">
        <v>1</v>
      </c>
      <c r="AQ44" t="s">
        <v>329</v>
      </c>
      <c r="AS44" s="45" t="s">
        <v>33</v>
      </c>
      <c r="AT44">
        <v>0</v>
      </c>
      <c r="AU44">
        <v>1</v>
      </c>
      <c r="AV44" t="s">
        <v>329</v>
      </c>
      <c r="AX44" s="45" t="s">
        <v>34</v>
      </c>
      <c r="AY44">
        <v>0</v>
      </c>
      <c r="AZ44">
        <v>1</v>
      </c>
      <c r="BA44" t="s">
        <v>329</v>
      </c>
      <c r="BC44" s="45" t="s">
        <v>7</v>
      </c>
      <c r="BD44">
        <v>0</v>
      </c>
      <c r="BE44">
        <v>1</v>
      </c>
      <c r="BF44" t="s">
        <v>329</v>
      </c>
      <c r="BH44" s="45" t="s">
        <v>20</v>
      </c>
      <c r="BI44">
        <v>0</v>
      </c>
      <c r="BJ44">
        <v>1</v>
      </c>
      <c r="BK44" t="s">
        <v>329</v>
      </c>
      <c r="BM44" s="45" t="s">
        <v>31</v>
      </c>
      <c r="BN44">
        <v>0</v>
      </c>
      <c r="BO44">
        <v>1</v>
      </c>
      <c r="BP44" t="s">
        <v>329</v>
      </c>
      <c r="BR44" s="65" t="s">
        <v>43</v>
      </c>
      <c r="BS44">
        <v>0</v>
      </c>
      <c r="BT44">
        <v>1</v>
      </c>
      <c r="BU44" s="66" t="s">
        <v>329</v>
      </c>
    </row>
    <row r="45" spans="2:73">
      <c r="C45">
        <v>59</v>
      </c>
      <c r="D45">
        <v>42</v>
      </c>
      <c r="F45">
        <v>20</v>
      </c>
      <c r="G45">
        <v>10</v>
      </c>
      <c r="I45">
        <v>2</v>
      </c>
      <c r="J45">
        <v>2</v>
      </c>
      <c r="L45">
        <v>66</v>
      </c>
      <c r="M45">
        <v>42</v>
      </c>
      <c r="O45">
        <v>18</v>
      </c>
      <c r="P45">
        <v>10</v>
      </c>
      <c r="R45">
        <v>4</v>
      </c>
      <c r="S45">
        <v>2</v>
      </c>
      <c r="U45">
        <v>3</v>
      </c>
      <c r="V45">
        <v>1</v>
      </c>
      <c r="AD45">
        <v>0</v>
      </c>
      <c r="AE45">
        <v>14</v>
      </c>
      <c r="AF45">
        <v>3</v>
      </c>
      <c r="AG45">
        <v>17</v>
      </c>
      <c r="AI45">
        <v>0</v>
      </c>
      <c r="AJ45">
        <v>6</v>
      </c>
      <c r="AL45">
        <v>6</v>
      </c>
      <c r="AN45">
        <v>0</v>
      </c>
      <c r="AO45">
        <v>2</v>
      </c>
      <c r="AP45">
        <v>1</v>
      </c>
      <c r="AQ45">
        <v>3</v>
      </c>
      <c r="AS45">
        <v>0</v>
      </c>
      <c r="AT45">
        <v>5</v>
      </c>
      <c r="AV45">
        <v>5</v>
      </c>
      <c r="AX45">
        <v>0</v>
      </c>
      <c r="AY45">
        <v>2</v>
      </c>
      <c r="BA45">
        <v>2</v>
      </c>
      <c r="BC45">
        <v>0</v>
      </c>
      <c r="BD45">
        <v>6</v>
      </c>
      <c r="BE45">
        <v>1</v>
      </c>
      <c r="BF45">
        <v>7</v>
      </c>
      <c r="BH45">
        <v>0</v>
      </c>
      <c r="BI45">
        <v>8</v>
      </c>
      <c r="BJ45">
        <v>3</v>
      </c>
      <c r="BK45">
        <v>11</v>
      </c>
      <c r="BM45">
        <v>0</v>
      </c>
      <c r="BN45">
        <v>4</v>
      </c>
      <c r="BO45">
        <v>1</v>
      </c>
      <c r="BP45">
        <v>5</v>
      </c>
      <c r="BR45" s="67">
        <v>0</v>
      </c>
      <c r="BS45">
        <v>14</v>
      </c>
      <c r="BT45">
        <v>2</v>
      </c>
      <c r="BU45" s="66">
        <v>16</v>
      </c>
    </row>
    <row r="46" spans="2:73">
      <c r="C46">
        <v>51</v>
      </c>
      <c r="D46">
        <v>54</v>
      </c>
      <c r="F46">
        <v>10</v>
      </c>
      <c r="G46">
        <v>13</v>
      </c>
      <c r="I46">
        <v>3</v>
      </c>
      <c r="J46">
        <v>6</v>
      </c>
      <c r="L46">
        <v>59</v>
      </c>
      <c r="M46">
        <v>54</v>
      </c>
      <c r="O46">
        <v>18</v>
      </c>
      <c r="P46">
        <v>13</v>
      </c>
      <c r="R46">
        <v>3</v>
      </c>
      <c r="S46">
        <v>6</v>
      </c>
      <c r="U46">
        <v>3</v>
      </c>
      <c r="V46">
        <v>5</v>
      </c>
      <c r="AD46">
        <v>1</v>
      </c>
      <c r="AE46">
        <v>3</v>
      </c>
      <c r="AF46">
        <v>1</v>
      </c>
      <c r="AG46">
        <v>4</v>
      </c>
      <c r="AI46">
        <v>1</v>
      </c>
      <c r="AJ46">
        <v>11</v>
      </c>
      <c r="AK46">
        <v>4</v>
      </c>
      <c r="AL46">
        <v>15</v>
      </c>
      <c r="AN46">
        <v>1</v>
      </c>
      <c r="AO46">
        <v>15</v>
      </c>
      <c r="AP46">
        <v>3</v>
      </c>
      <c r="AQ46">
        <v>18</v>
      </c>
      <c r="AS46">
        <v>1</v>
      </c>
      <c r="AT46">
        <v>12</v>
      </c>
      <c r="AU46">
        <v>4</v>
      </c>
      <c r="AV46">
        <v>16</v>
      </c>
      <c r="AX46">
        <v>1</v>
      </c>
      <c r="AY46">
        <v>15</v>
      </c>
      <c r="AZ46">
        <v>4</v>
      </c>
      <c r="BA46">
        <v>19</v>
      </c>
      <c r="BC46">
        <v>1</v>
      </c>
      <c r="BD46">
        <v>11</v>
      </c>
      <c r="BE46">
        <v>3</v>
      </c>
      <c r="BF46">
        <v>14</v>
      </c>
      <c r="BH46">
        <v>1</v>
      </c>
      <c r="BI46">
        <v>9</v>
      </c>
      <c r="BJ46">
        <v>1</v>
      </c>
      <c r="BK46">
        <v>10</v>
      </c>
      <c r="BM46">
        <v>1</v>
      </c>
      <c r="BN46">
        <v>13</v>
      </c>
      <c r="BO46">
        <v>3</v>
      </c>
      <c r="BP46">
        <v>16</v>
      </c>
      <c r="BR46" s="67">
        <v>1</v>
      </c>
      <c r="BS46">
        <v>3</v>
      </c>
      <c r="BT46">
        <v>2</v>
      </c>
      <c r="BU46" s="66">
        <v>5</v>
      </c>
    </row>
    <row r="47" spans="2:73">
      <c r="C47">
        <v>65</v>
      </c>
      <c r="D47">
        <v>59</v>
      </c>
      <c r="F47">
        <v>5</v>
      </c>
      <c r="G47">
        <v>11</v>
      </c>
      <c r="I47">
        <v>3</v>
      </c>
      <c r="J47">
        <v>3</v>
      </c>
      <c r="L47">
        <v>72</v>
      </c>
      <c r="M47">
        <v>59</v>
      </c>
      <c r="O47">
        <v>9</v>
      </c>
      <c r="P47">
        <v>11</v>
      </c>
      <c r="R47">
        <v>2</v>
      </c>
      <c r="S47">
        <v>3</v>
      </c>
      <c r="U47">
        <v>2</v>
      </c>
      <c r="V47">
        <v>3</v>
      </c>
      <c r="AD47" t="s">
        <v>329</v>
      </c>
      <c r="AE47">
        <v>17</v>
      </c>
      <c r="AF47">
        <v>4</v>
      </c>
      <c r="AG47">
        <v>21</v>
      </c>
      <c r="AI47" t="s">
        <v>329</v>
      </c>
      <c r="AJ47">
        <v>17</v>
      </c>
      <c r="AK47">
        <v>4</v>
      </c>
      <c r="AL47">
        <v>21</v>
      </c>
      <c r="AN47" t="s">
        <v>329</v>
      </c>
      <c r="AO47">
        <v>17</v>
      </c>
      <c r="AP47">
        <v>4</v>
      </c>
      <c r="AQ47">
        <v>21</v>
      </c>
      <c r="AS47" t="s">
        <v>329</v>
      </c>
      <c r="AT47">
        <v>17</v>
      </c>
      <c r="AU47">
        <v>4</v>
      </c>
      <c r="AV47">
        <v>21</v>
      </c>
      <c r="AX47" t="s">
        <v>329</v>
      </c>
      <c r="AY47">
        <v>17</v>
      </c>
      <c r="AZ47">
        <v>4</v>
      </c>
      <c r="BA47">
        <v>21</v>
      </c>
      <c r="BC47" t="s">
        <v>329</v>
      </c>
      <c r="BD47">
        <v>17</v>
      </c>
      <c r="BE47">
        <v>4</v>
      </c>
      <c r="BF47">
        <v>21</v>
      </c>
      <c r="BH47" t="s">
        <v>329</v>
      </c>
      <c r="BI47">
        <v>17</v>
      </c>
      <c r="BJ47">
        <v>4</v>
      </c>
      <c r="BK47">
        <v>21</v>
      </c>
      <c r="BM47" t="s">
        <v>329</v>
      </c>
      <c r="BN47">
        <v>17</v>
      </c>
      <c r="BO47">
        <v>4</v>
      </c>
      <c r="BP47">
        <v>21</v>
      </c>
      <c r="BR47" s="67" t="s">
        <v>329</v>
      </c>
      <c r="BS47">
        <v>17</v>
      </c>
      <c r="BT47">
        <v>4</v>
      </c>
      <c r="BU47" s="66">
        <v>21</v>
      </c>
    </row>
    <row r="48" spans="2:73">
      <c r="C48">
        <v>85</v>
      </c>
      <c r="D48">
        <v>69</v>
      </c>
      <c r="F48">
        <v>9</v>
      </c>
      <c r="G48">
        <v>15</v>
      </c>
      <c r="I48">
        <v>2</v>
      </c>
      <c r="J48">
        <v>1</v>
      </c>
      <c r="L48">
        <v>71</v>
      </c>
      <c r="M48">
        <v>69</v>
      </c>
      <c r="O48">
        <v>16</v>
      </c>
      <c r="P48">
        <v>15</v>
      </c>
      <c r="R48">
        <v>2</v>
      </c>
      <c r="S48">
        <v>1</v>
      </c>
      <c r="U48">
        <v>1</v>
      </c>
      <c r="V48">
        <v>0</v>
      </c>
      <c r="BR48" s="67"/>
      <c r="BU48" s="66"/>
    </row>
    <row r="49" spans="3:73">
      <c r="C49">
        <v>85</v>
      </c>
      <c r="D49">
        <v>78</v>
      </c>
      <c r="F49">
        <v>8</v>
      </c>
      <c r="G49">
        <v>14</v>
      </c>
      <c r="I49">
        <v>3</v>
      </c>
      <c r="J49">
        <v>4</v>
      </c>
      <c r="L49">
        <v>54</v>
      </c>
      <c r="M49">
        <v>78</v>
      </c>
      <c r="O49">
        <v>107</v>
      </c>
      <c r="P49">
        <v>14</v>
      </c>
      <c r="R49">
        <v>4</v>
      </c>
      <c r="S49">
        <v>4</v>
      </c>
      <c r="U49">
        <v>3</v>
      </c>
      <c r="V49">
        <v>6</v>
      </c>
      <c r="BR49" s="67"/>
      <c r="BU49" s="66"/>
    </row>
    <row r="50" spans="3:73">
      <c r="C50">
        <v>79</v>
      </c>
      <c r="F50">
        <v>7</v>
      </c>
      <c r="I50">
        <v>1</v>
      </c>
      <c r="L50">
        <v>82</v>
      </c>
      <c r="O50">
        <v>25</v>
      </c>
      <c r="R50">
        <v>2</v>
      </c>
      <c r="U50">
        <v>1</v>
      </c>
      <c r="AD50" s="46"/>
      <c r="AE50" s="46">
        <v>0</v>
      </c>
      <c r="AF50" s="46">
        <v>1</v>
      </c>
      <c r="AI50" s="46"/>
      <c r="AJ50" s="46">
        <v>0</v>
      </c>
      <c r="AK50" s="46">
        <v>1</v>
      </c>
      <c r="AN50" s="46"/>
      <c r="AO50" s="46">
        <v>0</v>
      </c>
      <c r="AP50" s="46">
        <v>1</v>
      </c>
      <c r="AS50" s="46"/>
      <c r="AT50" s="46">
        <v>0</v>
      </c>
      <c r="AU50" s="46">
        <v>1</v>
      </c>
      <c r="AX50" s="46"/>
      <c r="AY50" s="46">
        <v>0</v>
      </c>
      <c r="AZ50" s="46">
        <v>1</v>
      </c>
      <c r="BC50" s="46"/>
      <c r="BD50" s="46">
        <v>0</v>
      </c>
      <c r="BE50" s="46">
        <v>1</v>
      </c>
      <c r="BH50" s="46"/>
      <c r="BI50" s="46">
        <v>0</v>
      </c>
      <c r="BJ50" s="46">
        <v>1</v>
      </c>
      <c r="BM50" s="46"/>
      <c r="BN50" s="46">
        <v>0</v>
      </c>
      <c r="BO50" s="46">
        <v>1</v>
      </c>
      <c r="BR50" s="68"/>
      <c r="BS50" s="46">
        <v>0</v>
      </c>
      <c r="BT50" s="46">
        <v>1</v>
      </c>
      <c r="BU50" s="66"/>
    </row>
    <row r="51" spans="3:73">
      <c r="C51">
        <v>46</v>
      </c>
      <c r="F51">
        <v>46</v>
      </c>
      <c r="I51">
        <v>3</v>
      </c>
      <c r="L51">
        <v>95</v>
      </c>
      <c r="O51">
        <v>13</v>
      </c>
      <c r="R51">
        <v>5</v>
      </c>
      <c r="U51">
        <v>4</v>
      </c>
      <c r="AD51">
        <v>0</v>
      </c>
      <c r="AE51">
        <f>(AG45*AE47)/AG47</f>
        <v>13.761904761904763</v>
      </c>
      <c r="AF51">
        <f>(AG45*AF47)/AG47</f>
        <v>3.2380952380952381</v>
      </c>
      <c r="AI51">
        <v>0</v>
      </c>
      <c r="AJ51">
        <f>(AL45*AJ47)/AL47</f>
        <v>4.8571428571428568</v>
      </c>
      <c r="AK51">
        <f>(AL45*AK47)/AL47</f>
        <v>1.1428571428571428</v>
      </c>
      <c r="AN51">
        <v>0</v>
      </c>
      <c r="AO51">
        <f>(AQ45*AO47)/AQ47</f>
        <v>2.4285714285714284</v>
      </c>
      <c r="AP51">
        <f>(AQ45*AP47)/AQ47</f>
        <v>0.5714285714285714</v>
      </c>
      <c r="AS51">
        <v>0</v>
      </c>
      <c r="AT51">
        <f>(AV45*AT47)/AV47</f>
        <v>4.0476190476190474</v>
      </c>
      <c r="AU51">
        <f>(AV45*AU47)/AV47</f>
        <v>0.95238095238095233</v>
      </c>
      <c r="AX51">
        <v>0</v>
      </c>
      <c r="AY51">
        <f>(BA45*AY47)/BA47</f>
        <v>1.6190476190476191</v>
      </c>
      <c r="AZ51">
        <f>(BA45*AZ47)/BA47</f>
        <v>0.38095238095238093</v>
      </c>
      <c r="BC51">
        <v>0</v>
      </c>
      <c r="BD51">
        <f>(BF45*BD47)/BF47</f>
        <v>5.666666666666667</v>
      </c>
      <c r="BE51">
        <f>(BF45*BE47)/BF47</f>
        <v>1.3333333333333333</v>
      </c>
      <c r="BH51">
        <v>0</v>
      </c>
      <c r="BI51">
        <f>(BK45*BI47)/BK47</f>
        <v>8.9047619047619051</v>
      </c>
      <c r="BJ51">
        <f>(BK45*BJ47)/BK47</f>
        <v>2.0952380952380953</v>
      </c>
      <c r="BM51">
        <v>0</v>
      </c>
      <c r="BN51">
        <f>(BP45*BN47)/BP47</f>
        <v>4.0476190476190474</v>
      </c>
      <c r="BO51">
        <f>(BP45*BO47)/BP47</f>
        <v>0.95238095238095233</v>
      </c>
      <c r="BR51" s="67">
        <v>0</v>
      </c>
      <c r="BS51">
        <f>(BU45*BS47)/BU47</f>
        <v>12.952380952380953</v>
      </c>
      <c r="BT51">
        <f>(BU45*BT47)/BU47</f>
        <v>3.0476190476190474</v>
      </c>
      <c r="BU51" s="66"/>
    </row>
    <row r="52" spans="3:73">
      <c r="C52">
        <v>87</v>
      </c>
      <c r="F52">
        <v>10</v>
      </c>
      <c r="I52">
        <v>2</v>
      </c>
      <c r="L52">
        <v>64</v>
      </c>
      <c r="O52">
        <v>2</v>
      </c>
      <c r="R52">
        <v>3</v>
      </c>
      <c r="U52">
        <v>1</v>
      </c>
      <c r="AD52">
        <v>1</v>
      </c>
      <c r="AE52">
        <f>(AE47*AG46)/AG47</f>
        <v>3.2380952380952381</v>
      </c>
      <c r="AF52">
        <f>(AF47*AG46)/AG47</f>
        <v>0.76190476190476186</v>
      </c>
      <c r="AI52">
        <v>1</v>
      </c>
      <c r="AJ52">
        <f>(AJ47*AL46)/AL47</f>
        <v>12.142857142857142</v>
      </c>
      <c r="AK52">
        <f>(AK47*AL46)/AL47</f>
        <v>2.8571428571428572</v>
      </c>
      <c r="AN52">
        <v>1</v>
      </c>
      <c r="AO52">
        <f>(AO47*AQ46)/AQ47</f>
        <v>14.571428571428571</v>
      </c>
      <c r="AP52">
        <f>(AP47*AQ46)/AQ47</f>
        <v>3.4285714285714284</v>
      </c>
      <c r="AS52">
        <v>1</v>
      </c>
      <c r="AT52">
        <f>(AT47*AV46)/AV47</f>
        <v>12.952380952380953</v>
      </c>
      <c r="AU52">
        <f>(AU47*AV46)/AV47</f>
        <v>3.0476190476190474</v>
      </c>
      <c r="AX52">
        <v>1</v>
      </c>
      <c r="AY52">
        <f>(AY47*BA46)/BA47</f>
        <v>15.380952380952381</v>
      </c>
      <c r="AZ52">
        <f>(AZ47*BA46)/BA47</f>
        <v>3.6190476190476191</v>
      </c>
      <c r="BC52">
        <v>1</v>
      </c>
      <c r="BD52">
        <f>(BD47*BF46)/BF47</f>
        <v>11.333333333333334</v>
      </c>
      <c r="BE52">
        <f>(BE47*BF46)/BF47</f>
        <v>2.6666666666666665</v>
      </c>
      <c r="BH52">
        <v>1</v>
      </c>
      <c r="BI52">
        <f>(BI47*BK46)/BK47</f>
        <v>8.0952380952380949</v>
      </c>
      <c r="BJ52">
        <f>(BJ47*BK46)/BK47</f>
        <v>1.9047619047619047</v>
      </c>
      <c r="BM52">
        <v>1</v>
      </c>
      <c r="BN52">
        <f>(BN47*BP46)/BP47</f>
        <v>12.952380952380953</v>
      </c>
      <c r="BO52">
        <f>(BO47*BP46)/BP47</f>
        <v>3.0476190476190474</v>
      </c>
      <c r="BR52" s="67">
        <v>1</v>
      </c>
      <c r="BS52">
        <f>(BS47*BU46)/BU47</f>
        <v>4.0476190476190474</v>
      </c>
      <c r="BT52">
        <f>(BT47*BU46)/BU47</f>
        <v>0.95238095238095233</v>
      </c>
      <c r="BU52" s="66"/>
    </row>
    <row r="53" spans="3:73">
      <c r="C53">
        <v>66</v>
      </c>
      <c r="F53">
        <v>18</v>
      </c>
      <c r="I53">
        <v>4</v>
      </c>
      <c r="L53">
        <v>87</v>
      </c>
      <c r="O53">
        <v>11</v>
      </c>
      <c r="R53">
        <v>4</v>
      </c>
      <c r="U53">
        <v>3</v>
      </c>
      <c r="BR53" s="67"/>
      <c r="BU53" s="66"/>
    </row>
    <row r="54" spans="3:73">
      <c r="C54">
        <v>59</v>
      </c>
      <c r="F54">
        <v>18</v>
      </c>
      <c r="I54">
        <v>3</v>
      </c>
      <c r="L54">
        <v>70</v>
      </c>
      <c r="O54">
        <v>12</v>
      </c>
      <c r="R54">
        <v>1</v>
      </c>
      <c r="U54">
        <v>0</v>
      </c>
      <c r="AD54">
        <f>_xlfn.CHISQ.TEST(AE45:AF46,AE51:AF52)</f>
        <v>0.73615150520726891</v>
      </c>
      <c r="AI54">
        <f>_xlfn.CHISQ.TEST(AJ45:AK46,AJ51:AK52)</f>
        <v>0.36122974041740108</v>
      </c>
      <c r="AN54">
        <f>_xlfn.CHISQ.TEST(AO45:AP46,AO51:AP52)</f>
        <v>0.49611582312445368</v>
      </c>
      <c r="AS54">
        <f>_xlfn.CHISQ.TEST(AT45:AU46,AT51:AU52)</f>
        <v>0.44174833436685751</v>
      </c>
      <c r="AX54">
        <f>_xlfn.CHISQ.TEST(AY45:AZ46,AY51:AZ52)</f>
        <v>0.70910608823389776</v>
      </c>
      <c r="BC54">
        <f>_xlfn.CHISQ.TEST(BD45:BE46,BD51:BE52)</f>
        <v>0.69435447303045494</v>
      </c>
      <c r="BH54">
        <f>_xlfn.CHISQ.TEST(BI45:BJ46,BI51:BJ52)</f>
        <v>0.31406516665807266</v>
      </c>
      <c r="BM54">
        <f>_xlfn.CHISQ.TEST(BN45:BO46,BN51:BO52)</f>
        <v>0.95045829904382995</v>
      </c>
      <c r="BR54" s="67">
        <f>_xlfn.CHISQ.TEST(BS45:BT46,BS51:BT52)</f>
        <v>0.17166046566719725</v>
      </c>
      <c r="BU54" s="66">
        <f>SQRT(BR55/(134*(2-1)))</f>
        <v>0.11808112418003446</v>
      </c>
    </row>
    <row r="55" spans="3:73">
      <c r="C55">
        <v>72</v>
      </c>
      <c r="F55">
        <v>9</v>
      </c>
      <c r="I55">
        <v>2</v>
      </c>
      <c r="L55">
        <v>78</v>
      </c>
      <c r="O55">
        <v>4</v>
      </c>
      <c r="R55">
        <v>1</v>
      </c>
      <c r="U55">
        <v>0</v>
      </c>
      <c r="BR55" s="67">
        <f>(((BS45-BS51)^2)/BS51) + (((BS46-BS52)^2)/BS52) + (((BT45-BT51)^2)/BT51) + (((BT46-BT52)^2)/BT52)</f>
        <v>1.8683823529411763</v>
      </c>
      <c r="BU55" s="66"/>
    </row>
    <row r="56" spans="3:73">
      <c r="C56">
        <v>71</v>
      </c>
      <c r="F56">
        <v>16</v>
      </c>
      <c r="I56">
        <v>2</v>
      </c>
      <c r="L56">
        <v>83</v>
      </c>
      <c r="O56">
        <v>7</v>
      </c>
      <c r="R56">
        <v>1</v>
      </c>
      <c r="U56">
        <v>0</v>
      </c>
      <c r="BR56" s="69">
        <v>1</v>
      </c>
      <c r="BS56" s="70"/>
      <c r="BT56" s="70"/>
      <c r="BU56" s="71"/>
    </row>
    <row r="57" spans="3:73" ht="50.25" customHeight="1">
      <c r="C57">
        <v>54</v>
      </c>
      <c r="F57">
        <v>107</v>
      </c>
      <c r="I57">
        <v>4</v>
      </c>
      <c r="L57">
        <v>65</v>
      </c>
      <c r="O57">
        <v>5</v>
      </c>
      <c r="R57">
        <v>1</v>
      </c>
      <c r="U57">
        <v>0</v>
      </c>
      <c r="AD57" s="84" t="s">
        <v>348</v>
      </c>
      <c r="AE57" s="84"/>
      <c r="AF57" s="84"/>
      <c r="AG57" s="84"/>
      <c r="AI57" s="84" t="s">
        <v>349</v>
      </c>
      <c r="AJ57" s="84"/>
      <c r="AK57" s="84"/>
      <c r="AL57" s="84"/>
      <c r="AN57" s="84" t="s">
        <v>350</v>
      </c>
      <c r="AO57" s="84"/>
      <c r="AP57" s="84"/>
      <c r="AQ57" s="84"/>
      <c r="AS57" s="84" t="s">
        <v>351</v>
      </c>
      <c r="AT57" s="84"/>
      <c r="AU57" s="84"/>
      <c r="AV57" s="84"/>
      <c r="AX57" s="84" t="s">
        <v>352</v>
      </c>
      <c r="AY57" s="84"/>
      <c r="AZ57" s="84"/>
      <c r="BA57" s="84"/>
      <c r="BC57" s="84" t="s">
        <v>353</v>
      </c>
      <c r="BD57" s="84"/>
      <c r="BE57" s="84"/>
      <c r="BF57" s="84"/>
      <c r="BH57" s="84" t="s">
        <v>354</v>
      </c>
      <c r="BI57" s="84"/>
      <c r="BJ57" s="84"/>
      <c r="BK57" s="84"/>
      <c r="BM57" s="84" t="s">
        <v>355</v>
      </c>
      <c r="BN57" s="84"/>
      <c r="BO57" s="84"/>
      <c r="BP57" s="84"/>
      <c r="BR57" s="84" t="s">
        <v>355</v>
      </c>
      <c r="BS57" s="84"/>
      <c r="BT57" s="84"/>
      <c r="BU57" s="84"/>
    </row>
    <row r="58" spans="3:73">
      <c r="C58">
        <v>28</v>
      </c>
      <c r="F58">
        <v>28</v>
      </c>
      <c r="I58">
        <v>3</v>
      </c>
      <c r="L58">
        <v>55</v>
      </c>
      <c r="O58">
        <v>10</v>
      </c>
      <c r="R58">
        <v>1</v>
      </c>
      <c r="U58">
        <v>0</v>
      </c>
      <c r="AD58" s="45" t="s">
        <v>326</v>
      </c>
      <c r="AE58" s="45" t="s">
        <v>42</v>
      </c>
      <c r="AI58" s="45" t="s">
        <v>326</v>
      </c>
      <c r="AJ58" s="45" t="s">
        <v>42</v>
      </c>
      <c r="AN58" s="45" t="s">
        <v>326</v>
      </c>
      <c r="AO58" s="45" t="s">
        <v>42</v>
      </c>
      <c r="AS58" s="45" t="s">
        <v>326</v>
      </c>
      <c r="AT58" s="45" t="s">
        <v>41</v>
      </c>
      <c r="AX58" s="45" t="s">
        <v>326</v>
      </c>
      <c r="AY58" s="45" t="s">
        <v>41</v>
      </c>
      <c r="BC58" s="45" t="s">
        <v>326</v>
      </c>
      <c r="BD58" s="45" t="s">
        <v>42</v>
      </c>
      <c r="BH58" s="45" t="s">
        <v>326</v>
      </c>
      <c r="BI58" s="45" t="s">
        <v>42</v>
      </c>
      <c r="BM58" s="45" t="s">
        <v>326</v>
      </c>
      <c r="BN58" s="45" t="s">
        <v>42</v>
      </c>
      <c r="BR58" s="45" t="s">
        <v>326</v>
      </c>
      <c r="BS58" s="45" t="s">
        <v>42</v>
      </c>
    </row>
    <row r="59" spans="3:73">
      <c r="C59">
        <v>82</v>
      </c>
      <c r="F59">
        <v>25</v>
      </c>
      <c r="I59">
        <v>2</v>
      </c>
      <c r="L59">
        <v>75</v>
      </c>
      <c r="O59">
        <v>14</v>
      </c>
      <c r="R59">
        <v>1</v>
      </c>
      <c r="U59">
        <v>0</v>
      </c>
      <c r="AD59" s="45" t="s">
        <v>295</v>
      </c>
      <c r="AE59">
        <v>0</v>
      </c>
      <c r="AF59">
        <v>1</v>
      </c>
      <c r="AG59" t="s">
        <v>329</v>
      </c>
      <c r="AI59" s="45" t="s">
        <v>296</v>
      </c>
      <c r="AJ59">
        <v>0</v>
      </c>
      <c r="AK59">
        <v>1</v>
      </c>
      <c r="AL59" t="s">
        <v>329</v>
      </c>
      <c r="AN59" s="45" t="s">
        <v>32</v>
      </c>
      <c r="AO59">
        <v>0</v>
      </c>
      <c r="AP59">
        <v>1</v>
      </c>
      <c r="AQ59" t="s">
        <v>329</v>
      </c>
      <c r="AS59" s="45" t="s">
        <v>33</v>
      </c>
      <c r="AT59">
        <v>0</v>
      </c>
      <c r="AU59">
        <v>1</v>
      </c>
      <c r="AV59" t="s">
        <v>329</v>
      </c>
      <c r="AX59" s="45" t="s">
        <v>34</v>
      </c>
      <c r="AY59">
        <v>0</v>
      </c>
      <c r="AZ59">
        <v>1</v>
      </c>
      <c r="BA59" t="s">
        <v>329</v>
      </c>
      <c r="BC59" s="45" t="s">
        <v>7</v>
      </c>
      <c r="BD59">
        <v>0</v>
      </c>
      <c r="BE59">
        <v>1</v>
      </c>
      <c r="BF59" t="s">
        <v>329</v>
      </c>
      <c r="BH59" s="45" t="s">
        <v>20</v>
      </c>
      <c r="BI59">
        <v>0</v>
      </c>
      <c r="BJ59">
        <v>1</v>
      </c>
      <c r="BK59" t="s">
        <v>329</v>
      </c>
      <c r="BM59" s="45" t="s">
        <v>284</v>
      </c>
      <c r="BN59">
        <v>0</v>
      </c>
      <c r="BO59">
        <v>1</v>
      </c>
      <c r="BP59" t="s">
        <v>329</v>
      </c>
      <c r="BR59" s="45" t="s">
        <v>285</v>
      </c>
      <c r="BS59">
        <v>0</v>
      </c>
      <c r="BT59">
        <v>1</v>
      </c>
      <c r="BU59" t="s">
        <v>329</v>
      </c>
    </row>
    <row r="60" spans="3:73">
      <c r="C60">
        <v>79</v>
      </c>
      <c r="F60">
        <v>23</v>
      </c>
      <c r="I60">
        <v>5</v>
      </c>
      <c r="L60">
        <v>54</v>
      </c>
      <c r="O60">
        <v>7</v>
      </c>
      <c r="R60">
        <v>1</v>
      </c>
      <c r="U60">
        <v>0</v>
      </c>
      <c r="AD60">
        <v>0</v>
      </c>
      <c r="AE60">
        <v>12</v>
      </c>
      <c r="AF60">
        <v>5</v>
      </c>
      <c r="AG60">
        <v>17</v>
      </c>
      <c r="AI60">
        <v>0</v>
      </c>
      <c r="AJ60">
        <v>4</v>
      </c>
      <c r="AK60">
        <v>2</v>
      </c>
      <c r="AL60">
        <v>6</v>
      </c>
      <c r="AN60">
        <v>0</v>
      </c>
      <c r="AO60">
        <v>3</v>
      </c>
      <c r="AQ60">
        <v>3</v>
      </c>
      <c r="AS60">
        <v>0</v>
      </c>
      <c r="AT60">
        <v>5</v>
      </c>
      <c r="AV60">
        <v>5</v>
      </c>
      <c r="AX60">
        <v>0</v>
      </c>
      <c r="AY60">
        <v>2</v>
      </c>
      <c r="BA60">
        <v>2</v>
      </c>
      <c r="BC60">
        <v>0</v>
      </c>
      <c r="BD60">
        <v>7</v>
      </c>
      <c r="BF60">
        <v>7</v>
      </c>
      <c r="BH60">
        <v>0</v>
      </c>
      <c r="BI60">
        <v>7</v>
      </c>
      <c r="BJ60">
        <v>4</v>
      </c>
      <c r="BK60">
        <v>11</v>
      </c>
      <c r="BM60">
        <v>0</v>
      </c>
      <c r="BN60">
        <v>14</v>
      </c>
      <c r="BO60">
        <v>3</v>
      </c>
      <c r="BP60">
        <v>17</v>
      </c>
      <c r="BR60">
        <v>0</v>
      </c>
      <c r="BS60">
        <v>1</v>
      </c>
      <c r="BU60">
        <v>1</v>
      </c>
    </row>
    <row r="61" spans="3:73">
      <c r="C61">
        <v>77</v>
      </c>
      <c r="F61">
        <v>27</v>
      </c>
      <c r="I61">
        <v>3</v>
      </c>
      <c r="L61">
        <v>78</v>
      </c>
      <c r="O61">
        <v>25</v>
      </c>
      <c r="R61">
        <v>1</v>
      </c>
      <c r="U61">
        <v>0</v>
      </c>
      <c r="AD61">
        <v>1</v>
      </c>
      <c r="AE61">
        <v>4</v>
      </c>
      <c r="AG61">
        <v>4</v>
      </c>
      <c r="AI61">
        <v>1</v>
      </c>
      <c r="AJ61">
        <v>12</v>
      </c>
      <c r="AK61">
        <v>3</v>
      </c>
      <c r="AL61">
        <v>15</v>
      </c>
      <c r="AN61">
        <v>1</v>
      </c>
      <c r="AO61">
        <v>13</v>
      </c>
      <c r="AP61">
        <v>5</v>
      </c>
      <c r="AQ61">
        <v>18</v>
      </c>
      <c r="AS61">
        <v>1</v>
      </c>
      <c r="AT61">
        <v>12</v>
      </c>
      <c r="AU61">
        <v>4</v>
      </c>
      <c r="AV61">
        <v>16</v>
      </c>
      <c r="AX61">
        <v>1</v>
      </c>
      <c r="AY61">
        <v>15</v>
      </c>
      <c r="AZ61">
        <v>4</v>
      </c>
      <c r="BA61">
        <v>19</v>
      </c>
      <c r="BC61">
        <v>1</v>
      </c>
      <c r="BD61">
        <v>9</v>
      </c>
      <c r="BE61">
        <v>5</v>
      </c>
      <c r="BF61">
        <v>14</v>
      </c>
      <c r="BH61">
        <v>1</v>
      </c>
      <c r="BI61">
        <v>9</v>
      </c>
      <c r="BJ61">
        <v>1</v>
      </c>
      <c r="BK61">
        <v>10</v>
      </c>
      <c r="BM61">
        <v>1</v>
      </c>
      <c r="BN61">
        <v>2</v>
      </c>
      <c r="BO61">
        <v>2</v>
      </c>
      <c r="BP61">
        <v>4</v>
      </c>
      <c r="BR61">
        <v>1</v>
      </c>
      <c r="BS61">
        <v>15</v>
      </c>
      <c r="BT61">
        <v>5</v>
      </c>
      <c r="BU61">
        <v>20</v>
      </c>
    </row>
    <row r="62" spans="3:73">
      <c r="C62">
        <v>95</v>
      </c>
      <c r="F62">
        <v>13</v>
      </c>
      <c r="I62">
        <v>5</v>
      </c>
      <c r="L62">
        <v>36</v>
      </c>
      <c r="O62">
        <v>26</v>
      </c>
      <c r="R62">
        <v>1</v>
      </c>
      <c r="U62">
        <v>0</v>
      </c>
      <c r="AD62" t="s">
        <v>329</v>
      </c>
      <c r="AE62">
        <v>16</v>
      </c>
      <c r="AF62">
        <v>5</v>
      </c>
      <c r="AG62">
        <v>21</v>
      </c>
      <c r="AI62" t="s">
        <v>329</v>
      </c>
      <c r="AJ62">
        <v>16</v>
      </c>
      <c r="AK62">
        <v>5</v>
      </c>
      <c r="AL62">
        <v>21</v>
      </c>
      <c r="AN62" t="s">
        <v>329</v>
      </c>
      <c r="AO62">
        <v>16</v>
      </c>
      <c r="AP62">
        <v>5</v>
      </c>
      <c r="AQ62">
        <v>21</v>
      </c>
      <c r="AS62" t="s">
        <v>329</v>
      </c>
      <c r="AT62">
        <v>17</v>
      </c>
      <c r="AU62">
        <v>4</v>
      </c>
      <c r="AV62">
        <v>21</v>
      </c>
      <c r="AX62" t="s">
        <v>329</v>
      </c>
      <c r="AY62">
        <v>17</v>
      </c>
      <c r="AZ62">
        <v>4</v>
      </c>
      <c r="BA62">
        <v>21</v>
      </c>
      <c r="BC62" t="s">
        <v>329</v>
      </c>
      <c r="BD62">
        <v>16</v>
      </c>
      <c r="BE62">
        <v>5</v>
      </c>
      <c r="BF62">
        <v>21</v>
      </c>
      <c r="BH62" t="s">
        <v>329</v>
      </c>
      <c r="BI62">
        <v>16</v>
      </c>
      <c r="BJ62">
        <v>5</v>
      </c>
      <c r="BK62">
        <v>21</v>
      </c>
      <c r="BM62" t="s">
        <v>329</v>
      </c>
      <c r="BN62">
        <v>16</v>
      </c>
      <c r="BO62">
        <v>5</v>
      </c>
      <c r="BP62">
        <v>21</v>
      </c>
      <c r="BR62" t="s">
        <v>329</v>
      </c>
      <c r="BS62">
        <v>16</v>
      </c>
      <c r="BT62">
        <v>5</v>
      </c>
      <c r="BU62">
        <v>21</v>
      </c>
    </row>
    <row r="63" spans="3:73">
      <c r="C63">
        <v>42</v>
      </c>
      <c r="F63">
        <v>35</v>
      </c>
      <c r="I63">
        <v>5</v>
      </c>
      <c r="L63">
        <v>95</v>
      </c>
      <c r="O63">
        <v>5</v>
      </c>
      <c r="R63">
        <v>1</v>
      </c>
      <c r="U63">
        <v>0</v>
      </c>
    </row>
    <row r="64" spans="3:73">
      <c r="C64">
        <v>64</v>
      </c>
      <c r="F64">
        <v>2</v>
      </c>
      <c r="I64">
        <v>3</v>
      </c>
      <c r="L64">
        <v>37</v>
      </c>
      <c r="O64">
        <v>28</v>
      </c>
      <c r="R64">
        <v>1</v>
      </c>
      <c r="U64">
        <v>0</v>
      </c>
    </row>
    <row r="65" spans="3:72">
      <c r="C65">
        <v>87</v>
      </c>
      <c r="F65">
        <v>11</v>
      </c>
      <c r="I65">
        <v>4</v>
      </c>
      <c r="L65">
        <v>86</v>
      </c>
      <c r="O65">
        <v>7</v>
      </c>
      <c r="R65">
        <v>1</v>
      </c>
      <c r="U65">
        <v>0</v>
      </c>
      <c r="AD65" s="46"/>
      <c r="AE65" s="46">
        <v>0</v>
      </c>
      <c r="AF65" s="46">
        <v>1</v>
      </c>
      <c r="AI65" s="46"/>
      <c r="AJ65" s="46">
        <v>0</v>
      </c>
      <c r="AK65" s="46">
        <v>1</v>
      </c>
      <c r="AN65" s="46"/>
      <c r="AO65" s="46">
        <v>0</v>
      </c>
      <c r="AP65" s="46">
        <v>1</v>
      </c>
      <c r="AS65" s="46"/>
      <c r="AT65" s="46">
        <v>0</v>
      </c>
      <c r="AU65" s="46">
        <v>1</v>
      </c>
      <c r="AX65" s="46"/>
      <c r="AY65" s="46">
        <v>0</v>
      </c>
      <c r="AZ65" s="46">
        <v>1</v>
      </c>
      <c r="BC65" s="46"/>
      <c r="BD65" s="46">
        <v>0</v>
      </c>
      <c r="BE65" s="46">
        <v>1</v>
      </c>
      <c r="BH65" s="46"/>
      <c r="BI65" s="46">
        <v>0</v>
      </c>
      <c r="BJ65" s="46">
        <v>1</v>
      </c>
      <c r="BM65" s="46"/>
      <c r="BN65" s="46">
        <v>0</v>
      </c>
      <c r="BO65" s="46">
        <v>1</v>
      </c>
      <c r="BR65" s="46"/>
      <c r="BS65" s="46">
        <v>0</v>
      </c>
      <c r="BT65" s="46">
        <v>1</v>
      </c>
    </row>
    <row r="66" spans="3:72">
      <c r="C66">
        <v>69</v>
      </c>
      <c r="F66">
        <v>31</v>
      </c>
      <c r="I66">
        <v>1</v>
      </c>
      <c r="L66">
        <v>74</v>
      </c>
      <c r="O66">
        <v>8</v>
      </c>
      <c r="R66">
        <v>1</v>
      </c>
      <c r="U66">
        <v>0</v>
      </c>
      <c r="AD66">
        <v>0</v>
      </c>
      <c r="AE66">
        <f>(AG60*AE62)/AG62</f>
        <v>12.952380952380953</v>
      </c>
      <c r="AF66">
        <f>(AG60*AF62)/AG62</f>
        <v>4.0476190476190474</v>
      </c>
      <c r="AI66">
        <v>0</v>
      </c>
      <c r="AJ66">
        <f>(AL60*AJ62)/AL62</f>
        <v>4.5714285714285712</v>
      </c>
      <c r="AK66">
        <f>(AL60*AK62)/AL62</f>
        <v>1.4285714285714286</v>
      </c>
      <c r="AN66">
        <v>0</v>
      </c>
      <c r="AO66">
        <f>(AQ60*AO62)/AQ62</f>
        <v>2.2857142857142856</v>
      </c>
      <c r="AP66">
        <f>(AQ60*AP62)/AQ62</f>
        <v>0.7142857142857143</v>
      </c>
      <c r="AS66">
        <v>0</v>
      </c>
      <c r="AT66">
        <f>(AV60*AT62)/AV62</f>
        <v>4.0476190476190474</v>
      </c>
      <c r="AU66">
        <f>(AV60*AU62)/AV62</f>
        <v>0.95238095238095233</v>
      </c>
      <c r="AX66">
        <v>0</v>
      </c>
      <c r="AY66">
        <f>(BA60*AY62)/BA62</f>
        <v>1.6190476190476191</v>
      </c>
      <c r="AZ66">
        <f>(BA60*AZ62)/BA62</f>
        <v>0.38095238095238093</v>
      </c>
      <c r="BC66">
        <v>0</v>
      </c>
      <c r="BD66">
        <f>(BF60*BD62)/BF62</f>
        <v>5.333333333333333</v>
      </c>
      <c r="BE66">
        <f>(BF60*BE62)/BF62</f>
        <v>1.6666666666666667</v>
      </c>
      <c r="BH66">
        <v>0</v>
      </c>
      <c r="BI66">
        <f>(BK60*BI62)/BK62</f>
        <v>8.3809523809523814</v>
      </c>
      <c r="BJ66">
        <f>(BK60*BJ62)/BK62</f>
        <v>2.6190476190476191</v>
      </c>
      <c r="BM66">
        <v>0</v>
      </c>
      <c r="BN66">
        <f>(BP60*BN62)/BP62</f>
        <v>12.952380952380953</v>
      </c>
      <c r="BO66">
        <f>(BP60*BO62)/BP62</f>
        <v>4.0476190476190474</v>
      </c>
      <c r="BR66">
        <v>0</v>
      </c>
      <c r="BS66">
        <f>(BU60*BS62)/BU62</f>
        <v>0.76190476190476186</v>
      </c>
      <c r="BT66">
        <f>(BU60*BT62)/BU62</f>
        <v>0.23809523809523808</v>
      </c>
    </row>
    <row r="67" spans="3:72">
      <c r="C67">
        <v>70</v>
      </c>
      <c r="F67">
        <v>12</v>
      </c>
      <c r="I67">
        <v>1</v>
      </c>
      <c r="L67">
        <v>87</v>
      </c>
      <c r="O67">
        <v>9</v>
      </c>
      <c r="R67">
        <v>2</v>
      </c>
      <c r="U67">
        <v>1</v>
      </c>
      <c r="AD67">
        <v>1</v>
      </c>
      <c r="AE67">
        <f>(AE62*AG61)/AG62</f>
        <v>3.0476190476190474</v>
      </c>
      <c r="AF67">
        <f>(AF62*AG61)/AG62</f>
        <v>0.95238095238095233</v>
      </c>
      <c r="AI67">
        <v>1</v>
      </c>
      <c r="AJ67">
        <f>(AJ62*AL61)/AL62</f>
        <v>11.428571428571429</v>
      </c>
      <c r="AK67">
        <f>(AK62*AL61)/AL62</f>
        <v>3.5714285714285716</v>
      </c>
      <c r="AN67">
        <v>1</v>
      </c>
      <c r="AO67">
        <f>(AO62*AQ61)/AQ62</f>
        <v>13.714285714285714</v>
      </c>
      <c r="AP67">
        <f>(AP62*AQ61)/AQ62</f>
        <v>4.2857142857142856</v>
      </c>
      <c r="AS67">
        <v>1</v>
      </c>
      <c r="AT67">
        <f>(AT62*AV61)/AV62</f>
        <v>12.952380952380953</v>
      </c>
      <c r="AU67">
        <f>(AU62*AV61)/AV62</f>
        <v>3.0476190476190474</v>
      </c>
      <c r="AX67">
        <v>1</v>
      </c>
      <c r="AY67">
        <f>(AY62*BA61)/BA62</f>
        <v>15.380952380952381</v>
      </c>
      <c r="AZ67">
        <f>(AZ62*BA61)/BA62</f>
        <v>3.6190476190476191</v>
      </c>
      <c r="BC67">
        <v>1</v>
      </c>
      <c r="BD67">
        <f>(BD62*BF61)/BF62</f>
        <v>10.666666666666666</v>
      </c>
      <c r="BE67">
        <f>(BE62*BF61)/BF62</f>
        <v>3.3333333333333335</v>
      </c>
      <c r="BH67">
        <v>1</v>
      </c>
      <c r="BI67">
        <f>(BI62*BK61)/BK62</f>
        <v>7.6190476190476186</v>
      </c>
      <c r="BJ67">
        <f>(BJ62*BK61)/BK62</f>
        <v>2.3809523809523809</v>
      </c>
      <c r="BM67">
        <v>1</v>
      </c>
      <c r="BN67">
        <f>(BN62*BP61)/BP62</f>
        <v>3.0476190476190474</v>
      </c>
      <c r="BO67">
        <f>(BO62*BP61)/BP62</f>
        <v>0.95238095238095233</v>
      </c>
      <c r="BR67">
        <v>1</v>
      </c>
      <c r="BS67">
        <f>(BS62*BU61)/BU62</f>
        <v>15.238095238095237</v>
      </c>
      <c r="BT67">
        <f>(BT62*BU61)/BU62</f>
        <v>4.7619047619047619</v>
      </c>
    </row>
    <row r="68" spans="3:72">
      <c r="C68">
        <v>78</v>
      </c>
      <c r="F68">
        <v>4</v>
      </c>
      <c r="I68">
        <v>1</v>
      </c>
      <c r="L68">
        <v>55</v>
      </c>
      <c r="R68">
        <v>4</v>
      </c>
      <c r="U68">
        <v>3</v>
      </c>
    </row>
    <row r="69" spans="3:72">
      <c r="C69">
        <v>71</v>
      </c>
      <c r="F69">
        <v>6</v>
      </c>
      <c r="I69">
        <v>1</v>
      </c>
      <c r="L69">
        <v>86</v>
      </c>
      <c r="O69">
        <v>15</v>
      </c>
      <c r="R69">
        <v>1</v>
      </c>
      <c r="U69">
        <v>0</v>
      </c>
      <c r="AD69">
        <f>_xlfn.CHISQ.TEST(AE60:AF61,AE66:AF67)</f>
        <v>0.44174833436685751</v>
      </c>
      <c r="AI69">
        <f>_xlfn.CHISQ.TEST(AJ60:AK61,AJ66:AK67)</f>
        <v>0.51693704426448994</v>
      </c>
      <c r="AN69">
        <f>_xlfn.CHISQ.TEST(AO60:AP61,AO66:AP67)</f>
        <v>0.53789008106979685</v>
      </c>
      <c r="AS69">
        <f>_xlfn.CHISQ.TEST(AT60:AU61,AT66:AU67)</f>
        <v>0.44174833436685751</v>
      </c>
      <c r="AX69">
        <f>_xlfn.CHISQ.TEST(AY60:AZ61,AY66:AZ67)</f>
        <v>0.70910608823389776</v>
      </c>
      <c r="BC69">
        <f>_xlfn.CHISQ.TEST(BD60:BE61,BD66:BE67)</f>
        <v>0.20384872160255596</v>
      </c>
      <c r="BH69">
        <f>_xlfn.CHISQ.TEST(BI60:BJ61,BI66:BJ67)</f>
        <v>0.15658171060697848</v>
      </c>
      <c r="BM69">
        <f>_xlfn.CHISQ.TEST(BN60:BO61,BN66:BO67)</f>
        <v>0.17166046566719725</v>
      </c>
      <c r="BR69">
        <f>_xlfn.CHISQ.TEST(BS60:BT61,BS66:BT67)</f>
        <v>0.76413932293824405</v>
      </c>
    </row>
    <row r="70" spans="3:72">
      <c r="C70">
        <v>83</v>
      </c>
      <c r="F70">
        <v>7</v>
      </c>
      <c r="I70">
        <v>1</v>
      </c>
      <c r="L70">
        <v>77</v>
      </c>
      <c r="O70">
        <v>7</v>
      </c>
      <c r="R70">
        <v>4</v>
      </c>
      <c r="U70">
        <v>7</v>
      </c>
    </row>
    <row r="71" spans="3:72">
      <c r="C71">
        <v>65</v>
      </c>
      <c r="F71">
        <v>5</v>
      </c>
      <c r="I71">
        <v>1</v>
      </c>
      <c r="L71">
        <v>81</v>
      </c>
      <c r="O71">
        <v>19</v>
      </c>
      <c r="R71">
        <v>2</v>
      </c>
      <c r="U71">
        <v>1</v>
      </c>
    </row>
    <row r="72" spans="3:72">
      <c r="C72">
        <v>55</v>
      </c>
      <c r="F72">
        <v>10</v>
      </c>
      <c r="I72">
        <v>1</v>
      </c>
      <c r="L72">
        <v>87</v>
      </c>
      <c r="O72">
        <v>6</v>
      </c>
      <c r="R72">
        <v>3</v>
      </c>
      <c r="U72">
        <v>2</v>
      </c>
    </row>
    <row r="73" spans="3:72">
      <c r="C73">
        <v>58</v>
      </c>
      <c r="F73">
        <v>5</v>
      </c>
      <c r="I73">
        <v>1</v>
      </c>
      <c r="L73">
        <v>47</v>
      </c>
      <c r="O73">
        <v>5</v>
      </c>
      <c r="R73">
        <v>4</v>
      </c>
      <c r="U73">
        <v>5</v>
      </c>
    </row>
    <row r="74" spans="3:72">
      <c r="C74">
        <v>77</v>
      </c>
      <c r="F74">
        <v>20</v>
      </c>
      <c r="I74">
        <v>1</v>
      </c>
      <c r="L74">
        <v>54</v>
      </c>
      <c r="O74">
        <v>44</v>
      </c>
      <c r="R74">
        <v>5</v>
      </c>
      <c r="U74">
        <v>3</v>
      </c>
    </row>
    <row r="75" spans="3:72">
      <c r="C75">
        <v>75</v>
      </c>
      <c r="F75">
        <v>14</v>
      </c>
      <c r="I75">
        <v>1</v>
      </c>
      <c r="L75">
        <v>82</v>
      </c>
      <c r="O75">
        <v>10</v>
      </c>
      <c r="R75">
        <v>1</v>
      </c>
      <c r="U75">
        <v>0</v>
      </c>
    </row>
    <row r="76" spans="3:72">
      <c r="C76">
        <v>54</v>
      </c>
      <c r="F76">
        <v>7</v>
      </c>
      <c r="I76">
        <v>1</v>
      </c>
      <c r="L76">
        <v>71</v>
      </c>
      <c r="O76">
        <v>10</v>
      </c>
      <c r="R76">
        <v>1</v>
      </c>
      <c r="U76">
        <v>0</v>
      </c>
    </row>
    <row r="77" spans="3:72">
      <c r="C77">
        <v>78</v>
      </c>
      <c r="F77">
        <v>25</v>
      </c>
      <c r="I77">
        <v>1</v>
      </c>
      <c r="L77">
        <v>54</v>
      </c>
      <c r="O77">
        <v>44</v>
      </c>
      <c r="R77">
        <v>5</v>
      </c>
      <c r="U77">
        <v>3</v>
      </c>
    </row>
    <row r="78" spans="3:72">
      <c r="C78">
        <v>36</v>
      </c>
      <c r="F78">
        <v>26</v>
      </c>
      <c r="I78">
        <v>1</v>
      </c>
      <c r="L78">
        <v>69</v>
      </c>
      <c r="O78">
        <v>5</v>
      </c>
      <c r="R78">
        <v>1</v>
      </c>
      <c r="U78">
        <v>0</v>
      </c>
    </row>
    <row r="79" spans="3:72">
      <c r="C79">
        <v>95</v>
      </c>
      <c r="F79">
        <v>5</v>
      </c>
      <c r="I79">
        <v>1</v>
      </c>
      <c r="L79">
        <v>53</v>
      </c>
      <c r="O79">
        <v>10</v>
      </c>
      <c r="R79">
        <v>1</v>
      </c>
      <c r="U79">
        <v>0</v>
      </c>
    </row>
    <row r="80" spans="3:72">
      <c r="C80">
        <v>42</v>
      </c>
      <c r="F80">
        <v>10</v>
      </c>
      <c r="I80">
        <v>2</v>
      </c>
      <c r="L80">
        <v>73</v>
      </c>
      <c r="O80">
        <v>28</v>
      </c>
      <c r="R80">
        <v>1</v>
      </c>
      <c r="U80">
        <v>0</v>
      </c>
    </row>
    <row r="81" spans="3:21">
      <c r="C81">
        <v>37</v>
      </c>
      <c r="F81">
        <v>28</v>
      </c>
      <c r="I81">
        <v>1</v>
      </c>
      <c r="L81">
        <v>69</v>
      </c>
      <c r="O81">
        <v>8</v>
      </c>
      <c r="R81">
        <v>1</v>
      </c>
      <c r="U81">
        <v>0</v>
      </c>
    </row>
    <row r="82" spans="3:21">
      <c r="C82">
        <v>86</v>
      </c>
      <c r="F82">
        <v>7</v>
      </c>
      <c r="I82">
        <v>1</v>
      </c>
      <c r="L82">
        <v>63</v>
      </c>
      <c r="O82">
        <v>4</v>
      </c>
      <c r="R82">
        <v>1</v>
      </c>
      <c r="U82">
        <v>0</v>
      </c>
    </row>
    <row r="83" spans="3:21">
      <c r="C83">
        <v>74</v>
      </c>
      <c r="F83">
        <v>8</v>
      </c>
      <c r="I83">
        <v>1</v>
      </c>
      <c r="L83">
        <v>76</v>
      </c>
      <c r="O83">
        <v>10</v>
      </c>
      <c r="R83">
        <v>1</v>
      </c>
      <c r="U83">
        <v>0</v>
      </c>
    </row>
    <row r="84" spans="3:21">
      <c r="C84">
        <v>87</v>
      </c>
      <c r="F84">
        <v>9</v>
      </c>
      <c r="I84">
        <v>2</v>
      </c>
      <c r="L84">
        <v>80</v>
      </c>
      <c r="O84">
        <v>9</v>
      </c>
      <c r="R84">
        <v>1</v>
      </c>
      <c r="U84">
        <v>0</v>
      </c>
    </row>
    <row r="85" spans="3:21">
      <c r="C85">
        <v>55</v>
      </c>
      <c r="I85">
        <v>4</v>
      </c>
      <c r="L85">
        <v>81</v>
      </c>
      <c r="O85">
        <v>8</v>
      </c>
      <c r="R85">
        <v>1</v>
      </c>
      <c r="U85">
        <v>0</v>
      </c>
    </row>
    <row r="86" spans="3:21">
      <c r="C86">
        <v>86</v>
      </c>
      <c r="F86">
        <v>15</v>
      </c>
      <c r="I86">
        <v>1</v>
      </c>
      <c r="L86">
        <v>77</v>
      </c>
      <c r="O86">
        <v>3</v>
      </c>
      <c r="R86">
        <v>1</v>
      </c>
      <c r="U86">
        <v>0</v>
      </c>
    </row>
    <row r="87" spans="3:21">
      <c r="C87">
        <v>77</v>
      </c>
      <c r="F87">
        <v>7</v>
      </c>
      <c r="I87">
        <v>4</v>
      </c>
      <c r="L87">
        <v>58</v>
      </c>
      <c r="O87">
        <v>6</v>
      </c>
      <c r="R87">
        <v>1</v>
      </c>
      <c r="U87">
        <v>0</v>
      </c>
    </row>
    <row r="88" spans="3:21">
      <c r="C88">
        <v>81</v>
      </c>
      <c r="F88">
        <v>19</v>
      </c>
      <c r="I88">
        <v>2</v>
      </c>
      <c r="L88">
        <v>68</v>
      </c>
      <c r="O88">
        <v>14</v>
      </c>
      <c r="R88">
        <v>1</v>
      </c>
      <c r="U88">
        <v>0</v>
      </c>
    </row>
    <row r="89" spans="3:21">
      <c r="C89">
        <v>87</v>
      </c>
      <c r="F89">
        <v>6</v>
      </c>
      <c r="I89">
        <v>3</v>
      </c>
      <c r="L89">
        <v>84</v>
      </c>
      <c r="O89">
        <v>7</v>
      </c>
      <c r="R89">
        <v>1</v>
      </c>
      <c r="U89">
        <v>0</v>
      </c>
    </row>
    <row r="90" spans="3:21">
      <c r="C90">
        <v>47</v>
      </c>
      <c r="F90">
        <v>5</v>
      </c>
      <c r="I90">
        <v>4</v>
      </c>
      <c r="L90">
        <v>72</v>
      </c>
      <c r="O90">
        <v>21</v>
      </c>
      <c r="R90">
        <v>1</v>
      </c>
      <c r="U90">
        <v>0</v>
      </c>
    </row>
    <row r="91" spans="3:21">
      <c r="C91">
        <v>54</v>
      </c>
      <c r="F91">
        <v>44</v>
      </c>
      <c r="I91">
        <v>5</v>
      </c>
      <c r="L91">
        <v>72</v>
      </c>
      <c r="O91">
        <v>3</v>
      </c>
      <c r="R91">
        <v>1</v>
      </c>
      <c r="U91">
        <v>0</v>
      </c>
    </row>
    <row r="92" spans="3:21">
      <c r="C92">
        <v>82</v>
      </c>
      <c r="F92">
        <v>10</v>
      </c>
      <c r="I92">
        <v>1</v>
      </c>
      <c r="L92">
        <v>42</v>
      </c>
      <c r="O92">
        <v>4</v>
      </c>
      <c r="R92">
        <v>1</v>
      </c>
      <c r="U92">
        <v>0</v>
      </c>
    </row>
    <row r="93" spans="3:21">
      <c r="C93">
        <v>54</v>
      </c>
      <c r="F93">
        <v>13</v>
      </c>
      <c r="I93">
        <v>6</v>
      </c>
      <c r="L93">
        <v>57</v>
      </c>
      <c r="O93">
        <v>17</v>
      </c>
      <c r="R93">
        <v>1</v>
      </c>
      <c r="U93">
        <v>0</v>
      </c>
    </row>
    <row r="94" spans="3:21">
      <c r="C94">
        <v>71</v>
      </c>
      <c r="F94">
        <v>10</v>
      </c>
      <c r="I94">
        <v>1</v>
      </c>
      <c r="L94">
        <v>57</v>
      </c>
      <c r="O94">
        <v>22</v>
      </c>
      <c r="R94">
        <v>1</v>
      </c>
      <c r="U94">
        <v>0</v>
      </c>
    </row>
    <row r="95" spans="3:21">
      <c r="C95">
        <v>54</v>
      </c>
      <c r="F95">
        <v>44</v>
      </c>
      <c r="I95">
        <v>5</v>
      </c>
      <c r="L95">
        <v>74</v>
      </c>
      <c r="O95">
        <v>4</v>
      </c>
      <c r="R95">
        <v>1</v>
      </c>
      <c r="U95">
        <v>0</v>
      </c>
    </row>
    <row r="96" spans="3:21">
      <c r="C96">
        <v>69</v>
      </c>
      <c r="F96">
        <v>5</v>
      </c>
      <c r="I96">
        <v>1</v>
      </c>
      <c r="L96">
        <v>90</v>
      </c>
      <c r="O96">
        <v>4</v>
      </c>
      <c r="R96">
        <v>1</v>
      </c>
      <c r="U96">
        <v>0</v>
      </c>
    </row>
    <row r="97" spans="3:21">
      <c r="C97">
        <v>53</v>
      </c>
      <c r="F97">
        <v>10</v>
      </c>
      <c r="I97">
        <v>1</v>
      </c>
      <c r="L97">
        <v>83</v>
      </c>
      <c r="O97">
        <v>3</v>
      </c>
      <c r="R97">
        <v>1</v>
      </c>
      <c r="U97">
        <v>0</v>
      </c>
    </row>
    <row r="98" spans="3:21">
      <c r="C98">
        <v>73</v>
      </c>
      <c r="F98">
        <v>28</v>
      </c>
      <c r="I98">
        <v>1</v>
      </c>
      <c r="L98">
        <v>62</v>
      </c>
      <c r="O98">
        <v>11</v>
      </c>
      <c r="R98">
        <v>1</v>
      </c>
      <c r="U98">
        <v>0</v>
      </c>
    </row>
    <row r="99" spans="3:21">
      <c r="C99">
        <v>69</v>
      </c>
      <c r="F99">
        <v>8</v>
      </c>
      <c r="I99">
        <v>1</v>
      </c>
      <c r="L99">
        <v>94</v>
      </c>
      <c r="O99">
        <v>5</v>
      </c>
      <c r="R99">
        <v>1</v>
      </c>
      <c r="U99">
        <v>0</v>
      </c>
    </row>
    <row r="100" spans="3:21">
      <c r="C100">
        <v>63</v>
      </c>
      <c r="F100">
        <v>4</v>
      </c>
      <c r="I100">
        <v>1</v>
      </c>
      <c r="L100">
        <v>79</v>
      </c>
      <c r="O100">
        <v>3</v>
      </c>
      <c r="R100">
        <v>1</v>
      </c>
      <c r="U100">
        <v>0</v>
      </c>
    </row>
    <row r="101" spans="3:21">
      <c r="C101">
        <v>76</v>
      </c>
      <c r="F101">
        <v>10</v>
      </c>
      <c r="I101">
        <v>1</v>
      </c>
      <c r="L101">
        <v>45</v>
      </c>
      <c r="O101">
        <v>9</v>
      </c>
      <c r="R101">
        <v>1</v>
      </c>
      <c r="U101">
        <v>0</v>
      </c>
    </row>
    <row r="102" spans="3:21">
      <c r="C102">
        <v>80</v>
      </c>
      <c r="F102">
        <v>9</v>
      </c>
      <c r="I102">
        <v>1</v>
      </c>
      <c r="L102">
        <v>75</v>
      </c>
      <c r="O102">
        <v>7</v>
      </c>
      <c r="R102">
        <v>1</v>
      </c>
      <c r="U102">
        <v>0</v>
      </c>
    </row>
    <row r="103" spans="3:21">
      <c r="C103">
        <v>81</v>
      </c>
      <c r="F103">
        <v>8</v>
      </c>
      <c r="I103">
        <v>1</v>
      </c>
      <c r="L103">
        <v>90</v>
      </c>
      <c r="O103">
        <v>5</v>
      </c>
      <c r="R103">
        <v>2</v>
      </c>
      <c r="U103">
        <v>0</v>
      </c>
    </row>
    <row r="104" spans="3:21">
      <c r="C104">
        <v>59</v>
      </c>
      <c r="F104">
        <v>11</v>
      </c>
      <c r="I104">
        <v>3</v>
      </c>
      <c r="L104">
        <v>88</v>
      </c>
      <c r="O104">
        <v>9</v>
      </c>
      <c r="R104">
        <v>1</v>
      </c>
      <c r="U104">
        <v>0</v>
      </c>
    </row>
    <row r="105" spans="3:21">
      <c r="C105">
        <v>69</v>
      </c>
      <c r="F105">
        <v>15</v>
      </c>
      <c r="I105">
        <v>1</v>
      </c>
      <c r="L105">
        <v>96</v>
      </c>
      <c r="O105">
        <v>4</v>
      </c>
      <c r="R105">
        <v>1</v>
      </c>
      <c r="U105">
        <v>0</v>
      </c>
    </row>
    <row r="106" spans="3:21">
      <c r="C106">
        <v>77</v>
      </c>
      <c r="F106">
        <v>3</v>
      </c>
      <c r="I106">
        <v>1</v>
      </c>
      <c r="L106">
        <v>75</v>
      </c>
      <c r="O106">
        <v>6</v>
      </c>
      <c r="R106">
        <v>1</v>
      </c>
      <c r="U106">
        <v>0</v>
      </c>
    </row>
    <row r="107" spans="3:21">
      <c r="C107">
        <v>58</v>
      </c>
      <c r="F107">
        <v>6</v>
      </c>
      <c r="I107">
        <v>1</v>
      </c>
      <c r="L107">
        <v>72</v>
      </c>
      <c r="O107">
        <v>14</v>
      </c>
      <c r="R107">
        <v>1</v>
      </c>
      <c r="U107">
        <v>0</v>
      </c>
    </row>
    <row r="108" spans="3:21">
      <c r="C108">
        <v>68</v>
      </c>
      <c r="F108">
        <v>14</v>
      </c>
      <c r="I108">
        <v>1</v>
      </c>
      <c r="L108">
        <v>39</v>
      </c>
      <c r="O108">
        <v>1</v>
      </c>
      <c r="R108">
        <v>1</v>
      </c>
      <c r="U108">
        <v>0</v>
      </c>
    </row>
    <row r="109" spans="3:21">
      <c r="C109">
        <v>84</v>
      </c>
      <c r="F109">
        <v>7</v>
      </c>
      <c r="I109">
        <v>1</v>
      </c>
      <c r="L109">
        <v>90</v>
      </c>
      <c r="O109">
        <v>8</v>
      </c>
      <c r="R109">
        <v>1</v>
      </c>
      <c r="U109">
        <v>0</v>
      </c>
    </row>
    <row r="110" spans="3:21">
      <c r="C110">
        <v>72</v>
      </c>
      <c r="F110">
        <v>21</v>
      </c>
      <c r="I110">
        <v>1</v>
      </c>
      <c r="L110">
        <v>92</v>
      </c>
      <c r="O110">
        <v>4</v>
      </c>
      <c r="R110">
        <v>1</v>
      </c>
      <c r="U110">
        <v>0</v>
      </c>
    </row>
    <row r="111" spans="3:21">
      <c r="C111">
        <v>72</v>
      </c>
      <c r="F111">
        <v>3</v>
      </c>
      <c r="I111">
        <v>1</v>
      </c>
      <c r="L111">
        <v>51</v>
      </c>
      <c r="O111">
        <v>98</v>
      </c>
      <c r="R111">
        <v>1</v>
      </c>
      <c r="U111">
        <v>0</v>
      </c>
    </row>
    <row r="112" spans="3:21">
      <c r="C112">
        <v>42</v>
      </c>
      <c r="F112">
        <v>4</v>
      </c>
      <c r="I112">
        <v>1</v>
      </c>
      <c r="L112">
        <v>32</v>
      </c>
      <c r="O112">
        <v>2</v>
      </c>
      <c r="R112">
        <v>1</v>
      </c>
      <c r="U112">
        <v>0</v>
      </c>
    </row>
    <row r="113" spans="3:21">
      <c r="C113">
        <v>57</v>
      </c>
      <c r="F113">
        <v>17</v>
      </c>
      <c r="I113">
        <v>1</v>
      </c>
      <c r="L113">
        <v>81</v>
      </c>
      <c r="O113">
        <v>6</v>
      </c>
      <c r="R113">
        <v>1</v>
      </c>
      <c r="U113">
        <v>0</v>
      </c>
    </row>
    <row r="114" spans="3:21">
      <c r="C114">
        <v>57</v>
      </c>
      <c r="F114">
        <v>22</v>
      </c>
      <c r="I114">
        <v>1</v>
      </c>
      <c r="L114">
        <v>66</v>
      </c>
      <c r="O114">
        <v>16</v>
      </c>
      <c r="R114">
        <v>2</v>
      </c>
      <c r="U114">
        <v>1</v>
      </c>
    </row>
    <row r="115" spans="3:21">
      <c r="C115">
        <v>74</v>
      </c>
      <c r="F115">
        <v>4</v>
      </c>
      <c r="I115">
        <v>1</v>
      </c>
      <c r="L115">
        <v>79</v>
      </c>
      <c r="O115">
        <v>3</v>
      </c>
      <c r="R115">
        <v>1</v>
      </c>
      <c r="U115">
        <v>0</v>
      </c>
    </row>
    <row r="116" spans="3:21">
      <c r="C116">
        <v>90</v>
      </c>
      <c r="F116">
        <v>4</v>
      </c>
      <c r="I116">
        <v>1</v>
      </c>
      <c r="L116">
        <v>38</v>
      </c>
      <c r="O116">
        <v>55</v>
      </c>
      <c r="R116">
        <v>1</v>
      </c>
      <c r="U116">
        <v>0</v>
      </c>
    </row>
    <row r="117" spans="3:21">
      <c r="C117">
        <v>83</v>
      </c>
      <c r="F117">
        <v>3</v>
      </c>
      <c r="I117">
        <v>1</v>
      </c>
      <c r="L117">
        <v>86</v>
      </c>
      <c r="O117">
        <v>6</v>
      </c>
      <c r="R117">
        <v>1</v>
      </c>
      <c r="U117">
        <v>0</v>
      </c>
    </row>
    <row r="118" spans="3:21">
      <c r="C118">
        <v>62</v>
      </c>
      <c r="F118">
        <v>11</v>
      </c>
      <c r="I118">
        <v>1</v>
      </c>
      <c r="L118">
        <v>58</v>
      </c>
      <c r="O118">
        <v>8</v>
      </c>
      <c r="R118">
        <v>1</v>
      </c>
      <c r="U118">
        <v>0</v>
      </c>
    </row>
    <row r="119" spans="3:21">
      <c r="C119">
        <v>94</v>
      </c>
      <c r="F119">
        <v>5</v>
      </c>
      <c r="I119">
        <v>1</v>
      </c>
      <c r="L119">
        <v>28</v>
      </c>
      <c r="O119">
        <v>6</v>
      </c>
      <c r="R119">
        <v>1</v>
      </c>
      <c r="U119">
        <v>0</v>
      </c>
    </row>
    <row r="120" spans="3:21">
      <c r="C120">
        <v>79</v>
      </c>
      <c r="F120">
        <v>3</v>
      </c>
      <c r="I120">
        <v>1</v>
      </c>
      <c r="L120">
        <v>89</v>
      </c>
      <c r="O120">
        <v>24</v>
      </c>
      <c r="R120">
        <v>1</v>
      </c>
      <c r="U120">
        <v>0</v>
      </c>
    </row>
    <row r="121" spans="3:21">
      <c r="C121">
        <v>45</v>
      </c>
      <c r="F121">
        <v>9</v>
      </c>
      <c r="I121">
        <v>1</v>
      </c>
      <c r="L121">
        <v>88</v>
      </c>
      <c r="O121">
        <v>21</v>
      </c>
      <c r="R121">
        <v>1</v>
      </c>
      <c r="U121">
        <v>0</v>
      </c>
    </row>
    <row r="122" spans="3:21">
      <c r="C122">
        <v>75</v>
      </c>
      <c r="F122">
        <v>7</v>
      </c>
      <c r="I122">
        <v>1</v>
      </c>
      <c r="L122">
        <v>43</v>
      </c>
      <c r="O122">
        <v>4</v>
      </c>
      <c r="R122">
        <v>1</v>
      </c>
      <c r="U122">
        <v>0</v>
      </c>
    </row>
    <row r="123" spans="3:21">
      <c r="C123">
        <v>90</v>
      </c>
      <c r="F123">
        <v>5</v>
      </c>
      <c r="I123">
        <v>2</v>
      </c>
      <c r="L123">
        <v>92</v>
      </c>
      <c r="O123">
        <v>7</v>
      </c>
      <c r="R123">
        <v>1</v>
      </c>
      <c r="U123">
        <v>0</v>
      </c>
    </row>
    <row r="124" spans="3:21">
      <c r="C124">
        <v>88</v>
      </c>
      <c r="F124">
        <v>9</v>
      </c>
      <c r="I124">
        <v>1</v>
      </c>
      <c r="L124">
        <v>82</v>
      </c>
      <c r="O124">
        <v>7</v>
      </c>
      <c r="R124">
        <v>1</v>
      </c>
      <c r="U124">
        <v>0</v>
      </c>
    </row>
    <row r="125" spans="3:21">
      <c r="C125">
        <v>96</v>
      </c>
      <c r="F125">
        <v>4</v>
      </c>
      <c r="I125">
        <v>1</v>
      </c>
      <c r="L125">
        <v>44</v>
      </c>
      <c r="O125">
        <v>7</v>
      </c>
      <c r="R125">
        <v>1</v>
      </c>
      <c r="U125">
        <v>0</v>
      </c>
    </row>
    <row r="126" spans="3:21">
      <c r="C126">
        <v>75</v>
      </c>
      <c r="F126">
        <v>6</v>
      </c>
      <c r="I126">
        <v>1</v>
      </c>
      <c r="L126">
        <v>65</v>
      </c>
      <c r="O126">
        <v>11</v>
      </c>
      <c r="R126">
        <v>1</v>
      </c>
      <c r="U126">
        <v>0</v>
      </c>
    </row>
    <row r="127" spans="3:21">
      <c r="C127">
        <v>72</v>
      </c>
      <c r="F127">
        <v>14</v>
      </c>
      <c r="I127">
        <v>1</v>
      </c>
      <c r="L127">
        <v>77</v>
      </c>
      <c r="O127">
        <v>4</v>
      </c>
      <c r="R127">
        <v>1</v>
      </c>
      <c r="U127">
        <v>0</v>
      </c>
    </row>
    <row r="128" spans="3:21">
      <c r="C128">
        <v>39</v>
      </c>
      <c r="F128">
        <v>1</v>
      </c>
      <c r="I128">
        <v>1</v>
      </c>
      <c r="L128">
        <v>70</v>
      </c>
      <c r="O128">
        <v>7</v>
      </c>
      <c r="R128">
        <v>1</v>
      </c>
      <c r="U128">
        <v>0</v>
      </c>
    </row>
    <row r="129" spans="3:21">
      <c r="C129">
        <v>90</v>
      </c>
      <c r="F129">
        <v>8</v>
      </c>
      <c r="I129">
        <v>1</v>
      </c>
      <c r="L129">
        <v>70</v>
      </c>
      <c r="O129">
        <v>3</v>
      </c>
      <c r="R129">
        <v>1</v>
      </c>
      <c r="U129">
        <v>0</v>
      </c>
    </row>
    <row r="130" spans="3:21">
      <c r="C130">
        <v>92</v>
      </c>
      <c r="F130">
        <v>4</v>
      </c>
      <c r="I130">
        <v>1</v>
      </c>
      <c r="L130">
        <v>75</v>
      </c>
      <c r="O130">
        <v>3</v>
      </c>
      <c r="R130">
        <v>1</v>
      </c>
      <c r="U130">
        <v>0</v>
      </c>
    </row>
    <row r="131" spans="3:21">
      <c r="C131">
        <v>51</v>
      </c>
      <c r="F131">
        <v>98</v>
      </c>
      <c r="I131">
        <v>1</v>
      </c>
      <c r="L131">
        <v>60</v>
      </c>
      <c r="O131">
        <v>3</v>
      </c>
      <c r="R131">
        <v>1</v>
      </c>
      <c r="U131">
        <v>0</v>
      </c>
    </row>
    <row r="132" spans="3:21">
      <c r="C132">
        <v>32</v>
      </c>
      <c r="F132">
        <v>2</v>
      </c>
      <c r="I132">
        <v>1</v>
      </c>
      <c r="L132">
        <v>71</v>
      </c>
      <c r="O132">
        <v>12</v>
      </c>
      <c r="R132">
        <v>1</v>
      </c>
      <c r="U132">
        <v>0</v>
      </c>
    </row>
    <row r="133" spans="3:21">
      <c r="C133">
        <v>81</v>
      </c>
      <c r="F133">
        <v>6</v>
      </c>
      <c r="I133">
        <v>1</v>
      </c>
      <c r="L133">
        <v>80</v>
      </c>
      <c r="O133">
        <v>5</v>
      </c>
      <c r="R133">
        <v>1</v>
      </c>
      <c r="U133">
        <v>0</v>
      </c>
    </row>
    <row r="134" spans="3:21">
      <c r="C134">
        <v>66</v>
      </c>
      <c r="F134">
        <v>16</v>
      </c>
      <c r="I134">
        <v>2</v>
      </c>
      <c r="L134">
        <v>61</v>
      </c>
      <c r="O134">
        <v>8</v>
      </c>
      <c r="R134">
        <v>1</v>
      </c>
      <c r="U134">
        <v>0</v>
      </c>
    </row>
    <row r="135" spans="3:21">
      <c r="C135">
        <v>79</v>
      </c>
      <c r="F135">
        <v>3</v>
      </c>
      <c r="I135">
        <v>1</v>
      </c>
      <c r="L135">
        <v>54</v>
      </c>
      <c r="O135">
        <v>12</v>
      </c>
      <c r="R135">
        <v>1</v>
      </c>
      <c r="U135">
        <v>0</v>
      </c>
    </row>
    <row r="136" spans="3:21">
      <c r="C136">
        <v>78</v>
      </c>
      <c r="F136">
        <v>14</v>
      </c>
      <c r="I136">
        <v>4</v>
      </c>
      <c r="L136">
        <v>74</v>
      </c>
      <c r="O136">
        <v>13</v>
      </c>
      <c r="R136">
        <v>1</v>
      </c>
      <c r="U136">
        <v>0</v>
      </c>
    </row>
    <row r="137" spans="3:21">
      <c r="C137">
        <v>38</v>
      </c>
      <c r="F137">
        <v>55</v>
      </c>
      <c r="I137">
        <v>1</v>
      </c>
      <c r="L137">
        <v>53</v>
      </c>
      <c r="O137">
        <v>3</v>
      </c>
      <c r="R137">
        <v>1</v>
      </c>
      <c r="U137">
        <v>0</v>
      </c>
    </row>
    <row r="138" spans="3:21">
      <c r="C138">
        <v>86</v>
      </c>
      <c r="F138">
        <v>6</v>
      </c>
      <c r="I138">
        <v>1</v>
      </c>
      <c r="L138">
        <v>23</v>
      </c>
      <c r="O138">
        <v>8</v>
      </c>
      <c r="R138">
        <v>1</v>
      </c>
      <c r="U138">
        <v>0</v>
      </c>
    </row>
    <row r="139" spans="3:21">
      <c r="C139">
        <v>58</v>
      </c>
      <c r="F139">
        <v>8</v>
      </c>
      <c r="I139">
        <v>1</v>
      </c>
      <c r="L139">
        <v>41</v>
      </c>
      <c r="O139">
        <v>38</v>
      </c>
      <c r="R139">
        <v>1</v>
      </c>
      <c r="U139">
        <v>0</v>
      </c>
    </row>
    <row r="140" spans="3:21">
      <c r="C140">
        <v>28</v>
      </c>
      <c r="F140">
        <v>6</v>
      </c>
      <c r="I140">
        <v>1</v>
      </c>
      <c r="L140">
        <v>73</v>
      </c>
      <c r="O140">
        <v>5</v>
      </c>
      <c r="R140">
        <v>1</v>
      </c>
      <c r="U140">
        <v>0</v>
      </c>
    </row>
    <row r="141" spans="3:21">
      <c r="C141">
        <v>89</v>
      </c>
      <c r="F141">
        <v>24</v>
      </c>
      <c r="I141">
        <v>1</v>
      </c>
      <c r="L141">
        <v>59</v>
      </c>
      <c r="O141">
        <v>9</v>
      </c>
      <c r="R141">
        <v>1</v>
      </c>
      <c r="U141">
        <v>0</v>
      </c>
    </row>
    <row r="142" spans="3:21">
      <c r="C142">
        <v>88</v>
      </c>
      <c r="F142">
        <v>21</v>
      </c>
      <c r="I142">
        <v>1</v>
      </c>
    </row>
    <row r="143" spans="3:21">
      <c r="C143">
        <v>43</v>
      </c>
      <c r="F143">
        <v>4</v>
      </c>
      <c r="I143">
        <v>1</v>
      </c>
    </row>
    <row r="144" spans="3:21">
      <c r="C144">
        <v>92</v>
      </c>
      <c r="F144">
        <v>7</v>
      </c>
      <c r="I144">
        <v>1</v>
      </c>
    </row>
    <row r="145" spans="3:9">
      <c r="C145">
        <v>82</v>
      </c>
      <c r="F145">
        <v>7</v>
      </c>
      <c r="I145">
        <v>1</v>
      </c>
    </row>
    <row r="146" spans="3:9">
      <c r="C146">
        <v>44</v>
      </c>
      <c r="F146">
        <v>7</v>
      </c>
      <c r="I146">
        <v>1</v>
      </c>
    </row>
    <row r="147" spans="3:9">
      <c r="C147">
        <v>65</v>
      </c>
      <c r="F147">
        <v>11</v>
      </c>
      <c r="I147">
        <v>1</v>
      </c>
    </row>
    <row r="148" spans="3:9">
      <c r="C148">
        <v>77</v>
      </c>
      <c r="F148">
        <v>4</v>
      </c>
      <c r="I148">
        <v>1</v>
      </c>
    </row>
    <row r="149" spans="3:9">
      <c r="C149">
        <v>70</v>
      </c>
      <c r="F149">
        <v>7</v>
      </c>
      <c r="I149">
        <v>1</v>
      </c>
    </row>
    <row r="150" spans="3:9">
      <c r="C150">
        <v>70</v>
      </c>
      <c r="F150">
        <v>3</v>
      </c>
      <c r="I150">
        <v>1</v>
      </c>
    </row>
    <row r="151" spans="3:9">
      <c r="C151">
        <v>75</v>
      </c>
      <c r="F151">
        <v>3</v>
      </c>
      <c r="I151">
        <v>1</v>
      </c>
    </row>
    <row r="152" spans="3:9">
      <c r="C152">
        <v>60</v>
      </c>
      <c r="F152">
        <v>3</v>
      </c>
      <c r="I152">
        <v>1</v>
      </c>
    </row>
    <row r="153" spans="3:9">
      <c r="C153">
        <v>71</v>
      </c>
      <c r="F153">
        <v>12</v>
      </c>
      <c r="I153">
        <v>1</v>
      </c>
    </row>
    <row r="154" spans="3:9">
      <c r="C154">
        <v>80</v>
      </c>
      <c r="F154">
        <v>5</v>
      </c>
      <c r="I154">
        <v>1</v>
      </c>
    </row>
    <row r="155" spans="3:9">
      <c r="C155">
        <v>61</v>
      </c>
      <c r="F155">
        <v>8</v>
      </c>
      <c r="I155">
        <v>1</v>
      </c>
    </row>
    <row r="156" spans="3:9">
      <c r="C156">
        <v>54</v>
      </c>
      <c r="F156">
        <v>12</v>
      </c>
      <c r="I156">
        <v>1</v>
      </c>
    </row>
    <row r="157" spans="3:9">
      <c r="C157">
        <v>74</v>
      </c>
      <c r="F157">
        <v>13</v>
      </c>
      <c r="I157">
        <v>1</v>
      </c>
    </row>
    <row r="158" spans="3:9">
      <c r="C158">
        <v>53</v>
      </c>
      <c r="F158">
        <v>3</v>
      </c>
      <c r="I158">
        <v>1</v>
      </c>
    </row>
    <row r="159" spans="3:9">
      <c r="C159">
        <v>23</v>
      </c>
      <c r="F159">
        <v>8</v>
      </c>
      <c r="I159">
        <v>1</v>
      </c>
    </row>
    <row r="160" spans="3:9">
      <c r="C160">
        <v>41</v>
      </c>
      <c r="F160">
        <v>38</v>
      </c>
      <c r="I160">
        <v>1</v>
      </c>
    </row>
    <row r="161" spans="3:9">
      <c r="C161">
        <v>73</v>
      </c>
      <c r="F161">
        <v>5</v>
      </c>
      <c r="I161">
        <v>1</v>
      </c>
    </row>
    <row r="162" spans="3:9">
      <c r="C162">
        <v>59</v>
      </c>
      <c r="F162">
        <v>9</v>
      </c>
      <c r="I162">
        <v>1</v>
      </c>
    </row>
    <row r="164" spans="3:9">
      <c r="I164">
        <f>COUNT(I29:I162)</f>
        <v>134</v>
      </c>
    </row>
  </sheetData>
  <mergeCells count="27">
    <mergeCell ref="BH42:BK42"/>
    <mergeCell ref="BR42:BU42"/>
    <mergeCell ref="BM57:BP57"/>
    <mergeCell ref="BR57:BU57"/>
    <mergeCell ref="AD57:AG57"/>
    <mergeCell ref="AI57:AL57"/>
    <mergeCell ref="AN57:AQ57"/>
    <mergeCell ref="AS57:AV57"/>
    <mergeCell ref="AX57:BA57"/>
    <mergeCell ref="BC57:BF57"/>
    <mergeCell ref="BH57:BK57"/>
    <mergeCell ref="BR27:BU27"/>
    <mergeCell ref="BM27:BP27"/>
    <mergeCell ref="BM42:BP42"/>
    <mergeCell ref="AD42:AG42"/>
    <mergeCell ref="AI42:AL42"/>
    <mergeCell ref="AD27:AG27"/>
    <mergeCell ref="AI27:AL27"/>
    <mergeCell ref="AN42:AQ42"/>
    <mergeCell ref="AN27:AQ27"/>
    <mergeCell ref="AS27:AV27"/>
    <mergeCell ref="AX27:BA27"/>
    <mergeCell ref="BC27:BF27"/>
    <mergeCell ref="BH27:BK27"/>
    <mergeCell ref="AS42:AV42"/>
    <mergeCell ref="AX42:BA42"/>
    <mergeCell ref="BC42:BF42"/>
  </mergeCells>
  <pageMargins left="0.7" right="0.7" top="0.75" bottom="0.75" header="0.3" footer="0.3"/>
  <drawing r:id="rId2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D5E98-4619-46F6-A46E-E6C6C629BA3C}">
  <dimension ref="A1:BG78"/>
  <sheetViews>
    <sheetView workbookViewId="0">
      <pane xSplit="2" ySplit="1" topLeftCell="C48" activePane="bottomRight" state="frozen"/>
      <selection pane="bottomRight" activeCell="F67" sqref="F67"/>
      <selection pane="bottomLeft"/>
      <selection pane="topRight"/>
    </sheetView>
  </sheetViews>
  <sheetFormatPr defaultRowHeight="15"/>
  <cols>
    <col min="1" max="1" width="7.42578125" style="2" customWidth="1"/>
    <col min="2" max="2" width="14.42578125" style="2" customWidth="1"/>
    <col min="3" max="3" width="12.140625" style="2" customWidth="1"/>
    <col min="4" max="4" width="12.5703125" style="2" customWidth="1"/>
    <col min="5" max="8" width="9.140625" style="2"/>
    <col min="9" max="9" width="13.140625" style="2" customWidth="1"/>
    <col min="10" max="10" width="20.140625" style="2" customWidth="1"/>
    <col min="11" max="11" width="13.140625" style="2" customWidth="1"/>
    <col min="12" max="12" width="14.7109375" style="2" customWidth="1"/>
    <col min="13" max="13" width="11.42578125" style="2" customWidth="1"/>
    <col min="14" max="15" width="15.140625" style="2" customWidth="1"/>
    <col min="16" max="16" width="19.5703125" style="2" customWidth="1"/>
    <col min="17" max="17" width="40.42578125" style="2" customWidth="1"/>
    <col min="18" max="19" width="10.85546875" style="2" customWidth="1"/>
    <col min="20" max="20" width="12.7109375" style="2" customWidth="1"/>
    <col min="21" max="21" width="10.85546875" style="2" customWidth="1"/>
    <col min="22" max="22" width="11.42578125" style="2" customWidth="1"/>
    <col min="23" max="23" width="12.140625" style="2" customWidth="1"/>
    <col min="24" max="26" width="12.42578125" style="2" customWidth="1"/>
    <col min="27" max="36" width="17.42578125" style="2" customWidth="1"/>
    <col min="37" max="37" width="12.7109375" style="2" customWidth="1"/>
    <col min="38" max="38" width="14.42578125" style="2" customWidth="1"/>
    <col min="39" max="39" width="12.7109375" style="2" customWidth="1"/>
    <col min="40" max="43" width="18.7109375" style="2" customWidth="1"/>
    <col min="44" max="44" width="17" style="2" customWidth="1"/>
    <col min="45" max="46" width="12.140625" style="2" customWidth="1"/>
    <col min="47" max="47" width="13.28515625" style="2" customWidth="1"/>
    <col min="48" max="48" width="17.28515625" style="2" customWidth="1"/>
    <col min="49" max="49" width="9.42578125" style="2" customWidth="1"/>
    <col min="50" max="50" width="9.140625" style="2"/>
    <col min="51" max="51" width="11.28515625" style="2" customWidth="1"/>
    <col min="52" max="52" width="13.85546875" style="2" customWidth="1"/>
    <col min="53" max="53" width="16.42578125" style="2" customWidth="1"/>
    <col min="54" max="54" width="15.5703125" style="2" customWidth="1"/>
    <col min="55" max="55" width="19.7109375" style="2" customWidth="1"/>
    <col min="56" max="57" width="17.28515625" style="2" customWidth="1"/>
    <col min="58" max="59" width="13" style="2" customWidth="1"/>
    <col min="60" max="60" width="67.7109375" style="2" customWidth="1"/>
    <col min="61" max="16384" width="9.140625" style="2"/>
  </cols>
  <sheetData>
    <row r="1" spans="1:59" s="1" customFormat="1" ht="63.75" customHeight="1">
      <c r="A1" s="1" t="s">
        <v>0</v>
      </c>
      <c r="B1" s="3" t="s">
        <v>1</v>
      </c>
      <c r="C1" s="3" t="s">
        <v>2</v>
      </c>
      <c r="D1" s="3" t="s">
        <v>3</v>
      </c>
      <c r="E1" s="3" t="s">
        <v>4</v>
      </c>
      <c r="F1" s="3" t="s">
        <v>5</v>
      </c>
      <c r="G1" s="3" t="s">
        <v>6</v>
      </c>
      <c r="H1" s="1" t="s">
        <v>7</v>
      </c>
      <c r="I1" s="1" t="s">
        <v>8</v>
      </c>
      <c r="J1" s="1" t="s">
        <v>9</v>
      </c>
      <c r="K1" s="1" t="s">
        <v>10</v>
      </c>
      <c r="L1" s="1" t="s">
        <v>11</v>
      </c>
      <c r="M1" s="1" t="s">
        <v>12</v>
      </c>
      <c r="N1" s="1" t="s">
        <v>13</v>
      </c>
      <c r="O1" s="1" t="s">
        <v>14</v>
      </c>
      <c r="P1" s="4" t="s">
        <v>15</v>
      </c>
      <c r="Q1" s="1" t="s">
        <v>276</v>
      </c>
      <c r="R1" s="1" t="s">
        <v>277</v>
      </c>
      <c r="S1" s="1" t="s">
        <v>278</v>
      </c>
      <c r="T1" s="1" t="s">
        <v>279</v>
      </c>
      <c r="U1" s="1" t="s">
        <v>16</v>
      </c>
      <c r="V1" s="1" t="s">
        <v>17</v>
      </c>
      <c r="W1" s="1" t="s">
        <v>18</v>
      </c>
      <c r="X1" s="1" t="s">
        <v>19</v>
      </c>
      <c r="Y1" s="1" t="s">
        <v>244</v>
      </c>
      <c r="Z1" s="1" t="s">
        <v>20</v>
      </c>
      <c r="AA1" s="1" t="s">
        <v>21</v>
      </c>
      <c r="AB1" s="1" t="s">
        <v>22</v>
      </c>
      <c r="AC1" s="1" t="s">
        <v>23</v>
      </c>
      <c r="AD1" s="1" t="s">
        <v>24</v>
      </c>
      <c r="AE1" s="1" t="s">
        <v>25</v>
      </c>
      <c r="AF1" s="1" t="s">
        <v>26</v>
      </c>
      <c r="AG1" s="1" t="s">
        <v>27</v>
      </c>
      <c r="AH1" s="1" t="s">
        <v>28</v>
      </c>
      <c r="AI1" s="4" t="s">
        <v>29</v>
      </c>
      <c r="AJ1" s="1" t="s">
        <v>30</v>
      </c>
      <c r="AK1" s="64" t="s">
        <v>31</v>
      </c>
      <c r="AL1" s="1" t="s">
        <v>32</v>
      </c>
      <c r="AM1" s="1" t="s">
        <v>33</v>
      </c>
      <c r="AN1" s="1" t="s">
        <v>280</v>
      </c>
      <c r="AO1" s="1" t="s">
        <v>281</v>
      </c>
      <c r="AP1" s="1" t="s">
        <v>282</v>
      </c>
      <c r="AQ1" s="1" t="s">
        <v>34</v>
      </c>
      <c r="AR1" s="4" t="s">
        <v>35</v>
      </c>
      <c r="AS1" s="4" t="s">
        <v>36</v>
      </c>
      <c r="AT1" s="1" t="s">
        <v>37</v>
      </c>
      <c r="AU1" s="1" t="s">
        <v>38</v>
      </c>
      <c r="AV1" s="1" t="s">
        <v>283</v>
      </c>
      <c r="AW1" s="3" t="s">
        <v>39</v>
      </c>
      <c r="AX1" s="3" t="s">
        <v>40</v>
      </c>
      <c r="AY1" s="1" t="s">
        <v>41</v>
      </c>
      <c r="AZ1" s="1" t="s">
        <v>42</v>
      </c>
      <c r="BA1" s="1" t="s">
        <v>43</v>
      </c>
      <c r="BB1" s="1" t="s">
        <v>284</v>
      </c>
      <c r="BC1" s="1" t="s">
        <v>285</v>
      </c>
      <c r="BD1" s="1" t="s">
        <v>286</v>
      </c>
      <c r="BE1" s="1" t="s">
        <v>44</v>
      </c>
      <c r="BF1" s="1" t="s">
        <v>287</v>
      </c>
      <c r="BG1" s="1" t="s">
        <v>45</v>
      </c>
    </row>
    <row r="2" spans="1:59">
      <c r="A2" s="2">
        <v>1</v>
      </c>
      <c r="B2" s="5">
        <v>45442</v>
      </c>
      <c r="C2" s="5">
        <v>45462</v>
      </c>
      <c r="D2" s="2">
        <f>C2-B2</f>
        <v>20</v>
      </c>
      <c r="E2" s="2">
        <v>85</v>
      </c>
      <c r="F2" s="2">
        <v>1</v>
      </c>
      <c r="G2" s="2">
        <v>2</v>
      </c>
      <c r="H2" s="2">
        <v>1</v>
      </c>
      <c r="I2" s="2">
        <v>0</v>
      </c>
      <c r="J2" s="2">
        <v>1</v>
      </c>
      <c r="K2" s="2">
        <v>1</v>
      </c>
      <c r="L2" s="2">
        <v>0</v>
      </c>
      <c r="M2" s="2">
        <v>0</v>
      </c>
      <c r="N2" s="2">
        <v>1</v>
      </c>
      <c r="O2" s="2" t="s">
        <v>46</v>
      </c>
      <c r="P2" t="s">
        <v>47</v>
      </c>
      <c r="Q2" s="2">
        <v>1</v>
      </c>
      <c r="R2" s="2">
        <v>0</v>
      </c>
      <c r="S2" s="2">
        <v>0</v>
      </c>
      <c r="T2" s="2">
        <v>0</v>
      </c>
      <c r="U2" s="2">
        <v>1</v>
      </c>
      <c r="V2" s="2">
        <v>11</v>
      </c>
      <c r="W2" s="5">
        <v>45442</v>
      </c>
      <c r="X2" s="5">
        <v>45455</v>
      </c>
      <c r="Y2" s="28">
        <f>X2-W2</f>
        <v>13</v>
      </c>
      <c r="Z2" s="2">
        <v>0</v>
      </c>
      <c r="AA2" s="2">
        <v>0</v>
      </c>
      <c r="AB2" s="2">
        <v>0</v>
      </c>
      <c r="AC2" s="2">
        <v>0</v>
      </c>
      <c r="AD2" s="2">
        <v>0</v>
      </c>
      <c r="AE2" s="2">
        <v>0</v>
      </c>
      <c r="AF2" s="2">
        <v>0</v>
      </c>
      <c r="AG2" s="2">
        <v>0</v>
      </c>
      <c r="AH2" s="2">
        <v>0</v>
      </c>
      <c r="AI2" s="2">
        <v>1</v>
      </c>
      <c r="AJ2" s="2" t="s">
        <v>48</v>
      </c>
      <c r="AK2" s="2">
        <v>1</v>
      </c>
      <c r="AL2" s="2">
        <v>0</v>
      </c>
      <c r="AM2" s="2">
        <v>1</v>
      </c>
      <c r="AN2" s="2">
        <f>COUNTIFS(AL2,"1",AM2,"1")</f>
        <v>0</v>
      </c>
      <c r="AO2" s="2">
        <f>COUNTIFS(AL2,"1",AM2,"0")</f>
        <v>0</v>
      </c>
      <c r="AP2" s="2">
        <f>COUNTIFS(AL2,"0",AM2,"1")</f>
        <v>1</v>
      </c>
      <c r="AQ2" s="2">
        <v>1</v>
      </c>
      <c r="AR2" s="2">
        <v>1</v>
      </c>
      <c r="AS2" s="5">
        <v>45443</v>
      </c>
      <c r="AT2" s="2">
        <v>0</v>
      </c>
      <c r="AU2" s="11">
        <v>0</v>
      </c>
      <c r="AV2" s="2">
        <f>AS2-B2</f>
        <v>1</v>
      </c>
      <c r="AW2" s="2">
        <v>1</v>
      </c>
      <c r="AX2" s="5">
        <v>45446</v>
      </c>
      <c r="AY2" s="2">
        <v>0</v>
      </c>
      <c r="AZ2" s="2">
        <v>0</v>
      </c>
      <c r="BA2" s="2">
        <v>0</v>
      </c>
      <c r="BB2" s="2">
        <v>0</v>
      </c>
      <c r="BC2" s="2">
        <v>1</v>
      </c>
      <c r="BD2" s="2">
        <v>1</v>
      </c>
      <c r="BE2" s="2">
        <v>0</v>
      </c>
      <c r="BF2" s="2">
        <f>COUNTIFS(AR2, "1",AW2, "1")</f>
        <v>1</v>
      </c>
      <c r="BG2" s="2" t="s">
        <v>49</v>
      </c>
    </row>
    <row r="3" spans="1:59">
      <c r="A3" s="2">
        <v>2</v>
      </c>
      <c r="B3" s="5">
        <v>45446</v>
      </c>
      <c r="E3" s="2">
        <v>78</v>
      </c>
      <c r="F3" s="2">
        <v>1</v>
      </c>
      <c r="G3" s="2">
        <v>3</v>
      </c>
      <c r="H3" s="2">
        <v>0</v>
      </c>
      <c r="I3" s="2">
        <v>0</v>
      </c>
      <c r="J3" s="2">
        <v>0</v>
      </c>
      <c r="K3" s="2">
        <v>0</v>
      </c>
      <c r="L3" s="2">
        <v>0</v>
      </c>
      <c r="M3" s="2">
        <v>0</v>
      </c>
      <c r="N3" s="2">
        <v>0</v>
      </c>
      <c r="P3" t="s">
        <v>47</v>
      </c>
      <c r="Q3" s="2">
        <v>1</v>
      </c>
      <c r="R3" s="2">
        <v>0</v>
      </c>
      <c r="S3" s="2">
        <v>0</v>
      </c>
      <c r="T3" s="2">
        <v>0</v>
      </c>
      <c r="U3" s="2">
        <v>1</v>
      </c>
      <c r="V3" s="2">
        <v>6</v>
      </c>
      <c r="W3" s="5">
        <v>45446</v>
      </c>
      <c r="X3" s="5">
        <v>45450</v>
      </c>
      <c r="Y3" s="28">
        <f>X3-W3</f>
        <v>4</v>
      </c>
      <c r="Z3" s="2">
        <v>1</v>
      </c>
      <c r="AA3" s="2">
        <v>1</v>
      </c>
      <c r="AB3" s="2">
        <v>0</v>
      </c>
      <c r="AC3" s="2">
        <v>0</v>
      </c>
      <c r="AD3" s="2">
        <v>0</v>
      </c>
      <c r="AE3" s="2">
        <v>0</v>
      </c>
      <c r="AF3" s="2">
        <v>0</v>
      </c>
      <c r="AG3" s="2">
        <v>0</v>
      </c>
      <c r="AH3" s="2">
        <v>0</v>
      </c>
      <c r="AI3" s="2">
        <v>1</v>
      </c>
      <c r="AJ3" s="2" t="s">
        <v>48</v>
      </c>
      <c r="AK3" s="2">
        <v>1</v>
      </c>
      <c r="AL3" s="2">
        <v>1</v>
      </c>
      <c r="AM3" s="2">
        <v>1</v>
      </c>
      <c r="AN3" s="2">
        <f>COUNTIFS(AL3,"1",AM3,"1")</f>
        <v>1</v>
      </c>
      <c r="AO3" s="2">
        <f>COUNTIFS(AL3,"1",AM3,"0")</f>
        <v>0</v>
      </c>
      <c r="AP3" s="2">
        <f>COUNTIFS(AL3,"0",AM3,"1")</f>
        <v>0</v>
      </c>
      <c r="AQ3" s="2">
        <v>1</v>
      </c>
      <c r="AR3" s="2">
        <v>1</v>
      </c>
      <c r="AS3" s="5">
        <v>45448</v>
      </c>
      <c r="AT3" s="2">
        <v>0</v>
      </c>
      <c r="AU3" s="2">
        <v>0</v>
      </c>
      <c r="AV3" s="2">
        <f>AS3-B3</f>
        <v>2</v>
      </c>
      <c r="AW3" s="2">
        <v>0</v>
      </c>
      <c r="BA3" s="2">
        <v>0</v>
      </c>
      <c r="BB3" s="2">
        <v>0</v>
      </c>
      <c r="BC3" s="2">
        <v>1</v>
      </c>
      <c r="BD3" s="2">
        <f>SUM(I3:K3)</f>
        <v>0</v>
      </c>
      <c r="BE3" s="2">
        <v>1</v>
      </c>
      <c r="BF3" s="2">
        <f>COUNTIFS(AR3, "1",AW3, "1")</f>
        <v>0</v>
      </c>
      <c r="BG3" s="2" t="s">
        <v>50</v>
      </c>
    </row>
    <row r="4" spans="1:59">
      <c r="A4" s="8">
        <v>5</v>
      </c>
      <c r="B4" s="5">
        <v>45453</v>
      </c>
      <c r="C4" s="6">
        <v>45456</v>
      </c>
      <c r="D4" s="2">
        <f>C4-B4</f>
        <v>3</v>
      </c>
      <c r="E4" s="2">
        <v>71</v>
      </c>
      <c r="F4" s="2">
        <v>1</v>
      </c>
      <c r="G4" s="2">
        <v>2</v>
      </c>
      <c r="H4" s="2">
        <v>1</v>
      </c>
      <c r="I4" s="2">
        <v>0</v>
      </c>
      <c r="J4" s="2">
        <v>0</v>
      </c>
      <c r="K4" s="2">
        <v>0</v>
      </c>
      <c r="L4" s="2">
        <v>1</v>
      </c>
      <c r="M4" s="2">
        <v>1</v>
      </c>
      <c r="N4" s="2">
        <v>1</v>
      </c>
      <c r="O4" s="2" t="s">
        <v>57</v>
      </c>
      <c r="P4" t="s">
        <v>52</v>
      </c>
      <c r="Q4" s="2">
        <v>1</v>
      </c>
      <c r="R4" s="2">
        <v>0</v>
      </c>
      <c r="S4" s="2">
        <v>0</v>
      </c>
      <c r="T4" s="2">
        <v>0</v>
      </c>
      <c r="U4" s="2">
        <v>1</v>
      </c>
      <c r="V4" s="2">
        <v>2</v>
      </c>
      <c r="W4" s="5">
        <v>45453</v>
      </c>
      <c r="X4" s="5">
        <v>45454</v>
      </c>
      <c r="Y4" s="28">
        <f>X4-W4</f>
        <v>1</v>
      </c>
      <c r="Z4" s="2">
        <v>1</v>
      </c>
      <c r="AA4" s="2">
        <v>0</v>
      </c>
      <c r="AB4" s="2">
        <v>0</v>
      </c>
      <c r="AC4" s="2">
        <v>0</v>
      </c>
      <c r="AD4" s="2">
        <v>1</v>
      </c>
      <c r="AE4" s="2">
        <v>0</v>
      </c>
      <c r="AF4" s="2">
        <v>0</v>
      </c>
      <c r="AG4" s="2">
        <v>0</v>
      </c>
      <c r="AH4" s="2">
        <v>0</v>
      </c>
      <c r="AI4" s="2">
        <v>1</v>
      </c>
      <c r="AJ4" s="2" t="s">
        <v>58</v>
      </c>
      <c r="AK4" s="2">
        <v>1</v>
      </c>
      <c r="AL4" s="2">
        <v>1</v>
      </c>
      <c r="AM4" s="2">
        <v>1</v>
      </c>
      <c r="AN4" s="2">
        <f>COUNTIFS(AL4,"1",AM4,"1")</f>
        <v>1</v>
      </c>
      <c r="AO4" s="2">
        <f>COUNTIFS(AL4,"1",AM4,"0")</f>
        <v>0</v>
      </c>
      <c r="AP4" s="2">
        <f>COUNTIFS(AL4,"0",AM4,"1")</f>
        <v>0</v>
      </c>
      <c r="AQ4" s="2">
        <v>0</v>
      </c>
      <c r="AR4" s="2">
        <v>1</v>
      </c>
      <c r="AS4" s="5">
        <v>45454</v>
      </c>
      <c r="AT4" s="2">
        <v>1</v>
      </c>
      <c r="AU4" s="2">
        <v>1</v>
      </c>
      <c r="AV4" s="2">
        <f>AS4-B4</f>
        <v>1</v>
      </c>
      <c r="AW4" s="2">
        <v>0</v>
      </c>
      <c r="BA4" s="2">
        <v>0</v>
      </c>
      <c r="BB4" s="2">
        <v>1</v>
      </c>
      <c r="BC4" s="2">
        <v>1</v>
      </c>
      <c r="BD4" s="2">
        <f>SUM(I4:K4)</f>
        <v>0</v>
      </c>
      <c r="BE4" s="2">
        <v>1</v>
      </c>
      <c r="BF4" s="2">
        <f>COUNTIFS(AR4, "1",AW4, "1")</f>
        <v>0</v>
      </c>
      <c r="BG4" s="2" t="s">
        <v>59</v>
      </c>
    </row>
    <row r="5" spans="1:59">
      <c r="A5" s="8">
        <v>7</v>
      </c>
      <c r="B5" s="5">
        <v>45453</v>
      </c>
      <c r="C5" s="6">
        <v>45485</v>
      </c>
      <c r="D5" s="2">
        <f>C5-B5</f>
        <v>32</v>
      </c>
      <c r="E5" s="2">
        <v>45</v>
      </c>
      <c r="F5" s="2">
        <v>2</v>
      </c>
      <c r="G5" s="2">
        <v>2</v>
      </c>
      <c r="H5" s="2">
        <v>0</v>
      </c>
      <c r="I5" s="2">
        <v>0</v>
      </c>
      <c r="J5" s="2">
        <v>0</v>
      </c>
      <c r="K5" s="2">
        <v>0</v>
      </c>
      <c r="L5" s="2">
        <v>0</v>
      </c>
      <c r="M5" s="2">
        <v>0</v>
      </c>
      <c r="N5" s="2">
        <v>0</v>
      </c>
      <c r="P5" t="s">
        <v>52</v>
      </c>
      <c r="Q5" s="2">
        <v>1</v>
      </c>
      <c r="R5" s="2">
        <v>0</v>
      </c>
      <c r="S5" s="2">
        <v>0</v>
      </c>
      <c r="T5" s="2">
        <v>0</v>
      </c>
      <c r="U5" s="2">
        <v>0</v>
      </c>
      <c r="V5" s="2">
        <v>1</v>
      </c>
      <c r="W5" s="5">
        <v>45455</v>
      </c>
      <c r="X5" s="5">
        <v>45455</v>
      </c>
      <c r="Y5" s="28">
        <f>X5-W5</f>
        <v>0</v>
      </c>
      <c r="Z5" s="2">
        <v>0</v>
      </c>
      <c r="AA5" s="2">
        <v>0</v>
      </c>
      <c r="AB5" s="2">
        <v>0</v>
      </c>
      <c r="AC5" s="2">
        <v>0</v>
      </c>
      <c r="AD5" s="2">
        <v>0</v>
      </c>
      <c r="AE5" s="2">
        <v>0</v>
      </c>
      <c r="AF5" s="2">
        <v>0</v>
      </c>
      <c r="AG5" s="2">
        <v>0</v>
      </c>
      <c r="AH5" s="2">
        <v>0</v>
      </c>
      <c r="AI5" s="2">
        <v>1</v>
      </c>
      <c r="AJ5" s="2" t="s">
        <v>55</v>
      </c>
      <c r="AK5" s="2">
        <v>1</v>
      </c>
      <c r="AL5" s="2">
        <v>0</v>
      </c>
      <c r="AM5" s="2">
        <v>1</v>
      </c>
      <c r="AN5" s="2">
        <f>COUNTIFS(AL5,"1",AM5,"1")</f>
        <v>0</v>
      </c>
      <c r="AO5" s="2">
        <f>COUNTIFS(AL5,"1",AM5,"0")</f>
        <v>0</v>
      </c>
      <c r="AP5" s="2">
        <f>COUNTIFS(AL5,"0",AM5,"1")</f>
        <v>1</v>
      </c>
      <c r="AQ5" s="2">
        <v>1</v>
      </c>
      <c r="AR5" s="2">
        <v>1</v>
      </c>
      <c r="AS5" s="5">
        <v>45457</v>
      </c>
      <c r="AT5" s="2">
        <v>0</v>
      </c>
      <c r="AU5" s="2">
        <v>0</v>
      </c>
      <c r="AV5" s="2">
        <f>AS5-B5</f>
        <v>4</v>
      </c>
      <c r="AW5" s="2">
        <v>0</v>
      </c>
      <c r="BA5" s="2">
        <v>0</v>
      </c>
      <c r="BB5" s="2">
        <v>0</v>
      </c>
      <c r="BC5" s="2">
        <f>SUM(I5:K5)</f>
        <v>0</v>
      </c>
      <c r="BD5" s="2">
        <f>SUM(I5:K5)</f>
        <v>0</v>
      </c>
      <c r="BE5" s="2">
        <v>1</v>
      </c>
      <c r="BF5" s="2">
        <f>COUNTIFS(AR5, "1",AW5, "1")</f>
        <v>0</v>
      </c>
      <c r="BG5" s="2" t="s">
        <v>62</v>
      </c>
    </row>
    <row r="6" spans="1:59">
      <c r="A6" s="2">
        <v>8</v>
      </c>
      <c r="B6" s="5">
        <v>45456</v>
      </c>
      <c r="C6" s="5">
        <v>45466</v>
      </c>
      <c r="D6" s="2">
        <f>C6-B6</f>
        <v>10</v>
      </c>
      <c r="E6" s="2">
        <v>60</v>
      </c>
      <c r="F6" s="2">
        <v>1</v>
      </c>
      <c r="G6" s="2">
        <v>3</v>
      </c>
      <c r="H6" s="2">
        <v>1</v>
      </c>
      <c r="I6" s="2">
        <v>0</v>
      </c>
      <c r="J6" s="2">
        <v>0</v>
      </c>
      <c r="K6" s="2">
        <v>0</v>
      </c>
      <c r="L6" s="2">
        <v>0</v>
      </c>
      <c r="M6" s="2">
        <v>0</v>
      </c>
      <c r="N6" s="2">
        <v>1</v>
      </c>
      <c r="O6" s="2" t="s">
        <v>63</v>
      </c>
      <c r="P6" t="s">
        <v>52</v>
      </c>
      <c r="Q6" s="2">
        <v>1</v>
      </c>
      <c r="R6" s="2">
        <v>0</v>
      </c>
      <c r="S6" s="2">
        <v>0</v>
      </c>
      <c r="T6" s="2">
        <v>0</v>
      </c>
      <c r="U6" s="2">
        <v>1</v>
      </c>
      <c r="V6" s="2">
        <v>2</v>
      </c>
      <c r="W6" s="5">
        <v>45456</v>
      </c>
      <c r="X6" s="5">
        <v>45457</v>
      </c>
      <c r="Y6" s="28">
        <f>X6-W6</f>
        <v>1</v>
      </c>
      <c r="Z6" s="2">
        <v>1</v>
      </c>
      <c r="AA6" s="2">
        <v>0</v>
      </c>
      <c r="AB6" s="2">
        <v>0</v>
      </c>
      <c r="AC6" s="2">
        <v>0</v>
      </c>
      <c r="AD6" s="2">
        <v>1</v>
      </c>
      <c r="AE6" s="2">
        <v>0</v>
      </c>
      <c r="AF6" s="2">
        <v>0</v>
      </c>
      <c r="AG6" s="2">
        <v>0</v>
      </c>
      <c r="AH6" s="2">
        <v>0</v>
      </c>
      <c r="AI6" s="2">
        <v>1</v>
      </c>
      <c r="AJ6" s="2" t="s">
        <v>55</v>
      </c>
      <c r="AK6" s="2">
        <v>1</v>
      </c>
      <c r="AL6" s="2">
        <v>1</v>
      </c>
      <c r="AM6" s="2">
        <v>1</v>
      </c>
      <c r="AN6" s="2">
        <f>COUNTIFS(AL6,"1",AM6,"1")</f>
        <v>1</v>
      </c>
      <c r="AO6" s="2">
        <f>COUNTIFS(AL6,"1",AM6,"0")</f>
        <v>0</v>
      </c>
      <c r="AP6" s="2">
        <f>COUNTIFS(AL6,"0",AM6,"1")</f>
        <v>0</v>
      </c>
      <c r="AQ6" s="2">
        <v>1</v>
      </c>
      <c r="AR6" s="2">
        <v>1</v>
      </c>
      <c r="AS6" s="5">
        <v>45457</v>
      </c>
      <c r="AT6" s="2">
        <v>0</v>
      </c>
      <c r="AU6" s="2">
        <v>0</v>
      </c>
      <c r="AV6" s="2">
        <f>AS6-B6</f>
        <v>1</v>
      </c>
      <c r="AW6" s="2">
        <v>0</v>
      </c>
      <c r="BA6" s="2">
        <v>0</v>
      </c>
      <c r="BB6" s="2">
        <v>0</v>
      </c>
      <c r="BC6" s="2">
        <v>1</v>
      </c>
      <c r="BD6" s="2">
        <f>SUM(I6:K6)</f>
        <v>0</v>
      </c>
      <c r="BE6" s="2">
        <v>0</v>
      </c>
      <c r="BF6" s="2">
        <f>COUNTIFS(AR6, "1",AW6, "1")</f>
        <v>0</v>
      </c>
    </row>
    <row r="7" spans="1:59">
      <c r="A7" s="2">
        <v>9</v>
      </c>
      <c r="B7" s="5">
        <v>45458</v>
      </c>
      <c r="C7" s="5">
        <v>45470</v>
      </c>
      <c r="D7" s="2">
        <f>C7-B7</f>
        <v>12</v>
      </c>
      <c r="E7" s="2">
        <v>64</v>
      </c>
      <c r="F7" s="2">
        <v>2</v>
      </c>
      <c r="G7" s="2">
        <v>2</v>
      </c>
      <c r="H7" s="2">
        <v>1</v>
      </c>
      <c r="I7" s="2">
        <v>0</v>
      </c>
      <c r="J7" s="2">
        <v>0</v>
      </c>
      <c r="K7" s="2">
        <v>0</v>
      </c>
      <c r="L7" s="2">
        <v>1</v>
      </c>
      <c r="M7" s="2">
        <v>0</v>
      </c>
      <c r="N7" s="2">
        <v>0</v>
      </c>
      <c r="P7" t="s">
        <v>52</v>
      </c>
      <c r="Q7" s="2">
        <v>1</v>
      </c>
      <c r="R7" s="2">
        <v>0</v>
      </c>
      <c r="S7" s="2">
        <v>0</v>
      </c>
      <c r="T7" s="2">
        <v>0</v>
      </c>
      <c r="U7" s="2">
        <v>1</v>
      </c>
      <c r="V7" s="2">
        <v>2</v>
      </c>
      <c r="W7" s="5">
        <v>45463</v>
      </c>
      <c r="X7" s="5">
        <v>45464</v>
      </c>
      <c r="Y7" s="28">
        <f>X7-W7</f>
        <v>1</v>
      </c>
      <c r="Z7" s="2">
        <v>1</v>
      </c>
      <c r="AA7" s="2">
        <v>0</v>
      </c>
      <c r="AB7" s="2">
        <v>1</v>
      </c>
      <c r="AC7" s="2">
        <v>0</v>
      </c>
      <c r="AD7" s="2">
        <v>0</v>
      </c>
      <c r="AE7" s="2">
        <v>0</v>
      </c>
      <c r="AF7" s="2">
        <v>0</v>
      </c>
      <c r="AG7" s="2">
        <v>0</v>
      </c>
      <c r="AH7" s="2">
        <v>0</v>
      </c>
      <c r="AI7" s="2">
        <v>1</v>
      </c>
      <c r="AJ7" s="2" t="s">
        <v>55</v>
      </c>
      <c r="AK7" s="2">
        <v>1</v>
      </c>
      <c r="AL7" s="2">
        <v>1</v>
      </c>
      <c r="AM7" s="2">
        <v>1</v>
      </c>
      <c r="AN7" s="2">
        <f>COUNTIFS(AL7,"1",AM7,"1")</f>
        <v>1</v>
      </c>
      <c r="AO7" s="2">
        <f>COUNTIFS(AL7,"1",AM7,"0")</f>
        <v>0</v>
      </c>
      <c r="AP7" s="2">
        <f>COUNTIFS(AL7,"0",AM7,"1")</f>
        <v>0</v>
      </c>
      <c r="AQ7" s="2">
        <v>1</v>
      </c>
      <c r="AR7" s="2">
        <v>1</v>
      </c>
      <c r="AS7" s="5">
        <v>45467</v>
      </c>
      <c r="AT7" s="2">
        <v>0</v>
      </c>
      <c r="AU7" s="2">
        <v>0</v>
      </c>
      <c r="AV7" s="2">
        <f>AS7-B7</f>
        <v>9</v>
      </c>
      <c r="AW7" s="2">
        <v>0</v>
      </c>
      <c r="BA7" s="2">
        <v>0</v>
      </c>
      <c r="BB7" s="2">
        <v>0</v>
      </c>
      <c r="BC7" s="2">
        <v>1</v>
      </c>
      <c r="BD7" s="2">
        <f>SUM(I7:K7)</f>
        <v>0</v>
      </c>
      <c r="BE7" s="2">
        <v>0</v>
      </c>
      <c r="BF7" s="2">
        <f>COUNTIFS(AR7, "1",AW7, "1")</f>
        <v>0</v>
      </c>
      <c r="BG7" s="2" t="s">
        <v>64</v>
      </c>
    </row>
    <row r="8" spans="1:59">
      <c r="A8" s="7">
        <v>10</v>
      </c>
      <c r="B8" s="5">
        <v>45468</v>
      </c>
      <c r="C8" s="5">
        <v>45475</v>
      </c>
      <c r="D8" s="2">
        <f>C8-B8</f>
        <v>7</v>
      </c>
      <c r="E8" s="2">
        <v>46</v>
      </c>
      <c r="F8" s="2">
        <v>1</v>
      </c>
      <c r="G8" s="2">
        <v>2</v>
      </c>
      <c r="H8" s="2">
        <v>1</v>
      </c>
      <c r="I8" s="2">
        <v>1</v>
      </c>
      <c r="J8" s="2">
        <v>0</v>
      </c>
      <c r="K8" s="2">
        <v>0</v>
      </c>
      <c r="L8" s="2">
        <v>1</v>
      </c>
      <c r="M8" s="2">
        <v>1</v>
      </c>
      <c r="N8" s="2">
        <v>1</v>
      </c>
      <c r="O8" s="2" t="s">
        <v>65</v>
      </c>
      <c r="P8" t="s">
        <v>47</v>
      </c>
      <c r="Q8" s="2">
        <v>1</v>
      </c>
      <c r="R8" s="2">
        <v>0</v>
      </c>
      <c r="S8" s="2">
        <v>0</v>
      </c>
      <c r="T8" s="2">
        <v>0</v>
      </c>
      <c r="U8" s="2">
        <v>1</v>
      </c>
      <c r="V8" s="2">
        <v>5</v>
      </c>
      <c r="W8" s="5">
        <v>45468</v>
      </c>
      <c r="X8" s="5">
        <v>45473</v>
      </c>
      <c r="Y8" s="28">
        <f>X8-W8</f>
        <v>5</v>
      </c>
      <c r="Z8" s="2">
        <v>1</v>
      </c>
      <c r="AA8" s="2">
        <v>1</v>
      </c>
      <c r="AB8" s="2">
        <v>1</v>
      </c>
      <c r="AC8" s="2">
        <v>0</v>
      </c>
      <c r="AD8" s="2">
        <v>1</v>
      </c>
      <c r="AE8" s="2">
        <v>0</v>
      </c>
      <c r="AF8" s="2">
        <v>0</v>
      </c>
      <c r="AG8" s="2">
        <v>0</v>
      </c>
      <c r="AH8" s="2">
        <v>0</v>
      </c>
      <c r="AI8" s="2">
        <v>1</v>
      </c>
      <c r="AJ8" s="2" t="s">
        <v>48</v>
      </c>
      <c r="AK8" s="2">
        <v>1</v>
      </c>
      <c r="AL8" s="2">
        <v>1</v>
      </c>
      <c r="AM8" s="2">
        <v>1</v>
      </c>
      <c r="AN8" s="2">
        <f>COUNTIFS(AL8,"1",AM8,"1")</f>
        <v>1</v>
      </c>
      <c r="AO8" s="2">
        <f>COUNTIFS(AL8,"1",AM8,"0")</f>
        <v>0</v>
      </c>
      <c r="AP8" s="2">
        <f>COUNTIFS(AL8,"0",AM8,"1")</f>
        <v>0</v>
      </c>
      <c r="AQ8" s="2">
        <v>1</v>
      </c>
      <c r="AR8" s="2">
        <v>1</v>
      </c>
      <c r="AS8" s="5">
        <v>45468</v>
      </c>
      <c r="AT8" s="2">
        <v>1</v>
      </c>
      <c r="AU8" s="2">
        <v>1</v>
      </c>
      <c r="AV8" s="2">
        <f>AS8-B8</f>
        <v>0</v>
      </c>
      <c r="AW8" s="2">
        <v>0</v>
      </c>
      <c r="BA8" s="2">
        <v>0</v>
      </c>
      <c r="BB8" s="2">
        <v>1</v>
      </c>
      <c r="BC8" s="2">
        <f>SUM(I8:K8)</f>
        <v>1</v>
      </c>
      <c r="BD8" s="2">
        <f>SUM(I8:K8)</f>
        <v>1</v>
      </c>
      <c r="BE8" s="2">
        <v>0</v>
      </c>
      <c r="BF8" s="2">
        <f>COUNTIFS(AR8, "1",AW8, "1")</f>
        <v>0</v>
      </c>
      <c r="BG8" s="2" t="s">
        <v>66</v>
      </c>
    </row>
    <row r="9" spans="1:59">
      <c r="A9" s="2">
        <v>12</v>
      </c>
      <c r="B9" s="5">
        <v>45413</v>
      </c>
      <c r="C9" s="5">
        <v>45423</v>
      </c>
      <c r="D9" s="2">
        <f>C9-B9</f>
        <v>10</v>
      </c>
      <c r="E9" s="2">
        <v>70</v>
      </c>
      <c r="F9" s="2">
        <v>1</v>
      </c>
      <c r="G9" s="2">
        <v>5</v>
      </c>
      <c r="H9" s="2">
        <v>1</v>
      </c>
      <c r="I9" s="2">
        <v>0</v>
      </c>
      <c r="J9" s="2">
        <v>0</v>
      </c>
      <c r="K9" s="2">
        <v>0</v>
      </c>
      <c r="L9" s="2">
        <v>1</v>
      </c>
      <c r="M9" s="2">
        <v>0</v>
      </c>
      <c r="N9" s="2">
        <v>1</v>
      </c>
      <c r="O9" s="2" t="s">
        <v>70</v>
      </c>
      <c r="P9" t="s">
        <v>52</v>
      </c>
      <c r="Q9" s="2">
        <v>1</v>
      </c>
      <c r="R9" s="2">
        <v>0</v>
      </c>
      <c r="S9" s="2">
        <v>0</v>
      </c>
      <c r="T9" s="2">
        <v>0</v>
      </c>
      <c r="U9" s="2">
        <v>1</v>
      </c>
      <c r="V9" s="2">
        <v>2</v>
      </c>
      <c r="W9" s="5">
        <v>45413</v>
      </c>
      <c r="X9" s="5">
        <v>45415</v>
      </c>
      <c r="Y9" s="28">
        <f>X9-W9</f>
        <v>2</v>
      </c>
      <c r="Z9" s="2">
        <v>1</v>
      </c>
      <c r="AA9" s="2">
        <v>0</v>
      </c>
      <c r="AB9" s="2">
        <v>0</v>
      </c>
      <c r="AC9" s="2">
        <v>1</v>
      </c>
      <c r="AD9" s="2">
        <v>0</v>
      </c>
      <c r="AE9" s="2">
        <v>0</v>
      </c>
      <c r="AF9" s="2">
        <v>0</v>
      </c>
      <c r="AG9" s="2">
        <v>0</v>
      </c>
      <c r="AH9" s="2">
        <v>0</v>
      </c>
      <c r="AI9" s="2">
        <v>1</v>
      </c>
      <c r="AJ9" s="2" t="s">
        <v>55</v>
      </c>
      <c r="AK9" s="2">
        <v>1</v>
      </c>
      <c r="AL9" s="2">
        <v>1</v>
      </c>
      <c r="AM9" s="2">
        <v>1</v>
      </c>
      <c r="AN9" s="2">
        <f>COUNTIFS(AL9,"1",AM9,"1")</f>
        <v>1</v>
      </c>
      <c r="AO9" s="2">
        <f>COUNTIFS(AL9,"1",AM9,"0")</f>
        <v>0</v>
      </c>
      <c r="AP9" s="2">
        <f>COUNTIFS(AL9,"0",AM9,"1")</f>
        <v>0</v>
      </c>
      <c r="AQ9" s="2">
        <v>1</v>
      </c>
      <c r="AR9" s="2">
        <v>1</v>
      </c>
      <c r="AS9" s="5">
        <v>45419</v>
      </c>
      <c r="AT9" s="2">
        <v>0</v>
      </c>
      <c r="AU9" s="2">
        <v>1</v>
      </c>
      <c r="AV9" s="2">
        <f>AS9-B9</f>
        <v>6</v>
      </c>
      <c r="AW9" s="2">
        <v>0</v>
      </c>
      <c r="BA9" s="2">
        <v>0</v>
      </c>
      <c r="BB9" s="2">
        <v>0</v>
      </c>
      <c r="BC9" s="2">
        <v>1</v>
      </c>
      <c r="BD9" s="2">
        <f>SUM(I9:K9)</f>
        <v>0</v>
      </c>
      <c r="BE9" s="2">
        <v>0</v>
      </c>
      <c r="BF9" s="2">
        <f>COUNTIFS(AR9, "1",AW9, "1")</f>
        <v>0</v>
      </c>
      <c r="BG9" s="2" t="s">
        <v>71</v>
      </c>
    </row>
    <row r="10" spans="1:59">
      <c r="A10" s="2">
        <v>13</v>
      </c>
      <c r="B10" s="5">
        <v>45414</v>
      </c>
      <c r="C10" s="5">
        <v>45436</v>
      </c>
      <c r="D10" s="2">
        <f>C10-B10</f>
        <v>22</v>
      </c>
      <c r="E10" s="2">
        <v>91</v>
      </c>
      <c r="F10" s="2">
        <v>2</v>
      </c>
      <c r="G10" s="2">
        <v>2</v>
      </c>
      <c r="H10" s="2">
        <v>1</v>
      </c>
      <c r="I10" s="2">
        <v>0</v>
      </c>
      <c r="J10" s="2">
        <v>0</v>
      </c>
      <c r="K10" s="2">
        <v>0</v>
      </c>
      <c r="L10" s="2">
        <v>0</v>
      </c>
      <c r="M10" s="2">
        <v>0</v>
      </c>
      <c r="N10" s="2">
        <v>1</v>
      </c>
      <c r="O10" s="2" t="s">
        <v>72</v>
      </c>
      <c r="P10" t="s">
        <v>52</v>
      </c>
      <c r="Q10" s="2">
        <v>1</v>
      </c>
      <c r="R10" s="2">
        <v>0</v>
      </c>
      <c r="S10" s="2">
        <v>0</v>
      </c>
      <c r="T10" s="2">
        <v>0</v>
      </c>
      <c r="U10" s="2">
        <v>1</v>
      </c>
      <c r="V10" s="2">
        <v>2</v>
      </c>
      <c r="W10" s="5">
        <v>45414</v>
      </c>
      <c r="X10" s="5">
        <v>45415</v>
      </c>
      <c r="Y10" s="28">
        <f>X10-W10</f>
        <v>1</v>
      </c>
      <c r="Z10" s="2">
        <v>1</v>
      </c>
      <c r="AA10" s="2">
        <v>0</v>
      </c>
      <c r="AB10" s="2">
        <v>0</v>
      </c>
      <c r="AC10" s="2">
        <v>0</v>
      </c>
      <c r="AD10" s="2">
        <v>1</v>
      </c>
      <c r="AE10" s="2">
        <v>0</v>
      </c>
      <c r="AF10" s="2">
        <v>0</v>
      </c>
      <c r="AG10" s="2">
        <v>0</v>
      </c>
      <c r="AH10" s="2">
        <v>0</v>
      </c>
      <c r="AI10" s="2">
        <v>1</v>
      </c>
      <c r="AJ10" s="2" t="s">
        <v>55</v>
      </c>
      <c r="AK10" s="11">
        <v>1</v>
      </c>
      <c r="AL10" s="2">
        <v>1</v>
      </c>
      <c r="AM10" s="2">
        <v>1</v>
      </c>
      <c r="AN10" s="2">
        <f>COUNTIFS(AL10,"1",AM10,"1")</f>
        <v>1</v>
      </c>
      <c r="AO10" s="2">
        <f>COUNTIFS(AL10,"1",AM10,"0")</f>
        <v>0</v>
      </c>
      <c r="AP10" s="2">
        <f>COUNTIFS(AL10,"0",AM10,"1")</f>
        <v>0</v>
      </c>
      <c r="AQ10" s="2">
        <v>1</v>
      </c>
      <c r="AR10" s="2">
        <v>1</v>
      </c>
      <c r="AS10" s="5">
        <v>45418</v>
      </c>
      <c r="AT10" s="2">
        <v>0</v>
      </c>
      <c r="AU10" s="2">
        <v>0</v>
      </c>
      <c r="AV10" s="2">
        <f>AS10-B10</f>
        <v>4</v>
      </c>
      <c r="AW10" s="2">
        <v>0</v>
      </c>
      <c r="BA10" s="2">
        <v>0</v>
      </c>
      <c r="BB10" s="2">
        <v>0</v>
      </c>
      <c r="BC10" s="2">
        <v>1</v>
      </c>
      <c r="BD10" s="2">
        <f>SUM(I10:K10)</f>
        <v>0</v>
      </c>
      <c r="BE10" s="2">
        <v>0</v>
      </c>
      <c r="BF10" s="2">
        <f>COUNTIFS(AR10, "1",AW10, "1")</f>
        <v>0</v>
      </c>
      <c r="BG10" s="2" t="s">
        <v>73</v>
      </c>
    </row>
    <row r="11" spans="1:59">
      <c r="A11" s="2">
        <v>14</v>
      </c>
      <c r="B11" s="5">
        <v>45419</v>
      </c>
      <c r="C11" s="5">
        <v>45433</v>
      </c>
      <c r="D11" s="2">
        <f>C11-B11</f>
        <v>14</v>
      </c>
      <c r="E11" s="2">
        <v>71</v>
      </c>
      <c r="F11" s="2">
        <v>2</v>
      </c>
      <c r="G11" s="2">
        <v>2</v>
      </c>
      <c r="H11" s="2">
        <v>1</v>
      </c>
      <c r="I11" s="2">
        <v>0</v>
      </c>
      <c r="J11" s="2">
        <v>0</v>
      </c>
      <c r="K11" s="2">
        <v>0</v>
      </c>
      <c r="L11" s="2">
        <v>1</v>
      </c>
      <c r="M11" s="2">
        <v>0</v>
      </c>
      <c r="N11" s="2">
        <v>0</v>
      </c>
      <c r="P11" t="s">
        <v>52</v>
      </c>
      <c r="Q11" s="2">
        <v>1</v>
      </c>
      <c r="R11" s="2">
        <v>0</v>
      </c>
      <c r="S11" s="2">
        <v>0</v>
      </c>
      <c r="T11" s="2">
        <v>0</v>
      </c>
      <c r="U11" s="2">
        <v>1</v>
      </c>
      <c r="V11" s="2">
        <v>3</v>
      </c>
      <c r="W11" s="5">
        <v>45419</v>
      </c>
      <c r="X11" s="5">
        <v>45422</v>
      </c>
      <c r="Y11" s="28">
        <f>X11-W11</f>
        <v>3</v>
      </c>
      <c r="Z11" s="2">
        <v>1</v>
      </c>
      <c r="AA11" s="2">
        <v>0</v>
      </c>
      <c r="AB11" s="2">
        <v>1</v>
      </c>
      <c r="AC11" s="2">
        <v>1</v>
      </c>
      <c r="AD11" s="2">
        <v>0</v>
      </c>
      <c r="AE11" s="2">
        <v>0</v>
      </c>
      <c r="AF11" s="2">
        <v>0</v>
      </c>
      <c r="AG11" s="2">
        <v>0</v>
      </c>
      <c r="AH11" s="2">
        <v>0</v>
      </c>
      <c r="AI11" s="2">
        <v>1</v>
      </c>
      <c r="AJ11" s="2" t="s">
        <v>55</v>
      </c>
      <c r="AK11" s="2">
        <v>1</v>
      </c>
      <c r="AL11" s="2">
        <v>1</v>
      </c>
      <c r="AM11" s="2">
        <v>0</v>
      </c>
      <c r="AN11" s="2">
        <f>COUNTIFS(AL11,"1",AM11,"1")</f>
        <v>0</v>
      </c>
      <c r="AO11" s="2">
        <f>COUNTIFS(AL11,"1",AM11,"0")</f>
        <v>1</v>
      </c>
      <c r="AP11" s="2">
        <f>COUNTIFS(AL11,"0",AM11,"1")</f>
        <v>0</v>
      </c>
      <c r="AQ11" s="2">
        <v>1</v>
      </c>
      <c r="AR11" s="2">
        <v>1</v>
      </c>
      <c r="AS11" s="5">
        <v>45420</v>
      </c>
      <c r="AT11" s="2">
        <v>0</v>
      </c>
      <c r="AU11" s="2">
        <v>0</v>
      </c>
      <c r="AV11" s="2">
        <f>AS11-B11</f>
        <v>1</v>
      </c>
      <c r="AW11" s="2">
        <v>0</v>
      </c>
      <c r="BA11" s="2">
        <v>0</v>
      </c>
      <c r="BB11" s="2">
        <v>0</v>
      </c>
      <c r="BC11" s="2">
        <v>1</v>
      </c>
      <c r="BD11" s="2">
        <f>SUM(I11:K11)</f>
        <v>0</v>
      </c>
      <c r="BE11" s="2">
        <v>0</v>
      </c>
      <c r="BF11" s="2">
        <f>COUNTIFS(AR11, "1",AW11, "1")</f>
        <v>0</v>
      </c>
      <c r="BG11" s="2" t="s">
        <v>75</v>
      </c>
    </row>
    <row r="12" spans="1:59">
      <c r="A12" s="2">
        <v>15</v>
      </c>
      <c r="B12" s="5">
        <v>45420</v>
      </c>
      <c r="C12" s="5">
        <v>45432</v>
      </c>
      <c r="D12" s="2">
        <f>C12-B12</f>
        <v>12</v>
      </c>
      <c r="E12" s="2">
        <v>77</v>
      </c>
      <c r="F12" s="2">
        <v>1</v>
      </c>
      <c r="G12" s="2">
        <v>2</v>
      </c>
      <c r="H12" s="2">
        <v>1</v>
      </c>
      <c r="I12" s="2">
        <v>0</v>
      </c>
      <c r="J12" s="2">
        <v>0</v>
      </c>
      <c r="K12" s="2">
        <v>0</v>
      </c>
      <c r="L12" s="2">
        <v>0</v>
      </c>
      <c r="M12" s="2">
        <v>0</v>
      </c>
      <c r="N12" s="2">
        <v>1</v>
      </c>
      <c r="O12" s="10" t="s">
        <v>76</v>
      </c>
      <c r="P12" t="s">
        <v>52</v>
      </c>
      <c r="Q12" s="2">
        <v>1</v>
      </c>
      <c r="R12" s="2">
        <v>0</v>
      </c>
      <c r="S12" s="2">
        <v>0</v>
      </c>
      <c r="T12" s="2">
        <v>0</v>
      </c>
      <c r="U12" s="2">
        <v>0</v>
      </c>
      <c r="V12" s="2">
        <v>1</v>
      </c>
      <c r="W12" s="5">
        <v>45420</v>
      </c>
      <c r="X12" s="5">
        <v>45420</v>
      </c>
      <c r="Y12" s="28">
        <f>X12-W12</f>
        <v>0</v>
      </c>
      <c r="Z12" s="2">
        <v>1</v>
      </c>
      <c r="AA12" s="2">
        <v>0</v>
      </c>
      <c r="AB12" s="2">
        <v>0</v>
      </c>
      <c r="AC12" s="2">
        <v>0</v>
      </c>
      <c r="AD12" s="2">
        <v>1</v>
      </c>
      <c r="AE12" s="2">
        <v>0</v>
      </c>
      <c r="AF12" s="2">
        <v>0</v>
      </c>
      <c r="AG12" s="2">
        <v>1</v>
      </c>
      <c r="AH12" s="2">
        <v>0</v>
      </c>
      <c r="AI12" s="2">
        <v>1</v>
      </c>
      <c r="AJ12" s="2" t="s">
        <v>55</v>
      </c>
      <c r="AK12" s="2">
        <v>1</v>
      </c>
      <c r="AL12" s="2">
        <v>1</v>
      </c>
      <c r="AM12" s="2">
        <v>1</v>
      </c>
      <c r="AN12" s="2">
        <f>COUNTIFS(AL12,"1",AM12,"1")</f>
        <v>1</v>
      </c>
      <c r="AO12" s="2">
        <f>COUNTIFS(AL12,"1",AM12,"0")</f>
        <v>0</v>
      </c>
      <c r="AP12" s="2">
        <f>COUNTIFS(AL12,"0",AM12,"1")</f>
        <v>0</v>
      </c>
      <c r="AQ12" s="2">
        <v>1</v>
      </c>
      <c r="AR12" s="2">
        <v>1</v>
      </c>
      <c r="AS12" s="5">
        <v>45421</v>
      </c>
      <c r="AT12" s="2">
        <v>0</v>
      </c>
      <c r="AU12" s="2">
        <v>0</v>
      </c>
      <c r="AV12" s="2">
        <f>AS12-B12</f>
        <v>1</v>
      </c>
      <c r="AW12" s="2">
        <v>1</v>
      </c>
      <c r="AX12" s="5">
        <v>45425</v>
      </c>
      <c r="AY12" s="2">
        <v>0</v>
      </c>
      <c r="AZ12" s="2">
        <v>0</v>
      </c>
      <c r="BA12" s="2">
        <v>0</v>
      </c>
      <c r="BB12" s="2">
        <v>0</v>
      </c>
      <c r="BC12" s="2">
        <v>1</v>
      </c>
      <c r="BD12" s="2">
        <f>SUM(I12:K12)</f>
        <v>0</v>
      </c>
      <c r="BE12" s="2">
        <v>0</v>
      </c>
      <c r="BF12" s="2">
        <f>COUNTIFS(AR12, "1",AW12, "1")</f>
        <v>1</v>
      </c>
      <c r="BG12" s="2" t="s">
        <v>77</v>
      </c>
    </row>
    <row r="13" spans="1:59">
      <c r="A13" s="8">
        <v>16</v>
      </c>
      <c r="B13" s="5">
        <v>45420</v>
      </c>
      <c r="C13" s="6">
        <v>45435</v>
      </c>
      <c r="D13" s="2">
        <f>C13-B13</f>
        <v>15</v>
      </c>
      <c r="E13" s="2">
        <v>83</v>
      </c>
      <c r="F13" s="2">
        <v>2</v>
      </c>
      <c r="G13" s="2">
        <v>2</v>
      </c>
      <c r="H13" s="2">
        <v>1</v>
      </c>
      <c r="I13" s="2">
        <v>0</v>
      </c>
      <c r="J13" s="2">
        <v>0</v>
      </c>
      <c r="K13" s="2">
        <v>0</v>
      </c>
      <c r="L13" s="2">
        <v>0</v>
      </c>
      <c r="M13" s="2">
        <v>0</v>
      </c>
      <c r="N13" s="2">
        <v>1</v>
      </c>
      <c r="O13" s="2" t="s">
        <v>78</v>
      </c>
      <c r="P13" t="s">
        <v>52</v>
      </c>
      <c r="Q13" s="2">
        <v>1</v>
      </c>
      <c r="R13" s="2">
        <v>0</v>
      </c>
      <c r="S13" s="2">
        <v>0</v>
      </c>
      <c r="T13" s="2">
        <v>0</v>
      </c>
      <c r="U13" s="2">
        <v>1</v>
      </c>
      <c r="V13" s="2">
        <v>3</v>
      </c>
      <c r="W13" s="5">
        <v>45429</v>
      </c>
      <c r="X13" s="5">
        <v>45431</v>
      </c>
      <c r="Y13" s="28">
        <f>X13-W13</f>
        <v>2</v>
      </c>
      <c r="Z13" s="2">
        <v>0</v>
      </c>
      <c r="AA13" s="2">
        <v>0</v>
      </c>
      <c r="AB13" s="2">
        <v>0</v>
      </c>
      <c r="AC13" s="2">
        <v>0</v>
      </c>
      <c r="AD13" s="2">
        <v>0</v>
      </c>
      <c r="AE13" s="2">
        <v>0</v>
      </c>
      <c r="AF13" s="2">
        <v>0</v>
      </c>
      <c r="AG13" s="2">
        <v>0</v>
      </c>
      <c r="AH13" s="2">
        <v>0</v>
      </c>
      <c r="AI13" s="2">
        <v>1</v>
      </c>
      <c r="AJ13" s="2" t="s">
        <v>79</v>
      </c>
      <c r="AK13" s="2">
        <v>1</v>
      </c>
      <c r="AL13" s="2">
        <v>1</v>
      </c>
      <c r="AM13" s="2">
        <v>1</v>
      </c>
      <c r="AN13" s="2">
        <f>COUNTIFS(AL13,"1",AM13,"1")</f>
        <v>1</v>
      </c>
      <c r="AO13" s="2">
        <f>COUNTIFS(AL13,"1",AM13,"0")</f>
        <v>0</v>
      </c>
      <c r="AP13" s="2">
        <f>COUNTIFS(AL13,"0",AM13,"1")</f>
        <v>0</v>
      </c>
      <c r="AQ13" s="2">
        <v>1</v>
      </c>
      <c r="AR13" s="2">
        <v>1</v>
      </c>
      <c r="AS13" s="5">
        <v>45432</v>
      </c>
      <c r="AT13" s="2">
        <v>0</v>
      </c>
      <c r="AU13" s="2">
        <v>0</v>
      </c>
      <c r="AV13" s="2">
        <f>AS13-B13</f>
        <v>12</v>
      </c>
      <c r="AW13" s="2">
        <v>0</v>
      </c>
      <c r="BA13" s="2">
        <v>0</v>
      </c>
      <c r="BB13" s="2">
        <v>0</v>
      </c>
      <c r="BC13" s="2">
        <v>1</v>
      </c>
      <c r="BD13" s="2">
        <f>SUM(I13:K13)</f>
        <v>0</v>
      </c>
      <c r="BE13" s="2">
        <v>1</v>
      </c>
      <c r="BF13" s="2">
        <f>COUNTIFS(AR13, "1",AW13, "1")</f>
        <v>0</v>
      </c>
      <c r="BG13" s="2" t="s">
        <v>80</v>
      </c>
    </row>
    <row r="14" spans="1:59">
      <c r="A14" s="2">
        <v>17</v>
      </c>
      <c r="B14" s="5">
        <v>45438</v>
      </c>
      <c r="C14" s="5">
        <v>45458</v>
      </c>
      <c r="D14" s="2">
        <f>C14-B14</f>
        <v>20</v>
      </c>
      <c r="E14" s="2">
        <v>59</v>
      </c>
      <c r="F14" s="2">
        <v>1</v>
      </c>
      <c r="G14" s="2">
        <v>3</v>
      </c>
      <c r="H14" s="2">
        <v>1</v>
      </c>
      <c r="I14" s="2">
        <v>0</v>
      </c>
      <c r="J14" s="2">
        <v>0</v>
      </c>
      <c r="K14" s="2">
        <v>0</v>
      </c>
      <c r="L14" s="2">
        <v>0</v>
      </c>
      <c r="M14" s="2">
        <v>0</v>
      </c>
      <c r="N14" s="2">
        <v>1</v>
      </c>
      <c r="O14" s="2" t="s">
        <v>81</v>
      </c>
      <c r="P14" t="s">
        <v>52</v>
      </c>
      <c r="Q14" s="2">
        <v>1</v>
      </c>
      <c r="R14" s="2">
        <v>0</v>
      </c>
      <c r="S14" s="2">
        <v>0</v>
      </c>
      <c r="T14" s="2">
        <v>0</v>
      </c>
      <c r="U14" s="2">
        <v>1</v>
      </c>
      <c r="V14" s="2">
        <v>2</v>
      </c>
      <c r="W14" s="5">
        <v>45440</v>
      </c>
      <c r="X14" s="5">
        <v>45441</v>
      </c>
      <c r="Y14" s="28">
        <f>X14-W14</f>
        <v>1</v>
      </c>
      <c r="Z14" s="2">
        <v>1</v>
      </c>
      <c r="AA14" s="2">
        <v>0</v>
      </c>
      <c r="AB14" s="2">
        <v>1</v>
      </c>
      <c r="AC14" s="2">
        <v>0</v>
      </c>
      <c r="AD14" s="2">
        <v>0</v>
      </c>
      <c r="AE14" s="2">
        <v>0</v>
      </c>
      <c r="AF14" s="2">
        <v>0</v>
      </c>
      <c r="AG14" s="2">
        <v>0</v>
      </c>
      <c r="AH14" s="2">
        <v>0</v>
      </c>
      <c r="AI14" s="2">
        <v>1</v>
      </c>
      <c r="AJ14" s="2" t="s">
        <v>55</v>
      </c>
      <c r="AK14" s="2">
        <v>1</v>
      </c>
      <c r="AL14" s="2">
        <v>1</v>
      </c>
      <c r="AM14" s="2">
        <v>1</v>
      </c>
      <c r="AN14" s="2">
        <f>COUNTIFS(AL14,"1",AM14,"1")</f>
        <v>1</v>
      </c>
      <c r="AO14" s="2">
        <f>COUNTIFS(AL14,"1",AM14,"0")</f>
        <v>0</v>
      </c>
      <c r="AP14" s="2">
        <f>COUNTIFS(AL14,"0",AM14,"1")</f>
        <v>0</v>
      </c>
      <c r="AQ14" s="2">
        <v>1</v>
      </c>
      <c r="AR14" s="2">
        <v>1</v>
      </c>
      <c r="AS14" s="5">
        <v>45442</v>
      </c>
      <c r="AT14" s="2">
        <v>1</v>
      </c>
      <c r="AU14" s="2">
        <v>0</v>
      </c>
      <c r="AV14" s="2">
        <f>AS14-B14</f>
        <v>4</v>
      </c>
      <c r="AW14" s="11">
        <v>0</v>
      </c>
      <c r="BA14" s="2">
        <v>0</v>
      </c>
      <c r="BB14" s="2">
        <v>1</v>
      </c>
      <c r="BC14" s="2">
        <v>1</v>
      </c>
      <c r="BD14" s="2">
        <f>SUM(I14:K14)</f>
        <v>0</v>
      </c>
      <c r="BE14" s="2">
        <v>0</v>
      </c>
      <c r="BF14" s="2">
        <f>COUNTIFS(AR14, "1",AW14, "1")</f>
        <v>0</v>
      </c>
      <c r="BG14" s="2" t="s">
        <v>82</v>
      </c>
    </row>
    <row r="15" spans="1:59">
      <c r="A15" s="2">
        <v>18</v>
      </c>
      <c r="B15" s="5">
        <v>45385</v>
      </c>
      <c r="C15" s="5">
        <v>45395</v>
      </c>
      <c r="D15" s="2">
        <f>C15-B15</f>
        <v>10</v>
      </c>
      <c r="E15" s="2">
        <v>51</v>
      </c>
      <c r="F15" s="2">
        <v>1</v>
      </c>
      <c r="G15" s="2">
        <v>3</v>
      </c>
      <c r="H15" s="2">
        <v>0</v>
      </c>
      <c r="I15" s="2">
        <v>0</v>
      </c>
      <c r="J15" s="2">
        <v>0</v>
      </c>
      <c r="K15" s="2">
        <v>0</v>
      </c>
      <c r="L15" s="2">
        <v>0</v>
      </c>
      <c r="M15" s="2">
        <v>0</v>
      </c>
      <c r="N15" s="2">
        <v>0</v>
      </c>
      <c r="P15" t="s">
        <v>52</v>
      </c>
      <c r="Q15" s="2">
        <v>1</v>
      </c>
      <c r="R15" s="2">
        <v>0</v>
      </c>
      <c r="S15" s="2">
        <v>0</v>
      </c>
      <c r="T15" s="2">
        <v>0</v>
      </c>
      <c r="U15" s="2">
        <v>1</v>
      </c>
      <c r="V15" s="2">
        <v>3</v>
      </c>
      <c r="W15" s="5">
        <v>45385</v>
      </c>
      <c r="X15" s="5">
        <v>45388</v>
      </c>
      <c r="Y15" s="28">
        <f>X15-W15</f>
        <v>3</v>
      </c>
      <c r="Z15" s="2">
        <v>1</v>
      </c>
      <c r="AA15" s="2">
        <v>1</v>
      </c>
      <c r="AB15" s="2">
        <v>0</v>
      </c>
      <c r="AC15" s="2">
        <v>0</v>
      </c>
      <c r="AD15" s="2">
        <v>0</v>
      </c>
      <c r="AE15" s="2">
        <v>0</v>
      </c>
      <c r="AF15" s="2">
        <v>0</v>
      </c>
      <c r="AG15" s="2">
        <v>0</v>
      </c>
      <c r="AH15" s="2">
        <v>0</v>
      </c>
      <c r="AI15" s="2">
        <v>1</v>
      </c>
      <c r="AJ15" s="2" t="s">
        <v>55</v>
      </c>
      <c r="AK15" s="2">
        <v>1</v>
      </c>
      <c r="AL15" s="2">
        <v>1</v>
      </c>
      <c r="AM15" s="2">
        <v>1</v>
      </c>
      <c r="AN15" s="2">
        <f>COUNTIFS(AL15,"1",AM15,"1")</f>
        <v>1</v>
      </c>
      <c r="AO15" s="2">
        <f>COUNTIFS(AL15,"1",AM15,"0")</f>
        <v>0</v>
      </c>
      <c r="AP15" s="2">
        <f>COUNTIFS(AL15,"0",AM15,"1")</f>
        <v>0</v>
      </c>
      <c r="AQ15" s="2">
        <v>1</v>
      </c>
      <c r="AR15" s="2">
        <v>1</v>
      </c>
      <c r="AS15" s="5">
        <v>45387</v>
      </c>
      <c r="AT15" s="2">
        <v>0</v>
      </c>
      <c r="AU15" s="2">
        <v>0</v>
      </c>
      <c r="AV15" s="2">
        <f>AS15-B15</f>
        <v>2</v>
      </c>
      <c r="AW15" s="2">
        <v>1</v>
      </c>
      <c r="AX15" s="5">
        <v>45391</v>
      </c>
      <c r="AY15" s="2">
        <v>0</v>
      </c>
      <c r="AZ15" s="2">
        <v>0</v>
      </c>
      <c r="BA15" s="2">
        <v>0</v>
      </c>
      <c r="BB15" s="2">
        <v>0</v>
      </c>
      <c r="BC15" s="2">
        <v>1</v>
      </c>
      <c r="BD15" s="2">
        <f>SUM(I15:K15)</f>
        <v>0</v>
      </c>
      <c r="BE15" s="2">
        <v>0</v>
      </c>
      <c r="BF15" s="2">
        <f>COUNTIFS(AR15, "1",AW15, "1")</f>
        <v>1</v>
      </c>
      <c r="BG15" s="2" t="s">
        <v>83</v>
      </c>
    </row>
    <row r="16" spans="1:59">
      <c r="A16" s="8">
        <v>19</v>
      </c>
      <c r="B16" s="5">
        <v>45393</v>
      </c>
      <c r="C16" s="6">
        <v>45398</v>
      </c>
      <c r="D16" s="2">
        <f>C16-B16</f>
        <v>5</v>
      </c>
      <c r="E16" s="2">
        <v>65</v>
      </c>
      <c r="F16" s="2">
        <v>2</v>
      </c>
      <c r="G16" s="2">
        <v>2</v>
      </c>
      <c r="H16" s="2">
        <v>1</v>
      </c>
      <c r="I16" s="2">
        <v>0</v>
      </c>
      <c r="J16" s="2">
        <v>0</v>
      </c>
      <c r="K16" s="2">
        <v>0</v>
      </c>
      <c r="L16" s="2">
        <v>0</v>
      </c>
      <c r="M16" s="2">
        <v>0</v>
      </c>
      <c r="N16" s="2">
        <v>1</v>
      </c>
      <c r="O16" s="2" t="s">
        <v>51</v>
      </c>
      <c r="P16" t="s">
        <v>47</v>
      </c>
      <c r="Q16" s="2">
        <v>1</v>
      </c>
      <c r="R16" s="2">
        <v>0</v>
      </c>
      <c r="S16" s="2">
        <v>0</v>
      </c>
      <c r="T16" s="2">
        <v>0</v>
      </c>
      <c r="U16" s="2">
        <v>1</v>
      </c>
      <c r="V16" s="2">
        <v>3</v>
      </c>
      <c r="W16" s="5">
        <v>45393</v>
      </c>
      <c r="X16" s="5">
        <v>45394</v>
      </c>
      <c r="Y16" s="28">
        <f>X16-W16</f>
        <v>1</v>
      </c>
      <c r="Z16" s="2">
        <v>0</v>
      </c>
      <c r="AA16" s="2">
        <v>0</v>
      </c>
      <c r="AB16" s="2">
        <v>0</v>
      </c>
      <c r="AC16" s="2">
        <v>0</v>
      </c>
      <c r="AD16" s="2">
        <v>0</v>
      </c>
      <c r="AE16" s="2">
        <v>0</v>
      </c>
      <c r="AF16" s="2">
        <v>0</v>
      </c>
      <c r="AG16" s="2">
        <v>0</v>
      </c>
      <c r="AH16" s="2">
        <v>1</v>
      </c>
      <c r="AI16" s="2">
        <v>1</v>
      </c>
      <c r="AJ16" s="2" t="s">
        <v>48</v>
      </c>
      <c r="AK16" s="2">
        <v>1</v>
      </c>
      <c r="AL16" s="2">
        <v>0</v>
      </c>
      <c r="AM16" s="2">
        <v>1</v>
      </c>
      <c r="AN16" s="2">
        <f>COUNTIFS(AL16,"1",AM16,"1")</f>
        <v>0</v>
      </c>
      <c r="AO16" s="2">
        <f>COUNTIFS(AL16,"1",AM16,"0")</f>
        <v>0</v>
      </c>
      <c r="AP16" s="2">
        <f>COUNTIFS(AL16,"0",AM16,"1")</f>
        <v>1</v>
      </c>
      <c r="AQ16" s="2">
        <v>1</v>
      </c>
      <c r="AR16" s="2">
        <v>1</v>
      </c>
      <c r="AS16" s="5">
        <v>45394</v>
      </c>
      <c r="AT16" s="2">
        <v>0</v>
      </c>
      <c r="AU16" s="2">
        <v>1</v>
      </c>
      <c r="AV16" s="2">
        <f>AS16-B16</f>
        <v>1</v>
      </c>
      <c r="AW16" s="2">
        <v>0</v>
      </c>
      <c r="BA16" s="2">
        <v>0</v>
      </c>
      <c r="BB16" s="2">
        <v>0</v>
      </c>
      <c r="BC16" s="2">
        <v>1</v>
      </c>
      <c r="BD16" s="2">
        <f>SUM(I16:K16)</f>
        <v>0</v>
      </c>
      <c r="BE16" s="2">
        <v>0</v>
      </c>
      <c r="BF16" s="2">
        <f>COUNTIFS(AR16, "1",AW16, "1")</f>
        <v>0</v>
      </c>
      <c r="BG16" s="2" t="s">
        <v>288</v>
      </c>
    </row>
    <row r="17" spans="1:59">
      <c r="A17" s="2">
        <v>20</v>
      </c>
      <c r="B17" s="5">
        <v>45392</v>
      </c>
      <c r="C17" s="5">
        <v>45401</v>
      </c>
      <c r="D17" s="2">
        <f>C17-B17</f>
        <v>9</v>
      </c>
      <c r="E17" s="2">
        <v>85</v>
      </c>
      <c r="F17" s="2">
        <v>1</v>
      </c>
      <c r="G17" s="2">
        <v>2</v>
      </c>
      <c r="H17" s="2">
        <v>0</v>
      </c>
      <c r="I17" s="2">
        <v>0</v>
      </c>
      <c r="J17" s="2">
        <v>0</v>
      </c>
      <c r="K17" s="2">
        <v>0</v>
      </c>
      <c r="L17" s="2">
        <v>0</v>
      </c>
      <c r="M17" s="2">
        <v>0</v>
      </c>
      <c r="N17" s="2">
        <v>0</v>
      </c>
      <c r="P17" t="s">
        <v>52</v>
      </c>
      <c r="Q17" s="2">
        <v>1</v>
      </c>
      <c r="R17" s="2">
        <v>0</v>
      </c>
      <c r="S17" s="2">
        <v>0</v>
      </c>
      <c r="T17" s="2">
        <v>0</v>
      </c>
      <c r="U17" s="2">
        <v>1</v>
      </c>
      <c r="V17" s="2">
        <v>2</v>
      </c>
      <c r="W17" s="5">
        <v>45396</v>
      </c>
      <c r="X17" s="5">
        <v>45396</v>
      </c>
      <c r="Y17" s="28">
        <f>X17-W17</f>
        <v>0</v>
      </c>
      <c r="Z17" s="2">
        <v>0</v>
      </c>
      <c r="AA17" s="2">
        <v>0</v>
      </c>
      <c r="AB17" s="2">
        <v>0</v>
      </c>
      <c r="AC17" s="2">
        <v>0</v>
      </c>
      <c r="AD17" s="2">
        <v>0</v>
      </c>
      <c r="AE17" s="2">
        <v>0</v>
      </c>
      <c r="AF17" s="2">
        <v>0</v>
      </c>
      <c r="AG17" s="2">
        <v>0</v>
      </c>
      <c r="AH17" s="2">
        <v>0</v>
      </c>
      <c r="AI17" s="2">
        <v>1</v>
      </c>
      <c r="AJ17" s="2" t="s">
        <v>55</v>
      </c>
      <c r="AK17" s="11">
        <v>1</v>
      </c>
      <c r="AL17" s="2">
        <v>1</v>
      </c>
      <c r="AM17" s="2">
        <v>1</v>
      </c>
      <c r="AN17" s="2">
        <f>COUNTIFS(AL17,"1",AM17,"1")</f>
        <v>1</v>
      </c>
      <c r="AO17" s="2">
        <f>COUNTIFS(AL17,"1",AM17,"0")</f>
        <v>0</v>
      </c>
      <c r="AP17" s="2">
        <f>COUNTIFS(AL17,"0",AM17,"1")</f>
        <v>0</v>
      </c>
      <c r="AQ17" s="2">
        <v>1</v>
      </c>
      <c r="AR17" s="2">
        <v>1</v>
      </c>
      <c r="AS17" s="5">
        <v>45400</v>
      </c>
      <c r="AT17" s="2">
        <v>0</v>
      </c>
      <c r="AU17" s="2">
        <v>0</v>
      </c>
      <c r="AV17" s="2">
        <f>AS17-B17</f>
        <v>8</v>
      </c>
      <c r="AW17" s="2">
        <v>0</v>
      </c>
      <c r="BA17" s="2">
        <v>0</v>
      </c>
      <c r="BB17" s="2">
        <v>0</v>
      </c>
      <c r="BC17" s="2">
        <v>1</v>
      </c>
      <c r="BD17" s="2">
        <f>SUM(I17:K17)</f>
        <v>0</v>
      </c>
      <c r="BE17" s="2">
        <v>0</v>
      </c>
      <c r="BF17" s="2">
        <f>COUNTIFS(AR17, "1",AW17, "1")</f>
        <v>0</v>
      </c>
      <c r="BG17" s="2" t="s">
        <v>88</v>
      </c>
    </row>
    <row r="18" spans="1:59">
      <c r="A18" s="2">
        <v>21</v>
      </c>
      <c r="B18" s="5">
        <v>45400</v>
      </c>
      <c r="C18" s="5">
        <v>45408</v>
      </c>
      <c r="D18" s="2">
        <f>C18-B18</f>
        <v>8</v>
      </c>
      <c r="E18" s="2">
        <v>85</v>
      </c>
      <c r="F18" s="2">
        <v>2</v>
      </c>
      <c r="G18" s="2">
        <v>2</v>
      </c>
      <c r="H18" s="2">
        <v>1</v>
      </c>
      <c r="I18" s="2">
        <v>0</v>
      </c>
      <c r="J18" s="2">
        <v>0</v>
      </c>
      <c r="K18" s="2">
        <v>0</v>
      </c>
      <c r="L18" s="2">
        <v>0</v>
      </c>
      <c r="M18" s="2">
        <v>0</v>
      </c>
      <c r="N18" s="2">
        <v>1</v>
      </c>
      <c r="O18" s="2" t="s">
        <v>70</v>
      </c>
      <c r="P18" t="s">
        <v>52</v>
      </c>
      <c r="Q18" s="2">
        <v>1</v>
      </c>
      <c r="R18" s="2">
        <v>0</v>
      </c>
      <c r="S18" s="2">
        <v>0</v>
      </c>
      <c r="T18" s="2">
        <v>0</v>
      </c>
      <c r="U18" s="2">
        <v>1</v>
      </c>
      <c r="V18" s="2">
        <v>3</v>
      </c>
      <c r="W18" s="5">
        <v>45400</v>
      </c>
      <c r="X18" s="5">
        <v>45402</v>
      </c>
      <c r="Y18" s="28">
        <f>X18-W18</f>
        <v>2</v>
      </c>
      <c r="Z18" s="2">
        <v>1</v>
      </c>
      <c r="AA18" s="2">
        <v>0</v>
      </c>
      <c r="AB18" s="2">
        <v>0</v>
      </c>
      <c r="AC18" s="2">
        <v>0</v>
      </c>
      <c r="AD18" s="2">
        <v>1</v>
      </c>
      <c r="AE18" s="2">
        <v>0</v>
      </c>
      <c r="AF18" s="2">
        <v>0</v>
      </c>
      <c r="AG18" s="2">
        <v>0</v>
      </c>
      <c r="AH18" s="2">
        <v>0</v>
      </c>
      <c r="AI18" s="2">
        <v>1</v>
      </c>
      <c r="AJ18" s="2" t="s">
        <v>55</v>
      </c>
      <c r="AK18" s="2">
        <v>1</v>
      </c>
      <c r="AL18" s="2">
        <v>1</v>
      </c>
      <c r="AM18" s="11">
        <v>0</v>
      </c>
      <c r="AN18" s="2">
        <f>COUNTIFS(AL18,"1",AM18,"1")</f>
        <v>0</v>
      </c>
      <c r="AO18" s="2">
        <f>COUNTIFS(AL18,"1",AM18,"0")</f>
        <v>1</v>
      </c>
      <c r="AP18" s="2">
        <f>COUNTIFS(AL18,"0",AM18,"1")</f>
        <v>0</v>
      </c>
      <c r="AQ18" s="2">
        <v>1</v>
      </c>
      <c r="AR18" s="2">
        <v>1</v>
      </c>
      <c r="AS18" s="5">
        <v>45404</v>
      </c>
      <c r="AT18" s="2">
        <v>0</v>
      </c>
      <c r="AU18" s="2">
        <v>1</v>
      </c>
      <c r="AV18" s="2">
        <f>AS18-B18</f>
        <v>4</v>
      </c>
      <c r="AW18" s="2">
        <v>0</v>
      </c>
      <c r="BA18" s="2">
        <v>0</v>
      </c>
      <c r="BB18" s="2">
        <v>0</v>
      </c>
      <c r="BC18" s="2">
        <v>1</v>
      </c>
      <c r="BD18" s="2">
        <f>SUM(I18:K18)</f>
        <v>0</v>
      </c>
      <c r="BE18" s="2">
        <v>0</v>
      </c>
      <c r="BF18" s="2">
        <f>COUNTIFS(AR18, "1",AW18, "1")</f>
        <v>0</v>
      </c>
      <c r="BG18" s="2" t="s">
        <v>89</v>
      </c>
    </row>
    <row r="19" spans="1:59">
      <c r="A19" s="2">
        <v>22</v>
      </c>
      <c r="B19" s="5">
        <v>45401</v>
      </c>
      <c r="C19" s="5">
        <v>45408</v>
      </c>
      <c r="D19" s="2">
        <f>C19-B19</f>
        <v>7</v>
      </c>
      <c r="E19" s="2">
        <v>79</v>
      </c>
      <c r="F19" s="2">
        <v>1</v>
      </c>
      <c r="G19" s="2">
        <v>2</v>
      </c>
      <c r="H19" s="2">
        <v>1</v>
      </c>
      <c r="I19" s="2">
        <v>0</v>
      </c>
      <c r="J19" s="2">
        <v>0</v>
      </c>
      <c r="K19" s="2">
        <v>1</v>
      </c>
      <c r="L19" s="2">
        <v>0</v>
      </c>
      <c r="M19" s="2">
        <v>0</v>
      </c>
      <c r="N19" s="2">
        <v>1</v>
      </c>
      <c r="O19" s="2" t="s">
        <v>63</v>
      </c>
      <c r="P19" t="s">
        <v>52</v>
      </c>
      <c r="Q19" s="2">
        <v>1</v>
      </c>
      <c r="R19" s="2">
        <v>0</v>
      </c>
      <c r="S19" s="2">
        <v>0</v>
      </c>
      <c r="T19" s="2">
        <v>0</v>
      </c>
      <c r="U19" s="2">
        <v>1</v>
      </c>
      <c r="V19" s="2">
        <v>1</v>
      </c>
      <c r="W19" s="5">
        <v>45401</v>
      </c>
      <c r="X19" s="5">
        <v>45401</v>
      </c>
      <c r="Y19" s="28">
        <f>X19-W19</f>
        <v>0</v>
      </c>
      <c r="Z19" s="2">
        <v>0</v>
      </c>
      <c r="AA19" s="2">
        <v>0</v>
      </c>
      <c r="AB19" s="2">
        <v>0</v>
      </c>
      <c r="AC19" s="2">
        <v>0</v>
      </c>
      <c r="AD19" s="2">
        <v>0</v>
      </c>
      <c r="AE19" s="2">
        <v>0</v>
      </c>
      <c r="AF19" s="2">
        <v>0</v>
      </c>
      <c r="AG19" s="2">
        <v>0</v>
      </c>
      <c r="AH19" s="2">
        <v>1</v>
      </c>
      <c r="AI19" s="2">
        <v>1</v>
      </c>
      <c r="AJ19" s="2" t="s">
        <v>55</v>
      </c>
      <c r="AK19" s="2">
        <v>1</v>
      </c>
      <c r="AL19" s="2">
        <v>1</v>
      </c>
      <c r="AM19" s="2">
        <v>1</v>
      </c>
      <c r="AN19" s="2">
        <f>COUNTIFS(AL19,"1",AM19,"1")</f>
        <v>1</v>
      </c>
      <c r="AO19" s="2">
        <f>COUNTIFS(AL19,"1",AM19,"0")</f>
        <v>0</v>
      </c>
      <c r="AP19" s="2">
        <f>COUNTIFS(AL19,"0",AM19,"1")</f>
        <v>0</v>
      </c>
      <c r="AQ19" s="2">
        <v>0</v>
      </c>
      <c r="AR19" s="2">
        <v>1</v>
      </c>
      <c r="AS19" s="5">
        <v>45406</v>
      </c>
      <c r="AT19" s="2">
        <v>0</v>
      </c>
      <c r="AU19" s="2">
        <v>0</v>
      </c>
      <c r="AV19" s="2">
        <f>AS19-B19</f>
        <v>5</v>
      </c>
      <c r="AW19" s="2">
        <v>1</v>
      </c>
      <c r="AX19" s="5">
        <v>45408</v>
      </c>
      <c r="AY19" s="2">
        <v>0</v>
      </c>
      <c r="AZ19" s="2">
        <v>0</v>
      </c>
      <c r="BA19" s="2">
        <v>0</v>
      </c>
      <c r="BB19" s="2">
        <v>0</v>
      </c>
      <c r="BC19" s="2">
        <f>SUM(I19:K19)</f>
        <v>1</v>
      </c>
      <c r="BD19" s="2">
        <f>SUM(I19:K19)</f>
        <v>1</v>
      </c>
      <c r="BE19" s="2">
        <v>0</v>
      </c>
      <c r="BF19" s="2">
        <f>COUNTIFS(AR19, "1",AW19, "1")</f>
        <v>1</v>
      </c>
      <c r="BG19" s="2" t="s">
        <v>90</v>
      </c>
    </row>
    <row r="20" spans="1:59">
      <c r="A20" s="2">
        <v>23</v>
      </c>
      <c r="B20" s="5">
        <v>45401</v>
      </c>
      <c r="C20" s="5">
        <v>45447</v>
      </c>
      <c r="D20" s="2">
        <f>C20-B20</f>
        <v>46</v>
      </c>
      <c r="E20" s="2">
        <v>46</v>
      </c>
      <c r="F20" s="2">
        <v>2</v>
      </c>
      <c r="G20" s="2">
        <v>2</v>
      </c>
      <c r="H20" s="2">
        <v>1</v>
      </c>
      <c r="I20" s="2">
        <v>1</v>
      </c>
      <c r="J20" s="2">
        <v>0</v>
      </c>
      <c r="K20" s="2">
        <v>0</v>
      </c>
      <c r="L20" s="2">
        <v>1</v>
      </c>
      <c r="M20" s="2">
        <v>0</v>
      </c>
      <c r="N20" s="2">
        <v>0</v>
      </c>
      <c r="P20" t="s">
        <v>47</v>
      </c>
      <c r="Q20" s="2">
        <v>1</v>
      </c>
      <c r="R20" s="2">
        <v>0</v>
      </c>
      <c r="S20" s="2">
        <v>0</v>
      </c>
      <c r="T20" s="2">
        <v>0</v>
      </c>
      <c r="U20" s="2">
        <v>1</v>
      </c>
      <c r="V20" s="2">
        <v>3</v>
      </c>
      <c r="W20" s="5">
        <v>45401</v>
      </c>
      <c r="X20" s="5">
        <v>45404</v>
      </c>
      <c r="Y20" s="28">
        <f>X20-W20</f>
        <v>3</v>
      </c>
      <c r="Z20" s="2">
        <v>1</v>
      </c>
      <c r="AA20" s="2">
        <v>0</v>
      </c>
      <c r="AB20" s="2">
        <v>0</v>
      </c>
      <c r="AC20" s="2">
        <v>1</v>
      </c>
      <c r="AD20" s="2">
        <v>0</v>
      </c>
      <c r="AE20" s="2">
        <v>0</v>
      </c>
      <c r="AF20" s="2">
        <v>0</v>
      </c>
      <c r="AG20" s="2">
        <v>0</v>
      </c>
      <c r="AH20" s="2">
        <v>0</v>
      </c>
      <c r="AI20" s="2">
        <v>1</v>
      </c>
      <c r="AJ20" s="2" t="s">
        <v>91</v>
      </c>
      <c r="AK20" s="2">
        <v>1</v>
      </c>
      <c r="AL20" s="2">
        <v>0</v>
      </c>
      <c r="AM20" s="2">
        <v>1</v>
      </c>
      <c r="AN20" s="2">
        <f>COUNTIFS(AL20,"1",AM20,"1")</f>
        <v>0</v>
      </c>
      <c r="AO20" s="2">
        <f>COUNTIFS(AL20,"1",AM20,"0")</f>
        <v>0</v>
      </c>
      <c r="AP20" s="2">
        <f>COUNTIFS(AL20,"0",AM20,"1")</f>
        <v>1</v>
      </c>
      <c r="AQ20" s="2">
        <v>1</v>
      </c>
      <c r="AR20" s="2">
        <v>1</v>
      </c>
      <c r="AS20" s="5">
        <v>45406</v>
      </c>
      <c r="AT20" s="2">
        <v>0</v>
      </c>
      <c r="AU20" s="2">
        <v>0</v>
      </c>
      <c r="AV20" s="2">
        <f>AS20-B20</f>
        <v>5</v>
      </c>
      <c r="AW20" s="2">
        <v>1</v>
      </c>
      <c r="AX20" s="5">
        <v>45408</v>
      </c>
      <c r="AY20" s="2">
        <v>0</v>
      </c>
      <c r="AZ20" s="2">
        <v>0</v>
      </c>
      <c r="BA20" s="2">
        <v>0</v>
      </c>
      <c r="BB20" s="2">
        <v>0</v>
      </c>
      <c r="BC20" s="2">
        <f>SUM(I20:K20)</f>
        <v>1</v>
      </c>
      <c r="BD20" s="2">
        <f>SUM(I20:K20)</f>
        <v>1</v>
      </c>
      <c r="BE20" s="2">
        <v>0</v>
      </c>
      <c r="BF20" s="2">
        <f>COUNTIFS(AR20, "1",AW20, "1")</f>
        <v>1</v>
      </c>
      <c r="BG20" s="2" t="s">
        <v>92</v>
      </c>
    </row>
    <row r="21" spans="1:59">
      <c r="A21" s="2">
        <v>24</v>
      </c>
      <c r="B21" s="5">
        <v>45402</v>
      </c>
      <c r="C21" s="5">
        <v>45412</v>
      </c>
      <c r="D21" s="2">
        <f>C21-B21</f>
        <v>10</v>
      </c>
      <c r="E21" s="2">
        <v>87</v>
      </c>
      <c r="F21" s="2">
        <v>2</v>
      </c>
      <c r="G21" s="2">
        <v>2</v>
      </c>
      <c r="H21" s="2">
        <v>1</v>
      </c>
      <c r="I21" s="2">
        <v>0</v>
      </c>
      <c r="J21" s="2">
        <v>0</v>
      </c>
      <c r="K21" s="2">
        <v>0</v>
      </c>
      <c r="L21" s="2">
        <v>0</v>
      </c>
      <c r="M21" s="2">
        <v>0</v>
      </c>
      <c r="N21" s="2">
        <v>1</v>
      </c>
      <c r="O21" s="2" t="s">
        <v>93</v>
      </c>
      <c r="P21" t="s">
        <v>52</v>
      </c>
      <c r="Q21" s="2">
        <v>1</v>
      </c>
      <c r="R21" s="2">
        <v>0</v>
      </c>
      <c r="S21" s="2">
        <v>0</v>
      </c>
      <c r="T21" s="2">
        <v>0</v>
      </c>
      <c r="U21" s="2">
        <v>1</v>
      </c>
      <c r="V21" s="2">
        <v>2</v>
      </c>
      <c r="W21" s="5">
        <v>45402</v>
      </c>
      <c r="X21" s="5">
        <v>45403</v>
      </c>
      <c r="Y21" s="28">
        <f>X21-W21</f>
        <v>1</v>
      </c>
      <c r="Z21" s="2">
        <v>0</v>
      </c>
      <c r="AA21" s="2">
        <v>0</v>
      </c>
      <c r="AB21" s="2">
        <v>0</v>
      </c>
      <c r="AC21" s="2">
        <v>0</v>
      </c>
      <c r="AD21" s="2">
        <v>0</v>
      </c>
      <c r="AE21" s="2">
        <v>0</v>
      </c>
      <c r="AF21" s="2">
        <v>0</v>
      </c>
      <c r="AG21" s="2">
        <v>0</v>
      </c>
      <c r="AH21" s="2">
        <v>0</v>
      </c>
      <c r="AI21" s="2">
        <v>1</v>
      </c>
      <c r="AJ21" s="2" t="s">
        <v>55</v>
      </c>
      <c r="AK21" s="11">
        <v>1</v>
      </c>
      <c r="AL21" s="2">
        <v>1</v>
      </c>
      <c r="AM21" s="2">
        <v>1</v>
      </c>
      <c r="AN21" s="2">
        <f>COUNTIFS(AL21,"1",AM21,"1")</f>
        <v>1</v>
      </c>
      <c r="AO21" s="2">
        <f>COUNTIFS(AL21,"1",AM21,"0")</f>
        <v>0</v>
      </c>
      <c r="AP21" s="2">
        <f>COUNTIFS(AL21,"0",AM21,"1")</f>
        <v>0</v>
      </c>
      <c r="AQ21" s="2">
        <v>1</v>
      </c>
      <c r="AR21" s="2">
        <v>1</v>
      </c>
      <c r="AS21" s="5">
        <v>45406</v>
      </c>
      <c r="AT21" s="2">
        <v>0</v>
      </c>
      <c r="AU21" s="2">
        <v>0</v>
      </c>
      <c r="AV21" s="2">
        <f>AS21-B21</f>
        <v>4</v>
      </c>
      <c r="AW21" s="2">
        <v>1</v>
      </c>
      <c r="AX21" s="5">
        <v>45411</v>
      </c>
      <c r="AY21" s="2">
        <v>0</v>
      </c>
      <c r="AZ21" s="2">
        <v>0</v>
      </c>
      <c r="BA21" s="11">
        <v>1</v>
      </c>
      <c r="BB21" s="2">
        <v>0</v>
      </c>
      <c r="BC21" s="2">
        <v>1</v>
      </c>
      <c r="BD21" s="2">
        <f>SUM(I21:K21)</f>
        <v>0</v>
      </c>
      <c r="BE21" s="2">
        <v>0</v>
      </c>
      <c r="BF21" s="2">
        <f>COUNTIFS(AR21, "1",AW21, "1")</f>
        <v>1</v>
      </c>
      <c r="BG21" s="2" t="s">
        <v>94</v>
      </c>
    </row>
    <row r="22" spans="1:59">
      <c r="A22" s="2">
        <v>25</v>
      </c>
      <c r="B22" s="5">
        <v>45405</v>
      </c>
      <c r="C22" s="5">
        <v>45423</v>
      </c>
      <c r="D22" s="2">
        <f>C22-B22</f>
        <v>18</v>
      </c>
      <c r="E22" s="2">
        <v>66</v>
      </c>
      <c r="F22" s="2">
        <v>1</v>
      </c>
      <c r="G22" s="2">
        <v>2</v>
      </c>
      <c r="H22" s="2">
        <v>1</v>
      </c>
      <c r="I22" s="2">
        <v>0</v>
      </c>
      <c r="J22" s="2">
        <v>0</v>
      </c>
      <c r="K22" s="2">
        <v>0</v>
      </c>
      <c r="L22" s="2">
        <v>0</v>
      </c>
      <c r="M22" s="2">
        <v>0</v>
      </c>
      <c r="N22" s="2">
        <v>1</v>
      </c>
      <c r="O22" s="2" t="s">
        <v>63</v>
      </c>
      <c r="P22" t="s">
        <v>52</v>
      </c>
      <c r="Q22" s="2">
        <v>1</v>
      </c>
      <c r="R22" s="2">
        <v>0</v>
      </c>
      <c r="S22" s="2">
        <v>0</v>
      </c>
      <c r="T22" s="2">
        <v>0</v>
      </c>
      <c r="U22" s="2">
        <v>1</v>
      </c>
      <c r="V22" s="2">
        <v>4</v>
      </c>
      <c r="W22" s="5">
        <v>45405</v>
      </c>
      <c r="X22" s="5">
        <v>45408</v>
      </c>
      <c r="Y22" s="28">
        <f>X22-W22</f>
        <v>3</v>
      </c>
      <c r="Z22" s="2">
        <v>1</v>
      </c>
      <c r="AA22" s="2">
        <v>1</v>
      </c>
      <c r="AB22" s="2">
        <v>0</v>
      </c>
      <c r="AC22" s="2">
        <v>0</v>
      </c>
      <c r="AD22" s="2">
        <v>1</v>
      </c>
      <c r="AE22" s="2">
        <v>0</v>
      </c>
      <c r="AF22" s="2">
        <v>0</v>
      </c>
      <c r="AG22" s="2">
        <v>0</v>
      </c>
      <c r="AH22" s="2">
        <v>0</v>
      </c>
      <c r="AI22" s="2">
        <v>1</v>
      </c>
      <c r="AJ22" s="2" t="s">
        <v>55</v>
      </c>
      <c r="AK22" s="11">
        <v>1</v>
      </c>
      <c r="AL22" s="2">
        <v>0</v>
      </c>
      <c r="AM22" s="2">
        <v>1</v>
      </c>
      <c r="AN22" s="2">
        <f>COUNTIFS(AL22,"1",AM22,"1")</f>
        <v>0</v>
      </c>
      <c r="AO22" s="2">
        <f>COUNTIFS(AL22,"1",AM22,"0")</f>
        <v>0</v>
      </c>
      <c r="AP22" s="2">
        <f>COUNTIFS(AL22,"0",AM22,"1")</f>
        <v>1</v>
      </c>
      <c r="AQ22" s="2">
        <v>0</v>
      </c>
      <c r="AR22" s="2">
        <v>1</v>
      </c>
      <c r="AS22" s="5">
        <v>45411</v>
      </c>
      <c r="AT22" s="2">
        <v>0</v>
      </c>
      <c r="AU22" s="2">
        <v>0</v>
      </c>
      <c r="AV22" s="2">
        <f>AS22-B22</f>
        <v>6</v>
      </c>
      <c r="AW22" s="2">
        <v>0</v>
      </c>
      <c r="BA22" s="2">
        <v>0</v>
      </c>
      <c r="BB22" s="2">
        <v>0</v>
      </c>
      <c r="BC22" s="2">
        <f>SUM(I22:K22)</f>
        <v>0</v>
      </c>
      <c r="BD22" s="2">
        <f>SUM(I22:K22)</f>
        <v>0</v>
      </c>
      <c r="BE22" s="2">
        <v>1</v>
      </c>
      <c r="BF22" s="2">
        <f>COUNTIFS(AR22, "1",AW22, "1")</f>
        <v>0</v>
      </c>
      <c r="BG22" s="2" t="s">
        <v>95</v>
      </c>
    </row>
    <row r="23" spans="1:59">
      <c r="A23" s="2">
        <v>26</v>
      </c>
      <c r="B23" s="5">
        <v>45406</v>
      </c>
      <c r="C23" s="5">
        <v>45424</v>
      </c>
      <c r="D23" s="2">
        <f>C23-B23</f>
        <v>18</v>
      </c>
      <c r="E23" s="2">
        <v>59</v>
      </c>
      <c r="F23" s="2">
        <v>2</v>
      </c>
      <c r="G23" s="2">
        <v>2</v>
      </c>
      <c r="H23" s="2">
        <v>1</v>
      </c>
      <c r="I23" s="2">
        <v>0</v>
      </c>
      <c r="J23" s="2">
        <v>0</v>
      </c>
      <c r="K23" s="2">
        <v>0</v>
      </c>
      <c r="L23" s="2">
        <v>1</v>
      </c>
      <c r="M23" s="2">
        <v>0</v>
      </c>
      <c r="N23" s="2">
        <v>1</v>
      </c>
      <c r="O23" s="2" t="s">
        <v>70</v>
      </c>
      <c r="P23" t="s">
        <v>52</v>
      </c>
      <c r="Q23" s="2">
        <v>1</v>
      </c>
      <c r="R23" s="2">
        <v>0</v>
      </c>
      <c r="S23" s="2">
        <v>0</v>
      </c>
      <c r="T23" s="2">
        <v>0</v>
      </c>
      <c r="U23" s="2">
        <v>1</v>
      </c>
      <c r="V23" s="2">
        <v>3</v>
      </c>
      <c r="W23" s="5">
        <v>45406</v>
      </c>
      <c r="X23" s="5">
        <v>45409</v>
      </c>
      <c r="Y23" s="28">
        <f>X23-W23</f>
        <v>3</v>
      </c>
      <c r="Z23" s="2">
        <v>1</v>
      </c>
      <c r="AA23" s="2">
        <v>0</v>
      </c>
      <c r="AB23" s="2">
        <v>0</v>
      </c>
      <c r="AC23" s="2">
        <v>1</v>
      </c>
      <c r="AD23" s="2">
        <v>0</v>
      </c>
      <c r="AE23" s="2">
        <v>0</v>
      </c>
      <c r="AF23" s="2">
        <v>0</v>
      </c>
      <c r="AG23" s="2">
        <v>0</v>
      </c>
      <c r="AH23" s="2">
        <v>0</v>
      </c>
      <c r="AI23" s="2">
        <v>1</v>
      </c>
      <c r="AJ23" s="2" t="s">
        <v>55</v>
      </c>
      <c r="AK23" s="2">
        <v>1</v>
      </c>
      <c r="AL23" s="2">
        <v>1</v>
      </c>
      <c r="AM23" s="2">
        <v>1</v>
      </c>
      <c r="AN23" s="2">
        <f>COUNTIFS(AL23,"1",AM23,"1")</f>
        <v>1</v>
      </c>
      <c r="AO23" s="2">
        <f>COUNTIFS(AL23,"1",AM23,"0")</f>
        <v>0</v>
      </c>
      <c r="AP23" s="2">
        <f>COUNTIFS(AL23,"0",AM23,"1")</f>
        <v>0</v>
      </c>
      <c r="AQ23" s="2">
        <v>1</v>
      </c>
      <c r="AR23" s="2">
        <v>1</v>
      </c>
      <c r="AS23" s="5">
        <v>45415</v>
      </c>
      <c r="AT23" s="2">
        <v>1</v>
      </c>
      <c r="AU23" s="2">
        <v>0</v>
      </c>
      <c r="AV23" s="2">
        <f>AS23-B23</f>
        <v>9</v>
      </c>
      <c r="AW23" s="2">
        <v>0</v>
      </c>
      <c r="BA23" s="2">
        <v>0</v>
      </c>
      <c r="BB23" s="2">
        <v>1</v>
      </c>
      <c r="BC23" s="2">
        <v>1</v>
      </c>
      <c r="BD23" s="2">
        <f>SUM(I23:K23)</f>
        <v>0</v>
      </c>
      <c r="BE23" s="2">
        <v>1</v>
      </c>
      <c r="BF23" s="2">
        <f>COUNTIFS(AR23, "1",AW23, "1")</f>
        <v>0</v>
      </c>
      <c r="BG23" s="2" t="s">
        <v>96</v>
      </c>
    </row>
    <row r="24" spans="1:59">
      <c r="A24" s="8">
        <v>27</v>
      </c>
      <c r="B24" s="5">
        <v>45403</v>
      </c>
      <c r="C24" s="6">
        <v>45412</v>
      </c>
      <c r="D24" s="2">
        <f>C24-B24</f>
        <v>9</v>
      </c>
      <c r="E24" s="2">
        <v>72</v>
      </c>
      <c r="F24" s="2">
        <v>1</v>
      </c>
      <c r="G24" s="2">
        <v>2</v>
      </c>
      <c r="H24" s="2">
        <v>1</v>
      </c>
      <c r="I24" s="2">
        <v>0</v>
      </c>
      <c r="J24" s="2">
        <v>0</v>
      </c>
      <c r="K24" s="2">
        <v>0</v>
      </c>
      <c r="L24" s="2">
        <v>0</v>
      </c>
      <c r="M24" s="2">
        <v>0</v>
      </c>
      <c r="N24" s="2">
        <v>1</v>
      </c>
      <c r="O24" s="2" t="s">
        <v>97</v>
      </c>
      <c r="P24" t="s">
        <v>52</v>
      </c>
      <c r="Q24" s="2">
        <v>1</v>
      </c>
      <c r="R24" s="2">
        <v>0</v>
      </c>
      <c r="S24" s="2">
        <v>0</v>
      </c>
      <c r="T24" s="2">
        <v>0</v>
      </c>
      <c r="U24" s="2">
        <v>1</v>
      </c>
      <c r="V24" s="2">
        <v>2</v>
      </c>
      <c r="W24" s="5">
        <v>45407</v>
      </c>
      <c r="X24" s="5">
        <v>45409</v>
      </c>
      <c r="Y24" s="28">
        <f>X24-W24</f>
        <v>2</v>
      </c>
      <c r="Z24" s="2">
        <v>1</v>
      </c>
      <c r="AA24" s="2">
        <v>1</v>
      </c>
      <c r="AB24" s="2">
        <v>0</v>
      </c>
      <c r="AC24" s="2">
        <v>0</v>
      </c>
      <c r="AD24" s="2">
        <v>0</v>
      </c>
      <c r="AE24" s="2">
        <v>0</v>
      </c>
      <c r="AF24" s="2">
        <v>0</v>
      </c>
      <c r="AG24" s="2">
        <v>0</v>
      </c>
      <c r="AH24" s="2">
        <v>1</v>
      </c>
      <c r="AI24" s="2">
        <v>1</v>
      </c>
      <c r="AJ24" s="2" t="s">
        <v>55</v>
      </c>
      <c r="AK24" s="2">
        <v>1</v>
      </c>
      <c r="AL24" s="2">
        <v>1</v>
      </c>
      <c r="AM24" s="2">
        <v>1</v>
      </c>
      <c r="AN24" s="2">
        <f>COUNTIFS(AL24,"1",AM24,"1")</f>
        <v>1</v>
      </c>
      <c r="AO24" s="2">
        <f>COUNTIFS(AL24,"1",AM24,"0")</f>
        <v>0</v>
      </c>
      <c r="AP24" s="2">
        <f>COUNTIFS(AL24,"0",AM24,"1")</f>
        <v>0</v>
      </c>
      <c r="AQ24" s="2">
        <v>1</v>
      </c>
      <c r="AR24" s="2">
        <v>1</v>
      </c>
      <c r="AS24" s="5">
        <v>45408</v>
      </c>
      <c r="AT24" s="2">
        <v>0</v>
      </c>
      <c r="AU24" s="2">
        <v>0</v>
      </c>
      <c r="AV24" s="2">
        <f>AS24-B24</f>
        <v>5</v>
      </c>
      <c r="AW24" s="2">
        <v>0</v>
      </c>
      <c r="BA24" s="2">
        <v>0</v>
      </c>
      <c r="BB24" s="2">
        <v>0</v>
      </c>
      <c r="BC24" s="2">
        <v>1</v>
      </c>
      <c r="BD24" s="2">
        <f>SUM(I24:K24)</f>
        <v>0</v>
      </c>
      <c r="BE24" s="2">
        <v>0</v>
      </c>
      <c r="BF24" s="2">
        <f>COUNTIFS(AR24, "1",AW24, "1")</f>
        <v>0</v>
      </c>
      <c r="BG24" s="2" t="s">
        <v>98</v>
      </c>
    </row>
    <row r="25" spans="1:59">
      <c r="A25" s="2">
        <v>28</v>
      </c>
      <c r="B25" s="5">
        <v>45406</v>
      </c>
      <c r="C25" s="5">
        <v>45422</v>
      </c>
      <c r="D25" s="2">
        <f>C25-B25</f>
        <v>16</v>
      </c>
      <c r="E25" s="2">
        <v>71</v>
      </c>
      <c r="F25" s="2">
        <v>2</v>
      </c>
      <c r="G25" s="2">
        <v>2</v>
      </c>
      <c r="H25" s="2">
        <v>1</v>
      </c>
      <c r="I25" s="2">
        <v>0</v>
      </c>
      <c r="J25" s="2">
        <v>0</v>
      </c>
      <c r="K25" s="2">
        <v>0</v>
      </c>
      <c r="L25" s="2">
        <v>0</v>
      </c>
      <c r="M25" s="2">
        <v>0</v>
      </c>
      <c r="N25" s="2">
        <v>1</v>
      </c>
      <c r="O25" s="2" t="s">
        <v>99</v>
      </c>
      <c r="P25" t="s">
        <v>52</v>
      </c>
      <c r="Q25" s="2">
        <v>1</v>
      </c>
      <c r="R25" s="2">
        <v>0</v>
      </c>
      <c r="S25" s="2">
        <v>0</v>
      </c>
      <c r="T25" s="2">
        <v>0</v>
      </c>
      <c r="U25" s="2">
        <v>1</v>
      </c>
      <c r="V25" s="2">
        <v>2</v>
      </c>
      <c r="W25" s="5">
        <v>45409</v>
      </c>
      <c r="X25" s="5">
        <v>45410</v>
      </c>
      <c r="Y25" s="28">
        <f>X25-W25</f>
        <v>1</v>
      </c>
      <c r="Z25" s="2">
        <v>1</v>
      </c>
      <c r="AA25" s="2">
        <v>1</v>
      </c>
      <c r="AB25" s="2">
        <v>0</v>
      </c>
      <c r="AC25" s="2">
        <v>0</v>
      </c>
      <c r="AD25" s="2">
        <v>1</v>
      </c>
      <c r="AE25" s="2">
        <v>0</v>
      </c>
      <c r="AF25" s="2">
        <v>0</v>
      </c>
      <c r="AG25" s="2">
        <v>0</v>
      </c>
      <c r="AH25" s="2">
        <v>1</v>
      </c>
      <c r="AI25" s="2">
        <v>1</v>
      </c>
      <c r="AJ25" s="2" t="s">
        <v>79</v>
      </c>
      <c r="AK25" s="2">
        <v>1</v>
      </c>
      <c r="AL25" s="2">
        <v>1</v>
      </c>
      <c r="AM25" s="2">
        <v>1</v>
      </c>
      <c r="AN25" s="2">
        <f>COUNTIFS(AL25,"1",AM25,"1")</f>
        <v>1</v>
      </c>
      <c r="AO25" s="2">
        <f>COUNTIFS(AL25,"1",AM25,"0")</f>
        <v>0</v>
      </c>
      <c r="AP25" s="2">
        <f>COUNTIFS(AL25,"0",AM25,"1")</f>
        <v>0</v>
      </c>
      <c r="AQ25" s="2">
        <v>1</v>
      </c>
      <c r="AR25" s="2">
        <v>1</v>
      </c>
      <c r="AS25" s="5">
        <v>45414</v>
      </c>
      <c r="AT25" s="2">
        <v>0</v>
      </c>
      <c r="AU25" s="2">
        <v>0</v>
      </c>
      <c r="AV25" s="2">
        <f>AS25-B25</f>
        <v>8</v>
      </c>
      <c r="AW25" s="2">
        <v>0</v>
      </c>
      <c r="BA25" s="2">
        <v>0</v>
      </c>
      <c r="BB25" s="2">
        <v>0</v>
      </c>
      <c r="BC25" s="2">
        <v>1</v>
      </c>
      <c r="BD25" s="2">
        <f>SUM(I25:K25)</f>
        <v>0</v>
      </c>
      <c r="BE25" s="2">
        <v>0</v>
      </c>
      <c r="BF25" s="2">
        <f>COUNTIFS(AR25, "1",AW25, "1")</f>
        <v>0</v>
      </c>
      <c r="BG25" s="2" t="s">
        <v>100</v>
      </c>
    </row>
    <row r="26" spans="1:59">
      <c r="A26" s="2">
        <v>29</v>
      </c>
      <c r="B26" s="5">
        <v>45347</v>
      </c>
      <c r="C26" s="5">
        <v>45454</v>
      </c>
      <c r="D26" s="2">
        <f>C26-B26</f>
        <v>107</v>
      </c>
      <c r="E26" s="2">
        <v>54</v>
      </c>
      <c r="F26" s="2">
        <v>1</v>
      </c>
      <c r="G26" s="2">
        <v>3</v>
      </c>
      <c r="H26" s="2">
        <v>0</v>
      </c>
      <c r="I26" s="2">
        <v>0</v>
      </c>
      <c r="J26" s="2">
        <v>0</v>
      </c>
      <c r="K26" s="2">
        <v>0</v>
      </c>
      <c r="L26" s="2">
        <v>0</v>
      </c>
      <c r="M26" s="2">
        <v>0</v>
      </c>
      <c r="N26" s="2">
        <v>0</v>
      </c>
      <c r="P26" t="s">
        <v>47</v>
      </c>
      <c r="Q26" s="2">
        <v>1</v>
      </c>
      <c r="R26" s="2">
        <v>0</v>
      </c>
      <c r="S26" s="2">
        <v>0</v>
      </c>
      <c r="T26" s="2">
        <v>0</v>
      </c>
      <c r="U26" s="2">
        <v>1</v>
      </c>
      <c r="V26" s="2">
        <v>4</v>
      </c>
      <c r="W26" s="5">
        <v>45407</v>
      </c>
      <c r="X26" s="5">
        <v>45410</v>
      </c>
      <c r="Y26" s="28">
        <f>X26-W26</f>
        <v>3</v>
      </c>
      <c r="Z26" s="2">
        <v>1</v>
      </c>
      <c r="AA26" s="2">
        <v>0</v>
      </c>
      <c r="AB26" s="2">
        <v>1</v>
      </c>
      <c r="AC26" s="2">
        <v>0</v>
      </c>
      <c r="AD26" s="2">
        <v>0</v>
      </c>
      <c r="AE26" s="2">
        <v>0</v>
      </c>
      <c r="AF26" s="2">
        <v>0</v>
      </c>
      <c r="AG26" s="2">
        <v>0</v>
      </c>
      <c r="AH26" s="2">
        <v>0</v>
      </c>
      <c r="AI26" s="2">
        <v>1</v>
      </c>
      <c r="AJ26" s="2" t="s">
        <v>91</v>
      </c>
      <c r="AK26" s="2">
        <v>1</v>
      </c>
      <c r="AL26" s="2">
        <v>1</v>
      </c>
      <c r="AM26" s="2">
        <v>0</v>
      </c>
      <c r="AN26" s="2">
        <f>COUNTIFS(AL26,"1",AM26,"1")</f>
        <v>0</v>
      </c>
      <c r="AO26" s="2">
        <f>COUNTIFS(AL26,"1",AM26,"0")</f>
        <v>1</v>
      </c>
      <c r="AP26" s="2">
        <f>COUNTIFS(AL26,"0",AM26,"1")</f>
        <v>0</v>
      </c>
      <c r="AQ26" s="2">
        <v>1</v>
      </c>
      <c r="AR26" s="2">
        <v>1</v>
      </c>
      <c r="AS26" s="5">
        <v>45411</v>
      </c>
      <c r="AT26" s="2">
        <v>0</v>
      </c>
      <c r="AU26" s="2">
        <v>0</v>
      </c>
      <c r="AV26" s="2">
        <f>AS26-B26</f>
        <v>64</v>
      </c>
      <c r="AW26" s="2">
        <v>0</v>
      </c>
      <c r="BA26" s="2">
        <v>0</v>
      </c>
      <c r="BB26" s="2">
        <v>0</v>
      </c>
      <c r="BC26" s="2">
        <v>1</v>
      </c>
      <c r="BD26" s="2">
        <f>SUM(I26:K26)</f>
        <v>0</v>
      </c>
      <c r="BE26" s="2">
        <v>1</v>
      </c>
      <c r="BF26" s="2">
        <f>COUNTIFS(AR26, "1",AW26, "1")</f>
        <v>0</v>
      </c>
      <c r="BG26" s="2" t="s">
        <v>101</v>
      </c>
    </row>
    <row r="27" spans="1:59">
      <c r="A27" s="2">
        <v>30</v>
      </c>
      <c r="B27" s="5">
        <v>45351</v>
      </c>
      <c r="C27" s="5">
        <v>45379</v>
      </c>
      <c r="D27" s="2">
        <f>C27-B27</f>
        <v>28</v>
      </c>
      <c r="E27" s="2">
        <v>28</v>
      </c>
      <c r="F27" s="2">
        <v>2</v>
      </c>
      <c r="G27" s="2">
        <v>2</v>
      </c>
      <c r="H27" s="2">
        <v>1</v>
      </c>
      <c r="I27" s="2">
        <v>1</v>
      </c>
      <c r="J27" s="2">
        <v>0</v>
      </c>
      <c r="K27" s="2">
        <v>0</v>
      </c>
      <c r="L27" s="2">
        <v>0</v>
      </c>
      <c r="M27" s="2">
        <v>0</v>
      </c>
      <c r="N27" s="2">
        <v>0</v>
      </c>
      <c r="P27" t="s">
        <v>47</v>
      </c>
      <c r="Q27" s="2">
        <v>1</v>
      </c>
      <c r="R27" s="2">
        <v>0</v>
      </c>
      <c r="S27" s="2">
        <v>0</v>
      </c>
      <c r="T27" s="2">
        <v>0</v>
      </c>
      <c r="U27" s="2">
        <v>1</v>
      </c>
      <c r="V27" s="2">
        <v>3</v>
      </c>
      <c r="W27" s="5">
        <v>45351</v>
      </c>
      <c r="X27" s="5">
        <v>45353</v>
      </c>
      <c r="Y27" s="28">
        <f>X27-W27</f>
        <v>2</v>
      </c>
      <c r="Z27" s="2">
        <v>1</v>
      </c>
      <c r="AA27" s="2">
        <v>0</v>
      </c>
      <c r="AB27" s="2">
        <v>0</v>
      </c>
      <c r="AC27" s="2">
        <v>0</v>
      </c>
      <c r="AD27" s="2">
        <v>0</v>
      </c>
      <c r="AE27" s="2">
        <v>0</v>
      </c>
      <c r="AF27" s="2">
        <v>1</v>
      </c>
      <c r="AG27" s="2">
        <v>0</v>
      </c>
      <c r="AH27" s="2">
        <v>0</v>
      </c>
      <c r="AI27" s="2">
        <v>1</v>
      </c>
      <c r="AJ27" s="2" t="s">
        <v>91</v>
      </c>
      <c r="AK27" s="2">
        <v>1</v>
      </c>
      <c r="AL27" s="2">
        <v>1</v>
      </c>
      <c r="AM27" s="2">
        <v>0</v>
      </c>
      <c r="AN27" s="2">
        <f>COUNTIFS(AL27,"1",AM27,"1")</f>
        <v>0</v>
      </c>
      <c r="AO27" s="2">
        <f>COUNTIFS(AL27,"1",AM27,"0")</f>
        <v>1</v>
      </c>
      <c r="AP27" s="2">
        <f>COUNTIFS(AL27,"0",AM27,"1")</f>
        <v>0</v>
      </c>
      <c r="AQ27" s="2">
        <v>1</v>
      </c>
      <c r="AR27" s="2">
        <v>1</v>
      </c>
      <c r="AS27" s="5">
        <v>45352</v>
      </c>
      <c r="AT27" s="2">
        <v>0</v>
      </c>
      <c r="AU27" s="2">
        <v>1</v>
      </c>
      <c r="AV27" s="2">
        <f>AS27-B27</f>
        <v>1</v>
      </c>
      <c r="AW27" s="2">
        <v>1</v>
      </c>
      <c r="AX27" s="5">
        <v>45365</v>
      </c>
      <c r="AY27" s="2">
        <v>0</v>
      </c>
      <c r="AZ27" s="2">
        <v>1</v>
      </c>
      <c r="BA27" s="2">
        <v>0</v>
      </c>
      <c r="BB27" s="2">
        <v>0</v>
      </c>
      <c r="BC27" s="2">
        <f>SUM(I27:K27)</f>
        <v>1</v>
      </c>
      <c r="BD27" s="2">
        <f>SUM(I27:K27)</f>
        <v>1</v>
      </c>
      <c r="BE27" s="2">
        <v>0</v>
      </c>
      <c r="BF27" s="2">
        <f>COUNTIFS(AR27, "1",AW27, "1")</f>
        <v>1</v>
      </c>
      <c r="BG27" s="2" t="s">
        <v>102</v>
      </c>
    </row>
    <row r="28" spans="1:59">
      <c r="A28" s="8">
        <v>31</v>
      </c>
      <c r="B28" s="5">
        <v>45343</v>
      </c>
      <c r="C28" s="6">
        <v>45368</v>
      </c>
      <c r="D28" s="2">
        <f>C28-B28</f>
        <v>25</v>
      </c>
      <c r="E28" s="2">
        <v>82</v>
      </c>
      <c r="F28" s="2">
        <v>1</v>
      </c>
      <c r="G28" s="2">
        <v>2</v>
      </c>
      <c r="H28" s="2">
        <v>1</v>
      </c>
      <c r="I28" s="2">
        <v>0</v>
      </c>
      <c r="J28" s="2">
        <v>0</v>
      </c>
      <c r="K28" s="2">
        <v>0</v>
      </c>
      <c r="L28" s="2">
        <v>1</v>
      </c>
      <c r="M28" s="2">
        <v>0</v>
      </c>
      <c r="N28" s="2">
        <v>1</v>
      </c>
      <c r="O28" s="2" t="s">
        <v>103</v>
      </c>
      <c r="P28" t="s">
        <v>52</v>
      </c>
      <c r="Q28" s="2">
        <v>1</v>
      </c>
      <c r="R28" s="2">
        <v>0</v>
      </c>
      <c r="S28" s="2">
        <v>0</v>
      </c>
      <c r="T28" s="2">
        <v>0</v>
      </c>
      <c r="U28" s="2">
        <v>1</v>
      </c>
      <c r="V28" s="2">
        <v>2</v>
      </c>
      <c r="W28" s="5">
        <v>45351</v>
      </c>
      <c r="X28" s="5">
        <v>45352</v>
      </c>
      <c r="Y28" s="28">
        <f>X28-W28</f>
        <v>1</v>
      </c>
      <c r="Z28" s="2">
        <v>1</v>
      </c>
      <c r="AA28" s="2">
        <v>0</v>
      </c>
      <c r="AB28" s="2">
        <v>0</v>
      </c>
      <c r="AC28" s="2">
        <v>1</v>
      </c>
      <c r="AD28" s="2">
        <v>0</v>
      </c>
      <c r="AE28" s="2">
        <v>0</v>
      </c>
      <c r="AF28" s="2">
        <v>0</v>
      </c>
      <c r="AG28" s="2">
        <v>1</v>
      </c>
      <c r="AH28" s="2">
        <v>0</v>
      </c>
      <c r="AI28" s="2">
        <v>1</v>
      </c>
      <c r="AJ28" s="2" t="s">
        <v>91</v>
      </c>
      <c r="AK28" s="2">
        <v>1</v>
      </c>
      <c r="AL28" s="2">
        <v>0</v>
      </c>
      <c r="AM28" s="2">
        <v>1</v>
      </c>
      <c r="AN28" s="2">
        <f>COUNTIFS(AL28,"1",AM28,"1")</f>
        <v>0</v>
      </c>
      <c r="AO28" s="2">
        <f>COUNTIFS(AL28,"1",AM28,"0")</f>
        <v>0</v>
      </c>
      <c r="AP28" s="2">
        <f>COUNTIFS(AL28,"0",AM28,"1")</f>
        <v>1</v>
      </c>
      <c r="AQ28" s="2">
        <v>0</v>
      </c>
      <c r="AR28" s="2">
        <v>1</v>
      </c>
      <c r="AS28" s="5">
        <v>45352</v>
      </c>
      <c r="AT28" s="2">
        <v>0</v>
      </c>
      <c r="AU28" s="2">
        <v>1</v>
      </c>
      <c r="AV28" s="2">
        <f>AS28-B28</f>
        <v>9</v>
      </c>
      <c r="AW28" s="2">
        <v>0</v>
      </c>
      <c r="BA28" s="2">
        <v>0</v>
      </c>
      <c r="BB28" s="2">
        <v>0</v>
      </c>
      <c r="BC28" s="2">
        <v>1</v>
      </c>
      <c r="BD28" s="2">
        <v>1</v>
      </c>
      <c r="BE28" s="2">
        <v>1</v>
      </c>
      <c r="BF28" s="2">
        <f>COUNTIFS(AR28, "1",AW28, "1")</f>
        <v>0</v>
      </c>
      <c r="BG28" s="2" t="s">
        <v>289</v>
      </c>
    </row>
    <row r="29" spans="1:59">
      <c r="A29" s="2">
        <v>32</v>
      </c>
      <c r="B29" s="5">
        <v>45355</v>
      </c>
      <c r="C29" s="5">
        <v>45378</v>
      </c>
      <c r="D29" s="2">
        <f>C29-B29</f>
        <v>23</v>
      </c>
      <c r="E29" s="2">
        <v>79</v>
      </c>
      <c r="F29" s="2">
        <v>2</v>
      </c>
      <c r="G29" s="2">
        <v>2</v>
      </c>
      <c r="H29" s="2">
        <v>1</v>
      </c>
      <c r="I29" s="2">
        <v>0</v>
      </c>
      <c r="J29" s="2">
        <v>0</v>
      </c>
      <c r="K29" s="2">
        <v>0</v>
      </c>
      <c r="L29" s="2">
        <v>0</v>
      </c>
      <c r="M29" s="2">
        <v>0</v>
      </c>
      <c r="N29" s="2">
        <v>1</v>
      </c>
      <c r="O29" s="2" t="s">
        <v>106</v>
      </c>
      <c r="P29" t="s">
        <v>47</v>
      </c>
      <c r="Q29" s="2">
        <v>1</v>
      </c>
      <c r="R29" s="2">
        <v>0</v>
      </c>
      <c r="S29" s="2">
        <v>0</v>
      </c>
      <c r="T29" s="2">
        <v>0</v>
      </c>
      <c r="U29" s="2">
        <v>1</v>
      </c>
      <c r="V29" s="2">
        <v>5</v>
      </c>
      <c r="W29" s="5">
        <v>45355</v>
      </c>
      <c r="X29" s="5">
        <v>45359</v>
      </c>
      <c r="Y29" s="28">
        <f>X29-W29</f>
        <v>4</v>
      </c>
      <c r="Z29" s="2">
        <v>0</v>
      </c>
      <c r="AA29" s="2">
        <v>0</v>
      </c>
      <c r="AB29" s="2">
        <v>0</v>
      </c>
      <c r="AC29" s="2">
        <v>0</v>
      </c>
      <c r="AD29" s="2">
        <v>0</v>
      </c>
      <c r="AE29" s="2">
        <v>0</v>
      </c>
      <c r="AF29" s="2">
        <v>0</v>
      </c>
      <c r="AG29" s="2">
        <v>0</v>
      </c>
      <c r="AH29" s="2">
        <v>0</v>
      </c>
      <c r="AI29" s="2">
        <v>1</v>
      </c>
      <c r="AJ29" s="2" t="s">
        <v>48</v>
      </c>
      <c r="AK29" s="2">
        <v>1</v>
      </c>
      <c r="AL29" s="2">
        <v>1</v>
      </c>
      <c r="AM29" s="2">
        <v>1</v>
      </c>
      <c r="AN29" s="2">
        <f>COUNTIFS(AL29,"1",AM29,"1")</f>
        <v>1</v>
      </c>
      <c r="AO29" s="2">
        <f>COUNTIFS(AL29,"1",AM29,"0")</f>
        <v>0</v>
      </c>
      <c r="AP29" s="2">
        <f>COUNTIFS(AL29,"0",AM29,"1")</f>
        <v>0</v>
      </c>
      <c r="AQ29" s="2">
        <v>1</v>
      </c>
      <c r="AR29" s="2">
        <v>1</v>
      </c>
      <c r="AS29" s="5">
        <v>45357</v>
      </c>
      <c r="AT29" s="2">
        <v>0</v>
      </c>
      <c r="AU29" s="2">
        <v>0</v>
      </c>
      <c r="AV29" s="2">
        <f>AS29-B29</f>
        <v>2</v>
      </c>
      <c r="AW29" s="2">
        <v>1</v>
      </c>
      <c r="AX29" s="5">
        <v>45364</v>
      </c>
      <c r="AY29" s="2">
        <v>0</v>
      </c>
      <c r="AZ29" s="2">
        <v>0</v>
      </c>
      <c r="BA29" s="2">
        <v>0</v>
      </c>
      <c r="BB29" s="2">
        <v>0</v>
      </c>
      <c r="BC29" s="2">
        <v>1</v>
      </c>
      <c r="BD29" s="2">
        <f>SUM(I29:K29)</f>
        <v>0</v>
      </c>
      <c r="BE29" s="2">
        <v>0</v>
      </c>
      <c r="BF29" s="2">
        <f>COUNTIFS(AR29, "1",AW29, "1")</f>
        <v>1</v>
      </c>
      <c r="BG29" s="2" t="s">
        <v>107</v>
      </c>
    </row>
    <row r="30" spans="1:59">
      <c r="A30" s="8">
        <v>33</v>
      </c>
      <c r="B30" s="5">
        <v>45356</v>
      </c>
      <c r="C30" s="6">
        <v>45383</v>
      </c>
      <c r="D30" s="2">
        <f>C30-B30</f>
        <v>27</v>
      </c>
      <c r="E30" s="2">
        <v>77</v>
      </c>
      <c r="F30" s="2">
        <v>2</v>
      </c>
      <c r="G30" s="2">
        <v>3</v>
      </c>
      <c r="H30" s="2">
        <v>1</v>
      </c>
      <c r="I30" s="2">
        <v>0</v>
      </c>
      <c r="J30" s="2">
        <v>0</v>
      </c>
      <c r="K30" s="2">
        <v>1</v>
      </c>
      <c r="L30" s="2">
        <v>0</v>
      </c>
      <c r="M30" s="2">
        <v>0</v>
      </c>
      <c r="N30" s="2">
        <v>1</v>
      </c>
      <c r="O30" s="2" t="s">
        <v>108</v>
      </c>
      <c r="P30" t="s">
        <v>52</v>
      </c>
      <c r="Q30" s="2">
        <v>1</v>
      </c>
      <c r="R30" s="2">
        <v>0</v>
      </c>
      <c r="S30" s="2">
        <v>0</v>
      </c>
      <c r="T30" s="2">
        <v>0</v>
      </c>
      <c r="U30" s="2">
        <v>1</v>
      </c>
      <c r="V30" s="2">
        <v>3</v>
      </c>
      <c r="W30" s="5">
        <v>45364</v>
      </c>
      <c r="X30" s="5">
        <v>45366</v>
      </c>
      <c r="Y30" s="28">
        <f>X30-W30</f>
        <v>2</v>
      </c>
      <c r="Z30" s="2">
        <v>0</v>
      </c>
      <c r="AA30" s="2">
        <v>0</v>
      </c>
      <c r="AB30" s="2">
        <v>0</v>
      </c>
      <c r="AC30" s="2">
        <v>0</v>
      </c>
      <c r="AD30" s="2">
        <v>0</v>
      </c>
      <c r="AE30" s="2">
        <v>0</v>
      </c>
      <c r="AF30" s="2">
        <v>0</v>
      </c>
      <c r="AG30" s="2">
        <v>0</v>
      </c>
      <c r="AH30" s="2">
        <v>0</v>
      </c>
      <c r="AI30" s="2">
        <v>1</v>
      </c>
      <c r="AJ30" s="2" t="s">
        <v>55</v>
      </c>
      <c r="AK30" s="2">
        <v>1</v>
      </c>
      <c r="AL30" s="2">
        <v>0</v>
      </c>
      <c r="AM30" s="2">
        <v>1</v>
      </c>
      <c r="AN30" s="2">
        <f>COUNTIFS(AL30,"1",AM30,"1")</f>
        <v>0</v>
      </c>
      <c r="AO30" s="2">
        <f>COUNTIFS(AL30,"1",AM30,"0")</f>
        <v>0</v>
      </c>
      <c r="AP30" s="2">
        <f>COUNTIFS(AL30,"0",AM30,"1")</f>
        <v>1</v>
      </c>
      <c r="AQ30" s="2">
        <v>1</v>
      </c>
      <c r="AR30" s="2">
        <v>1</v>
      </c>
      <c r="AS30" s="5">
        <v>45365</v>
      </c>
      <c r="AT30" s="2">
        <v>0</v>
      </c>
      <c r="AU30" s="2">
        <v>0</v>
      </c>
      <c r="AV30" s="2">
        <f>AS30-B30</f>
        <v>9</v>
      </c>
      <c r="AW30" s="2">
        <v>1</v>
      </c>
      <c r="AX30" s="5">
        <v>45366</v>
      </c>
      <c r="AY30" s="2">
        <v>1</v>
      </c>
      <c r="AZ30" s="2">
        <v>0</v>
      </c>
      <c r="BA30" s="2">
        <v>0</v>
      </c>
      <c r="BB30" s="2">
        <v>1</v>
      </c>
      <c r="BC30" s="2">
        <f>SUM(I30:K30)</f>
        <v>1</v>
      </c>
      <c r="BD30" s="2">
        <f>SUM(I30:K30)</f>
        <v>1</v>
      </c>
      <c r="BE30" s="2">
        <v>0</v>
      </c>
      <c r="BF30" s="2">
        <f>COUNTIFS(AR30, "1",AW30, "1")</f>
        <v>1</v>
      </c>
      <c r="BG30" s="2" t="s">
        <v>109</v>
      </c>
    </row>
    <row r="31" spans="1:59">
      <c r="A31" s="2">
        <v>34</v>
      </c>
      <c r="B31" s="5">
        <v>45364</v>
      </c>
      <c r="C31" s="5">
        <v>45377</v>
      </c>
      <c r="D31" s="2">
        <f>C31-B31</f>
        <v>13</v>
      </c>
      <c r="E31" s="2">
        <v>95</v>
      </c>
      <c r="F31" s="2">
        <v>2</v>
      </c>
      <c r="G31" s="2">
        <v>4</v>
      </c>
      <c r="H31" s="2">
        <v>0</v>
      </c>
      <c r="I31" s="2">
        <v>0</v>
      </c>
      <c r="J31" s="2">
        <v>0</v>
      </c>
      <c r="K31" s="2">
        <v>0</v>
      </c>
      <c r="L31" s="2">
        <v>0</v>
      </c>
      <c r="M31" s="2">
        <v>0</v>
      </c>
      <c r="N31" s="2">
        <v>0</v>
      </c>
      <c r="P31" t="s">
        <v>52</v>
      </c>
      <c r="Q31" s="2">
        <v>1</v>
      </c>
      <c r="R31" s="2">
        <v>0</v>
      </c>
      <c r="S31" s="2">
        <v>0</v>
      </c>
      <c r="T31" s="2">
        <v>0</v>
      </c>
      <c r="U31" s="2">
        <v>1</v>
      </c>
      <c r="V31" s="2">
        <v>5</v>
      </c>
      <c r="W31" s="5">
        <v>45364</v>
      </c>
      <c r="X31" s="5">
        <v>45368</v>
      </c>
      <c r="Y31" s="28">
        <f>X31-W31</f>
        <v>4</v>
      </c>
      <c r="Z31" s="2">
        <v>1</v>
      </c>
      <c r="AA31" s="2">
        <v>0</v>
      </c>
      <c r="AB31" s="2">
        <v>0</v>
      </c>
      <c r="AC31" s="2">
        <v>0</v>
      </c>
      <c r="AD31" s="2">
        <v>0</v>
      </c>
      <c r="AE31" s="2">
        <v>0</v>
      </c>
      <c r="AF31" s="2">
        <v>0</v>
      </c>
      <c r="AG31" s="2">
        <v>0</v>
      </c>
      <c r="AH31" s="2">
        <v>1</v>
      </c>
      <c r="AI31" s="2">
        <v>1</v>
      </c>
      <c r="AJ31" s="2" t="s">
        <v>55</v>
      </c>
      <c r="AK31" s="2">
        <v>1</v>
      </c>
      <c r="AL31" s="2">
        <v>1</v>
      </c>
      <c r="AM31" s="2">
        <v>1</v>
      </c>
      <c r="AN31" s="2">
        <f>COUNTIFS(AL31,"1",AM31,"1")</f>
        <v>1</v>
      </c>
      <c r="AO31" s="2">
        <f>COUNTIFS(AL31,"1",AM31,"0")</f>
        <v>0</v>
      </c>
      <c r="AP31" s="2">
        <f>COUNTIFS(AL31,"0",AM31,"1")</f>
        <v>0</v>
      </c>
      <c r="AQ31" s="2">
        <v>1</v>
      </c>
      <c r="AR31" s="2">
        <v>1</v>
      </c>
      <c r="AS31" s="5">
        <v>45366</v>
      </c>
      <c r="AT31" s="2">
        <v>0</v>
      </c>
      <c r="AU31" s="2">
        <v>0</v>
      </c>
      <c r="AV31" s="2">
        <f>AS31-B31</f>
        <v>2</v>
      </c>
      <c r="AW31" s="2">
        <v>0</v>
      </c>
      <c r="BA31" s="2">
        <v>0</v>
      </c>
      <c r="BB31" s="2">
        <v>0</v>
      </c>
      <c r="BC31" s="2">
        <v>1</v>
      </c>
      <c r="BD31" s="2">
        <f>SUM(I31:K31)</f>
        <v>0</v>
      </c>
      <c r="BE31" s="2">
        <v>0</v>
      </c>
      <c r="BF31" s="2">
        <f>COUNTIFS(AR31, "1",AW31, "1")</f>
        <v>0</v>
      </c>
      <c r="BG31" s="2" t="s">
        <v>110</v>
      </c>
    </row>
    <row r="32" spans="1:59">
      <c r="A32" s="2">
        <v>35</v>
      </c>
      <c r="B32" s="5">
        <v>45390</v>
      </c>
      <c r="C32" s="5">
        <v>45425</v>
      </c>
      <c r="D32" s="2">
        <f>C32-B32</f>
        <v>35</v>
      </c>
      <c r="E32" s="2">
        <v>42</v>
      </c>
      <c r="F32" s="2">
        <v>2</v>
      </c>
      <c r="G32" s="2">
        <v>4</v>
      </c>
      <c r="H32" s="2">
        <v>1</v>
      </c>
      <c r="I32" s="2">
        <v>1</v>
      </c>
      <c r="J32" s="2">
        <v>0</v>
      </c>
      <c r="K32" s="2">
        <v>0</v>
      </c>
      <c r="L32" s="2">
        <v>0</v>
      </c>
      <c r="M32" s="2">
        <v>0</v>
      </c>
      <c r="N32" s="2">
        <v>0</v>
      </c>
      <c r="P32" t="s">
        <v>47</v>
      </c>
      <c r="Q32" s="2">
        <v>1</v>
      </c>
      <c r="R32" s="2">
        <v>0</v>
      </c>
      <c r="S32" s="2">
        <v>0</v>
      </c>
      <c r="T32" s="2">
        <v>0</v>
      </c>
      <c r="U32" s="2">
        <v>1</v>
      </c>
      <c r="V32" s="11">
        <v>5</v>
      </c>
      <c r="W32" s="5">
        <v>45393</v>
      </c>
      <c r="X32" s="5">
        <v>45398</v>
      </c>
      <c r="Y32" s="28">
        <f>X32-W32</f>
        <v>5</v>
      </c>
      <c r="Z32" s="2">
        <v>1</v>
      </c>
      <c r="AA32" s="2">
        <v>1</v>
      </c>
      <c r="AB32" s="2">
        <v>1</v>
      </c>
      <c r="AC32" s="2">
        <v>0</v>
      </c>
      <c r="AD32" s="2">
        <v>0</v>
      </c>
      <c r="AE32" s="2">
        <v>0</v>
      </c>
      <c r="AF32" s="2">
        <v>0</v>
      </c>
      <c r="AG32" s="2">
        <v>0</v>
      </c>
      <c r="AH32" s="2">
        <v>0</v>
      </c>
      <c r="AI32" s="2">
        <v>1</v>
      </c>
      <c r="AJ32" s="2" t="s">
        <v>48</v>
      </c>
      <c r="AK32" s="2">
        <v>1</v>
      </c>
      <c r="AL32" s="2">
        <v>1</v>
      </c>
      <c r="AM32" s="2">
        <v>0</v>
      </c>
      <c r="AN32" s="2">
        <f>COUNTIFS(AL32,"1",AM32,"1")</f>
        <v>0</v>
      </c>
      <c r="AO32" s="2">
        <f>COUNTIFS(AL32,"1",AM32,"0")</f>
        <v>1</v>
      </c>
      <c r="AP32" s="2">
        <f>COUNTIFS(AL32,"0",AM32,"1")</f>
        <v>0</v>
      </c>
      <c r="AQ32" s="2">
        <v>1</v>
      </c>
      <c r="AR32" s="2">
        <v>1</v>
      </c>
      <c r="AS32" s="5">
        <v>45397</v>
      </c>
      <c r="AT32" s="2">
        <v>0</v>
      </c>
      <c r="AU32" s="2">
        <v>0</v>
      </c>
      <c r="AV32" s="2">
        <f>AS32-B32</f>
        <v>7</v>
      </c>
      <c r="AW32" s="2">
        <v>1</v>
      </c>
      <c r="AX32" s="5">
        <v>45397</v>
      </c>
      <c r="AY32" s="2">
        <v>0</v>
      </c>
      <c r="AZ32" s="2">
        <v>0</v>
      </c>
      <c r="BA32" s="2">
        <v>0</v>
      </c>
      <c r="BB32" s="2">
        <v>0</v>
      </c>
      <c r="BC32" s="2">
        <f>SUM(I32:K32)</f>
        <v>1</v>
      </c>
      <c r="BD32" s="2">
        <f>SUM(I32:K32)</f>
        <v>1</v>
      </c>
      <c r="BE32" s="2">
        <v>0</v>
      </c>
      <c r="BF32" s="2">
        <f>COUNTIFS(AR32, "1",AW32, "1")</f>
        <v>1</v>
      </c>
      <c r="BG32" s="2" t="s">
        <v>111</v>
      </c>
    </row>
    <row r="33" spans="1:59">
      <c r="A33" s="8">
        <v>36</v>
      </c>
      <c r="B33" s="5">
        <v>45378</v>
      </c>
      <c r="C33" s="6">
        <v>45380</v>
      </c>
      <c r="D33" s="2">
        <f>C33-B33</f>
        <v>2</v>
      </c>
      <c r="E33" s="2">
        <v>64</v>
      </c>
      <c r="F33" s="2">
        <v>2</v>
      </c>
      <c r="G33" s="2">
        <v>2</v>
      </c>
      <c r="H33" s="2">
        <v>1</v>
      </c>
      <c r="I33" s="2">
        <v>0</v>
      </c>
      <c r="J33" s="2">
        <v>0</v>
      </c>
      <c r="K33" s="2">
        <v>0</v>
      </c>
      <c r="L33" s="2">
        <v>0</v>
      </c>
      <c r="M33" s="2">
        <v>0</v>
      </c>
      <c r="N33" s="2">
        <v>1</v>
      </c>
      <c r="O33" s="2" t="s">
        <v>63</v>
      </c>
      <c r="P33" t="s">
        <v>52</v>
      </c>
      <c r="Q33" s="2">
        <v>1</v>
      </c>
      <c r="R33" s="2">
        <v>0</v>
      </c>
      <c r="S33" s="2">
        <v>0</v>
      </c>
      <c r="T33" s="2">
        <v>0</v>
      </c>
      <c r="U33" s="2">
        <v>1</v>
      </c>
      <c r="V33" s="2">
        <v>3</v>
      </c>
      <c r="W33" s="5">
        <v>45378</v>
      </c>
      <c r="X33" s="5">
        <v>45379</v>
      </c>
      <c r="Y33" s="28">
        <f>X33-W33</f>
        <v>1</v>
      </c>
      <c r="Z33" s="2">
        <v>0</v>
      </c>
      <c r="AA33" s="2">
        <v>0</v>
      </c>
      <c r="AB33" s="2">
        <v>0</v>
      </c>
      <c r="AC33" s="2">
        <v>0</v>
      </c>
      <c r="AD33" s="2">
        <v>0</v>
      </c>
      <c r="AE33" s="2">
        <v>0</v>
      </c>
      <c r="AF33" s="2">
        <v>0</v>
      </c>
      <c r="AG33" s="2">
        <v>0</v>
      </c>
      <c r="AH33" s="2">
        <v>0</v>
      </c>
      <c r="AI33" s="2">
        <v>1</v>
      </c>
      <c r="AJ33" s="2" t="s">
        <v>55</v>
      </c>
      <c r="AK33" s="2">
        <v>1</v>
      </c>
      <c r="AL33" s="2">
        <v>1</v>
      </c>
      <c r="AM33" s="2">
        <v>1</v>
      </c>
      <c r="AN33" s="2">
        <f>COUNTIFS(AL33,"1",AM33,"1")</f>
        <v>1</v>
      </c>
      <c r="AO33" s="2">
        <f>COUNTIFS(AL33,"1",AM33,"0")</f>
        <v>0</v>
      </c>
      <c r="AP33" s="2">
        <f>COUNTIFS(AL33,"0",AM33,"1")</f>
        <v>0</v>
      </c>
      <c r="AQ33" s="2">
        <v>0</v>
      </c>
      <c r="AR33" s="2">
        <v>1</v>
      </c>
      <c r="AS33" s="5">
        <v>45379</v>
      </c>
      <c r="AT33" s="2">
        <v>1</v>
      </c>
      <c r="AU33" s="2">
        <v>1</v>
      </c>
      <c r="AV33" s="2">
        <f>AS33-B33</f>
        <v>1</v>
      </c>
      <c r="AW33" s="2">
        <v>0</v>
      </c>
      <c r="BA33" s="2">
        <v>0</v>
      </c>
      <c r="BB33" s="2">
        <v>1</v>
      </c>
      <c r="BC33" s="2">
        <v>1</v>
      </c>
      <c r="BD33" s="2">
        <f>SUM(I33:K33)</f>
        <v>0</v>
      </c>
      <c r="BE33" s="2">
        <v>1</v>
      </c>
      <c r="BF33" s="2">
        <f>COUNTIFS(AR33, "1",AW33, "1")</f>
        <v>0</v>
      </c>
      <c r="BG33" s="2" t="s">
        <v>112</v>
      </c>
    </row>
    <row r="34" spans="1:59">
      <c r="A34" s="2">
        <v>37</v>
      </c>
      <c r="B34" s="5">
        <v>45379</v>
      </c>
      <c r="C34" s="5">
        <v>45390</v>
      </c>
      <c r="D34" s="2">
        <f>C34-B34</f>
        <v>11</v>
      </c>
      <c r="E34" s="2">
        <v>87</v>
      </c>
      <c r="F34" s="2">
        <v>2</v>
      </c>
      <c r="G34" s="2">
        <v>2</v>
      </c>
      <c r="H34" s="2">
        <v>1</v>
      </c>
      <c r="I34" s="2">
        <v>0</v>
      </c>
      <c r="J34" s="2">
        <v>0</v>
      </c>
      <c r="K34" s="2">
        <v>1</v>
      </c>
      <c r="L34" s="2">
        <v>0</v>
      </c>
      <c r="M34" s="2">
        <v>0</v>
      </c>
      <c r="N34" s="2">
        <v>0</v>
      </c>
      <c r="O34" s="2" t="s">
        <v>72</v>
      </c>
      <c r="P34" t="s">
        <v>52</v>
      </c>
      <c r="Q34" s="2">
        <v>1</v>
      </c>
      <c r="R34" s="2">
        <v>0</v>
      </c>
      <c r="S34" s="2">
        <v>0</v>
      </c>
      <c r="T34" s="2">
        <v>0</v>
      </c>
      <c r="U34" s="2">
        <v>1</v>
      </c>
      <c r="V34" s="2">
        <v>4</v>
      </c>
      <c r="W34" s="5">
        <v>45379</v>
      </c>
      <c r="X34" s="5">
        <v>45382</v>
      </c>
      <c r="Y34" s="28">
        <f>X34-W34</f>
        <v>3</v>
      </c>
      <c r="Z34" s="2">
        <v>0</v>
      </c>
      <c r="AA34" s="2">
        <v>0</v>
      </c>
      <c r="AB34" s="2">
        <v>0</v>
      </c>
      <c r="AC34" s="2">
        <v>0</v>
      </c>
      <c r="AD34" s="2">
        <v>0</v>
      </c>
      <c r="AE34" s="2">
        <v>0</v>
      </c>
      <c r="AF34" s="2">
        <v>0</v>
      </c>
      <c r="AG34" s="2">
        <v>0</v>
      </c>
      <c r="AH34" s="2">
        <v>0</v>
      </c>
      <c r="AI34" s="2">
        <v>1</v>
      </c>
      <c r="AJ34" s="2" t="s">
        <v>79</v>
      </c>
      <c r="AK34" s="2">
        <v>1</v>
      </c>
      <c r="AL34" s="2">
        <v>1</v>
      </c>
      <c r="AM34" s="2">
        <v>0</v>
      </c>
      <c r="AN34" s="2">
        <f>COUNTIFS(AL34,"1",AM34,"1")</f>
        <v>0</v>
      </c>
      <c r="AO34" s="2">
        <f>COUNTIFS(AL34,"1",AM34,"0")</f>
        <v>1</v>
      </c>
      <c r="AP34" s="2">
        <f>COUNTIFS(AL34,"0",AM34,"1")</f>
        <v>0</v>
      </c>
      <c r="AQ34" s="2">
        <v>0</v>
      </c>
      <c r="AR34" s="2">
        <v>1</v>
      </c>
      <c r="AS34" s="5">
        <v>45383</v>
      </c>
      <c r="AT34" s="2">
        <v>0</v>
      </c>
      <c r="AU34" s="2">
        <v>0</v>
      </c>
      <c r="AV34" s="2">
        <f>AS34-B34</f>
        <v>4</v>
      </c>
      <c r="AW34" s="2">
        <v>0</v>
      </c>
      <c r="BA34" s="2">
        <v>0</v>
      </c>
      <c r="BB34" s="2">
        <v>1</v>
      </c>
      <c r="BC34" s="2">
        <f>SUM(I34:K34)</f>
        <v>1</v>
      </c>
      <c r="BD34" s="2">
        <f>SUM(I34:K34)</f>
        <v>1</v>
      </c>
      <c r="BE34" s="2">
        <v>0</v>
      </c>
      <c r="BF34" s="2">
        <f>COUNTIFS(AR34, "1",AW34, "1")</f>
        <v>0</v>
      </c>
      <c r="BG34" s="2" t="s">
        <v>290</v>
      </c>
    </row>
    <row r="35" spans="1:59">
      <c r="A35" s="2">
        <v>38</v>
      </c>
      <c r="B35" s="5">
        <v>45381</v>
      </c>
      <c r="C35" s="5">
        <v>45412</v>
      </c>
      <c r="D35" s="2">
        <f>C35-B35</f>
        <v>31</v>
      </c>
      <c r="E35" s="2">
        <v>69</v>
      </c>
      <c r="F35" s="2">
        <v>2</v>
      </c>
      <c r="G35" s="2">
        <v>3</v>
      </c>
      <c r="H35" s="2">
        <v>0</v>
      </c>
      <c r="I35" s="2">
        <v>0</v>
      </c>
      <c r="J35" s="2">
        <v>0</v>
      </c>
      <c r="K35" s="2">
        <v>0</v>
      </c>
      <c r="L35" s="2">
        <v>0</v>
      </c>
      <c r="M35" s="2">
        <v>0</v>
      </c>
      <c r="N35" s="2">
        <v>0</v>
      </c>
      <c r="P35" t="s">
        <v>47</v>
      </c>
      <c r="Q35" s="2">
        <v>1</v>
      </c>
      <c r="R35" s="2">
        <v>0</v>
      </c>
      <c r="S35" s="2">
        <v>0</v>
      </c>
      <c r="T35" s="2">
        <v>0</v>
      </c>
      <c r="U35" s="2">
        <v>0</v>
      </c>
      <c r="V35" s="2">
        <v>1</v>
      </c>
      <c r="W35" s="5">
        <v>45381</v>
      </c>
      <c r="X35" s="5">
        <v>45381</v>
      </c>
      <c r="Y35" s="28">
        <f>X35-W35</f>
        <v>0</v>
      </c>
      <c r="Z35" s="2">
        <v>0</v>
      </c>
      <c r="AA35" s="2">
        <v>0</v>
      </c>
      <c r="AB35" s="2">
        <v>0</v>
      </c>
      <c r="AC35" s="2">
        <v>0</v>
      </c>
      <c r="AD35" s="2">
        <v>0</v>
      </c>
      <c r="AE35" s="2">
        <v>0</v>
      </c>
      <c r="AF35" s="2">
        <v>0</v>
      </c>
      <c r="AG35" s="2">
        <v>0</v>
      </c>
      <c r="AH35" s="2">
        <v>0</v>
      </c>
      <c r="AI35" s="2">
        <v>1</v>
      </c>
      <c r="AJ35" s="2" t="s">
        <v>48</v>
      </c>
      <c r="AK35" s="2">
        <v>1</v>
      </c>
      <c r="AL35" s="2">
        <v>1</v>
      </c>
      <c r="AM35" s="2">
        <v>1</v>
      </c>
      <c r="AN35" s="2">
        <f>COUNTIFS(AL35,"1",AM35,"1")</f>
        <v>1</v>
      </c>
      <c r="AO35" s="2">
        <f>COUNTIFS(AL35,"1",AM35,"0")</f>
        <v>0</v>
      </c>
      <c r="AP35" s="2">
        <f>COUNTIFS(AL35,"0",AM35,"1")</f>
        <v>0</v>
      </c>
      <c r="AQ35" s="2">
        <v>1</v>
      </c>
      <c r="AR35" s="2">
        <v>1</v>
      </c>
      <c r="AS35" s="5">
        <v>45383</v>
      </c>
      <c r="AT35" s="2">
        <v>0</v>
      </c>
      <c r="AU35" s="2">
        <v>1</v>
      </c>
      <c r="AV35" s="2">
        <f>AS35-B35</f>
        <v>2</v>
      </c>
      <c r="AW35" s="2">
        <v>1</v>
      </c>
      <c r="AX35" s="5">
        <v>45385</v>
      </c>
      <c r="AY35" s="2">
        <v>0</v>
      </c>
      <c r="AZ35" s="2">
        <v>0</v>
      </c>
      <c r="BA35" s="11">
        <v>1</v>
      </c>
      <c r="BB35" s="2">
        <v>0</v>
      </c>
      <c r="BC35" s="2">
        <v>1</v>
      </c>
      <c r="BD35" s="2">
        <f>SUM(I35:K35)</f>
        <v>0</v>
      </c>
      <c r="BE35" s="2">
        <v>0</v>
      </c>
      <c r="BF35" s="2">
        <f>COUNTIFS(AR35, "1",AW35, "1")</f>
        <v>1</v>
      </c>
      <c r="BG35" s="2" t="s">
        <v>115</v>
      </c>
    </row>
    <row r="36" spans="1:59">
      <c r="A36" s="2">
        <v>39</v>
      </c>
      <c r="B36" s="5">
        <v>45443</v>
      </c>
      <c r="C36" s="5">
        <v>45455</v>
      </c>
      <c r="D36" s="2">
        <f>C36-B36</f>
        <v>12</v>
      </c>
      <c r="E36" s="2">
        <v>70</v>
      </c>
      <c r="F36" s="2">
        <v>2</v>
      </c>
      <c r="G36" s="2">
        <v>2</v>
      </c>
      <c r="H36" s="2">
        <v>0</v>
      </c>
      <c r="I36" s="2">
        <v>0</v>
      </c>
      <c r="J36" s="2">
        <v>0</v>
      </c>
      <c r="K36" s="2">
        <v>0</v>
      </c>
      <c r="L36" s="2">
        <v>0</v>
      </c>
      <c r="M36" s="2">
        <v>0</v>
      </c>
      <c r="N36" s="2">
        <v>0</v>
      </c>
      <c r="P36" t="s">
        <v>116</v>
      </c>
      <c r="Q36" s="2">
        <v>0</v>
      </c>
      <c r="R36" s="2">
        <v>1</v>
      </c>
      <c r="S36" s="2">
        <v>0</v>
      </c>
      <c r="T36" s="2">
        <v>0</v>
      </c>
      <c r="U36" s="2">
        <v>0</v>
      </c>
      <c r="V36" s="2">
        <v>1</v>
      </c>
      <c r="W36" s="5">
        <v>45444</v>
      </c>
      <c r="X36" s="5">
        <v>45444</v>
      </c>
      <c r="Y36" s="28">
        <f>X36-W36</f>
        <v>0</v>
      </c>
      <c r="Z36" s="2">
        <v>1</v>
      </c>
      <c r="AA36" s="2">
        <v>1</v>
      </c>
      <c r="AB36" s="2">
        <v>0</v>
      </c>
      <c r="AC36" s="2">
        <v>0</v>
      </c>
      <c r="AD36" s="2">
        <v>0</v>
      </c>
      <c r="AE36" s="2">
        <v>0</v>
      </c>
      <c r="AF36" s="2">
        <v>0</v>
      </c>
      <c r="AG36" s="2">
        <v>0</v>
      </c>
      <c r="AH36" s="2">
        <v>0</v>
      </c>
      <c r="AI36" s="2">
        <v>1</v>
      </c>
      <c r="AJ36" s="2" t="s">
        <v>117</v>
      </c>
      <c r="AK36" s="2">
        <v>1</v>
      </c>
      <c r="AL36" s="2">
        <v>1</v>
      </c>
      <c r="AM36" s="2">
        <v>1</v>
      </c>
      <c r="AN36" s="2">
        <f>COUNTIFS(AL36,"1",AM36,"1")</f>
        <v>1</v>
      </c>
      <c r="AO36" s="2">
        <f>COUNTIFS(AL36,"1",AM36,"0")</f>
        <v>0</v>
      </c>
      <c r="AP36" s="2">
        <f>COUNTIFS(AL36,"0",AM36,"1")</f>
        <v>0</v>
      </c>
      <c r="AQ36" s="2">
        <v>1</v>
      </c>
      <c r="AR36" s="2">
        <v>1</v>
      </c>
      <c r="AS36" s="5">
        <v>45448</v>
      </c>
      <c r="AT36" s="2">
        <v>0</v>
      </c>
      <c r="AU36" s="2">
        <v>1</v>
      </c>
      <c r="AV36" s="2">
        <f>AS36-B36</f>
        <v>5</v>
      </c>
      <c r="AW36" s="2">
        <v>0</v>
      </c>
      <c r="BA36" s="2">
        <v>0</v>
      </c>
      <c r="BB36" s="2">
        <v>0</v>
      </c>
      <c r="BC36" s="2">
        <v>1</v>
      </c>
      <c r="BD36" s="2">
        <f>SUM(I36:K36)</f>
        <v>0</v>
      </c>
      <c r="BE36" s="2">
        <v>0</v>
      </c>
      <c r="BF36" s="2">
        <f>COUNTIFS(AR36, "1",AW36, "1")</f>
        <v>0</v>
      </c>
      <c r="BG36" s="2" t="s">
        <v>118</v>
      </c>
    </row>
    <row r="37" spans="1:59">
      <c r="A37" s="2">
        <v>41</v>
      </c>
      <c r="B37" s="5">
        <v>45450</v>
      </c>
      <c r="C37" s="5">
        <v>45456</v>
      </c>
      <c r="D37" s="2">
        <f>C37-B37</f>
        <v>6</v>
      </c>
      <c r="E37" s="2">
        <v>71</v>
      </c>
      <c r="F37" s="2">
        <v>1</v>
      </c>
      <c r="G37" s="2">
        <v>2</v>
      </c>
      <c r="H37" s="2">
        <v>1</v>
      </c>
      <c r="I37" s="2">
        <v>0</v>
      </c>
      <c r="J37" s="2">
        <v>1</v>
      </c>
      <c r="K37" s="2">
        <v>0</v>
      </c>
      <c r="L37" s="2">
        <v>0</v>
      </c>
      <c r="M37" s="2">
        <v>0</v>
      </c>
      <c r="N37" s="2">
        <v>0</v>
      </c>
      <c r="P37" t="s">
        <v>121</v>
      </c>
      <c r="Q37" s="2">
        <v>0</v>
      </c>
      <c r="R37" s="2">
        <v>1</v>
      </c>
      <c r="S37" s="2">
        <v>0</v>
      </c>
      <c r="T37" s="2">
        <v>0</v>
      </c>
      <c r="U37" s="2">
        <v>0</v>
      </c>
      <c r="V37" s="2">
        <v>1</v>
      </c>
      <c r="W37" s="5">
        <v>45450</v>
      </c>
      <c r="X37" s="5">
        <v>45450</v>
      </c>
      <c r="Y37" s="28">
        <f>X37-W37</f>
        <v>0</v>
      </c>
      <c r="Z37" s="2">
        <v>0</v>
      </c>
      <c r="AA37" s="2">
        <v>0</v>
      </c>
      <c r="AB37" s="2">
        <v>0</v>
      </c>
      <c r="AC37" s="2">
        <v>0</v>
      </c>
      <c r="AD37" s="2">
        <v>0</v>
      </c>
      <c r="AE37" s="2">
        <v>0</v>
      </c>
      <c r="AF37" s="2">
        <v>0</v>
      </c>
      <c r="AG37" s="2">
        <v>0</v>
      </c>
      <c r="AH37" s="2">
        <v>0</v>
      </c>
      <c r="AI37" s="2">
        <v>1</v>
      </c>
      <c r="AJ37" s="2" t="s">
        <v>117</v>
      </c>
      <c r="AK37" s="2">
        <v>1</v>
      </c>
      <c r="AL37" s="2">
        <v>1</v>
      </c>
      <c r="AM37" s="2">
        <v>1</v>
      </c>
      <c r="AN37" s="2">
        <f>COUNTIFS(AL37,"1",AM37,"1")</f>
        <v>1</v>
      </c>
      <c r="AO37" s="2">
        <f>COUNTIFS(AL37,"1",AM37,"0")</f>
        <v>0</v>
      </c>
      <c r="AP37" s="2">
        <f>COUNTIFS(AL37,"0",AM37,"1")</f>
        <v>0</v>
      </c>
      <c r="AQ37" s="2">
        <v>1</v>
      </c>
      <c r="AR37" s="2">
        <v>1</v>
      </c>
      <c r="AS37" s="5">
        <v>45453</v>
      </c>
      <c r="AT37" s="2">
        <v>0</v>
      </c>
      <c r="AU37" s="2">
        <v>0</v>
      </c>
      <c r="AV37" s="2">
        <f>AS37-B37</f>
        <v>3</v>
      </c>
      <c r="AW37" s="2">
        <v>1</v>
      </c>
      <c r="AX37" s="5">
        <v>45455</v>
      </c>
      <c r="AY37" s="2">
        <v>0</v>
      </c>
      <c r="AZ37" s="2">
        <v>1</v>
      </c>
      <c r="BA37" s="2">
        <v>0</v>
      </c>
      <c r="BB37" s="2">
        <v>0</v>
      </c>
      <c r="BC37" s="2">
        <f>SUM(I37:K37)</f>
        <v>1</v>
      </c>
      <c r="BD37" s="2">
        <f>SUM(I37:K37)</f>
        <v>1</v>
      </c>
      <c r="BE37" s="2">
        <v>0</v>
      </c>
      <c r="BF37" s="2">
        <f>COUNTIFS(AR37, "1",AW37, "1")</f>
        <v>1</v>
      </c>
      <c r="BG37" s="2" t="s">
        <v>122</v>
      </c>
    </row>
    <row r="38" spans="1:59">
      <c r="A38" s="2">
        <v>42</v>
      </c>
      <c r="B38" s="5">
        <v>45455</v>
      </c>
      <c r="C38" s="5">
        <v>45462</v>
      </c>
      <c r="D38" s="2">
        <f>C38-B38</f>
        <v>7</v>
      </c>
      <c r="E38" s="2">
        <v>83</v>
      </c>
      <c r="F38" s="2">
        <v>1</v>
      </c>
      <c r="G38" s="2">
        <v>5</v>
      </c>
      <c r="H38" s="2">
        <v>0</v>
      </c>
      <c r="I38" s="2">
        <v>0</v>
      </c>
      <c r="J38" s="2">
        <v>0</v>
      </c>
      <c r="K38" s="2">
        <v>0</v>
      </c>
      <c r="L38" s="2">
        <v>0</v>
      </c>
      <c r="M38" s="2">
        <v>0</v>
      </c>
      <c r="N38" s="2">
        <v>0</v>
      </c>
      <c r="P38" t="s">
        <v>119</v>
      </c>
      <c r="Q38" s="2">
        <v>0</v>
      </c>
      <c r="R38" s="2">
        <v>1</v>
      </c>
      <c r="S38" s="2">
        <v>0</v>
      </c>
      <c r="T38" s="2">
        <v>0</v>
      </c>
      <c r="U38" s="2">
        <v>0</v>
      </c>
      <c r="V38" s="2">
        <v>1</v>
      </c>
      <c r="W38" s="5">
        <v>45455</v>
      </c>
      <c r="X38" s="5">
        <v>45455</v>
      </c>
      <c r="Y38" s="28">
        <f>X38-W38</f>
        <v>0</v>
      </c>
      <c r="Z38" s="2">
        <v>1</v>
      </c>
      <c r="AA38" s="2">
        <v>0</v>
      </c>
      <c r="AB38" s="2">
        <v>0</v>
      </c>
      <c r="AC38" s="2">
        <v>0</v>
      </c>
      <c r="AD38" s="2">
        <v>1</v>
      </c>
      <c r="AE38" s="2">
        <v>0</v>
      </c>
      <c r="AF38" s="2">
        <v>0</v>
      </c>
      <c r="AG38" s="2">
        <v>0</v>
      </c>
      <c r="AH38" s="2">
        <v>0</v>
      </c>
      <c r="AI38" s="2">
        <v>1</v>
      </c>
      <c r="AJ38" s="2" t="s">
        <v>117</v>
      </c>
      <c r="AK38" s="2">
        <v>1</v>
      </c>
      <c r="AL38" s="2">
        <v>1</v>
      </c>
      <c r="AM38" s="2">
        <v>1</v>
      </c>
      <c r="AN38" s="2">
        <f>COUNTIFS(AL38,"1",AM38,"1")</f>
        <v>1</v>
      </c>
      <c r="AO38" s="2">
        <f>COUNTIFS(AL38,"1",AM38,"0")</f>
        <v>0</v>
      </c>
      <c r="AP38" s="2">
        <f>COUNTIFS(AL38,"0",AM38,"1")</f>
        <v>0</v>
      </c>
      <c r="AQ38" s="2">
        <v>1</v>
      </c>
      <c r="AR38" s="2">
        <v>1</v>
      </c>
      <c r="AS38" s="5">
        <v>45457</v>
      </c>
      <c r="AT38" s="2">
        <v>1</v>
      </c>
      <c r="AU38" s="2">
        <v>0</v>
      </c>
      <c r="AV38" s="2">
        <f>AS38-B38</f>
        <v>2</v>
      </c>
      <c r="AW38" s="2">
        <v>0</v>
      </c>
      <c r="AX38" s="5"/>
      <c r="BA38" s="2">
        <v>0</v>
      </c>
      <c r="BB38" s="2">
        <v>1</v>
      </c>
      <c r="BC38" s="2">
        <v>1</v>
      </c>
      <c r="BD38" s="2">
        <f>SUM(I38:K38)</f>
        <v>0</v>
      </c>
      <c r="BE38" s="2">
        <v>0</v>
      </c>
      <c r="BF38" s="2">
        <f>COUNTIFS(AR38, "1",AW38, "1")</f>
        <v>0</v>
      </c>
      <c r="BG38" s="2" t="s">
        <v>123</v>
      </c>
    </row>
    <row r="39" spans="1:59" s="13" customFormat="1">
      <c r="A39" s="8">
        <v>46</v>
      </c>
      <c r="B39" s="18">
        <v>45428</v>
      </c>
      <c r="C39" s="17">
        <v>45448</v>
      </c>
      <c r="D39" s="13">
        <f>C39-B39</f>
        <v>20</v>
      </c>
      <c r="E39" s="13">
        <v>77</v>
      </c>
      <c r="F39" s="13">
        <v>1</v>
      </c>
      <c r="G39" s="13">
        <v>2</v>
      </c>
      <c r="H39" s="13">
        <v>0</v>
      </c>
      <c r="I39" s="13">
        <v>0</v>
      </c>
      <c r="J39" s="13">
        <v>0</v>
      </c>
      <c r="K39" s="13">
        <v>0</v>
      </c>
      <c r="L39" s="13">
        <v>0</v>
      </c>
      <c r="M39" s="13">
        <v>0</v>
      </c>
      <c r="N39" s="13">
        <v>0</v>
      </c>
      <c r="P39" s="14" t="s">
        <v>119</v>
      </c>
      <c r="Q39" s="13">
        <v>0</v>
      </c>
      <c r="R39" s="13">
        <v>1</v>
      </c>
      <c r="S39" s="13">
        <v>0</v>
      </c>
      <c r="T39" s="13">
        <v>0</v>
      </c>
      <c r="U39" s="13">
        <v>0</v>
      </c>
      <c r="V39" s="13">
        <v>1</v>
      </c>
      <c r="W39" s="18">
        <v>45429</v>
      </c>
      <c r="X39" s="18">
        <v>45429</v>
      </c>
      <c r="Y39" s="31">
        <f>X39-W39</f>
        <v>0</v>
      </c>
      <c r="Z39" s="13">
        <v>1</v>
      </c>
      <c r="AA39" s="13">
        <v>0</v>
      </c>
      <c r="AB39" s="13">
        <v>0</v>
      </c>
      <c r="AC39" s="13">
        <v>0</v>
      </c>
      <c r="AD39" s="13">
        <v>0</v>
      </c>
      <c r="AE39" s="13">
        <v>0</v>
      </c>
      <c r="AF39" s="13">
        <v>0</v>
      </c>
      <c r="AG39" s="13">
        <v>0</v>
      </c>
      <c r="AH39" s="13">
        <v>1</v>
      </c>
      <c r="AI39" s="13">
        <v>1</v>
      </c>
      <c r="AJ39" s="63" t="s">
        <v>91</v>
      </c>
      <c r="AK39" s="13">
        <v>1</v>
      </c>
      <c r="AL39" s="13">
        <v>1</v>
      </c>
      <c r="AM39" s="13">
        <v>0</v>
      </c>
      <c r="AN39" s="2">
        <f>COUNTIFS(AL39,"1",AM39,"1")</f>
        <v>0</v>
      </c>
      <c r="AO39" s="2">
        <f>COUNTIFS(AL39,"1",AM39,"0")</f>
        <v>1</v>
      </c>
      <c r="AP39" s="2">
        <f>COUNTIFS(AL39,"0",AM39,"1")</f>
        <v>0</v>
      </c>
      <c r="AQ39" s="13">
        <v>0</v>
      </c>
      <c r="AR39" s="13">
        <v>1</v>
      </c>
      <c r="AS39" s="18">
        <v>45433</v>
      </c>
      <c r="AT39" s="13">
        <v>0</v>
      </c>
      <c r="AU39" s="13">
        <v>0</v>
      </c>
      <c r="AV39" s="2">
        <f>AS39-B39</f>
        <v>5</v>
      </c>
      <c r="AW39" s="13">
        <v>1</v>
      </c>
      <c r="AX39" s="18">
        <v>45434</v>
      </c>
      <c r="AY39" s="13">
        <v>0</v>
      </c>
      <c r="AZ39" s="13">
        <v>0</v>
      </c>
      <c r="BA39" s="13">
        <v>0</v>
      </c>
      <c r="BB39" s="13">
        <v>0</v>
      </c>
      <c r="BC39" s="2">
        <v>1</v>
      </c>
      <c r="BD39" s="2">
        <f>SUM(I39:K39)</f>
        <v>0</v>
      </c>
      <c r="BE39" s="13">
        <v>1</v>
      </c>
      <c r="BF39" s="2">
        <f>COUNTIFS(AR39, "1",AW39, "1")</f>
        <v>1</v>
      </c>
      <c r="BG39" s="13" t="s">
        <v>132</v>
      </c>
    </row>
    <row r="40" spans="1:59">
      <c r="A40" s="8">
        <v>49</v>
      </c>
      <c r="B40" s="5">
        <v>45395</v>
      </c>
      <c r="C40" s="6">
        <v>45420</v>
      </c>
      <c r="D40" s="2">
        <f>C40-B40</f>
        <v>25</v>
      </c>
      <c r="E40" s="2">
        <v>78</v>
      </c>
      <c r="F40" s="2">
        <v>2</v>
      </c>
      <c r="G40" s="2">
        <v>2</v>
      </c>
      <c r="H40" s="2">
        <v>0</v>
      </c>
      <c r="I40" s="2">
        <v>0</v>
      </c>
      <c r="J40" s="2">
        <v>0</v>
      </c>
      <c r="K40" s="2">
        <v>0</v>
      </c>
      <c r="L40" s="2">
        <v>0</v>
      </c>
      <c r="M40" s="2">
        <v>0</v>
      </c>
      <c r="N40" s="2">
        <v>0</v>
      </c>
      <c r="P40" t="s">
        <v>136</v>
      </c>
      <c r="Q40" s="2">
        <v>0</v>
      </c>
      <c r="R40" s="2">
        <v>1</v>
      </c>
      <c r="S40" s="2">
        <v>0</v>
      </c>
      <c r="T40" s="2">
        <v>0</v>
      </c>
      <c r="U40" s="2">
        <v>0</v>
      </c>
      <c r="V40" s="2">
        <v>1</v>
      </c>
      <c r="W40" s="5">
        <v>45395</v>
      </c>
      <c r="X40" s="5">
        <v>45395</v>
      </c>
      <c r="Y40" s="28">
        <f>X40-W40</f>
        <v>0</v>
      </c>
      <c r="Z40" s="2">
        <v>1</v>
      </c>
      <c r="AA40" s="2">
        <v>0</v>
      </c>
      <c r="AB40" s="2">
        <v>0</v>
      </c>
      <c r="AC40" s="2">
        <v>0</v>
      </c>
      <c r="AD40" s="2">
        <v>0</v>
      </c>
      <c r="AE40" s="2">
        <v>0</v>
      </c>
      <c r="AF40" s="2">
        <v>0</v>
      </c>
      <c r="AG40" s="2">
        <v>0</v>
      </c>
      <c r="AH40" s="2">
        <v>1</v>
      </c>
      <c r="AI40" s="2">
        <v>1</v>
      </c>
      <c r="AJ40" s="2" t="s">
        <v>137</v>
      </c>
      <c r="AK40" s="2">
        <v>1</v>
      </c>
      <c r="AL40" s="2">
        <v>1</v>
      </c>
      <c r="AM40" s="2">
        <v>0</v>
      </c>
      <c r="AN40" s="2">
        <f>COUNTIFS(AL40,"1",AM40,"1")</f>
        <v>0</v>
      </c>
      <c r="AO40" s="2">
        <f>COUNTIFS(AL40,"1",AM40,"0")</f>
        <v>1</v>
      </c>
      <c r="AP40" s="2">
        <f>COUNTIFS(AL40,"0",AM40,"1")</f>
        <v>0</v>
      </c>
      <c r="AQ40" s="2">
        <v>0</v>
      </c>
      <c r="AR40" s="2">
        <v>1</v>
      </c>
      <c r="AS40" s="5">
        <v>45402</v>
      </c>
      <c r="AT40" s="2">
        <v>0</v>
      </c>
      <c r="AU40" s="2">
        <v>0</v>
      </c>
      <c r="AV40" s="2">
        <f>AS40-B40</f>
        <v>7</v>
      </c>
      <c r="AW40" s="2">
        <v>0</v>
      </c>
      <c r="BA40" s="2">
        <v>0</v>
      </c>
      <c r="BB40" s="2">
        <v>0</v>
      </c>
      <c r="BC40" s="2">
        <v>1</v>
      </c>
      <c r="BD40" s="2">
        <f>SUM(I40:K40)</f>
        <v>0</v>
      </c>
      <c r="BE40" s="2">
        <v>1</v>
      </c>
      <c r="BF40" s="2">
        <f>COUNTIFS(AR40, "1",AW40, "1")</f>
        <v>0</v>
      </c>
      <c r="BG40" s="2" t="s">
        <v>138</v>
      </c>
    </row>
    <row r="41" spans="1:59">
      <c r="A41" s="2">
        <v>50</v>
      </c>
      <c r="B41" s="5">
        <v>45409</v>
      </c>
      <c r="C41" s="5">
        <v>45435</v>
      </c>
      <c r="D41" s="2">
        <f>C41-B41</f>
        <v>26</v>
      </c>
      <c r="E41" s="2">
        <v>36</v>
      </c>
      <c r="F41" s="2">
        <v>1</v>
      </c>
      <c r="G41" s="2">
        <v>3</v>
      </c>
      <c r="H41" s="2">
        <v>0</v>
      </c>
      <c r="I41" s="2">
        <v>0</v>
      </c>
      <c r="J41" s="2">
        <v>0</v>
      </c>
      <c r="K41" s="2">
        <v>0</v>
      </c>
      <c r="L41" s="2">
        <v>0</v>
      </c>
      <c r="M41" s="2">
        <v>0</v>
      </c>
      <c r="N41" s="2">
        <v>0</v>
      </c>
      <c r="P41" t="s">
        <v>125</v>
      </c>
      <c r="Q41" s="2">
        <v>0</v>
      </c>
      <c r="R41" s="2">
        <v>1</v>
      </c>
      <c r="S41" s="2">
        <v>0</v>
      </c>
      <c r="T41" s="2">
        <v>0</v>
      </c>
      <c r="U41" s="2">
        <v>0</v>
      </c>
      <c r="V41" s="2">
        <v>1</v>
      </c>
      <c r="W41" s="5">
        <v>45409</v>
      </c>
      <c r="X41" s="5">
        <v>45409</v>
      </c>
      <c r="Y41" s="28">
        <f>X41-W41</f>
        <v>0</v>
      </c>
      <c r="Z41" s="2">
        <v>1</v>
      </c>
      <c r="AA41" s="2">
        <v>0</v>
      </c>
      <c r="AB41" s="2">
        <v>0</v>
      </c>
      <c r="AC41" s="2">
        <v>0</v>
      </c>
      <c r="AD41" s="2">
        <v>1</v>
      </c>
      <c r="AE41" s="2">
        <v>1</v>
      </c>
      <c r="AF41" s="2">
        <v>0</v>
      </c>
      <c r="AG41" s="2">
        <v>0</v>
      </c>
      <c r="AH41" s="2">
        <v>0</v>
      </c>
      <c r="AI41" s="2">
        <v>1</v>
      </c>
      <c r="AJ41" s="2" t="s">
        <v>117</v>
      </c>
      <c r="AK41" s="2">
        <v>1</v>
      </c>
      <c r="AL41" s="2">
        <v>1</v>
      </c>
      <c r="AM41" s="11">
        <v>1</v>
      </c>
      <c r="AN41" s="2">
        <f>COUNTIFS(AL41,"1",AM41,"1")</f>
        <v>1</v>
      </c>
      <c r="AO41" s="2">
        <f>COUNTIFS(AL41,"1",AM41,"0")</f>
        <v>0</v>
      </c>
      <c r="AP41" s="2">
        <f>COUNTIFS(AL41,"0",AM41,"1")</f>
        <v>0</v>
      </c>
      <c r="AQ41" s="2">
        <v>0</v>
      </c>
      <c r="AR41" s="2">
        <v>1</v>
      </c>
      <c r="AS41" s="5">
        <v>45413</v>
      </c>
      <c r="AT41" s="2">
        <v>0</v>
      </c>
      <c r="AU41" s="2">
        <v>0</v>
      </c>
      <c r="AV41" s="2">
        <f>AS41-B41</f>
        <v>4</v>
      </c>
      <c r="AW41" s="2">
        <v>0</v>
      </c>
      <c r="BA41" s="2">
        <v>0</v>
      </c>
      <c r="BB41" s="2">
        <v>0</v>
      </c>
      <c r="BC41" s="2">
        <v>1</v>
      </c>
      <c r="BD41" s="2">
        <f>SUM(I41:K41)</f>
        <v>0</v>
      </c>
      <c r="BE41" s="2">
        <v>1</v>
      </c>
      <c r="BF41" s="2">
        <f>COUNTIFS(AR41, "1",AW41, "1")</f>
        <v>0</v>
      </c>
      <c r="BG41" s="2" t="s">
        <v>139</v>
      </c>
    </row>
    <row r="42" spans="1:59">
      <c r="A42" s="2">
        <v>52</v>
      </c>
      <c r="B42" s="5">
        <v>45356</v>
      </c>
      <c r="C42" s="5">
        <v>45366</v>
      </c>
      <c r="D42" s="2">
        <f>C42-B42</f>
        <v>10</v>
      </c>
      <c r="E42" s="2">
        <v>42</v>
      </c>
      <c r="F42" s="2">
        <v>1</v>
      </c>
      <c r="G42" s="2">
        <v>2</v>
      </c>
      <c r="H42" s="2">
        <v>1</v>
      </c>
      <c r="I42" s="2">
        <v>0</v>
      </c>
      <c r="J42" s="2">
        <v>0</v>
      </c>
      <c r="K42" s="2">
        <v>0</v>
      </c>
      <c r="L42" s="2">
        <v>0</v>
      </c>
      <c r="M42" s="2">
        <v>0</v>
      </c>
      <c r="N42" s="2">
        <v>1</v>
      </c>
      <c r="O42" s="2" t="s">
        <v>141</v>
      </c>
      <c r="P42" t="s">
        <v>121</v>
      </c>
      <c r="Q42" s="2">
        <v>0</v>
      </c>
      <c r="R42" s="2">
        <v>1</v>
      </c>
      <c r="S42" s="2">
        <v>0</v>
      </c>
      <c r="T42" s="2">
        <v>0</v>
      </c>
      <c r="U42" s="2">
        <v>1</v>
      </c>
      <c r="V42" s="2">
        <v>2</v>
      </c>
      <c r="W42" s="5">
        <v>45356</v>
      </c>
      <c r="X42" s="5">
        <v>45357</v>
      </c>
      <c r="Y42" s="28">
        <f>X42-W42</f>
        <v>1</v>
      </c>
      <c r="Z42" s="2">
        <v>0</v>
      </c>
      <c r="AA42" s="2">
        <v>0</v>
      </c>
      <c r="AB42" s="2">
        <v>0</v>
      </c>
      <c r="AC42" s="2">
        <v>0</v>
      </c>
      <c r="AD42" s="2">
        <v>0</v>
      </c>
      <c r="AE42" s="2">
        <v>0</v>
      </c>
      <c r="AF42" s="2">
        <v>0</v>
      </c>
      <c r="AG42" s="2">
        <v>0</v>
      </c>
      <c r="AH42" s="2">
        <v>0</v>
      </c>
      <c r="AI42" s="2">
        <v>1</v>
      </c>
      <c r="AJ42" s="2" t="s">
        <v>117</v>
      </c>
      <c r="AK42" s="2">
        <v>1</v>
      </c>
      <c r="AL42" s="2">
        <v>1</v>
      </c>
      <c r="AM42" s="2">
        <v>1</v>
      </c>
      <c r="AN42" s="2">
        <f>COUNTIFS(AL42,"1",AM42,"1")</f>
        <v>1</v>
      </c>
      <c r="AO42" s="2">
        <f>COUNTIFS(AL42,"1",AM42,"0")</f>
        <v>0</v>
      </c>
      <c r="AP42" s="2">
        <f>COUNTIFS(AL42,"0",AM42,"1")</f>
        <v>0</v>
      </c>
      <c r="AQ42" s="2">
        <v>1</v>
      </c>
      <c r="AR42" s="2">
        <v>1</v>
      </c>
      <c r="AS42" s="5">
        <v>45357</v>
      </c>
      <c r="AT42" s="2">
        <v>1</v>
      </c>
      <c r="AU42" s="11">
        <v>1</v>
      </c>
      <c r="AV42" s="2">
        <f>AS42-B42</f>
        <v>1</v>
      </c>
      <c r="AW42" s="11">
        <v>1</v>
      </c>
      <c r="AX42" s="5">
        <v>45359</v>
      </c>
      <c r="AY42" s="2">
        <v>1</v>
      </c>
      <c r="AZ42" s="2">
        <v>1</v>
      </c>
      <c r="BA42" s="2">
        <v>0</v>
      </c>
      <c r="BB42" s="2">
        <v>1</v>
      </c>
      <c r="BC42" s="2">
        <v>1</v>
      </c>
      <c r="BD42" s="2">
        <f>SUM(I42:K42)</f>
        <v>0</v>
      </c>
      <c r="BE42" s="2">
        <v>0</v>
      </c>
      <c r="BF42" s="2">
        <f>COUNTIFS(AR42, "1",AW42, "1")</f>
        <v>1</v>
      </c>
      <c r="BG42" s="2" t="s">
        <v>142</v>
      </c>
    </row>
    <row r="43" spans="1:59">
      <c r="A43" s="2">
        <v>53</v>
      </c>
      <c r="B43" s="5">
        <v>45357</v>
      </c>
      <c r="C43" s="5">
        <v>45385</v>
      </c>
      <c r="D43" s="2">
        <f>C43-B43</f>
        <v>28</v>
      </c>
      <c r="E43" s="2">
        <v>37</v>
      </c>
      <c r="F43" s="2">
        <v>2</v>
      </c>
      <c r="G43" s="2">
        <v>2</v>
      </c>
      <c r="H43" s="2">
        <v>0</v>
      </c>
      <c r="I43" s="2">
        <v>0</v>
      </c>
      <c r="J43" s="2">
        <v>0</v>
      </c>
      <c r="K43" s="2">
        <v>0</v>
      </c>
      <c r="L43" s="2">
        <v>0</v>
      </c>
      <c r="M43" s="2">
        <v>0</v>
      </c>
      <c r="N43" s="2">
        <v>0</v>
      </c>
      <c r="P43" t="s">
        <v>136</v>
      </c>
      <c r="Q43" s="2">
        <v>0</v>
      </c>
      <c r="R43" s="2">
        <v>1</v>
      </c>
      <c r="S43" s="2">
        <v>0</v>
      </c>
      <c r="T43" s="2">
        <v>0</v>
      </c>
      <c r="U43" s="2">
        <v>0</v>
      </c>
      <c r="V43" s="2">
        <v>1</v>
      </c>
      <c r="W43" s="5">
        <v>45357</v>
      </c>
      <c r="X43" s="5">
        <v>45357</v>
      </c>
      <c r="Y43" s="28">
        <f>X43-W43</f>
        <v>0</v>
      </c>
      <c r="Z43" s="2">
        <v>1</v>
      </c>
      <c r="AA43" s="2">
        <v>0</v>
      </c>
      <c r="AB43" s="2">
        <v>1</v>
      </c>
      <c r="AC43" s="2">
        <v>0</v>
      </c>
      <c r="AD43" s="2">
        <v>1</v>
      </c>
      <c r="AE43" s="2">
        <v>0</v>
      </c>
      <c r="AF43" s="2">
        <v>0</v>
      </c>
      <c r="AG43" s="2">
        <v>0</v>
      </c>
      <c r="AH43" s="2">
        <v>0</v>
      </c>
      <c r="AI43" s="2">
        <v>1</v>
      </c>
      <c r="AJ43" s="2" t="s">
        <v>143</v>
      </c>
      <c r="AK43" s="2">
        <v>1</v>
      </c>
      <c r="AL43" s="2">
        <v>1</v>
      </c>
      <c r="AM43" s="2">
        <v>1</v>
      </c>
      <c r="AN43" s="2">
        <f>COUNTIFS(AL43,"1",AM43,"1")</f>
        <v>1</v>
      </c>
      <c r="AO43" s="2">
        <f>COUNTIFS(AL43,"1",AM43,"0")</f>
        <v>0</v>
      </c>
      <c r="AP43" s="2">
        <f>COUNTIFS(AL43,"0",AM43,"1")</f>
        <v>0</v>
      </c>
      <c r="AQ43" s="2">
        <v>1</v>
      </c>
      <c r="AR43" s="2">
        <v>1</v>
      </c>
      <c r="AS43" s="5">
        <v>45359</v>
      </c>
      <c r="AT43" s="2">
        <v>0</v>
      </c>
      <c r="AU43" s="2">
        <v>0</v>
      </c>
      <c r="AV43" s="2">
        <f>AS43-B43</f>
        <v>2</v>
      </c>
      <c r="AW43" s="2">
        <v>0</v>
      </c>
      <c r="BA43" s="2">
        <v>0</v>
      </c>
      <c r="BB43" s="2">
        <v>0</v>
      </c>
      <c r="BC43" s="2">
        <v>1</v>
      </c>
      <c r="BD43" s="2">
        <f>SUM(I43:K43)</f>
        <v>0</v>
      </c>
      <c r="BE43" s="2">
        <v>1</v>
      </c>
      <c r="BF43" s="2">
        <f>COUNTIFS(AR43, "1",AW43, "1")</f>
        <v>0</v>
      </c>
      <c r="BG43" s="2" t="s">
        <v>144</v>
      </c>
    </row>
    <row r="44" spans="1:59">
      <c r="A44" s="2">
        <v>55</v>
      </c>
      <c r="B44" s="5">
        <v>45369</v>
      </c>
      <c r="C44" s="12">
        <v>45377</v>
      </c>
      <c r="D44" s="2">
        <f>C44-B44</f>
        <v>8</v>
      </c>
      <c r="E44" s="2">
        <v>74</v>
      </c>
      <c r="F44" s="2">
        <v>2</v>
      </c>
      <c r="G44" s="2">
        <v>2</v>
      </c>
      <c r="H44" s="2">
        <v>0</v>
      </c>
      <c r="I44" s="2">
        <v>0</v>
      </c>
      <c r="J44" s="2">
        <v>0</v>
      </c>
      <c r="K44" s="2">
        <v>0</v>
      </c>
      <c r="L44" s="2">
        <v>0</v>
      </c>
      <c r="M44" s="2">
        <v>0</v>
      </c>
      <c r="N44" s="2">
        <v>1</v>
      </c>
      <c r="O44" s="2" t="s">
        <v>70</v>
      </c>
      <c r="P44" t="s">
        <v>119</v>
      </c>
      <c r="Q44" s="2">
        <v>0</v>
      </c>
      <c r="R44" s="2">
        <v>1</v>
      </c>
      <c r="S44" s="2">
        <v>0</v>
      </c>
      <c r="T44" s="2">
        <v>0</v>
      </c>
      <c r="U44" s="2">
        <v>0</v>
      </c>
      <c r="V44" s="2">
        <v>1</v>
      </c>
      <c r="W44" s="5">
        <v>45369</v>
      </c>
      <c r="X44" s="5">
        <v>45369</v>
      </c>
      <c r="Y44" s="28">
        <f>X44-W44</f>
        <v>0</v>
      </c>
      <c r="Z44" s="2">
        <v>1</v>
      </c>
      <c r="AA44" s="2">
        <v>0</v>
      </c>
      <c r="AB44" s="2">
        <v>0</v>
      </c>
      <c r="AC44" s="2">
        <v>0</v>
      </c>
      <c r="AD44" s="2">
        <v>1</v>
      </c>
      <c r="AE44" s="2">
        <v>0</v>
      </c>
      <c r="AF44" s="2">
        <v>0</v>
      </c>
      <c r="AG44" s="2">
        <v>0</v>
      </c>
      <c r="AH44" s="2">
        <v>1</v>
      </c>
      <c r="AI44" s="2">
        <v>1</v>
      </c>
      <c r="AJ44" s="2" t="s">
        <v>117</v>
      </c>
      <c r="AK44" s="2">
        <v>1</v>
      </c>
      <c r="AL44" s="2">
        <v>0</v>
      </c>
      <c r="AM44" s="2">
        <v>1</v>
      </c>
      <c r="AN44" s="2">
        <f>COUNTIFS(AL44,"1",AM44,"1")</f>
        <v>0</v>
      </c>
      <c r="AO44" s="2">
        <f>COUNTIFS(AL44,"1",AM44,"0")</f>
        <v>0</v>
      </c>
      <c r="AP44" s="2">
        <f>COUNTIFS(AL44,"0",AM44,"1")</f>
        <v>1</v>
      </c>
      <c r="AQ44" s="2">
        <v>1</v>
      </c>
      <c r="AR44" s="2">
        <v>0</v>
      </c>
      <c r="AW44" s="2">
        <v>0</v>
      </c>
      <c r="BA44" s="2">
        <v>0</v>
      </c>
      <c r="BB44" s="2">
        <v>0</v>
      </c>
      <c r="BC44" s="2">
        <f>SUM(I44:K44)</f>
        <v>0</v>
      </c>
      <c r="BD44" s="2">
        <f>SUM(I44:K44)</f>
        <v>0</v>
      </c>
      <c r="BE44" s="2">
        <v>0</v>
      </c>
      <c r="BF44" s="2">
        <f>COUNTIFS(AR44, "1",AW44, "1")</f>
        <v>0</v>
      </c>
      <c r="BG44" s="2" t="s">
        <v>148</v>
      </c>
    </row>
    <row r="45" spans="1:59">
      <c r="A45" s="2">
        <v>57</v>
      </c>
      <c r="B45" s="5">
        <v>45459</v>
      </c>
      <c r="E45" s="2">
        <v>55</v>
      </c>
      <c r="F45" s="2">
        <v>2</v>
      </c>
      <c r="G45" s="2">
        <v>2</v>
      </c>
      <c r="H45" s="2">
        <v>1</v>
      </c>
      <c r="I45" s="2">
        <v>0</v>
      </c>
      <c r="J45" s="2">
        <v>0</v>
      </c>
      <c r="K45" s="2">
        <v>1</v>
      </c>
      <c r="L45" s="2">
        <v>0</v>
      </c>
      <c r="M45" s="2">
        <v>0</v>
      </c>
      <c r="N45" s="2">
        <v>1</v>
      </c>
      <c r="O45" s="2" t="s">
        <v>157</v>
      </c>
      <c r="P45" t="s">
        <v>155</v>
      </c>
      <c r="Q45" s="2">
        <v>0</v>
      </c>
      <c r="R45" s="2">
        <v>0</v>
      </c>
      <c r="S45" s="2">
        <v>1</v>
      </c>
      <c r="T45" s="2">
        <v>0</v>
      </c>
      <c r="U45" s="2">
        <v>1</v>
      </c>
      <c r="V45" s="2">
        <v>4</v>
      </c>
      <c r="W45" s="5">
        <v>45469</v>
      </c>
      <c r="X45" s="5">
        <v>45472</v>
      </c>
      <c r="Y45" s="28">
        <f>X45-W45</f>
        <v>3</v>
      </c>
      <c r="Z45" s="2">
        <v>0</v>
      </c>
      <c r="AA45" s="2">
        <v>0</v>
      </c>
      <c r="AB45" s="2">
        <v>0</v>
      </c>
      <c r="AC45" s="2">
        <v>0</v>
      </c>
      <c r="AD45" s="2">
        <v>0</v>
      </c>
      <c r="AE45" s="2">
        <v>0</v>
      </c>
      <c r="AF45" s="2">
        <v>0</v>
      </c>
      <c r="AG45" s="2">
        <v>0</v>
      </c>
      <c r="AH45" s="2">
        <v>0</v>
      </c>
      <c r="AI45" s="2">
        <v>1</v>
      </c>
      <c r="AJ45" s="2" t="s">
        <v>158</v>
      </c>
      <c r="AK45" s="2">
        <v>1</v>
      </c>
      <c r="AL45" s="2">
        <v>1</v>
      </c>
      <c r="AM45" s="2">
        <v>1</v>
      </c>
      <c r="AN45" s="2">
        <f>COUNTIFS(AL45,"1",AM45,"1")</f>
        <v>1</v>
      </c>
      <c r="AO45" s="2">
        <f>COUNTIFS(AL45,"1",AM45,"0")</f>
        <v>0</v>
      </c>
      <c r="AP45" s="2">
        <f>COUNTIFS(AL45,"0",AM45,"1")</f>
        <v>0</v>
      </c>
      <c r="AQ45" s="2">
        <v>1</v>
      </c>
      <c r="AR45" s="2">
        <v>1</v>
      </c>
      <c r="AS45" s="5">
        <v>45485</v>
      </c>
      <c r="AT45" s="2">
        <v>0</v>
      </c>
      <c r="AU45" s="2">
        <v>1</v>
      </c>
      <c r="AV45" s="2">
        <f>AS45-B45</f>
        <v>26</v>
      </c>
      <c r="AW45" s="11">
        <v>0</v>
      </c>
      <c r="BA45" s="2">
        <v>0</v>
      </c>
      <c r="BB45" s="2">
        <v>1</v>
      </c>
      <c r="BC45" s="2">
        <f>SUM(I45:K45)</f>
        <v>1</v>
      </c>
      <c r="BD45" s="2">
        <f>SUM(I45:K45)</f>
        <v>1</v>
      </c>
      <c r="BE45" s="2">
        <v>1</v>
      </c>
      <c r="BF45" s="2">
        <f>COUNTIFS(AR45, "1",AW45, "1")</f>
        <v>0</v>
      </c>
      <c r="BG45" s="2" t="s">
        <v>159</v>
      </c>
    </row>
    <row r="46" spans="1:59">
      <c r="A46" s="8">
        <v>59</v>
      </c>
      <c r="B46" s="5">
        <v>45421</v>
      </c>
      <c r="C46" s="6">
        <v>45428</v>
      </c>
      <c r="D46" s="2">
        <f>C46-B46</f>
        <v>7</v>
      </c>
      <c r="E46" s="2">
        <v>77</v>
      </c>
      <c r="F46" s="2">
        <v>2</v>
      </c>
      <c r="G46" s="2">
        <v>5</v>
      </c>
      <c r="H46" s="2">
        <v>0</v>
      </c>
      <c r="I46" s="2">
        <v>0</v>
      </c>
      <c r="J46" s="2">
        <v>0</v>
      </c>
      <c r="K46" s="2">
        <v>0</v>
      </c>
      <c r="L46" s="2">
        <v>1</v>
      </c>
      <c r="M46" s="2">
        <v>0</v>
      </c>
      <c r="N46" s="2">
        <v>1</v>
      </c>
      <c r="O46" s="2" t="s">
        <v>70</v>
      </c>
      <c r="P46" t="s">
        <v>163</v>
      </c>
      <c r="Q46" s="2">
        <v>0</v>
      </c>
      <c r="R46" s="2">
        <v>0</v>
      </c>
      <c r="S46" s="2">
        <v>1</v>
      </c>
      <c r="T46" s="2">
        <v>0</v>
      </c>
      <c r="U46" s="2">
        <v>1</v>
      </c>
      <c r="V46" s="2">
        <v>4</v>
      </c>
      <c r="W46" s="5">
        <v>45421</v>
      </c>
      <c r="X46" s="5">
        <v>45428</v>
      </c>
      <c r="Y46" s="28">
        <f>X46-W46</f>
        <v>7</v>
      </c>
      <c r="Z46" s="2">
        <v>1</v>
      </c>
      <c r="AA46" s="2">
        <v>0</v>
      </c>
      <c r="AB46" s="2">
        <v>0</v>
      </c>
      <c r="AC46" s="2">
        <v>1</v>
      </c>
      <c r="AD46" s="2">
        <v>0</v>
      </c>
      <c r="AE46" s="2">
        <v>1</v>
      </c>
      <c r="AF46" s="2">
        <v>0</v>
      </c>
      <c r="AG46" s="2">
        <v>0</v>
      </c>
      <c r="AH46" s="2">
        <v>0</v>
      </c>
      <c r="AI46" s="2">
        <v>1</v>
      </c>
      <c r="AJ46" s="2" t="s">
        <v>48</v>
      </c>
      <c r="AK46" s="2">
        <v>1</v>
      </c>
      <c r="AL46" s="2">
        <v>0</v>
      </c>
      <c r="AM46" s="2">
        <v>1</v>
      </c>
      <c r="AN46" s="2">
        <f>COUNTIFS(AL46,"1",AM46,"1")</f>
        <v>0</v>
      </c>
      <c r="AO46" s="2">
        <f>COUNTIFS(AL46,"1",AM46,"0")</f>
        <v>0</v>
      </c>
      <c r="AP46" s="2">
        <f>COUNTIFS(AL46,"0",AM46,"1")</f>
        <v>1</v>
      </c>
      <c r="AQ46" s="2">
        <v>0</v>
      </c>
      <c r="AR46" s="2">
        <v>1</v>
      </c>
      <c r="AS46" s="5">
        <v>45425</v>
      </c>
      <c r="AT46" s="2">
        <v>0</v>
      </c>
      <c r="AU46" s="2">
        <v>0</v>
      </c>
      <c r="AV46" s="2">
        <f>AS46-B46</f>
        <v>4</v>
      </c>
      <c r="AW46" s="2">
        <v>0</v>
      </c>
      <c r="BA46" s="2">
        <v>0</v>
      </c>
      <c r="BB46" s="2">
        <v>0</v>
      </c>
      <c r="BC46" s="2">
        <f>SUM(I46:K46)</f>
        <v>0</v>
      </c>
      <c r="BD46" s="2">
        <f>SUM(I46:K46)</f>
        <v>0</v>
      </c>
      <c r="BE46" s="2">
        <v>1</v>
      </c>
      <c r="BF46" s="2">
        <f>COUNTIFS(AR46, "1",AW46, "1")</f>
        <v>0</v>
      </c>
      <c r="BG46" s="2" t="s">
        <v>164</v>
      </c>
    </row>
    <row r="47" spans="1:59">
      <c r="A47" s="2">
        <v>60</v>
      </c>
      <c r="B47" s="5">
        <v>45425</v>
      </c>
      <c r="C47" s="5">
        <v>45444</v>
      </c>
      <c r="D47" s="2">
        <f>C47-B47</f>
        <v>19</v>
      </c>
      <c r="E47" s="2">
        <v>81</v>
      </c>
      <c r="F47" s="2">
        <v>1</v>
      </c>
      <c r="G47" s="2">
        <v>2</v>
      </c>
      <c r="H47" s="2">
        <v>1</v>
      </c>
      <c r="I47" s="2">
        <v>0</v>
      </c>
      <c r="J47" s="2">
        <v>0</v>
      </c>
      <c r="K47" s="2">
        <v>1</v>
      </c>
      <c r="L47" s="2">
        <v>0</v>
      </c>
      <c r="M47" s="2">
        <v>0</v>
      </c>
      <c r="N47" s="2">
        <v>1</v>
      </c>
      <c r="O47" s="2" t="s">
        <v>72</v>
      </c>
      <c r="P47" t="s">
        <v>155</v>
      </c>
      <c r="Q47" s="2">
        <v>0</v>
      </c>
      <c r="R47" s="2">
        <v>0</v>
      </c>
      <c r="S47" s="2">
        <v>1</v>
      </c>
      <c r="T47" s="2">
        <v>0</v>
      </c>
      <c r="U47" s="2">
        <v>1</v>
      </c>
      <c r="V47" s="2">
        <v>2</v>
      </c>
      <c r="W47" s="5">
        <v>45425</v>
      </c>
      <c r="X47" s="5">
        <v>45426</v>
      </c>
      <c r="Y47" s="28">
        <f>X47-W47</f>
        <v>1</v>
      </c>
      <c r="Z47" s="2">
        <v>1</v>
      </c>
      <c r="AA47" s="2">
        <v>0</v>
      </c>
      <c r="AB47" s="2">
        <v>0</v>
      </c>
      <c r="AC47" s="2">
        <v>0</v>
      </c>
      <c r="AD47" s="2">
        <v>0</v>
      </c>
      <c r="AE47" s="2">
        <v>1</v>
      </c>
      <c r="AF47" s="2">
        <v>0</v>
      </c>
      <c r="AG47" s="2">
        <v>0</v>
      </c>
      <c r="AH47" s="2">
        <v>0</v>
      </c>
      <c r="AI47" s="2">
        <v>1</v>
      </c>
      <c r="AJ47" s="2" t="s">
        <v>158</v>
      </c>
      <c r="AK47" s="2">
        <v>1</v>
      </c>
      <c r="AL47" s="2">
        <v>1</v>
      </c>
      <c r="AM47" s="2">
        <v>1</v>
      </c>
      <c r="AN47" s="2">
        <f>COUNTIFS(AL47,"1",AM47,"1")</f>
        <v>1</v>
      </c>
      <c r="AO47" s="2">
        <f>COUNTIFS(AL47,"1",AM47,"0")</f>
        <v>0</v>
      </c>
      <c r="AP47" s="2">
        <f>COUNTIFS(AL47,"0",AM47,"1")</f>
        <v>0</v>
      </c>
      <c r="AQ47" s="2">
        <v>1</v>
      </c>
      <c r="AR47" s="2">
        <v>1</v>
      </c>
      <c r="AS47" s="5">
        <v>45429</v>
      </c>
      <c r="AT47" s="2">
        <v>0</v>
      </c>
      <c r="AU47" s="2">
        <v>1</v>
      </c>
      <c r="AV47" s="2">
        <f>AS47-B47</f>
        <v>4</v>
      </c>
      <c r="AW47" s="2">
        <v>0</v>
      </c>
      <c r="BA47" s="2">
        <v>0</v>
      </c>
      <c r="BB47" s="2">
        <v>0</v>
      </c>
      <c r="BC47" s="2">
        <f>SUM(I47:K47)</f>
        <v>1</v>
      </c>
      <c r="BD47" s="2">
        <f>SUM(I47:K47)</f>
        <v>1</v>
      </c>
      <c r="BE47" s="2">
        <v>0</v>
      </c>
      <c r="BF47" s="2">
        <f>COUNTIFS(AR47, "1",AW47, "1")</f>
        <v>0</v>
      </c>
      <c r="BG47" s="2" t="s">
        <v>165</v>
      </c>
    </row>
    <row r="48" spans="1:59">
      <c r="A48" s="2">
        <v>61</v>
      </c>
      <c r="B48" s="5">
        <v>45381</v>
      </c>
      <c r="C48" s="5">
        <v>45387</v>
      </c>
      <c r="D48" s="2">
        <f>C48-B48</f>
        <v>6</v>
      </c>
      <c r="E48" s="2">
        <v>87</v>
      </c>
      <c r="F48" s="2">
        <v>2</v>
      </c>
      <c r="G48" s="2">
        <v>3</v>
      </c>
      <c r="H48" s="2">
        <v>1</v>
      </c>
      <c r="I48" s="2">
        <v>0</v>
      </c>
      <c r="J48" s="2">
        <v>0</v>
      </c>
      <c r="K48" s="2">
        <v>1</v>
      </c>
      <c r="L48" s="2">
        <v>0</v>
      </c>
      <c r="M48" s="2">
        <v>0</v>
      </c>
      <c r="N48" s="2">
        <v>1</v>
      </c>
      <c r="O48" s="2" t="s">
        <v>166</v>
      </c>
      <c r="P48" t="s">
        <v>155</v>
      </c>
      <c r="Q48" s="2">
        <v>0</v>
      </c>
      <c r="R48" s="2">
        <v>0</v>
      </c>
      <c r="S48" s="2">
        <v>1</v>
      </c>
      <c r="T48" s="2">
        <v>0</v>
      </c>
      <c r="U48" s="2">
        <v>1</v>
      </c>
      <c r="V48" s="2">
        <v>3</v>
      </c>
      <c r="W48" s="5">
        <v>45382</v>
      </c>
      <c r="X48" s="5">
        <v>45384</v>
      </c>
      <c r="Y48" s="28">
        <f>X48-W48</f>
        <v>2</v>
      </c>
      <c r="Z48" s="2">
        <v>0</v>
      </c>
      <c r="AA48" s="2">
        <v>0</v>
      </c>
      <c r="AB48" s="2">
        <v>0</v>
      </c>
      <c r="AC48" s="2">
        <v>0</v>
      </c>
      <c r="AD48" s="2">
        <v>0</v>
      </c>
      <c r="AE48" s="2">
        <v>0</v>
      </c>
      <c r="AF48" s="2">
        <v>0</v>
      </c>
      <c r="AG48" s="2">
        <v>0</v>
      </c>
      <c r="AH48" s="2">
        <v>0</v>
      </c>
      <c r="AI48" s="2">
        <v>1</v>
      </c>
      <c r="AJ48" s="2" t="s">
        <v>167</v>
      </c>
      <c r="AK48" s="2">
        <v>1</v>
      </c>
      <c r="AL48" s="2">
        <v>0</v>
      </c>
      <c r="AM48" s="2">
        <v>1</v>
      </c>
      <c r="AN48" s="2">
        <f>COUNTIFS(AL48,"1",AM48,"1")</f>
        <v>0</v>
      </c>
      <c r="AO48" s="2">
        <f>COUNTIFS(AL48,"1",AM48,"0")</f>
        <v>0</v>
      </c>
      <c r="AP48" s="2">
        <f>COUNTIFS(AL48,"0",AM48,"1")</f>
        <v>1</v>
      </c>
      <c r="AQ48" s="2">
        <v>1</v>
      </c>
      <c r="AR48" s="2">
        <v>1</v>
      </c>
      <c r="AS48" s="5">
        <v>45383</v>
      </c>
      <c r="AT48" s="2">
        <v>0</v>
      </c>
      <c r="AU48" s="2">
        <v>1</v>
      </c>
      <c r="AV48" s="2">
        <f>AS48-B48</f>
        <v>2</v>
      </c>
      <c r="AW48" s="2">
        <v>0</v>
      </c>
      <c r="BA48" s="2">
        <v>0</v>
      </c>
      <c r="BB48" s="2">
        <v>0</v>
      </c>
      <c r="BC48" s="2">
        <f>SUM(I48:K48)</f>
        <v>1</v>
      </c>
      <c r="BD48" s="2">
        <f>SUM(I48:K48)</f>
        <v>1</v>
      </c>
      <c r="BE48" s="2">
        <v>0</v>
      </c>
      <c r="BF48" s="2">
        <f>COUNTIFS(AR48, "1",AW48, "1")</f>
        <v>0</v>
      </c>
      <c r="BG48" s="2" t="s">
        <v>168</v>
      </c>
    </row>
    <row r="49" spans="1:59">
      <c r="A49" s="2">
        <v>62</v>
      </c>
      <c r="B49" s="5">
        <v>45398</v>
      </c>
      <c r="C49" s="5">
        <v>45403</v>
      </c>
      <c r="D49" s="11">
        <f>C49-B49</f>
        <v>5</v>
      </c>
      <c r="E49" s="2">
        <v>47</v>
      </c>
      <c r="F49" s="2">
        <v>1</v>
      </c>
      <c r="G49" s="2">
        <v>2</v>
      </c>
      <c r="H49" s="2">
        <v>1</v>
      </c>
      <c r="I49" s="2">
        <v>1</v>
      </c>
      <c r="J49" s="2">
        <v>0</v>
      </c>
      <c r="K49" s="2">
        <v>0</v>
      </c>
      <c r="L49" s="2">
        <v>0</v>
      </c>
      <c r="M49" s="2">
        <v>0</v>
      </c>
      <c r="N49" s="2">
        <v>1</v>
      </c>
      <c r="O49" s="2" t="s">
        <v>169</v>
      </c>
      <c r="P49" t="s">
        <v>155</v>
      </c>
      <c r="Q49" s="2">
        <v>0</v>
      </c>
      <c r="R49" s="2">
        <v>0</v>
      </c>
      <c r="S49" s="2">
        <v>1</v>
      </c>
      <c r="T49" s="2">
        <v>0</v>
      </c>
      <c r="U49" s="2">
        <v>1</v>
      </c>
      <c r="V49" s="2">
        <v>4</v>
      </c>
      <c r="W49" s="5">
        <v>45398</v>
      </c>
      <c r="X49" s="5">
        <v>45403</v>
      </c>
      <c r="Y49" s="28">
        <f>X49-W49</f>
        <v>5</v>
      </c>
      <c r="Z49" s="2">
        <v>1</v>
      </c>
      <c r="AA49" s="2">
        <v>0</v>
      </c>
      <c r="AB49" s="2">
        <v>1</v>
      </c>
      <c r="AC49" s="2">
        <v>0</v>
      </c>
      <c r="AD49" s="2">
        <v>0</v>
      </c>
      <c r="AE49" s="2">
        <v>0</v>
      </c>
      <c r="AF49" s="2">
        <v>0</v>
      </c>
      <c r="AG49" s="2">
        <v>0</v>
      </c>
      <c r="AH49" s="2">
        <v>0</v>
      </c>
      <c r="AI49" s="2">
        <v>1</v>
      </c>
      <c r="AJ49" s="2" t="s">
        <v>158</v>
      </c>
      <c r="AK49" s="2">
        <v>1</v>
      </c>
      <c r="AL49" s="2">
        <v>1</v>
      </c>
      <c r="AM49" s="2">
        <v>1</v>
      </c>
      <c r="AN49" s="2">
        <f>COUNTIFS(AL49,"1",AM49,"1")</f>
        <v>1</v>
      </c>
      <c r="AO49" s="2">
        <f>COUNTIFS(AL49,"1",AM49,"0")</f>
        <v>0</v>
      </c>
      <c r="AP49" s="2">
        <f>COUNTIFS(AL49,"0",AM49,"1")</f>
        <v>0</v>
      </c>
      <c r="AQ49" s="2">
        <v>1</v>
      </c>
      <c r="AR49" s="2">
        <v>1</v>
      </c>
      <c r="AS49" s="5">
        <v>45400</v>
      </c>
      <c r="AT49" s="2">
        <v>1</v>
      </c>
      <c r="AU49" s="2">
        <v>0</v>
      </c>
      <c r="AV49" s="2">
        <f>AS49-B49</f>
        <v>2</v>
      </c>
      <c r="AW49" s="2">
        <v>0</v>
      </c>
      <c r="BA49" s="2">
        <v>0</v>
      </c>
      <c r="BB49" s="2">
        <v>1</v>
      </c>
      <c r="BC49" s="2">
        <f>SUM(I49:K49)</f>
        <v>1</v>
      </c>
      <c r="BD49" s="2">
        <f>SUM(I49:K49)</f>
        <v>1</v>
      </c>
      <c r="BE49" s="2">
        <v>0</v>
      </c>
      <c r="BF49" s="2">
        <f>COUNTIFS(AR49, "1",AW49, "1")</f>
        <v>0</v>
      </c>
      <c r="BG49" s="2" t="s">
        <v>170</v>
      </c>
    </row>
    <row r="50" spans="1:59">
      <c r="A50" s="2">
        <v>63</v>
      </c>
      <c r="B50" s="5">
        <v>45398</v>
      </c>
      <c r="C50" s="5">
        <v>45442</v>
      </c>
      <c r="D50" s="2">
        <f>C50-B50</f>
        <v>44</v>
      </c>
      <c r="E50" s="2">
        <v>54</v>
      </c>
      <c r="F50" s="2">
        <v>1</v>
      </c>
      <c r="G50" s="2">
        <v>2</v>
      </c>
      <c r="H50" s="2">
        <v>1</v>
      </c>
      <c r="I50" s="2">
        <v>0</v>
      </c>
      <c r="J50" s="2">
        <v>0</v>
      </c>
      <c r="K50" s="2">
        <v>0</v>
      </c>
      <c r="L50" s="2">
        <v>1</v>
      </c>
      <c r="M50" s="2">
        <v>0</v>
      </c>
      <c r="N50" s="2">
        <v>0</v>
      </c>
      <c r="P50" t="s">
        <v>155</v>
      </c>
      <c r="Q50" s="2">
        <v>0</v>
      </c>
      <c r="R50" s="2">
        <v>0</v>
      </c>
      <c r="S50" s="2">
        <v>1</v>
      </c>
      <c r="T50" s="2">
        <v>0</v>
      </c>
      <c r="U50" s="2">
        <v>1</v>
      </c>
      <c r="V50" s="2">
        <v>5</v>
      </c>
      <c r="W50" s="5">
        <v>45398</v>
      </c>
      <c r="X50" s="5">
        <v>45401</v>
      </c>
      <c r="Y50" s="28">
        <f>X50-W50</f>
        <v>3</v>
      </c>
      <c r="Z50" s="2">
        <v>1</v>
      </c>
      <c r="AA50" s="2">
        <v>0</v>
      </c>
      <c r="AB50" s="2">
        <v>0</v>
      </c>
      <c r="AC50" s="2">
        <v>1</v>
      </c>
      <c r="AD50" s="2">
        <v>0</v>
      </c>
      <c r="AE50" s="2">
        <v>0</v>
      </c>
      <c r="AF50" s="2">
        <v>0</v>
      </c>
      <c r="AG50" s="2">
        <v>0</v>
      </c>
      <c r="AH50" s="2">
        <v>0</v>
      </c>
      <c r="AI50" s="2">
        <v>1</v>
      </c>
      <c r="AJ50" s="2" t="s">
        <v>158</v>
      </c>
      <c r="AK50" s="2">
        <v>1</v>
      </c>
      <c r="AL50" s="2">
        <v>1</v>
      </c>
      <c r="AM50" s="2">
        <v>1</v>
      </c>
      <c r="AN50" s="2">
        <f>COUNTIFS(AL50,"1",AM50,"1")</f>
        <v>1</v>
      </c>
      <c r="AO50" s="2">
        <f>COUNTIFS(AL50,"1",AM50,"0")</f>
        <v>0</v>
      </c>
      <c r="AP50" s="2">
        <f>COUNTIFS(AL50,"0",AM50,"1")</f>
        <v>0</v>
      </c>
      <c r="AQ50" s="2">
        <v>1</v>
      </c>
      <c r="AR50" s="2">
        <v>1</v>
      </c>
      <c r="AS50" s="5">
        <v>45401</v>
      </c>
      <c r="AT50" s="2">
        <v>0</v>
      </c>
      <c r="AU50" s="2">
        <v>0</v>
      </c>
      <c r="AV50" s="2">
        <f>AS50-B50</f>
        <v>3</v>
      </c>
      <c r="AW50" s="2">
        <v>0</v>
      </c>
      <c r="BA50" s="2">
        <v>0</v>
      </c>
      <c r="BB50" s="2">
        <v>0</v>
      </c>
      <c r="BC50" s="2">
        <v>1</v>
      </c>
      <c r="BD50" s="2">
        <f>SUM(I50:K50)</f>
        <v>0</v>
      </c>
      <c r="BE50" s="2">
        <v>1</v>
      </c>
      <c r="BF50" s="2">
        <f>COUNTIFS(AR50, "1",AW50, "1")</f>
        <v>0</v>
      </c>
      <c r="BG50" s="2" t="s">
        <v>171</v>
      </c>
    </row>
    <row r="51" spans="1:59">
      <c r="A51" s="2">
        <v>66</v>
      </c>
      <c r="B51" s="5">
        <v>45433</v>
      </c>
      <c r="C51" s="5">
        <v>45443</v>
      </c>
      <c r="D51" s="2">
        <f>C51-B51</f>
        <v>10</v>
      </c>
      <c r="E51" s="2">
        <v>71</v>
      </c>
      <c r="F51" s="2">
        <v>2</v>
      </c>
      <c r="G51" s="2">
        <v>2</v>
      </c>
      <c r="H51" s="2">
        <v>1</v>
      </c>
      <c r="I51" s="2">
        <v>0</v>
      </c>
      <c r="J51" s="2">
        <v>0</v>
      </c>
      <c r="K51" s="2">
        <v>0</v>
      </c>
      <c r="L51" s="2">
        <v>1</v>
      </c>
      <c r="M51" s="2">
        <v>0</v>
      </c>
      <c r="N51" s="2">
        <v>1</v>
      </c>
      <c r="O51" s="2" t="s">
        <v>99</v>
      </c>
      <c r="P51" t="s">
        <v>163</v>
      </c>
      <c r="Q51" s="2">
        <v>0</v>
      </c>
      <c r="R51" s="2">
        <v>0</v>
      </c>
      <c r="S51" s="2">
        <v>1</v>
      </c>
      <c r="T51" s="2">
        <v>0</v>
      </c>
      <c r="U51" s="2">
        <v>0</v>
      </c>
      <c r="V51" s="2">
        <v>1</v>
      </c>
      <c r="W51" s="5">
        <v>45433</v>
      </c>
      <c r="X51" s="5">
        <v>45433</v>
      </c>
      <c r="Y51" s="28">
        <f>X51-W51</f>
        <v>0</v>
      </c>
      <c r="Z51" s="2">
        <v>1</v>
      </c>
      <c r="AA51" s="2">
        <v>0</v>
      </c>
      <c r="AB51" s="2">
        <v>0</v>
      </c>
      <c r="AC51" s="2">
        <v>1</v>
      </c>
      <c r="AD51" s="2">
        <v>0</v>
      </c>
      <c r="AE51" s="2">
        <v>0</v>
      </c>
      <c r="AF51" s="2">
        <v>0</v>
      </c>
      <c r="AG51" s="2">
        <v>0</v>
      </c>
      <c r="AH51" s="2">
        <v>0</v>
      </c>
      <c r="AI51" s="2">
        <v>1</v>
      </c>
      <c r="AJ51" s="2" t="s">
        <v>48</v>
      </c>
      <c r="AK51" s="2">
        <v>1</v>
      </c>
      <c r="AL51" s="2">
        <v>0</v>
      </c>
      <c r="AM51" s="2">
        <v>1</v>
      </c>
      <c r="AN51" s="2">
        <f>COUNTIFS(AL51,"1",AM51,"1")</f>
        <v>0</v>
      </c>
      <c r="AO51" s="2">
        <f>COUNTIFS(AL51,"1",AM51,"0")</f>
        <v>0</v>
      </c>
      <c r="AP51" s="2">
        <f>COUNTIFS(AL51,"0",AM51,"1")</f>
        <v>1</v>
      </c>
      <c r="AQ51" s="2">
        <v>1</v>
      </c>
      <c r="AR51" s="2">
        <v>1</v>
      </c>
      <c r="AS51" s="5">
        <v>45436</v>
      </c>
      <c r="AT51" s="2">
        <v>0</v>
      </c>
      <c r="AU51" s="2">
        <v>0</v>
      </c>
      <c r="AV51" s="2">
        <f>AS51-B51</f>
        <v>3</v>
      </c>
      <c r="AW51" s="2">
        <v>0</v>
      </c>
      <c r="BA51" s="2">
        <v>0</v>
      </c>
      <c r="BB51" s="2">
        <v>0</v>
      </c>
      <c r="BC51" s="2">
        <f>SUM(I51:K51)</f>
        <v>0</v>
      </c>
      <c r="BD51" s="2">
        <f>SUM(I51:K51)</f>
        <v>0</v>
      </c>
      <c r="BE51" s="2">
        <v>0</v>
      </c>
      <c r="BF51" s="2">
        <f>COUNTIFS(AR51, "1",AW51, "1")</f>
        <v>0</v>
      </c>
      <c r="BG51" s="2" t="s">
        <v>177</v>
      </c>
    </row>
    <row r="52" spans="1:59">
      <c r="A52" s="2">
        <v>67</v>
      </c>
      <c r="B52" s="5">
        <v>45398</v>
      </c>
      <c r="C52" s="5">
        <v>45442</v>
      </c>
      <c r="D52" s="2">
        <f>C52-B52</f>
        <v>44</v>
      </c>
      <c r="E52" s="2">
        <v>54</v>
      </c>
      <c r="F52" s="2">
        <v>1</v>
      </c>
      <c r="G52" s="2">
        <v>2</v>
      </c>
      <c r="H52" s="2">
        <v>1</v>
      </c>
      <c r="I52" s="2">
        <v>0</v>
      </c>
      <c r="J52" s="2">
        <v>0</v>
      </c>
      <c r="K52" s="2">
        <v>0</v>
      </c>
      <c r="L52" s="2">
        <v>1</v>
      </c>
      <c r="M52" s="2">
        <v>0</v>
      </c>
      <c r="N52" s="2">
        <v>0</v>
      </c>
      <c r="P52" t="s">
        <v>155</v>
      </c>
      <c r="Q52" s="2">
        <v>0</v>
      </c>
      <c r="R52" s="2">
        <v>0</v>
      </c>
      <c r="S52" s="2">
        <v>1</v>
      </c>
      <c r="T52" s="2">
        <v>0</v>
      </c>
      <c r="U52" s="2">
        <v>1</v>
      </c>
      <c r="V52" s="2">
        <v>5</v>
      </c>
      <c r="W52" s="5">
        <v>45398</v>
      </c>
      <c r="X52" s="5">
        <v>45401</v>
      </c>
      <c r="Y52" s="28">
        <f>X52-W52</f>
        <v>3</v>
      </c>
      <c r="Z52" s="2">
        <v>1</v>
      </c>
      <c r="AA52" s="2">
        <v>0</v>
      </c>
      <c r="AB52" s="2">
        <v>0</v>
      </c>
      <c r="AC52" s="2">
        <v>1</v>
      </c>
      <c r="AD52" s="2">
        <v>0</v>
      </c>
      <c r="AE52" s="2">
        <v>1</v>
      </c>
      <c r="AF52" s="2">
        <v>0</v>
      </c>
      <c r="AG52" s="2">
        <v>0</v>
      </c>
      <c r="AH52" s="2">
        <v>0</v>
      </c>
      <c r="AI52" s="2">
        <v>1</v>
      </c>
      <c r="AJ52" s="2" t="s">
        <v>158</v>
      </c>
      <c r="AK52" s="2">
        <v>1</v>
      </c>
      <c r="AL52" s="2">
        <v>1</v>
      </c>
      <c r="AM52" s="2">
        <v>1</v>
      </c>
      <c r="AN52" s="2">
        <f>COUNTIFS(AL52,"1",AM52,"1")</f>
        <v>1</v>
      </c>
      <c r="AO52" s="2">
        <f>COUNTIFS(AL52,"1",AM52,"0")</f>
        <v>0</v>
      </c>
      <c r="AP52" s="2">
        <f>COUNTIFS(AL52,"0",AM52,"1")</f>
        <v>0</v>
      </c>
      <c r="AQ52" s="2">
        <v>1</v>
      </c>
      <c r="AR52" s="2">
        <v>1</v>
      </c>
      <c r="AS52" s="5">
        <v>45401</v>
      </c>
      <c r="AT52" s="2">
        <v>0</v>
      </c>
      <c r="AU52" s="2">
        <v>0</v>
      </c>
      <c r="AV52" s="2">
        <f>AS52-B52</f>
        <v>3</v>
      </c>
      <c r="AW52" s="2">
        <v>0</v>
      </c>
      <c r="BA52" s="2">
        <v>0</v>
      </c>
      <c r="BB52" s="2">
        <v>0</v>
      </c>
      <c r="BC52" s="2">
        <v>1</v>
      </c>
      <c r="BD52" s="2">
        <f>SUM(I52:K52)</f>
        <v>0</v>
      </c>
      <c r="BE52" s="2">
        <v>0</v>
      </c>
      <c r="BF52" s="2">
        <f>COUNTIFS(AR52, "1",AW52, "1")</f>
        <v>0</v>
      </c>
      <c r="BG52" s="2" t="s">
        <v>178</v>
      </c>
    </row>
    <row r="53" spans="1:59">
      <c r="A53" s="2">
        <v>76</v>
      </c>
      <c r="B53" s="5">
        <v>45457</v>
      </c>
      <c r="C53" s="5">
        <v>45468</v>
      </c>
      <c r="D53" s="2">
        <f>C53-B53</f>
        <v>11</v>
      </c>
      <c r="E53" s="2">
        <v>59</v>
      </c>
      <c r="F53" s="2">
        <v>1</v>
      </c>
      <c r="G53" s="2">
        <v>3</v>
      </c>
      <c r="H53" s="2">
        <v>0</v>
      </c>
      <c r="I53" s="2">
        <v>0</v>
      </c>
      <c r="J53" s="2">
        <v>0</v>
      </c>
      <c r="K53" s="2">
        <v>0</v>
      </c>
      <c r="L53" s="2">
        <v>0</v>
      </c>
      <c r="M53" s="2">
        <v>0</v>
      </c>
      <c r="N53" s="2">
        <v>0</v>
      </c>
      <c r="P53" t="s">
        <v>179</v>
      </c>
      <c r="Q53" s="2">
        <v>0</v>
      </c>
      <c r="R53" s="2">
        <v>0</v>
      </c>
      <c r="S53" s="2">
        <v>0</v>
      </c>
      <c r="T53" s="2">
        <v>1</v>
      </c>
      <c r="U53" s="2">
        <v>1</v>
      </c>
      <c r="V53" s="2">
        <v>3</v>
      </c>
      <c r="W53" s="5">
        <v>45457</v>
      </c>
      <c r="X53" s="5">
        <v>45460</v>
      </c>
      <c r="Y53" s="28">
        <f>X53-W53</f>
        <v>3</v>
      </c>
      <c r="Z53" s="2">
        <v>1</v>
      </c>
      <c r="AA53" s="2">
        <v>1</v>
      </c>
      <c r="AB53" s="2">
        <v>1</v>
      </c>
      <c r="AC53" s="2">
        <v>0</v>
      </c>
      <c r="AD53" s="2">
        <v>0</v>
      </c>
      <c r="AE53" s="2">
        <v>0</v>
      </c>
      <c r="AF53" s="2">
        <v>0</v>
      </c>
      <c r="AG53" s="2">
        <v>0</v>
      </c>
      <c r="AH53" s="2">
        <v>0</v>
      </c>
      <c r="AI53" s="2">
        <v>1</v>
      </c>
      <c r="AJ53" s="2" t="s">
        <v>55</v>
      </c>
      <c r="AK53" s="2">
        <v>1</v>
      </c>
      <c r="AL53" s="2">
        <v>1</v>
      </c>
      <c r="AM53" s="2">
        <v>1</v>
      </c>
      <c r="AN53" s="2">
        <f>COUNTIFS(AL53,"1",AM53,"1")</f>
        <v>1</v>
      </c>
      <c r="AO53" s="2">
        <f>COUNTIFS(AL53,"1",AM53,"0")</f>
        <v>0</v>
      </c>
      <c r="AP53" s="2">
        <f>COUNTIFS(AL53,"0",AM53,"1")</f>
        <v>0</v>
      </c>
      <c r="AQ53" s="2">
        <v>1</v>
      </c>
      <c r="AR53" s="2">
        <v>1</v>
      </c>
      <c r="AS53" s="5">
        <v>45461</v>
      </c>
      <c r="AT53" s="2">
        <v>0</v>
      </c>
      <c r="AU53" s="2">
        <v>0</v>
      </c>
      <c r="AV53" s="2">
        <f>AS53-B53</f>
        <v>4</v>
      </c>
      <c r="AW53" s="2">
        <v>1</v>
      </c>
      <c r="AX53" s="5">
        <v>45463</v>
      </c>
      <c r="AY53" s="2">
        <v>0</v>
      </c>
      <c r="AZ53" s="2">
        <v>0</v>
      </c>
      <c r="BA53" s="2">
        <v>0</v>
      </c>
      <c r="BB53" s="2">
        <v>0</v>
      </c>
      <c r="BC53" s="2">
        <f>SUM(I53:K53)</f>
        <v>0</v>
      </c>
      <c r="BD53" s="2">
        <f>SUM(I53:K53)</f>
        <v>0</v>
      </c>
      <c r="BE53" s="2">
        <v>0</v>
      </c>
      <c r="BF53" s="2">
        <f>COUNTIFS(AR53, "1",AW53, "1")</f>
        <v>1</v>
      </c>
    </row>
    <row r="54" spans="1:59">
      <c r="A54" s="2">
        <v>85</v>
      </c>
      <c r="B54" s="5">
        <v>45419</v>
      </c>
      <c r="C54" s="5">
        <v>45436</v>
      </c>
      <c r="D54" s="2">
        <f>C54-B54</f>
        <v>17</v>
      </c>
      <c r="E54" s="2">
        <v>57</v>
      </c>
      <c r="F54" s="2">
        <v>1</v>
      </c>
      <c r="G54" s="2">
        <v>2</v>
      </c>
      <c r="H54" s="2">
        <v>0</v>
      </c>
      <c r="I54" s="2">
        <v>0</v>
      </c>
      <c r="J54" s="2">
        <v>0</v>
      </c>
      <c r="K54" s="2">
        <v>0</v>
      </c>
      <c r="L54" s="2">
        <v>0</v>
      </c>
      <c r="M54" s="2">
        <v>0</v>
      </c>
      <c r="N54" s="2">
        <v>0</v>
      </c>
      <c r="P54" t="s">
        <v>208</v>
      </c>
      <c r="Q54" s="2">
        <v>0</v>
      </c>
      <c r="R54" s="2">
        <v>0</v>
      </c>
      <c r="S54" s="2">
        <v>0</v>
      </c>
      <c r="T54" s="2">
        <v>1</v>
      </c>
      <c r="U54" s="2">
        <v>0</v>
      </c>
      <c r="V54" s="2">
        <v>1</v>
      </c>
      <c r="W54" s="5">
        <v>45419</v>
      </c>
      <c r="X54" s="5">
        <v>45419</v>
      </c>
      <c r="Y54" s="28">
        <f>X54-W54</f>
        <v>0</v>
      </c>
      <c r="Z54" s="2">
        <v>0</v>
      </c>
      <c r="AA54" s="2">
        <v>0</v>
      </c>
      <c r="AB54" s="2">
        <v>0</v>
      </c>
      <c r="AC54" s="2">
        <v>0</v>
      </c>
      <c r="AD54" s="2">
        <v>0</v>
      </c>
      <c r="AE54" s="2">
        <v>0</v>
      </c>
      <c r="AF54" s="2">
        <v>0</v>
      </c>
      <c r="AG54" s="2">
        <v>0</v>
      </c>
      <c r="AH54" s="2">
        <v>0</v>
      </c>
      <c r="AI54" s="2">
        <v>1</v>
      </c>
      <c r="AJ54" s="2" t="s">
        <v>209</v>
      </c>
      <c r="AK54" s="11">
        <v>1</v>
      </c>
      <c r="AL54" s="2">
        <v>1</v>
      </c>
      <c r="AM54" s="2">
        <v>0</v>
      </c>
      <c r="AN54" s="2">
        <f>COUNTIFS(AL54,"1",AM54,"1")</f>
        <v>0</v>
      </c>
      <c r="AO54" s="2">
        <f>COUNTIFS(AL54,"1",AM54,"0")</f>
        <v>1</v>
      </c>
      <c r="AP54" s="2">
        <f>COUNTIFS(AL54,"0",AM54,"1")</f>
        <v>0</v>
      </c>
      <c r="AQ54" s="2">
        <v>0</v>
      </c>
      <c r="AR54" s="2">
        <v>1</v>
      </c>
      <c r="AS54" s="5">
        <v>45432</v>
      </c>
      <c r="AT54" s="2">
        <v>0</v>
      </c>
      <c r="AU54" s="2">
        <v>0</v>
      </c>
      <c r="AV54" s="2">
        <f>AS54-B54</f>
        <v>13</v>
      </c>
      <c r="AW54" s="2">
        <v>0</v>
      </c>
      <c r="BA54" s="2">
        <v>0</v>
      </c>
      <c r="BB54" s="2">
        <v>0</v>
      </c>
      <c r="BC54" s="2">
        <f>SUM(I54:K54)</f>
        <v>0</v>
      </c>
      <c r="BD54" s="2">
        <f>SUM(I54:K54)</f>
        <v>0</v>
      </c>
      <c r="BE54" s="2">
        <v>0</v>
      </c>
      <c r="BF54" s="2">
        <f>COUNTIFS(AR54, "1",AW54, "1")</f>
        <v>0</v>
      </c>
      <c r="BG54" s="2" t="s">
        <v>210</v>
      </c>
    </row>
    <row r="55" spans="1:59">
      <c r="A55" s="2">
        <v>108</v>
      </c>
      <c r="B55" s="5">
        <v>45398</v>
      </c>
      <c r="C55" s="5">
        <v>45412</v>
      </c>
      <c r="D55" s="2">
        <f>C55-B55</f>
        <v>14</v>
      </c>
      <c r="E55" s="2">
        <v>78</v>
      </c>
      <c r="F55" s="2">
        <v>2</v>
      </c>
      <c r="G55" s="2">
        <v>2</v>
      </c>
      <c r="H55" s="2">
        <v>1</v>
      </c>
      <c r="I55" s="2">
        <v>0</v>
      </c>
      <c r="J55" s="2">
        <v>1</v>
      </c>
      <c r="K55" s="2">
        <v>0</v>
      </c>
      <c r="L55" s="2">
        <v>0</v>
      </c>
      <c r="M55" s="2">
        <v>0</v>
      </c>
      <c r="N55" s="2">
        <v>1</v>
      </c>
      <c r="O55" s="2" t="s">
        <v>225</v>
      </c>
      <c r="P55" t="s">
        <v>179</v>
      </c>
      <c r="Q55" s="2">
        <v>0</v>
      </c>
      <c r="R55" s="2">
        <v>0</v>
      </c>
      <c r="S55" s="2">
        <v>0</v>
      </c>
      <c r="T55" s="2">
        <v>1</v>
      </c>
      <c r="U55" s="2">
        <v>1</v>
      </c>
      <c r="V55" s="2">
        <v>4</v>
      </c>
      <c r="W55" s="5">
        <v>45398</v>
      </c>
      <c r="X55" s="5">
        <v>45404</v>
      </c>
      <c r="Y55" s="28">
        <f>X55-W55</f>
        <v>6</v>
      </c>
      <c r="Z55" s="2">
        <v>0</v>
      </c>
      <c r="AA55" s="2">
        <v>0</v>
      </c>
      <c r="AB55" s="2">
        <v>0</v>
      </c>
      <c r="AC55" s="2">
        <v>0</v>
      </c>
      <c r="AD55" s="2">
        <v>0</v>
      </c>
      <c r="AE55" s="2">
        <v>0</v>
      </c>
      <c r="AF55" s="2">
        <v>0</v>
      </c>
      <c r="AG55" s="2">
        <v>0</v>
      </c>
      <c r="AH55" s="2">
        <v>0</v>
      </c>
      <c r="AI55" s="2">
        <v>1</v>
      </c>
      <c r="AJ55" s="2" t="s">
        <v>91</v>
      </c>
      <c r="AK55" s="2">
        <v>1</v>
      </c>
      <c r="AL55" s="2">
        <v>1</v>
      </c>
      <c r="AM55" s="2">
        <v>1</v>
      </c>
      <c r="AN55" s="2">
        <f>COUNTIFS(AL55,"1",AM55,"1")</f>
        <v>1</v>
      </c>
      <c r="AO55" s="2">
        <f>COUNTIFS(AL55,"1",AM55,"0")</f>
        <v>0</v>
      </c>
      <c r="AP55" s="2">
        <f>COUNTIFS(AL55,"0",AM55,"1")</f>
        <v>0</v>
      </c>
      <c r="AQ55" s="2">
        <v>1</v>
      </c>
      <c r="AR55" s="2">
        <v>1</v>
      </c>
      <c r="AS55" s="5">
        <v>45399</v>
      </c>
      <c r="AT55" s="2">
        <v>0</v>
      </c>
      <c r="AU55" s="2">
        <v>1</v>
      </c>
      <c r="AV55" s="2">
        <f>AS55-B55</f>
        <v>1</v>
      </c>
      <c r="AW55" s="2">
        <v>1</v>
      </c>
      <c r="AX55" s="5">
        <v>45404</v>
      </c>
      <c r="AY55" s="2">
        <v>1</v>
      </c>
      <c r="AZ55" s="2">
        <v>1</v>
      </c>
      <c r="BA55" s="2">
        <v>0</v>
      </c>
      <c r="BB55" s="2">
        <v>1</v>
      </c>
      <c r="BC55" s="2">
        <f>SUM(I55:K55)</f>
        <v>1</v>
      </c>
      <c r="BD55" s="2">
        <f>SUM(I55:K55)</f>
        <v>1</v>
      </c>
      <c r="BE55" s="2">
        <v>0</v>
      </c>
      <c r="BF55" s="2">
        <f>COUNTIFS(AR55, "1",AW55, "1")</f>
        <v>1</v>
      </c>
      <c r="BG55" s="2" t="s">
        <v>226</v>
      </c>
    </row>
    <row r="56" spans="1:59" s="13" customFormat="1">
      <c r="A56" s="13">
        <v>132</v>
      </c>
      <c r="B56" s="18">
        <v>45363</v>
      </c>
      <c r="C56" s="18">
        <v>45401</v>
      </c>
      <c r="D56" s="13">
        <f>C56-B56</f>
        <v>38</v>
      </c>
      <c r="E56" s="13">
        <v>41</v>
      </c>
      <c r="F56" s="13">
        <v>1</v>
      </c>
      <c r="G56" s="13">
        <v>3</v>
      </c>
      <c r="H56" s="13">
        <v>1</v>
      </c>
      <c r="I56" s="13">
        <v>0</v>
      </c>
      <c r="J56" s="13">
        <v>0</v>
      </c>
      <c r="K56" s="13">
        <v>0</v>
      </c>
      <c r="L56" s="13">
        <v>1</v>
      </c>
      <c r="M56" s="13">
        <v>0</v>
      </c>
      <c r="N56" s="13">
        <v>0</v>
      </c>
      <c r="P56" s="14" t="s">
        <v>179</v>
      </c>
      <c r="Q56" s="13">
        <v>0</v>
      </c>
      <c r="R56" s="13">
        <v>0</v>
      </c>
      <c r="S56" s="13">
        <v>0</v>
      </c>
      <c r="T56" s="13">
        <v>1</v>
      </c>
      <c r="U56" s="13">
        <v>0</v>
      </c>
      <c r="V56" s="13">
        <v>1</v>
      </c>
      <c r="W56" s="18">
        <v>45370</v>
      </c>
      <c r="X56" s="18">
        <v>45370</v>
      </c>
      <c r="Y56" s="31">
        <f>X56-W56</f>
        <v>0</v>
      </c>
      <c r="Z56" s="13">
        <v>1</v>
      </c>
      <c r="AA56" s="13">
        <v>0</v>
      </c>
      <c r="AB56" s="13">
        <v>0</v>
      </c>
      <c r="AC56" s="13">
        <v>1</v>
      </c>
      <c r="AD56" s="13">
        <v>0</v>
      </c>
      <c r="AE56" s="13">
        <v>0</v>
      </c>
      <c r="AF56" s="13">
        <v>0</v>
      </c>
      <c r="AG56" s="13">
        <v>0</v>
      </c>
      <c r="AH56" s="13">
        <v>0</v>
      </c>
      <c r="AI56" s="13">
        <v>1</v>
      </c>
      <c r="AJ56" s="13" t="s">
        <v>91</v>
      </c>
      <c r="AK56" s="13">
        <v>1</v>
      </c>
      <c r="AL56" s="13">
        <v>1</v>
      </c>
      <c r="AM56" s="13">
        <v>1</v>
      </c>
      <c r="AN56" s="2">
        <f>COUNTIFS(AL56,"1",AM56,"1")</f>
        <v>1</v>
      </c>
      <c r="AO56" s="2">
        <f>COUNTIFS(AL56,"1",AM56,"0")</f>
        <v>0</v>
      </c>
      <c r="AP56" s="2">
        <f>COUNTIFS(AL56,"0",AM56,"1")</f>
        <v>0</v>
      </c>
      <c r="AQ56" s="13">
        <v>1</v>
      </c>
      <c r="AR56" s="13">
        <v>1</v>
      </c>
      <c r="AS56" s="18">
        <v>45372</v>
      </c>
      <c r="AT56" s="13">
        <v>0</v>
      </c>
      <c r="AU56" s="13">
        <v>0</v>
      </c>
      <c r="AV56" s="2">
        <f>AS56-B56</f>
        <v>9</v>
      </c>
      <c r="AW56" s="13">
        <v>0</v>
      </c>
      <c r="BA56" s="13">
        <v>0</v>
      </c>
      <c r="BB56" s="13">
        <v>0</v>
      </c>
      <c r="BC56" s="2">
        <f>SUM(I56:K56)</f>
        <v>0</v>
      </c>
      <c r="BD56" s="2">
        <f>SUM(I56:K56)</f>
        <v>0</v>
      </c>
      <c r="BE56" s="13">
        <v>0</v>
      </c>
      <c r="BF56" s="2">
        <f>COUNTIFS(AR56, "1",AW56, "1")</f>
        <v>0</v>
      </c>
      <c r="BG56" s="13" t="s">
        <v>242</v>
      </c>
    </row>
    <row r="60" spans="1:59">
      <c r="J60" s="45" t="s">
        <v>326</v>
      </c>
      <c r="K60" s="45" t="s">
        <v>39</v>
      </c>
      <c r="L60"/>
      <c r="M60"/>
    </row>
    <row r="61" spans="1:59">
      <c r="J61" s="45" t="s">
        <v>43</v>
      </c>
      <c r="K61">
        <v>0</v>
      </c>
      <c r="L61">
        <v>1</v>
      </c>
      <c r="M61" t="s">
        <v>329</v>
      </c>
    </row>
    <row r="62" spans="1:59">
      <c r="J62">
        <v>0</v>
      </c>
      <c r="K62">
        <v>39</v>
      </c>
      <c r="L62">
        <v>14</v>
      </c>
      <c r="M62">
        <v>53</v>
      </c>
    </row>
    <row r="63" spans="1:59">
      <c r="J63">
        <v>1</v>
      </c>
      <c r="K63"/>
      <c r="L63">
        <v>2</v>
      </c>
      <c r="M63">
        <v>2</v>
      </c>
    </row>
    <row r="64" spans="1:59">
      <c r="J64" t="s">
        <v>329</v>
      </c>
      <c r="K64">
        <v>39</v>
      </c>
      <c r="L64">
        <v>16</v>
      </c>
      <c r="M64">
        <v>55</v>
      </c>
    </row>
    <row r="65" spans="10:12">
      <c r="J65"/>
      <c r="K65"/>
      <c r="L65"/>
    </row>
    <row r="66" spans="10:12">
      <c r="J66"/>
      <c r="K66"/>
      <c r="L66"/>
    </row>
    <row r="67" spans="10:12">
      <c r="J67" s="46"/>
      <c r="K67" s="46">
        <v>0</v>
      </c>
      <c r="L67" s="46">
        <v>1</v>
      </c>
    </row>
    <row r="68" spans="10:12">
      <c r="J68">
        <v>0</v>
      </c>
      <c r="K68">
        <f>(K64*M62)/M64</f>
        <v>37.581818181818178</v>
      </c>
      <c r="L68">
        <f>(M62*L64)/M64</f>
        <v>15.418181818181818</v>
      </c>
    </row>
    <row r="69" spans="10:12">
      <c r="J69">
        <v>1</v>
      </c>
      <c r="K69">
        <f>(K64*M63)/M64</f>
        <v>1.4181818181818182</v>
      </c>
      <c r="L69">
        <f>(L64*M63)/M64</f>
        <v>0.58181818181818179</v>
      </c>
    </row>
    <row r="70" spans="10:12">
      <c r="J70"/>
      <c r="K70"/>
      <c r="L70"/>
    </row>
    <row r="71" spans="10:12">
      <c r="J71">
        <f>_xlfn.CHISQ.TEST(K62:L63,K68:L69)</f>
        <v>5.6380499338011071E-2</v>
      </c>
      <c r="K71"/>
      <c r="L71"/>
    </row>
    <row r="72" spans="10:12">
      <c r="J72">
        <f>(((K62-K68)^2)/K68) + (((K63-K69)^2)/K69) + (((L62-L68)^2)/L68) + (((L63-L69)^2)/L69)</f>
        <v>5.058962264150944</v>
      </c>
      <c r="K72"/>
      <c r="L72"/>
    </row>
    <row r="73" spans="10:12">
      <c r="J73">
        <v>1</v>
      </c>
      <c r="K73"/>
      <c r="L73"/>
    </row>
    <row r="74" spans="10:12">
      <c r="J74"/>
      <c r="K74" t="s">
        <v>309</v>
      </c>
      <c r="L74" t="s">
        <v>310</v>
      </c>
    </row>
    <row r="75" spans="10:12">
      <c r="J75" s="50" t="s">
        <v>356</v>
      </c>
      <c r="K75">
        <f>K68</f>
        <v>37.581818181818178</v>
      </c>
      <c r="L75">
        <f>K62</f>
        <v>39</v>
      </c>
    </row>
    <row r="76" spans="10:12">
      <c r="J76" s="50" t="s">
        <v>357</v>
      </c>
      <c r="K76">
        <f>L68</f>
        <v>15.418181818181818</v>
      </c>
      <c r="L76">
        <f>L62</f>
        <v>14</v>
      </c>
    </row>
    <row r="77" spans="10:12">
      <c r="J77" s="50" t="s">
        <v>358</v>
      </c>
      <c r="K77">
        <f>K69</f>
        <v>1.4181818181818182</v>
      </c>
      <c r="L77">
        <f>K63</f>
        <v>0</v>
      </c>
    </row>
    <row r="78" spans="10:12">
      <c r="J78" s="50" t="s">
        <v>359</v>
      </c>
      <c r="K78">
        <f>L69</f>
        <v>0.58181818181818179</v>
      </c>
      <c r="L78">
        <f>L63</f>
        <v>2</v>
      </c>
    </row>
  </sheetData>
  <sortState xmlns:xlrd2="http://schemas.microsoft.com/office/spreadsheetml/2017/richdata2" ref="A2:BG56">
    <sortCondition descending="1" ref="AK2:AK56"/>
  </sortState>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5900C-C504-4893-88EB-323B4EB16B2B}">
  <dimension ref="A1:BG74"/>
  <sheetViews>
    <sheetView workbookViewId="0">
      <pane xSplit="2" ySplit="1" topLeftCell="C29" activePane="bottomRight" state="frozen"/>
      <selection pane="bottomRight" activeCell="F53" sqref="F53"/>
      <selection pane="bottomLeft"/>
      <selection pane="topRight"/>
    </sheetView>
  </sheetViews>
  <sheetFormatPr defaultRowHeight="15"/>
  <cols>
    <col min="1" max="1" width="7.42578125" style="2" customWidth="1"/>
    <col min="2" max="2" width="14.42578125" style="2" customWidth="1"/>
    <col min="3" max="3" width="12.140625" style="2" customWidth="1"/>
    <col min="4" max="4" width="12.5703125" style="2" customWidth="1"/>
    <col min="5" max="8" width="9.140625" style="2"/>
    <col min="9" max="9" width="13.140625" style="2" customWidth="1"/>
    <col min="10" max="10" width="20.140625" style="2" customWidth="1"/>
    <col min="11" max="11" width="13.140625" style="2" customWidth="1"/>
    <col min="12" max="12" width="14.7109375" style="2" customWidth="1"/>
    <col min="13" max="13" width="31.5703125" style="2" customWidth="1"/>
    <col min="14" max="14" width="13.140625" style="2" customWidth="1"/>
    <col min="15" max="15" width="22" style="2" customWidth="1"/>
    <col min="16" max="16" width="11.42578125" style="2" customWidth="1"/>
    <col min="17" max="17" width="40.42578125" style="2" customWidth="1"/>
    <col min="18" max="19" width="10.85546875" style="2" customWidth="1"/>
    <col min="20" max="20" width="12.7109375" style="2" customWidth="1"/>
    <col min="21" max="21" width="10.85546875" style="2" customWidth="1"/>
    <col min="22" max="22" width="11.42578125" style="2" customWidth="1"/>
    <col min="23" max="23" width="12.140625" style="2" customWidth="1"/>
    <col min="24" max="26" width="12.42578125" style="2" customWidth="1"/>
    <col min="27" max="36" width="17.42578125" style="2" customWidth="1"/>
    <col min="37" max="37" width="12.7109375" style="2" customWidth="1"/>
    <col min="38" max="38" width="14.42578125" style="2" customWidth="1"/>
    <col min="39" max="39" width="12.7109375" style="2" customWidth="1"/>
    <col min="40" max="43" width="18.7109375" style="2" customWidth="1"/>
    <col min="44" max="44" width="17" style="2" customWidth="1"/>
    <col min="45" max="46" width="12.140625" style="2" customWidth="1"/>
    <col min="47" max="47" width="13.28515625" style="2" customWidth="1"/>
    <col min="48" max="48" width="17.28515625" style="2" customWidth="1"/>
    <col min="49" max="49" width="9.42578125" style="2" customWidth="1"/>
    <col min="50" max="50" width="9.140625" style="2"/>
    <col min="51" max="51" width="11.28515625" style="2" customWidth="1"/>
    <col min="52" max="52" width="13.85546875" style="2" customWidth="1"/>
    <col min="53" max="53" width="16.42578125" style="2" customWidth="1"/>
    <col min="54" max="54" width="15.5703125" style="2" customWidth="1"/>
    <col min="55" max="55" width="19.7109375" style="2" customWidth="1"/>
    <col min="56" max="57" width="17.28515625" style="2" customWidth="1"/>
    <col min="58" max="59" width="13" style="2" customWidth="1"/>
    <col min="60" max="60" width="67.7109375" style="2" customWidth="1"/>
    <col min="61" max="16384" width="9.140625" style="2"/>
  </cols>
  <sheetData>
    <row r="1" spans="1:59" s="1" customFormat="1" ht="63.75" customHeight="1">
      <c r="A1" s="1" t="s">
        <v>0</v>
      </c>
      <c r="B1" s="3" t="s">
        <v>1</v>
      </c>
      <c r="C1" s="3" t="s">
        <v>2</v>
      </c>
      <c r="D1" s="3" t="s">
        <v>3</v>
      </c>
      <c r="E1" s="3" t="s">
        <v>4</v>
      </c>
      <c r="F1" s="3" t="s">
        <v>5</v>
      </c>
      <c r="G1" s="3" t="s">
        <v>6</v>
      </c>
      <c r="H1" s="1" t="s">
        <v>7</v>
      </c>
      <c r="I1" s="1" t="s">
        <v>8</v>
      </c>
      <c r="J1" s="1" t="s">
        <v>9</v>
      </c>
      <c r="K1" s="1" t="s">
        <v>10</v>
      </c>
      <c r="L1" s="1" t="s">
        <v>11</v>
      </c>
      <c r="M1" s="1" t="s">
        <v>12</v>
      </c>
      <c r="N1" s="1" t="s">
        <v>13</v>
      </c>
      <c r="O1" s="1" t="s">
        <v>14</v>
      </c>
      <c r="P1" s="4" t="s">
        <v>15</v>
      </c>
      <c r="Q1" s="1" t="s">
        <v>276</v>
      </c>
      <c r="R1" s="1" t="s">
        <v>277</v>
      </c>
      <c r="S1" s="1" t="s">
        <v>278</v>
      </c>
      <c r="T1" s="1" t="s">
        <v>279</v>
      </c>
      <c r="U1" s="1" t="s">
        <v>16</v>
      </c>
      <c r="V1" s="1" t="s">
        <v>17</v>
      </c>
      <c r="W1" s="1" t="s">
        <v>18</v>
      </c>
      <c r="X1" s="1" t="s">
        <v>19</v>
      </c>
      <c r="Y1" s="1" t="s">
        <v>244</v>
      </c>
      <c r="Z1" s="1" t="s">
        <v>20</v>
      </c>
      <c r="AA1" s="1" t="s">
        <v>21</v>
      </c>
      <c r="AB1" s="1" t="s">
        <v>22</v>
      </c>
      <c r="AC1" s="1" t="s">
        <v>23</v>
      </c>
      <c r="AD1" s="1" t="s">
        <v>24</v>
      </c>
      <c r="AE1" s="1" t="s">
        <v>25</v>
      </c>
      <c r="AF1" s="1" t="s">
        <v>26</v>
      </c>
      <c r="AG1" s="1" t="s">
        <v>27</v>
      </c>
      <c r="AH1" s="1" t="s">
        <v>28</v>
      </c>
      <c r="AI1" s="4" t="s">
        <v>29</v>
      </c>
      <c r="AJ1" s="1" t="s">
        <v>30</v>
      </c>
      <c r="AK1" s="64" t="s">
        <v>31</v>
      </c>
      <c r="AL1" s="1" t="s">
        <v>32</v>
      </c>
      <c r="AM1" s="1" t="s">
        <v>33</v>
      </c>
      <c r="AN1" s="1" t="s">
        <v>280</v>
      </c>
      <c r="AO1" s="1" t="s">
        <v>281</v>
      </c>
      <c r="AP1" s="1" t="s">
        <v>282</v>
      </c>
      <c r="AQ1" s="1" t="s">
        <v>34</v>
      </c>
      <c r="AR1" s="4" t="s">
        <v>35</v>
      </c>
      <c r="AS1" s="4" t="s">
        <v>36</v>
      </c>
      <c r="AT1" s="1" t="s">
        <v>37</v>
      </c>
      <c r="AU1" s="1" t="s">
        <v>38</v>
      </c>
      <c r="AV1" s="1" t="s">
        <v>283</v>
      </c>
      <c r="AW1" s="3" t="s">
        <v>39</v>
      </c>
      <c r="AX1" s="3" t="s">
        <v>40</v>
      </c>
      <c r="AY1" s="1" t="s">
        <v>41</v>
      </c>
      <c r="AZ1" s="1" t="s">
        <v>42</v>
      </c>
      <c r="BA1" s="1" t="s">
        <v>43</v>
      </c>
      <c r="BB1" s="1" t="s">
        <v>284</v>
      </c>
      <c r="BC1" s="1" t="s">
        <v>285</v>
      </c>
      <c r="BD1" s="1" t="s">
        <v>286</v>
      </c>
      <c r="BE1" s="1" t="s">
        <v>44</v>
      </c>
      <c r="BF1" s="1" t="s">
        <v>287</v>
      </c>
      <c r="BG1" s="1" t="s">
        <v>45</v>
      </c>
    </row>
    <row r="2" spans="1:59">
      <c r="A2" s="2">
        <v>1</v>
      </c>
      <c r="B2" s="5">
        <v>45442</v>
      </c>
      <c r="C2" s="5">
        <v>45462</v>
      </c>
      <c r="D2" s="2">
        <f>C2-B2</f>
        <v>20</v>
      </c>
      <c r="E2" s="2">
        <v>85</v>
      </c>
      <c r="F2" s="2">
        <v>1</v>
      </c>
      <c r="G2" s="2">
        <v>2</v>
      </c>
      <c r="H2" s="2">
        <v>1</v>
      </c>
      <c r="I2" s="2">
        <v>0</v>
      </c>
      <c r="J2" s="2">
        <v>1</v>
      </c>
      <c r="K2" s="2">
        <v>1</v>
      </c>
      <c r="L2" s="2">
        <v>0</v>
      </c>
      <c r="M2" s="2">
        <v>0</v>
      </c>
      <c r="N2" s="2">
        <v>1</v>
      </c>
      <c r="O2" s="2" t="s">
        <v>46</v>
      </c>
      <c r="P2" t="s">
        <v>47</v>
      </c>
      <c r="Q2" s="2">
        <v>1</v>
      </c>
      <c r="R2" s="2">
        <v>0</v>
      </c>
      <c r="S2" s="2">
        <v>0</v>
      </c>
      <c r="T2" s="2">
        <v>0</v>
      </c>
      <c r="U2" s="2">
        <v>1</v>
      </c>
      <c r="V2" s="2">
        <v>11</v>
      </c>
      <c r="W2" s="5">
        <v>45442</v>
      </c>
      <c r="X2" s="5">
        <v>45455</v>
      </c>
      <c r="Y2" s="28">
        <f>X2-W2</f>
        <v>13</v>
      </c>
      <c r="Z2" s="2">
        <v>0</v>
      </c>
      <c r="AA2" s="2">
        <v>0</v>
      </c>
      <c r="AB2" s="2">
        <v>0</v>
      </c>
      <c r="AC2" s="2">
        <v>0</v>
      </c>
      <c r="AD2" s="2">
        <v>0</v>
      </c>
      <c r="AE2" s="2">
        <v>0</v>
      </c>
      <c r="AF2" s="2">
        <v>0</v>
      </c>
      <c r="AG2" s="2">
        <v>0</v>
      </c>
      <c r="AH2" s="2">
        <v>0</v>
      </c>
      <c r="AI2" s="2">
        <v>1</v>
      </c>
      <c r="AJ2" s="2" t="s">
        <v>48</v>
      </c>
      <c r="AK2" s="2">
        <v>1</v>
      </c>
      <c r="AL2" s="2">
        <v>0</v>
      </c>
      <c r="AM2" s="2">
        <v>1</v>
      </c>
      <c r="AN2" s="2">
        <f>COUNTIFS(AL2,"1",AM2,"1")</f>
        <v>0</v>
      </c>
      <c r="AO2" s="2">
        <f>COUNTIFS(AL2,"1",AM2,"0")</f>
        <v>0</v>
      </c>
      <c r="AP2" s="2">
        <f>COUNTIFS(AL2,"0",AM2,"1")</f>
        <v>1</v>
      </c>
      <c r="AQ2" s="2">
        <v>1</v>
      </c>
      <c r="AR2" s="2">
        <v>1</v>
      </c>
      <c r="AS2" s="5">
        <v>45443</v>
      </c>
      <c r="AT2" s="2">
        <v>0</v>
      </c>
      <c r="AU2" s="11">
        <v>0</v>
      </c>
      <c r="AV2" s="2">
        <f>AS2-B2</f>
        <v>1</v>
      </c>
      <c r="AW2" s="2">
        <v>1</v>
      </c>
      <c r="AX2" s="5">
        <v>45446</v>
      </c>
      <c r="AY2" s="2">
        <v>0</v>
      </c>
      <c r="AZ2" s="2">
        <v>0</v>
      </c>
      <c r="BA2" s="2">
        <v>0</v>
      </c>
      <c r="BB2" s="2">
        <v>0</v>
      </c>
      <c r="BC2" s="2">
        <v>1</v>
      </c>
      <c r="BD2" s="2">
        <v>1</v>
      </c>
      <c r="BE2" s="2">
        <v>0</v>
      </c>
      <c r="BF2" s="2">
        <f>COUNTIFS(AR2, "1",AW2, "1")</f>
        <v>1</v>
      </c>
      <c r="BG2" s="2" t="s">
        <v>49</v>
      </c>
    </row>
    <row r="3" spans="1:59">
      <c r="A3" s="2">
        <v>2</v>
      </c>
      <c r="B3" s="5">
        <v>45446</v>
      </c>
      <c r="E3" s="2">
        <v>78</v>
      </c>
      <c r="F3" s="2">
        <v>1</v>
      </c>
      <c r="G3" s="2">
        <v>3</v>
      </c>
      <c r="H3" s="2">
        <v>0</v>
      </c>
      <c r="I3" s="2">
        <v>0</v>
      </c>
      <c r="J3" s="2">
        <v>0</v>
      </c>
      <c r="K3" s="2">
        <v>0</v>
      </c>
      <c r="L3" s="2">
        <v>0</v>
      </c>
      <c r="M3" s="2">
        <v>0</v>
      </c>
      <c r="N3" s="2">
        <v>0</v>
      </c>
      <c r="P3" t="s">
        <v>47</v>
      </c>
      <c r="Q3" s="2">
        <v>1</v>
      </c>
      <c r="R3" s="2">
        <v>0</v>
      </c>
      <c r="S3" s="2">
        <v>0</v>
      </c>
      <c r="T3" s="2">
        <v>0</v>
      </c>
      <c r="U3" s="2">
        <v>1</v>
      </c>
      <c r="V3" s="2">
        <v>6</v>
      </c>
      <c r="W3" s="5">
        <v>45446</v>
      </c>
      <c r="X3" s="5">
        <v>45450</v>
      </c>
      <c r="Y3" s="28">
        <f>X3-W3</f>
        <v>4</v>
      </c>
      <c r="Z3" s="2">
        <v>1</v>
      </c>
      <c r="AA3" s="2">
        <v>1</v>
      </c>
      <c r="AB3" s="2">
        <v>0</v>
      </c>
      <c r="AC3" s="2">
        <v>0</v>
      </c>
      <c r="AD3" s="2">
        <v>0</v>
      </c>
      <c r="AE3" s="2">
        <v>0</v>
      </c>
      <c r="AF3" s="2">
        <v>0</v>
      </c>
      <c r="AG3" s="2">
        <v>0</v>
      </c>
      <c r="AH3" s="2">
        <v>0</v>
      </c>
      <c r="AI3" s="2">
        <v>1</v>
      </c>
      <c r="AJ3" s="2" t="s">
        <v>48</v>
      </c>
      <c r="AK3" s="2">
        <v>1</v>
      </c>
      <c r="AL3" s="2">
        <v>1</v>
      </c>
      <c r="AM3" s="2">
        <v>1</v>
      </c>
      <c r="AN3" s="2">
        <f>COUNTIFS(AL3,"1",AM3,"1")</f>
        <v>1</v>
      </c>
      <c r="AO3" s="2">
        <f>COUNTIFS(AL3,"1",AM3,"0")</f>
        <v>0</v>
      </c>
      <c r="AP3" s="2">
        <f>COUNTIFS(AL3,"0",AM3,"1")</f>
        <v>0</v>
      </c>
      <c r="AQ3" s="2">
        <v>1</v>
      </c>
      <c r="AR3" s="2">
        <v>1</v>
      </c>
      <c r="AS3" s="5">
        <v>45448</v>
      </c>
      <c r="AT3" s="2">
        <v>0</v>
      </c>
      <c r="AU3" s="2">
        <v>0</v>
      </c>
      <c r="AV3" s="2">
        <f>AS3-B3</f>
        <v>2</v>
      </c>
      <c r="AW3" s="2">
        <v>0</v>
      </c>
      <c r="BA3" s="2">
        <v>0</v>
      </c>
      <c r="BB3" s="2">
        <v>0</v>
      </c>
      <c r="BC3" s="2">
        <v>1</v>
      </c>
      <c r="BD3" s="2">
        <f>SUM(I3:K3)</f>
        <v>0</v>
      </c>
      <c r="BE3" s="2">
        <v>1</v>
      </c>
      <c r="BF3" s="2">
        <f>COUNTIFS(AR3, "1",AW3, "1")</f>
        <v>0</v>
      </c>
      <c r="BG3" s="2" t="s">
        <v>50</v>
      </c>
    </row>
    <row r="4" spans="1:59">
      <c r="A4" s="8">
        <v>7</v>
      </c>
      <c r="B4" s="5">
        <v>45453</v>
      </c>
      <c r="C4" s="6">
        <v>45485</v>
      </c>
      <c r="D4" s="2">
        <f>C4-B4</f>
        <v>32</v>
      </c>
      <c r="E4" s="2">
        <v>45</v>
      </c>
      <c r="F4" s="2">
        <v>2</v>
      </c>
      <c r="G4" s="2">
        <v>2</v>
      </c>
      <c r="H4" s="2">
        <v>0</v>
      </c>
      <c r="I4" s="2">
        <v>0</v>
      </c>
      <c r="J4" s="2">
        <v>0</v>
      </c>
      <c r="K4" s="2">
        <v>0</v>
      </c>
      <c r="L4" s="2">
        <v>0</v>
      </c>
      <c r="M4" s="2">
        <v>0</v>
      </c>
      <c r="N4" s="2">
        <v>0</v>
      </c>
      <c r="P4" t="s">
        <v>52</v>
      </c>
      <c r="Q4" s="2">
        <v>1</v>
      </c>
      <c r="R4" s="2">
        <v>0</v>
      </c>
      <c r="S4" s="2">
        <v>0</v>
      </c>
      <c r="T4" s="2">
        <v>0</v>
      </c>
      <c r="U4" s="2">
        <v>0</v>
      </c>
      <c r="V4" s="2">
        <v>1</v>
      </c>
      <c r="W4" s="5">
        <v>45455</v>
      </c>
      <c r="X4" s="5">
        <v>45455</v>
      </c>
      <c r="Y4" s="28">
        <f>X4-W4</f>
        <v>0</v>
      </c>
      <c r="Z4" s="2">
        <v>0</v>
      </c>
      <c r="AA4" s="2">
        <v>0</v>
      </c>
      <c r="AB4" s="2">
        <v>0</v>
      </c>
      <c r="AC4" s="2">
        <v>0</v>
      </c>
      <c r="AD4" s="2">
        <v>0</v>
      </c>
      <c r="AE4" s="2">
        <v>0</v>
      </c>
      <c r="AF4" s="2">
        <v>0</v>
      </c>
      <c r="AG4" s="2">
        <v>0</v>
      </c>
      <c r="AH4" s="2">
        <v>0</v>
      </c>
      <c r="AI4" s="2">
        <v>1</v>
      </c>
      <c r="AJ4" s="2" t="s">
        <v>55</v>
      </c>
      <c r="AK4" s="2">
        <v>1</v>
      </c>
      <c r="AL4" s="2">
        <v>0</v>
      </c>
      <c r="AM4" s="2">
        <v>1</v>
      </c>
      <c r="AN4" s="2">
        <f>COUNTIFS(AL4,"1",AM4,"1")</f>
        <v>0</v>
      </c>
      <c r="AO4" s="2">
        <f>COUNTIFS(AL4,"1",AM4,"0")</f>
        <v>0</v>
      </c>
      <c r="AP4" s="2">
        <f>COUNTIFS(AL4,"0",AM4,"1")</f>
        <v>1</v>
      </c>
      <c r="AQ4" s="2">
        <v>1</v>
      </c>
      <c r="AR4" s="2">
        <v>1</v>
      </c>
      <c r="AS4" s="5">
        <v>45457</v>
      </c>
      <c r="AT4" s="2">
        <v>0</v>
      </c>
      <c r="AU4" s="2">
        <v>0</v>
      </c>
      <c r="AV4" s="2">
        <f>AS4-B4</f>
        <v>4</v>
      </c>
      <c r="AW4" s="2">
        <v>0</v>
      </c>
      <c r="BA4" s="2">
        <v>0</v>
      </c>
      <c r="BB4" s="2">
        <v>0</v>
      </c>
      <c r="BC4" s="2">
        <f>SUM(I4:K4)</f>
        <v>0</v>
      </c>
      <c r="BD4" s="2">
        <f>SUM(I4:K4)</f>
        <v>0</v>
      </c>
      <c r="BE4" s="2">
        <v>1</v>
      </c>
      <c r="BF4" s="2">
        <f>COUNTIFS(AR4, "1",AW4, "1")</f>
        <v>0</v>
      </c>
      <c r="BG4" s="2" t="s">
        <v>62</v>
      </c>
    </row>
    <row r="5" spans="1:59">
      <c r="A5" s="2">
        <v>8</v>
      </c>
      <c r="B5" s="5">
        <v>45456</v>
      </c>
      <c r="C5" s="5">
        <v>45466</v>
      </c>
      <c r="D5" s="2">
        <f>C5-B5</f>
        <v>10</v>
      </c>
      <c r="E5" s="2">
        <v>60</v>
      </c>
      <c r="F5" s="2">
        <v>1</v>
      </c>
      <c r="G5" s="2">
        <v>3</v>
      </c>
      <c r="H5" s="2">
        <v>1</v>
      </c>
      <c r="I5" s="2">
        <v>0</v>
      </c>
      <c r="J5" s="2">
        <v>0</v>
      </c>
      <c r="K5" s="2">
        <v>0</v>
      </c>
      <c r="L5" s="2">
        <v>0</v>
      </c>
      <c r="M5" s="2">
        <v>0</v>
      </c>
      <c r="N5" s="2">
        <v>1</v>
      </c>
      <c r="O5" s="2" t="s">
        <v>63</v>
      </c>
      <c r="P5" t="s">
        <v>52</v>
      </c>
      <c r="Q5" s="2">
        <v>1</v>
      </c>
      <c r="R5" s="2">
        <v>0</v>
      </c>
      <c r="S5" s="2">
        <v>0</v>
      </c>
      <c r="T5" s="2">
        <v>0</v>
      </c>
      <c r="U5" s="2">
        <v>1</v>
      </c>
      <c r="V5" s="2">
        <v>2</v>
      </c>
      <c r="W5" s="5">
        <v>45456</v>
      </c>
      <c r="X5" s="5">
        <v>45457</v>
      </c>
      <c r="Y5" s="28">
        <f>X5-W5</f>
        <v>1</v>
      </c>
      <c r="Z5" s="2">
        <v>1</v>
      </c>
      <c r="AA5" s="2">
        <v>0</v>
      </c>
      <c r="AB5" s="2">
        <v>0</v>
      </c>
      <c r="AC5" s="2">
        <v>0</v>
      </c>
      <c r="AD5" s="2">
        <v>1</v>
      </c>
      <c r="AE5" s="2">
        <v>0</v>
      </c>
      <c r="AF5" s="2">
        <v>0</v>
      </c>
      <c r="AG5" s="2">
        <v>0</v>
      </c>
      <c r="AH5" s="2">
        <v>0</v>
      </c>
      <c r="AI5" s="2">
        <v>1</v>
      </c>
      <c r="AJ5" s="2" t="s">
        <v>55</v>
      </c>
      <c r="AK5" s="2">
        <v>1</v>
      </c>
      <c r="AL5" s="2">
        <v>1</v>
      </c>
      <c r="AM5" s="2">
        <v>1</v>
      </c>
      <c r="AN5" s="2">
        <f>COUNTIFS(AL5,"1",AM5,"1")</f>
        <v>1</v>
      </c>
      <c r="AO5" s="2">
        <f>COUNTIFS(AL5,"1",AM5,"0")</f>
        <v>0</v>
      </c>
      <c r="AP5" s="2">
        <f>COUNTIFS(AL5,"0",AM5,"1")</f>
        <v>0</v>
      </c>
      <c r="AQ5" s="2">
        <v>1</v>
      </c>
      <c r="AR5" s="2">
        <v>1</v>
      </c>
      <c r="AS5" s="5">
        <v>45457</v>
      </c>
      <c r="AT5" s="2">
        <v>0</v>
      </c>
      <c r="AU5" s="2">
        <v>0</v>
      </c>
      <c r="AV5" s="2">
        <f>AS5-B5</f>
        <v>1</v>
      </c>
      <c r="AW5" s="2">
        <v>0</v>
      </c>
      <c r="BA5" s="2">
        <v>0</v>
      </c>
      <c r="BB5" s="2">
        <v>0</v>
      </c>
      <c r="BC5" s="2">
        <v>1</v>
      </c>
      <c r="BD5" s="2">
        <f>SUM(I5:K5)</f>
        <v>0</v>
      </c>
      <c r="BE5" s="2">
        <v>0</v>
      </c>
      <c r="BF5" s="2">
        <f>COUNTIFS(AR5, "1",AW5, "1")</f>
        <v>0</v>
      </c>
    </row>
    <row r="6" spans="1:59">
      <c r="A6" s="2">
        <v>9</v>
      </c>
      <c r="B6" s="5">
        <v>45458</v>
      </c>
      <c r="C6" s="5">
        <v>45470</v>
      </c>
      <c r="D6" s="2">
        <f>C6-B6</f>
        <v>12</v>
      </c>
      <c r="E6" s="2">
        <v>64</v>
      </c>
      <c r="F6" s="2">
        <v>2</v>
      </c>
      <c r="G6" s="2">
        <v>2</v>
      </c>
      <c r="H6" s="2">
        <v>1</v>
      </c>
      <c r="I6" s="2">
        <v>0</v>
      </c>
      <c r="J6" s="2">
        <v>0</v>
      </c>
      <c r="K6" s="2">
        <v>0</v>
      </c>
      <c r="L6" s="2">
        <v>1</v>
      </c>
      <c r="M6" s="2">
        <v>0</v>
      </c>
      <c r="N6" s="2">
        <v>0</v>
      </c>
      <c r="P6" t="s">
        <v>52</v>
      </c>
      <c r="Q6" s="2">
        <v>1</v>
      </c>
      <c r="R6" s="2">
        <v>0</v>
      </c>
      <c r="S6" s="2">
        <v>0</v>
      </c>
      <c r="T6" s="2">
        <v>0</v>
      </c>
      <c r="U6" s="2">
        <v>1</v>
      </c>
      <c r="V6" s="2">
        <v>2</v>
      </c>
      <c r="W6" s="5">
        <v>45463</v>
      </c>
      <c r="X6" s="5">
        <v>45464</v>
      </c>
      <c r="Y6" s="28">
        <f>X6-W6</f>
        <v>1</v>
      </c>
      <c r="Z6" s="2">
        <v>1</v>
      </c>
      <c r="AA6" s="2">
        <v>0</v>
      </c>
      <c r="AB6" s="2">
        <v>1</v>
      </c>
      <c r="AC6" s="2">
        <v>0</v>
      </c>
      <c r="AD6" s="2">
        <v>0</v>
      </c>
      <c r="AE6" s="2">
        <v>0</v>
      </c>
      <c r="AF6" s="2">
        <v>0</v>
      </c>
      <c r="AG6" s="2">
        <v>0</v>
      </c>
      <c r="AH6" s="2">
        <v>0</v>
      </c>
      <c r="AI6" s="2">
        <v>1</v>
      </c>
      <c r="AJ6" s="2" t="s">
        <v>55</v>
      </c>
      <c r="AK6" s="2">
        <v>1</v>
      </c>
      <c r="AL6" s="2">
        <v>1</v>
      </c>
      <c r="AM6" s="2">
        <v>1</v>
      </c>
      <c r="AN6" s="2">
        <f>COUNTIFS(AL6,"1",AM6,"1")</f>
        <v>1</v>
      </c>
      <c r="AO6" s="2">
        <f>COUNTIFS(AL6,"1",AM6,"0")</f>
        <v>0</v>
      </c>
      <c r="AP6" s="2">
        <f>COUNTIFS(AL6,"0",AM6,"1")</f>
        <v>0</v>
      </c>
      <c r="AQ6" s="2">
        <v>1</v>
      </c>
      <c r="AR6" s="2">
        <v>1</v>
      </c>
      <c r="AS6" s="5">
        <v>45467</v>
      </c>
      <c r="AT6" s="2">
        <v>0</v>
      </c>
      <c r="AU6" s="2">
        <v>0</v>
      </c>
      <c r="AV6" s="2">
        <f>AS6-B6</f>
        <v>9</v>
      </c>
      <c r="AW6" s="2">
        <v>0</v>
      </c>
      <c r="BA6" s="2">
        <v>0</v>
      </c>
      <c r="BB6" s="2">
        <v>0</v>
      </c>
      <c r="BC6" s="2">
        <v>1</v>
      </c>
      <c r="BD6" s="2">
        <f>SUM(I6:K6)</f>
        <v>0</v>
      </c>
      <c r="BE6" s="2">
        <v>0</v>
      </c>
      <c r="BF6" s="2">
        <f>COUNTIFS(AR6, "1",AW6, "1")</f>
        <v>0</v>
      </c>
      <c r="BG6" s="2" t="s">
        <v>64</v>
      </c>
    </row>
    <row r="7" spans="1:59">
      <c r="A7" s="7">
        <v>10</v>
      </c>
      <c r="B7" s="5">
        <v>45468</v>
      </c>
      <c r="C7" s="5">
        <v>45475</v>
      </c>
      <c r="D7" s="2">
        <f>C7-B7</f>
        <v>7</v>
      </c>
      <c r="E7" s="2">
        <v>46</v>
      </c>
      <c r="F7" s="2">
        <v>1</v>
      </c>
      <c r="G7" s="2">
        <v>2</v>
      </c>
      <c r="H7" s="2">
        <v>1</v>
      </c>
      <c r="I7" s="2">
        <v>1</v>
      </c>
      <c r="J7" s="2">
        <v>0</v>
      </c>
      <c r="K7" s="2">
        <v>0</v>
      </c>
      <c r="L7" s="2">
        <v>1</v>
      </c>
      <c r="M7" s="2">
        <v>1</v>
      </c>
      <c r="N7" s="2">
        <v>1</v>
      </c>
      <c r="O7" s="2" t="s">
        <v>65</v>
      </c>
      <c r="P7" t="s">
        <v>47</v>
      </c>
      <c r="Q7" s="2">
        <v>1</v>
      </c>
      <c r="R7" s="2">
        <v>0</v>
      </c>
      <c r="S7" s="2">
        <v>0</v>
      </c>
      <c r="T7" s="2">
        <v>0</v>
      </c>
      <c r="U7" s="2">
        <v>1</v>
      </c>
      <c r="V7" s="2">
        <v>5</v>
      </c>
      <c r="W7" s="5">
        <v>45468</v>
      </c>
      <c r="X7" s="5">
        <v>45473</v>
      </c>
      <c r="Y7" s="28">
        <f>X7-W7</f>
        <v>5</v>
      </c>
      <c r="Z7" s="2">
        <v>1</v>
      </c>
      <c r="AA7" s="2">
        <v>1</v>
      </c>
      <c r="AB7" s="2">
        <v>1</v>
      </c>
      <c r="AC7" s="2">
        <v>0</v>
      </c>
      <c r="AD7" s="2">
        <v>1</v>
      </c>
      <c r="AE7" s="2">
        <v>0</v>
      </c>
      <c r="AF7" s="2">
        <v>0</v>
      </c>
      <c r="AG7" s="2">
        <v>0</v>
      </c>
      <c r="AH7" s="2">
        <v>0</v>
      </c>
      <c r="AI7" s="2">
        <v>1</v>
      </c>
      <c r="AJ7" s="2" t="s">
        <v>48</v>
      </c>
      <c r="AK7" s="2">
        <v>1</v>
      </c>
      <c r="AL7" s="2">
        <v>1</v>
      </c>
      <c r="AM7" s="2">
        <v>1</v>
      </c>
      <c r="AN7" s="2">
        <f>COUNTIFS(AL7,"1",AM7,"1")</f>
        <v>1</v>
      </c>
      <c r="AO7" s="2">
        <f>COUNTIFS(AL7,"1",AM7,"0")</f>
        <v>0</v>
      </c>
      <c r="AP7" s="2">
        <f>COUNTIFS(AL7,"0",AM7,"1")</f>
        <v>0</v>
      </c>
      <c r="AQ7" s="2">
        <v>1</v>
      </c>
      <c r="AR7" s="2">
        <v>1</v>
      </c>
      <c r="AS7" s="5">
        <v>45468</v>
      </c>
      <c r="AT7" s="2">
        <v>1</v>
      </c>
      <c r="AU7" s="2">
        <v>1</v>
      </c>
      <c r="AV7" s="2">
        <f>AS7-B7</f>
        <v>0</v>
      </c>
      <c r="AW7" s="2">
        <v>0</v>
      </c>
      <c r="BA7" s="2">
        <v>0</v>
      </c>
      <c r="BB7" s="2">
        <v>1</v>
      </c>
      <c r="BC7" s="2">
        <f>SUM(I7:K7)</f>
        <v>1</v>
      </c>
      <c r="BD7" s="2">
        <f>SUM(I7:K7)</f>
        <v>1</v>
      </c>
      <c r="BE7" s="2">
        <v>0</v>
      </c>
      <c r="BF7" s="2">
        <f>COUNTIFS(AR7, "1",AW7, "1")</f>
        <v>0</v>
      </c>
      <c r="BG7" s="2" t="s">
        <v>66</v>
      </c>
    </row>
    <row r="8" spans="1:59">
      <c r="A8" s="2">
        <v>12</v>
      </c>
      <c r="B8" s="5">
        <v>45413</v>
      </c>
      <c r="C8" s="5">
        <v>45423</v>
      </c>
      <c r="D8" s="2">
        <f>C8-B8</f>
        <v>10</v>
      </c>
      <c r="E8" s="2">
        <v>70</v>
      </c>
      <c r="F8" s="2">
        <v>1</v>
      </c>
      <c r="G8" s="2">
        <v>5</v>
      </c>
      <c r="H8" s="2">
        <v>1</v>
      </c>
      <c r="I8" s="2">
        <v>0</v>
      </c>
      <c r="J8" s="2">
        <v>0</v>
      </c>
      <c r="K8" s="2">
        <v>0</v>
      </c>
      <c r="L8" s="2">
        <v>1</v>
      </c>
      <c r="M8" s="2">
        <v>0</v>
      </c>
      <c r="N8" s="2">
        <v>1</v>
      </c>
      <c r="O8" s="2" t="s">
        <v>70</v>
      </c>
      <c r="P8" t="s">
        <v>52</v>
      </c>
      <c r="Q8" s="2">
        <v>1</v>
      </c>
      <c r="R8" s="2">
        <v>0</v>
      </c>
      <c r="S8" s="2">
        <v>0</v>
      </c>
      <c r="T8" s="2">
        <v>0</v>
      </c>
      <c r="U8" s="2">
        <v>1</v>
      </c>
      <c r="V8" s="2">
        <v>2</v>
      </c>
      <c r="W8" s="5">
        <v>45413</v>
      </c>
      <c r="X8" s="5">
        <v>45415</v>
      </c>
      <c r="Y8" s="28">
        <f>X8-W8</f>
        <v>2</v>
      </c>
      <c r="Z8" s="2">
        <v>1</v>
      </c>
      <c r="AA8" s="2">
        <v>0</v>
      </c>
      <c r="AB8" s="2">
        <v>0</v>
      </c>
      <c r="AC8" s="2">
        <v>1</v>
      </c>
      <c r="AD8" s="2">
        <v>0</v>
      </c>
      <c r="AE8" s="2">
        <v>0</v>
      </c>
      <c r="AF8" s="2">
        <v>0</v>
      </c>
      <c r="AG8" s="2">
        <v>0</v>
      </c>
      <c r="AH8" s="2">
        <v>0</v>
      </c>
      <c r="AI8" s="2">
        <v>1</v>
      </c>
      <c r="AJ8" s="2" t="s">
        <v>55</v>
      </c>
      <c r="AK8" s="2">
        <v>1</v>
      </c>
      <c r="AL8" s="2">
        <v>1</v>
      </c>
      <c r="AM8" s="2">
        <v>1</v>
      </c>
      <c r="AN8" s="2">
        <f>COUNTIFS(AL8,"1",AM8,"1")</f>
        <v>1</v>
      </c>
      <c r="AO8" s="2">
        <f>COUNTIFS(AL8,"1",AM8,"0")</f>
        <v>0</v>
      </c>
      <c r="AP8" s="2">
        <f>COUNTIFS(AL8,"0",AM8,"1")</f>
        <v>0</v>
      </c>
      <c r="AQ8" s="2">
        <v>1</v>
      </c>
      <c r="AR8" s="2">
        <v>1</v>
      </c>
      <c r="AS8" s="5">
        <v>45419</v>
      </c>
      <c r="AT8" s="2">
        <v>0</v>
      </c>
      <c r="AU8" s="2">
        <v>1</v>
      </c>
      <c r="AV8" s="2">
        <f>AS8-B8</f>
        <v>6</v>
      </c>
      <c r="AW8" s="2">
        <v>0</v>
      </c>
      <c r="BA8" s="2">
        <v>0</v>
      </c>
      <c r="BB8" s="2">
        <v>0</v>
      </c>
      <c r="BC8" s="2">
        <v>1</v>
      </c>
      <c r="BD8" s="2">
        <f>SUM(I8:K8)</f>
        <v>0</v>
      </c>
      <c r="BE8" s="2">
        <v>0</v>
      </c>
      <c r="BF8" s="2">
        <f>COUNTIFS(AR8, "1",AW8, "1")</f>
        <v>0</v>
      </c>
      <c r="BG8" s="2" t="s">
        <v>71</v>
      </c>
    </row>
    <row r="9" spans="1:59">
      <c r="A9" s="2">
        <v>13</v>
      </c>
      <c r="B9" s="5">
        <v>45414</v>
      </c>
      <c r="C9" s="5">
        <v>45436</v>
      </c>
      <c r="D9" s="2">
        <f>C9-B9</f>
        <v>22</v>
      </c>
      <c r="E9" s="2">
        <v>91</v>
      </c>
      <c r="F9" s="2">
        <v>2</v>
      </c>
      <c r="G9" s="2">
        <v>2</v>
      </c>
      <c r="H9" s="2">
        <v>1</v>
      </c>
      <c r="I9" s="2">
        <v>0</v>
      </c>
      <c r="J9" s="2">
        <v>0</v>
      </c>
      <c r="K9" s="2">
        <v>0</v>
      </c>
      <c r="L9" s="2">
        <v>0</v>
      </c>
      <c r="M9" s="2">
        <v>0</v>
      </c>
      <c r="N9" s="2">
        <v>1</v>
      </c>
      <c r="O9" s="2" t="s">
        <v>72</v>
      </c>
      <c r="P9" t="s">
        <v>52</v>
      </c>
      <c r="Q9" s="2">
        <v>1</v>
      </c>
      <c r="R9" s="2">
        <v>0</v>
      </c>
      <c r="S9" s="2">
        <v>0</v>
      </c>
      <c r="T9" s="2">
        <v>0</v>
      </c>
      <c r="U9" s="2">
        <v>1</v>
      </c>
      <c r="V9" s="2">
        <v>2</v>
      </c>
      <c r="W9" s="5">
        <v>45414</v>
      </c>
      <c r="X9" s="5">
        <v>45415</v>
      </c>
      <c r="Y9" s="28">
        <f>X9-W9</f>
        <v>1</v>
      </c>
      <c r="Z9" s="2">
        <v>1</v>
      </c>
      <c r="AA9" s="2">
        <v>0</v>
      </c>
      <c r="AB9" s="2">
        <v>0</v>
      </c>
      <c r="AC9" s="2">
        <v>0</v>
      </c>
      <c r="AD9" s="2">
        <v>1</v>
      </c>
      <c r="AE9" s="2">
        <v>0</v>
      </c>
      <c r="AF9" s="2">
        <v>0</v>
      </c>
      <c r="AG9" s="2">
        <v>0</v>
      </c>
      <c r="AH9" s="2">
        <v>0</v>
      </c>
      <c r="AI9" s="2">
        <v>1</v>
      </c>
      <c r="AJ9" s="2" t="s">
        <v>55</v>
      </c>
      <c r="AK9" s="11">
        <v>1</v>
      </c>
      <c r="AL9" s="2">
        <v>1</v>
      </c>
      <c r="AM9" s="2">
        <v>1</v>
      </c>
      <c r="AN9" s="2">
        <f>COUNTIFS(AL9,"1",AM9,"1")</f>
        <v>1</v>
      </c>
      <c r="AO9" s="2">
        <f>COUNTIFS(AL9,"1",AM9,"0")</f>
        <v>0</v>
      </c>
      <c r="AP9" s="2">
        <f>COUNTIFS(AL9,"0",AM9,"1")</f>
        <v>0</v>
      </c>
      <c r="AQ9" s="2">
        <v>1</v>
      </c>
      <c r="AR9" s="2">
        <v>1</v>
      </c>
      <c r="AS9" s="5">
        <v>45418</v>
      </c>
      <c r="AT9" s="2">
        <v>0</v>
      </c>
      <c r="AU9" s="2">
        <v>0</v>
      </c>
      <c r="AV9" s="2">
        <f>AS9-B9</f>
        <v>4</v>
      </c>
      <c r="AW9" s="2">
        <v>0</v>
      </c>
      <c r="BA9" s="2">
        <v>0</v>
      </c>
      <c r="BB9" s="2">
        <v>0</v>
      </c>
      <c r="BC9" s="2">
        <v>1</v>
      </c>
      <c r="BD9" s="2">
        <f>SUM(I9:K9)</f>
        <v>0</v>
      </c>
      <c r="BE9" s="2">
        <v>0</v>
      </c>
      <c r="BF9" s="2">
        <f>COUNTIFS(AR9, "1",AW9, "1")</f>
        <v>0</v>
      </c>
      <c r="BG9" s="2" t="s">
        <v>73</v>
      </c>
    </row>
    <row r="10" spans="1:59">
      <c r="A10" s="2">
        <v>15</v>
      </c>
      <c r="B10" s="5">
        <v>45420</v>
      </c>
      <c r="C10" s="5">
        <v>45432</v>
      </c>
      <c r="D10" s="2">
        <f>C10-B10</f>
        <v>12</v>
      </c>
      <c r="E10" s="2">
        <v>77</v>
      </c>
      <c r="F10" s="2">
        <v>1</v>
      </c>
      <c r="G10" s="2">
        <v>2</v>
      </c>
      <c r="H10" s="2">
        <v>1</v>
      </c>
      <c r="I10" s="2">
        <v>0</v>
      </c>
      <c r="J10" s="2">
        <v>0</v>
      </c>
      <c r="K10" s="2">
        <v>0</v>
      </c>
      <c r="L10" s="2">
        <v>0</v>
      </c>
      <c r="M10" s="2">
        <v>0</v>
      </c>
      <c r="N10" s="2">
        <v>1</v>
      </c>
      <c r="O10" s="10" t="s">
        <v>76</v>
      </c>
      <c r="P10" t="s">
        <v>52</v>
      </c>
      <c r="Q10" s="2">
        <v>1</v>
      </c>
      <c r="R10" s="2">
        <v>0</v>
      </c>
      <c r="S10" s="2">
        <v>0</v>
      </c>
      <c r="T10" s="2">
        <v>0</v>
      </c>
      <c r="U10" s="2">
        <v>0</v>
      </c>
      <c r="V10" s="2">
        <v>1</v>
      </c>
      <c r="W10" s="5">
        <v>45420</v>
      </c>
      <c r="X10" s="5">
        <v>45420</v>
      </c>
      <c r="Y10" s="28">
        <f>X10-W10</f>
        <v>0</v>
      </c>
      <c r="Z10" s="2">
        <v>1</v>
      </c>
      <c r="AA10" s="2">
        <v>0</v>
      </c>
      <c r="AB10" s="2">
        <v>0</v>
      </c>
      <c r="AC10" s="2">
        <v>0</v>
      </c>
      <c r="AD10" s="2">
        <v>1</v>
      </c>
      <c r="AE10" s="2">
        <v>0</v>
      </c>
      <c r="AF10" s="2">
        <v>0</v>
      </c>
      <c r="AG10" s="2">
        <v>1</v>
      </c>
      <c r="AH10" s="2">
        <v>0</v>
      </c>
      <c r="AI10" s="2">
        <v>1</v>
      </c>
      <c r="AJ10" s="2" t="s">
        <v>55</v>
      </c>
      <c r="AK10" s="2">
        <v>1</v>
      </c>
      <c r="AL10" s="2">
        <v>1</v>
      </c>
      <c r="AM10" s="2">
        <v>1</v>
      </c>
      <c r="AN10" s="2">
        <f>COUNTIFS(AL10,"1",AM10,"1")</f>
        <v>1</v>
      </c>
      <c r="AO10" s="2">
        <f>COUNTIFS(AL10,"1",AM10,"0")</f>
        <v>0</v>
      </c>
      <c r="AP10" s="2">
        <f>COUNTIFS(AL10,"0",AM10,"1")</f>
        <v>0</v>
      </c>
      <c r="AQ10" s="2">
        <v>1</v>
      </c>
      <c r="AR10" s="2">
        <v>1</v>
      </c>
      <c r="AS10" s="5">
        <v>45421</v>
      </c>
      <c r="AT10" s="2">
        <v>0</v>
      </c>
      <c r="AU10" s="2">
        <v>0</v>
      </c>
      <c r="AV10" s="2">
        <f>AS10-B10</f>
        <v>1</v>
      </c>
      <c r="AW10" s="2">
        <v>1</v>
      </c>
      <c r="AX10" s="5">
        <v>45425</v>
      </c>
      <c r="AY10" s="2">
        <v>0</v>
      </c>
      <c r="AZ10" s="2">
        <v>0</v>
      </c>
      <c r="BA10" s="2">
        <v>0</v>
      </c>
      <c r="BB10" s="2">
        <v>0</v>
      </c>
      <c r="BC10" s="2">
        <v>1</v>
      </c>
      <c r="BD10" s="2">
        <f>SUM(I10:K10)</f>
        <v>0</v>
      </c>
      <c r="BE10" s="2">
        <v>0</v>
      </c>
      <c r="BF10" s="2">
        <f>COUNTIFS(AR10, "1",AW10, "1")</f>
        <v>1</v>
      </c>
      <c r="BG10" s="2" t="s">
        <v>77</v>
      </c>
    </row>
    <row r="11" spans="1:59">
      <c r="A11" s="8">
        <v>16</v>
      </c>
      <c r="B11" s="5">
        <v>45420</v>
      </c>
      <c r="C11" s="6">
        <v>45435</v>
      </c>
      <c r="D11" s="2">
        <f>C11-B11</f>
        <v>15</v>
      </c>
      <c r="E11" s="2">
        <v>83</v>
      </c>
      <c r="F11" s="2">
        <v>2</v>
      </c>
      <c r="G11" s="2">
        <v>2</v>
      </c>
      <c r="H11" s="2">
        <v>1</v>
      </c>
      <c r="I11" s="2">
        <v>0</v>
      </c>
      <c r="J11" s="2">
        <v>0</v>
      </c>
      <c r="K11" s="2">
        <v>0</v>
      </c>
      <c r="L11" s="2">
        <v>0</v>
      </c>
      <c r="M11" s="2">
        <v>0</v>
      </c>
      <c r="N11" s="2">
        <v>1</v>
      </c>
      <c r="O11" s="2" t="s">
        <v>78</v>
      </c>
      <c r="P11" t="s">
        <v>52</v>
      </c>
      <c r="Q11" s="2">
        <v>1</v>
      </c>
      <c r="R11" s="2">
        <v>0</v>
      </c>
      <c r="S11" s="2">
        <v>0</v>
      </c>
      <c r="T11" s="2">
        <v>0</v>
      </c>
      <c r="U11" s="2">
        <v>1</v>
      </c>
      <c r="V11" s="2">
        <v>3</v>
      </c>
      <c r="W11" s="5">
        <v>45429</v>
      </c>
      <c r="X11" s="5">
        <v>45431</v>
      </c>
      <c r="Y11" s="28">
        <f>X11-W11</f>
        <v>2</v>
      </c>
      <c r="Z11" s="2">
        <v>0</v>
      </c>
      <c r="AA11" s="2">
        <v>0</v>
      </c>
      <c r="AB11" s="2">
        <v>0</v>
      </c>
      <c r="AC11" s="2">
        <v>0</v>
      </c>
      <c r="AD11" s="2">
        <v>0</v>
      </c>
      <c r="AE11" s="2">
        <v>0</v>
      </c>
      <c r="AF11" s="2">
        <v>0</v>
      </c>
      <c r="AG11" s="2">
        <v>0</v>
      </c>
      <c r="AH11" s="2">
        <v>0</v>
      </c>
      <c r="AI11" s="2">
        <v>1</v>
      </c>
      <c r="AJ11" s="2" t="s">
        <v>79</v>
      </c>
      <c r="AK11" s="2">
        <v>1</v>
      </c>
      <c r="AL11" s="2">
        <v>1</v>
      </c>
      <c r="AM11" s="2">
        <v>1</v>
      </c>
      <c r="AN11" s="2">
        <f>COUNTIFS(AL11,"1",AM11,"1")</f>
        <v>1</v>
      </c>
      <c r="AO11" s="2">
        <f>COUNTIFS(AL11,"1",AM11,"0")</f>
        <v>0</v>
      </c>
      <c r="AP11" s="2">
        <f>COUNTIFS(AL11,"0",AM11,"1")</f>
        <v>0</v>
      </c>
      <c r="AQ11" s="2">
        <v>1</v>
      </c>
      <c r="AR11" s="2">
        <v>1</v>
      </c>
      <c r="AS11" s="5">
        <v>45432</v>
      </c>
      <c r="AT11" s="2">
        <v>0</v>
      </c>
      <c r="AU11" s="2">
        <v>0</v>
      </c>
      <c r="AV11" s="2">
        <f>AS11-B11</f>
        <v>12</v>
      </c>
      <c r="AW11" s="2">
        <v>0</v>
      </c>
      <c r="BA11" s="2">
        <v>0</v>
      </c>
      <c r="BB11" s="2">
        <v>0</v>
      </c>
      <c r="BC11" s="2">
        <v>1</v>
      </c>
      <c r="BD11" s="2">
        <f>SUM(I11:K11)</f>
        <v>0</v>
      </c>
      <c r="BE11" s="2">
        <v>1</v>
      </c>
      <c r="BF11" s="2">
        <f>COUNTIFS(AR11, "1",AW11, "1")</f>
        <v>0</v>
      </c>
      <c r="BG11" s="2" t="s">
        <v>80</v>
      </c>
    </row>
    <row r="12" spans="1:59">
      <c r="A12" s="2">
        <v>17</v>
      </c>
      <c r="B12" s="5">
        <v>45438</v>
      </c>
      <c r="C12" s="5">
        <v>45458</v>
      </c>
      <c r="D12" s="2">
        <f>C12-B12</f>
        <v>20</v>
      </c>
      <c r="E12" s="2">
        <v>59</v>
      </c>
      <c r="F12" s="2">
        <v>1</v>
      </c>
      <c r="G12" s="2">
        <v>3</v>
      </c>
      <c r="H12" s="2">
        <v>1</v>
      </c>
      <c r="I12" s="2">
        <v>0</v>
      </c>
      <c r="J12" s="2">
        <v>0</v>
      </c>
      <c r="K12" s="2">
        <v>0</v>
      </c>
      <c r="L12" s="2">
        <v>0</v>
      </c>
      <c r="M12" s="2">
        <v>0</v>
      </c>
      <c r="N12" s="2">
        <v>1</v>
      </c>
      <c r="O12" s="2" t="s">
        <v>81</v>
      </c>
      <c r="P12" t="s">
        <v>52</v>
      </c>
      <c r="Q12" s="2">
        <v>1</v>
      </c>
      <c r="R12" s="2">
        <v>0</v>
      </c>
      <c r="S12" s="2">
        <v>0</v>
      </c>
      <c r="T12" s="2">
        <v>0</v>
      </c>
      <c r="U12" s="2">
        <v>1</v>
      </c>
      <c r="V12" s="2">
        <v>2</v>
      </c>
      <c r="W12" s="5">
        <v>45440</v>
      </c>
      <c r="X12" s="5">
        <v>45441</v>
      </c>
      <c r="Y12" s="28">
        <f>X12-W12</f>
        <v>1</v>
      </c>
      <c r="Z12" s="2">
        <v>1</v>
      </c>
      <c r="AA12" s="2">
        <v>0</v>
      </c>
      <c r="AB12" s="2">
        <v>1</v>
      </c>
      <c r="AC12" s="2">
        <v>0</v>
      </c>
      <c r="AD12" s="2">
        <v>0</v>
      </c>
      <c r="AE12" s="2">
        <v>0</v>
      </c>
      <c r="AF12" s="2">
        <v>0</v>
      </c>
      <c r="AG12" s="2">
        <v>0</v>
      </c>
      <c r="AH12" s="2">
        <v>0</v>
      </c>
      <c r="AI12" s="2">
        <v>1</v>
      </c>
      <c r="AJ12" s="2" t="s">
        <v>55</v>
      </c>
      <c r="AK12" s="2">
        <v>1</v>
      </c>
      <c r="AL12" s="2">
        <v>1</v>
      </c>
      <c r="AM12" s="2">
        <v>1</v>
      </c>
      <c r="AN12" s="2">
        <f>COUNTIFS(AL12,"1",AM12,"1")</f>
        <v>1</v>
      </c>
      <c r="AO12" s="2">
        <f>COUNTIFS(AL12,"1",AM12,"0")</f>
        <v>0</v>
      </c>
      <c r="AP12" s="2">
        <f>COUNTIFS(AL12,"0",AM12,"1")</f>
        <v>0</v>
      </c>
      <c r="AQ12" s="2">
        <v>1</v>
      </c>
      <c r="AR12" s="2">
        <v>1</v>
      </c>
      <c r="AS12" s="5">
        <v>45442</v>
      </c>
      <c r="AT12" s="2">
        <v>1</v>
      </c>
      <c r="AU12" s="2">
        <v>0</v>
      </c>
      <c r="AV12" s="2">
        <f>AS12-B12</f>
        <v>4</v>
      </c>
      <c r="AW12" s="11">
        <v>0</v>
      </c>
      <c r="BA12" s="2">
        <v>0</v>
      </c>
      <c r="BB12" s="2">
        <v>1</v>
      </c>
      <c r="BC12" s="2">
        <v>1</v>
      </c>
      <c r="BD12" s="2">
        <f>SUM(I12:K12)</f>
        <v>0</v>
      </c>
      <c r="BE12" s="2">
        <v>0</v>
      </c>
      <c r="BF12" s="2">
        <f>COUNTIFS(AR12, "1",AW12, "1")</f>
        <v>0</v>
      </c>
      <c r="BG12" s="2" t="s">
        <v>82</v>
      </c>
    </row>
    <row r="13" spans="1:59">
      <c r="A13" s="2">
        <v>18</v>
      </c>
      <c r="B13" s="5">
        <v>45385</v>
      </c>
      <c r="C13" s="5">
        <v>45395</v>
      </c>
      <c r="D13" s="2">
        <f>C13-B13</f>
        <v>10</v>
      </c>
      <c r="E13" s="2">
        <v>51</v>
      </c>
      <c r="F13" s="2">
        <v>1</v>
      </c>
      <c r="G13" s="2">
        <v>3</v>
      </c>
      <c r="H13" s="2">
        <v>0</v>
      </c>
      <c r="I13" s="2">
        <v>0</v>
      </c>
      <c r="J13" s="2">
        <v>0</v>
      </c>
      <c r="K13" s="2">
        <v>0</v>
      </c>
      <c r="L13" s="2">
        <v>0</v>
      </c>
      <c r="M13" s="2">
        <v>0</v>
      </c>
      <c r="N13" s="2">
        <v>0</v>
      </c>
      <c r="P13" t="s">
        <v>52</v>
      </c>
      <c r="Q13" s="2">
        <v>1</v>
      </c>
      <c r="R13" s="2">
        <v>0</v>
      </c>
      <c r="S13" s="2">
        <v>0</v>
      </c>
      <c r="T13" s="2">
        <v>0</v>
      </c>
      <c r="U13" s="2">
        <v>1</v>
      </c>
      <c r="V13" s="2">
        <v>3</v>
      </c>
      <c r="W13" s="5">
        <v>45385</v>
      </c>
      <c r="X13" s="5">
        <v>45388</v>
      </c>
      <c r="Y13" s="28">
        <f>X13-W13</f>
        <v>3</v>
      </c>
      <c r="Z13" s="2">
        <v>1</v>
      </c>
      <c r="AA13" s="2">
        <v>1</v>
      </c>
      <c r="AB13" s="2">
        <v>0</v>
      </c>
      <c r="AC13" s="2">
        <v>0</v>
      </c>
      <c r="AD13" s="2">
        <v>0</v>
      </c>
      <c r="AE13" s="2">
        <v>0</v>
      </c>
      <c r="AF13" s="2">
        <v>0</v>
      </c>
      <c r="AG13" s="2">
        <v>0</v>
      </c>
      <c r="AH13" s="2">
        <v>0</v>
      </c>
      <c r="AI13" s="2">
        <v>1</v>
      </c>
      <c r="AJ13" s="2" t="s">
        <v>55</v>
      </c>
      <c r="AK13" s="2">
        <v>1</v>
      </c>
      <c r="AL13" s="2">
        <v>1</v>
      </c>
      <c r="AM13" s="2">
        <v>1</v>
      </c>
      <c r="AN13" s="2">
        <f>COUNTIFS(AL13,"1",AM13,"1")</f>
        <v>1</v>
      </c>
      <c r="AO13" s="2">
        <f>COUNTIFS(AL13,"1",AM13,"0")</f>
        <v>0</v>
      </c>
      <c r="AP13" s="2">
        <f>COUNTIFS(AL13,"0",AM13,"1")</f>
        <v>0</v>
      </c>
      <c r="AQ13" s="2">
        <v>1</v>
      </c>
      <c r="AR13" s="2">
        <v>1</v>
      </c>
      <c r="AS13" s="5">
        <v>45387</v>
      </c>
      <c r="AT13" s="2">
        <v>0</v>
      </c>
      <c r="AU13" s="2">
        <v>0</v>
      </c>
      <c r="AV13" s="2">
        <f>AS13-B13</f>
        <v>2</v>
      </c>
      <c r="AW13" s="2">
        <v>1</v>
      </c>
      <c r="AX13" s="5">
        <v>45391</v>
      </c>
      <c r="AY13" s="2">
        <v>0</v>
      </c>
      <c r="AZ13" s="2">
        <v>0</v>
      </c>
      <c r="BA13" s="2">
        <v>0</v>
      </c>
      <c r="BB13" s="2">
        <v>0</v>
      </c>
      <c r="BC13" s="2">
        <v>1</v>
      </c>
      <c r="BD13" s="2">
        <f>SUM(I13:K13)</f>
        <v>0</v>
      </c>
      <c r="BE13" s="2">
        <v>0</v>
      </c>
      <c r="BF13" s="2">
        <f>COUNTIFS(AR13, "1",AW13, "1")</f>
        <v>1</v>
      </c>
      <c r="BG13" s="2" t="s">
        <v>83</v>
      </c>
    </row>
    <row r="14" spans="1:59">
      <c r="A14" s="8">
        <v>19</v>
      </c>
      <c r="B14" s="5">
        <v>45393</v>
      </c>
      <c r="C14" s="6">
        <v>45398</v>
      </c>
      <c r="D14" s="2">
        <f>C14-B14</f>
        <v>5</v>
      </c>
      <c r="E14" s="2">
        <v>65</v>
      </c>
      <c r="F14" s="2">
        <v>2</v>
      </c>
      <c r="G14" s="2">
        <v>2</v>
      </c>
      <c r="H14" s="2">
        <v>1</v>
      </c>
      <c r="I14" s="2">
        <v>0</v>
      </c>
      <c r="J14" s="2">
        <v>0</v>
      </c>
      <c r="K14" s="2">
        <v>0</v>
      </c>
      <c r="L14" s="2">
        <v>0</v>
      </c>
      <c r="M14" s="2">
        <v>0</v>
      </c>
      <c r="N14" s="2">
        <v>1</v>
      </c>
      <c r="O14" s="2" t="s">
        <v>51</v>
      </c>
      <c r="P14" t="s">
        <v>47</v>
      </c>
      <c r="Q14" s="2">
        <v>1</v>
      </c>
      <c r="R14" s="2">
        <v>0</v>
      </c>
      <c r="S14" s="2">
        <v>0</v>
      </c>
      <c r="T14" s="2">
        <v>0</v>
      </c>
      <c r="U14" s="2">
        <v>1</v>
      </c>
      <c r="V14" s="2">
        <v>3</v>
      </c>
      <c r="W14" s="5">
        <v>45393</v>
      </c>
      <c r="X14" s="5">
        <v>45394</v>
      </c>
      <c r="Y14" s="28">
        <f>X14-W14</f>
        <v>1</v>
      </c>
      <c r="Z14" s="2">
        <v>0</v>
      </c>
      <c r="AA14" s="2">
        <v>0</v>
      </c>
      <c r="AB14" s="2">
        <v>0</v>
      </c>
      <c r="AC14" s="2">
        <v>0</v>
      </c>
      <c r="AD14" s="2">
        <v>0</v>
      </c>
      <c r="AE14" s="2">
        <v>0</v>
      </c>
      <c r="AF14" s="2">
        <v>0</v>
      </c>
      <c r="AG14" s="2">
        <v>0</v>
      </c>
      <c r="AH14" s="2">
        <v>1</v>
      </c>
      <c r="AI14" s="2">
        <v>1</v>
      </c>
      <c r="AJ14" s="2" t="s">
        <v>48</v>
      </c>
      <c r="AK14" s="2">
        <v>1</v>
      </c>
      <c r="AL14" s="2">
        <v>0</v>
      </c>
      <c r="AM14" s="2">
        <v>1</v>
      </c>
      <c r="AN14" s="2">
        <f>COUNTIFS(AL14,"1",AM14,"1")</f>
        <v>0</v>
      </c>
      <c r="AO14" s="2">
        <f>COUNTIFS(AL14,"1",AM14,"0")</f>
        <v>0</v>
      </c>
      <c r="AP14" s="2">
        <f>COUNTIFS(AL14,"0",AM14,"1")</f>
        <v>1</v>
      </c>
      <c r="AQ14" s="2">
        <v>1</v>
      </c>
      <c r="AR14" s="2">
        <v>1</v>
      </c>
      <c r="AS14" s="5">
        <v>45394</v>
      </c>
      <c r="AT14" s="2">
        <v>0</v>
      </c>
      <c r="AU14" s="2">
        <v>1</v>
      </c>
      <c r="AV14" s="2">
        <f>AS14-B14</f>
        <v>1</v>
      </c>
      <c r="AW14" s="2">
        <v>0</v>
      </c>
      <c r="BA14" s="2">
        <v>0</v>
      </c>
      <c r="BB14" s="2">
        <v>0</v>
      </c>
      <c r="BC14" s="2">
        <v>1</v>
      </c>
      <c r="BD14" s="2">
        <f>SUM(I14:K14)</f>
        <v>0</v>
      </c>
      <c r="BE14" s="2">
        <v>0</v>
      </c>
      <c r="BF14" s="2">
        <f>COUNTIFS(AR14, "1",AW14, "1")</f>
        <v>0</v>
      </c>
      <c r="BG14" s="2" t="s">
        <v>288</v>
      </c>
    </row>
    <row r="15" spans="1:59">
      <c r="A15" s="2">
        <v>20</v>
      </c>
      <c r="B15" s="5">
        <v>45392</v>
      </c>
      <c r="C15" s="5">
        <v>45401</v>
      </c>
      <c r="D15" s="2">
        <f>C15-B15</f>
        <v>9</v>
      </c>
      <c r="E15" s="2">
        <v>85</v>
      </c>
      <c r="F15" s="2">
        <v>1</v>
      </c>
      <c r="G15" s="2">
        <v>2</v>
      </c>
      <c r="H15" s="2">
        <v>0</v>
      </c>
      <c r="I15" s="2">
        <v>0</v>
      </c>
      <c r="J15" s="2">
        <v>0</v>
      </c>
      <c r="K15" s="2">
        <v>0</v>
      </c>
      <c r="L15" s="2">
        <v>0</v>
      </c>
      <c r="M15" s="2">
        <v>0</v>
      </c>
      <c r="N15" s="2">
        <v>0</v>
      </c>
      <c r="P15" t="s">
        <v>52</v>
      </c>
      <c r="Q15" s="2">
        <v>1</v>
      </c>
      <c r="R15" s="2">
        <v>0</v>
      </c>
      <c r="S15" s="2">
        <v>0</v>
      </c>
      <c r="T15" s="2">
        <v>0</v>
      </c>
      <c r="U15" s="2">
        <v>1</v>
      </c>
      <c r="V15" s="2">
        <v>2</v>
      </c>
      <c r="W15" s="5">
        <v>45396</v>
      </c>
      <c r="X15" s="5">
        <v>45396</v>
      </c>
      <c r="Y15" s="28">
        <f>X15-W15</f>
        <v>0</v>
      </c>
      <c r="Z15" s="2">
        <v>0</v>
      </c>
      <c r="AA15" s="2">
        <v>0</v>
      </c>
      <c r="AB15" s="2">
        <v>0</v>
      </c>
      <c r="AC15" s="2">
        <v>0</v>
      </c>
      <c r="AD15" s="2">
        <v>0</v>
      </c>
      <c r="AE15" s="2">
        <v>0</v>
      </c>
      <c r="AF15" s="2">
        <v>0</v>
      </c>
      <c r="AG15" s="2">
        <v>0</v>
      </c>
      <c r="AH15" s="2">
        <v>0</v>
      </c>
      <c r="AI15" s="2">
        <v>1</v>
      </c>
      <c r="AJ15" s="2" t="s">
        <v>55</v>
      </c>
      <c r="AK15" s="11">
        <v>1</v>
      </c>
      <c r="AL15" s="2">
        <v>1</v>
      </c>
      <c r="AM15" s="2">
        <v>1</v>
      </c>
      <c r="AN15" s="2">
        <f>COUNTIFS(AL15,"1",AM15,"1")</f>
        <v>1</v>
      </c>
      <c r="AO15" s="2">
        <f>COUNTIFS(AL15,"1",AM15,"0")</f>
        <v>0</v>
      </c>
      <c r="AP15" s="2">
        <f>COUNTIFS(AL15,"0",AM15,"1")</f>
        <v>0</v>
      </c>
      <c r="AQ15" s="2">
        <v>1</v>
      </c>
      <c r="AR15" s="2">
        <v>1</v>
      </c>
      <c r="AS15" s="5">
        <v>45400</v>
      </c>
      <c r="AT15" s="2">
        <v>0</v>
      </c>
      <c r="AU15" s="2">
        <v>0</v>
      </c>
      <c r="AV15" s="2">
        <f>AS15-B15</f>
        <v>8</v>
      </c>
      <c r="AW15" s="2">
        <v>0</v>
      </c>
      <c r="BA15" s="2">
        <v>0</v>
      </c>
      <c r="BB15" s="2">
        <v>0</v>
      </c>
      <c r="BC15" s="2">
        <v>1</v>
      </c>
      <c r="BD15" s="2">
        <f>SUM(I15:K15)</f>
        <v>0</v>
      </c>
      <c r="BE15" s="2">
        <v>0</v>
      </c>
      <c r="BF15" s="2">
        <f>COUNTIFS(AR15, "1",AW15, "1")</f>
        <v>0</v>
      </c>
      <c r="BG15" s="2" t="s">
        <v>88</v>
      </c>
    </row>
    <row r="16" spans="1:59">
      <c r="A16" s="2">
        <v>23</v>
      </c>
      <c r="B16" s="5">
        <v>45401</v>
      </c>
      <c r="C16" s="5">
        <v>45447</v>
      </c>
      <c r="D16" s="2">
        <f>C16-B16</f>
        <v>46</v>
      </c>
      <c r="E16" s="2">
        <v>46</v>
      </c>
      <c r="F16" s="2">
        <v>2</v>
      </c>
      <c r="G16" s="2">
        <v>2</v>
      </c>
      <c r="H16" s="2">
        <v>1</v>
      </c>
      <c r="I16" s="2">
        <v>1</v>
      </c>
      <c r="J16" s="2">
        <v>0</v>
      </c>
      <c r="K16" s="2">
        <v>0</v>
      </c>
      <c r="L16" s="2">
        <v>1</v>
      </c>
      <c r="M16" s="2">
        <v>0</v>
      </c>
      <c r="N16" s="2">
        <v>0</v>
      </c>
      <c r="P16" t="s">
        <v>47</v>
      </c>
      <c r="Q16" s="2">
        <v>1</v>
      </c>
      <c r="R16" s="2">
        <v>0</v>
      </c>
      <c r="S16" s="2">
        <v>0</v>
      </c>
      <c r="T16" s="2">
        <v>0</v>
      </c>
      <c r="U16" s="2">
        <v>1</v>
      </c>
      <c r="V16" s="2">
        <v>3</v>
      </c>
      <c r="W16" s="5">
        <v>45401</v>
      </c>
      <c r="X16" s="5">
        <v>45404</v>
      </c>
      <c r="Y16" s="28">
        <f>X16-W16</f>
        <v>3</v>
      </c>
      <c r="Z16" s="2">
        <v>1</v>
      </c>
      <c r="AA16" s="2">
        <v>0</v>
      </c>
      <c r="AB16" s="2">
        <v>0</v>
      </c>
      <c r="AC16" s="2">
        <v>1</v>
      </c>
      <c r="AD16" s="2">
        <v>0</v>
      </c>
      <c r="AE16" s="2">
        <v>0</v>
      </c>
      <c r="AF16" s="2">
        <v>0</v>
      </c>
      <c r="AG16" s="2">
        <v>0</v>
      </c>
      <c r="AH16" s="2">
        <v>0</v>
      </c>
      <c r="AI16" s="2">
        <v>1</v>
      </c>
      <c r="AJ16" s="2" t="s">
        <v>91</v>
      </c>
      <c r="AK16" s="2">
        <v>1</v>
      </c>
      <c r="AL16" s="2">
        <v>0</v>
      </c>
      <c r="AM16" s="2">
        <v>1</v>
      </c>
      <c r="AN16" s="2">
        <f>COUNTIFS(AL16,"1",AM16,"1")</f>
        <v>0</v>
      </c>
      <c r="AO16" s="2">
        <f>COUNTIFS(AL16,"1",AM16,"0")</f>
        <v>0</v>
      </c>
      <c r="AP16" s="2">
        <f>COUNTIFS(AL16,"0",AM16,"1")</f>
        <v>1</v>
      </c>
      <c r="AQ16" s="2">
        <v>1</v>
      </c>
      <c r="AR16" s="2">
        <v>1</v>
      </c>
      <c r="AS16" s="5">
        <v>45406</v>
      </c>
      <c r="AT16" s="2">
        <v>0</v>
      </c>
      <c r="AU16" s="2">
        <v>0</v>
      </c>
      <c r="AV16" s="2">
        <f>AS16-B16</f>
        <v>5</v>
      </c>
      <c r="AW16" s="2">
        <v>1</v>
      </c>
      <c r="AX16" s="5">
        <v>45408</v>
      </c>
      <c r="AY16" s="2">
        <v>0</v>
      </c>
      <c r="AZ16" s="2">
        <v>0</v>
      </c>
      <c r="BA16" s="2">
        <v>0</v>
      </c>
      <c r="BB16" s="2">
        <v>0</v>
      </c>
      <c r="BC16" s="2">
        <f>SUM(I16:K16)</f>
        <v>1</v>
      </c>
      <c r="BD16" s="2">
        <f>SUM(I16:K16)</f>
        <v>1</v>
      </c>
      <c r="BE16" s="2">
        <v>0</v>
      </c>
      <c r="BF16" s="2">
        <f>COUNTIFS(AR16, "1",AW16, "1")</f>
        <v>1</v>
      </c>
      <c r="BG16" s="2" t="s">
        <v>92</v>
      </c>
    </row>
    <row r="17" spans="1:59">
      <c r="A17" s="2">
        <v>24</v>
      </c>
      <c r="B17" s="5">
        <v>45402</v>
      </c>
      <c r="C17" s="5">
        <v>45412</v>
      </c>
      <c r="D17" s="2">
        <f>C17-B17</f>
        <v>10</v>
      </c>
      <c r="E17" s="2">
        <v>87</v>
      </c>
      <c r="F17" s="2">
        <v>2</v>
      </c>
      <c r="G17" s="2">
        <v>2</v>
      </c>
      <c r="H17" s="2">
        <v>1</v>
      </c>
      <c r="I17" s="2">
        <v>0</v>
      </c>
      <c r="J17" s="2">
        <v>0</v>
      </c>
      <c r="K17" s="2">
        <v>0</v>
      </c>
      <c r="L17" s="2">
        <v>0</v>
      </c>
      <c r="M17" s="2">
        <v>0</v>
      </c>
      <c r="N17" s="2">
        <v>1</v>
      </c>
      <c r="O17" s="2" t="s">
        <v>93</v>
      </c>
      <c r="P17" t="s">
        <v>52</v>
      </c>
      <c r="Q17" s="2">
        <v>1</v>
      </c>
      <c r="R17" s="2">
        <v>0</v>
      </c>
      <c r="S17" s="2">
        <v>0</v>
      </c>
      <c r="T17" s="2">
        <v>0</v>
      </c>
      <c r="U17" s="2">
        <v>1</v>
      </c>
      <c r="V17" s="2">
        <v>2</v>
      </c>
      <c r="W17" s="5">
        <v>45402</v>
      </c>
      <c r="X17" s="5">
        <v>45403</v>
      </c>
      <c r="Y17" s="28">
        <f>X17-W17</f>
        <v>1</v>
      </c>
      <c r="Z17" s="2">
        <v>0</v>
      </c>
      <c r="AA17" s="2">
        <v>0</v>
      </c>
      <c r="AB17" s="2">
        <v>0</v>
      </c>
      <c r="AC17" s="2">
        <v>0</v>
      </c>
      <c r="AD17" s="2">
        <v>0</v>
      </c>
      <c r="AE17" s="2">
        <v>0</v>
      </c>
      <c r="AF17" s="2">
        <v>0</v>
      </c>
      <c r="AG17" s="2">
        <v>0</v>
      </c>
      <c r="AH17" s="2">
        <v>0</v>
      </c>
      <c r="AI17" s="2">
        <v>1</v>
      </c>
      <c r="AJ17" s="2" t="s">
        <v>55</v>
      </c>
      <c r="AK17" s="11">
        <v>1</v>
      </c>
      <c r="AL17" s="2">
        <v>1</v>
      </c>
      <c r="AM17" s="2">
        <v>1</v>
      </c>
      <c r="AN17" s="2">
        <f>COUNTIFS(AL17,"1",AM17,"1")</f>
        <v>1</v>
      </c>
      <c r="AO17" s="2">
        <f>COUNTIFS(AL17,"1",AM17,"0")</f>
        <v>0</v>
      </c>
      <c r="AP17" s="2">
        <f>COUNTIFS(AL17,"0",AM17,"1")</f>
        <v>0</v>
      </c>
      <c r="AQ17" s="2">
        <v>1</v>
      </c>
      <c r="AR17" s="2">
        <v>1</v>
      </c>
      <c r="AS17" s="5">
        <v>45406</v>
      </c>
      <c r="AT17" s="2">
        <v>0</v>
      </c>
      <c r="AU17" s="2">
        <v>0</v>
      </c>
      <c r="AV17" s="2">
        <f>AS17-B17</f>
        <v>4</v>
      </c>
      <c r="AW17" s="2">
        <v>1</v>
      </c>
      <c r="AX17" s="5">
        <v>45411</v>
      </c>
      <c r="AY17" s="2">
        <v>0</v>
      </c>
      <c r="AZ17" s="2">
        <v>0</v>
      </c>
      <c r="BA17" s="11">
        <v>1</v>
      </c>
      <c r="BB17" s="2">
        <v>0</v>
      </c>
      <c r="BC17" s="2">
        <v>1</v>
      </c>
      <c r="BD17" s="2">
        <f>SUM(I17:K17)</f>
        <v>0</v>
      </c>
      <c r="BE17" s="2">
        <v>0</v>
      </c>
      <c r="BF17" s="2">
        <f>COUNTIFS(AR17, "1",AW17, "1")</f>
        <v>1</v>
      </c>
      <c r="BG17" s="2" t="s">
        <v>94</v>
      </c>
    </row>
    <row r="18" spans="1:59">
      <c r="A18" s="2">
        <v>26</v>
      </c>
      <c r="B18" s="5">
        <v>45406</v>
      </c>
      <c r="C18" s="5">
        <v>45424</v>
      </c>
      <c r="D18" s="2">
        <f>C18-B18</f>
        <v>18</v>
      </c>
      <c r="E18" s="2">
        <v>59</v>
      </c>
      <c r="F18" s="2">
        <v>2</v>
      </c>
      <c r="G18" s="2">
        <v>2</v>
      </c>
      <c r="H18" s="2">
        <v>1</v>
      </c>
      <c r="I18" s="2">
        <v>0</v>
      </c>
      <c r="J18" s="2">
        <v>0</v>
      </c>
      <c r="K18" s="2">
        <v>0</v>
      </c>
      <c r="L18" s="2">
        <v>1</v>
      </c>
      <c r="M18" s="2">
        <v>0</v>
      </c>
      <c r="N18" s="2">
        <v>1</v>
      </c>
      <c r="O18" s="2" t="s">
        <v>70</v>
      </c>
      <c r="P18" t="s">
        <v>52</v>
      </c>
      <c r="Q18" s="2">
        <v>1</v>
      </c>
      <c r="R18" s="2">
        <v>0</v>
      </c>
      <c r="S18" s="2">
        <v>0</v>
      </c>
      <c r="T18" s="2">
        <v>0</v>
      </c>
      <c r="U18" s="2">
        <v>1</v>
      </c>
      <c r="V18" s="2">
        <v>3</v>
      </c>
      <c r="W18" s="5">
        <v>45406</v>
      </c>
      <c r="X18" s="5">
        <v>45409</v>
      </c>
      <c r="Y18" s="28">
        <f>X18-W18</f>
        <v>3</v>
      </c>
      <c r="Z18" s="2">
        <v>1</v>
      </c>
      <c r="AA18" s="2">
        <v>0</v>
      </c>
      <c r="AB18" s="2">
        <v>0</v>
      </c>
      <c r="AC18" s="2">
        <v>1</v>
      </c>
      <c r="AD18" s="2">
        <v>0</v>
      </c>
      <c r="AE18" s="2">
        <v>0</v>
      </c>
      <c r="AF18" s="2">
        <v>0</v>
      </c>
      <c r="AG18" s="2">
        <v>0</v>
      </c>
      <c r="AH18" s="2">
        <v>0</v>
      </c>
      <c r="AI18" s="2">
        <v>1</v>
      </c>
      <c r="AJ18" s="2" t="s">
        <v>55</v>
      </c>
      <c r="AK18" s="2">
        <v>1</v>
      </c>
      <c r="AL18" s="2">
        <v>1</v>
      </c>
      <c r="AM18" s="2">
        <v>1</v>
      </c>
      <c r="AN18" s="2">
        <f>COUNTIFS(AL18,"1",AM18,"1")</f>
        <v>1</v>
      </c>
      <c r="AO18" s="2">
        <f>COUNTIFS(AL18,"1",AM18,"0")</f>
        <v>0</v>
      </c>
      <c r="AP18" s="2">
        <f>COUNTIFS(AL18,"0",AM18,"1")</f>
        <v>0</v>
      </c>
      <c r="AQ18" s="2">
        <v>1</v>
      </c>
      <c r="AR18" s="2">
        <v>1</v>
      </c>
      <c r="AS18" s="5">
        <v>45415</v>
      </c>
      <c r="AT18" s="2">
        <v>1</v>
      </c>
      <c r="AU18" s="2">
        <v>0</v>
      </c>
      <c r="AV18" s="2">
        <f>AS18-B18</f>
        <v>9</v>
      </c>
      <c r="AW18" s="2">
        <v>0</v>
      </c>
      <c r="BA18" s="2">
        <v>0</v>
      </c>
      <c r="BB18" s="2">
        <v>1</v>
      </c>
      <c r="BC18" s="2">
        <v>1</v>
      </c>
      <c r="BD18" s="2">
        <f>SUM(I18:K18)</f>
        <v>0</v>
      </c>
      <c r="BE18" s="2">
        <v>1</v>
      </c>
      <c r="BF18" s="2">
        <f>COUNTIFS(AR18, "1",AW18, "1")</f>
        <v>0</v>
      </c>
      <c r="BG18" s="2" t="s">
        <v>96</v>
      </c>
    </row>
    <row r="19" spans="1:59">
      <c r="A19" s="8">
        <v>27</v>
      </c>
      <c r="B19" s="5">
        <v>45403</v>
      </c>
      <c r="C19" s="6">
        <v>45412</v>
      </c>
      <c r="D19" s="2">
        <f>C19-B19</f>
        <v>9</v>
      </c>
      <c r="E19" s="2">
        <v>72</v>
      </c>
      <c r="F19" s="2">
        <v>1</v>
      </c>
      <c r="G19" s="2">
        <v>2</v>
      </c>
      <c r="H19" s="2">
        <v>1</v>
      </c>
      <c r="I19" s="2">
        <v>0</v>
      </c>
      <c r="J19" s="2">
        <v>0</v>
      </c>
      <c r="K19" s="2">
        <v>0</v>
      </c>
      <c r="L19" s="2">
        <v>0</v>
      </c>
      <c r="M19" s="2">
        <v>0</v>
      </c>
      <c r="N19" s="2">
        <v>1</v>
      </c>
      <c r="O19" s="2" t="s">
        <v>97</v>
      </c>
      <c r="P19" t="s">
        <v>52</v>
      </c>
      <c r="Q19" s="2">
        <v>1</v>
      </c>
      <c r="R19" s="2">
        <v>0</v>
      </c>
      <c r="S19" s="2">
        <v>0</v>
      </c>
      <c r="T19" s="2">
        <v>0</v>
      </c>
      <c r="U19" s="2">
        <v>1</v>
      </c>
      <c r="V19" s="2">
        <v>2</v>
      </c>
      <c r="W19" s="5">
        <v>45407</v>
      </c>
      <c r="X19" s="5">
        <v>45409</v>
      </c>
      <c r="Y19" s="28">
        <f>X19-W19</f>
        <v>2</v>
      </c>
      <c r="Z19" s="2">
        <v>1</v>
      </c>
      <c r="AA19" s="2">
        <v>1</v>
      </c>
      <c r="AB19" s="2">
        <v>0</v>
      </c>
      <c r="AC19" s="2">
        <v>0</v>
      </c>
      <c r="AD19" s="2">
        <v>0</v>
      </c>
      <c r="AE19" s="2">
        <v>0</v>
      </c>
      <c r="AF19" s="2">
        <v>0</v>
      </c>
      <c r="AG19" s="2">
        <v>0</v>
      </c>
      <c r="AH19" s="2">
        <v>1</v>
      </c>
      <c r="AI19" s="2">
        <v>1</v>
      </c>
      <c r="AJ19" s="2" t="s">
        <v>55</v>
      </c>
      <c r="AK19" s="2">
        <v>1</v>
      </c>
      <c r="AL19" s="2">
        <v>1</v>
      </c>
      <c r="AM19" s="2">
        <v>1</v>
      </c>
      <c r="AN19" s="2">
        <f>COUNTIFS(AL19,"1",AM19,"1")</f>
        <v>1</v>
      </c>
      <c r="AO19" s="2">
        <f>COUNTIFS(AL19,"1",AM19,"0")</f>
        <v>0</v>
      </c>
      <c r="AP19" s="2">
        <f>COUNTIFS(AL19,"0",AM19,"1")</f>
        <v>0</v>
      </c>
      <c r="AQ19" s="2">
        <v>1</v>
      </c>
      <c r="AR19" s="2">
        <v>1</v>
      </c>
      <c r="AS19" s="5">
        <v>45408</v>
      </c>
      <c r="AT19" s="2">
        <v>0</v>
      </c>
      <c r="AU19" s="2">
        <v>0</v>
      </c>
      <c r="AV19" s="2">
        <f>AS19-B19</f>
        <v>5</v>
      </c>
      <c r="AW19" s="2">
        <v>0</v>
      </c>
      <c r="BA19" s="2">
        <v>0</v>
      </c>
      <c r="BB19" s="2">
        <v>0</v>
      </c>
      <c r="BC19" s="2">
        <v>1</v>
      </c>
      <c r="BD19" s="2">
        <f>SUM(I19:K19)</f>
        <v>0</v>
      </c>
      <c r="BE19" s="2">
        <v>0</v>
      </c>
      <c r="BF19" s="2">
        <f>COUNTIFS(AR19, "1",AW19, "1")</f>
        <v>0</v>
      </c>
      <c r="BG19" s="2" t="s">
        <v>98</v>
      </c>
    </row>
    <row r="20" spans="1:59">
      <c r="A20" s="2">
        <v>28</v>
      </c>
      <c r="B20" s="5">
        <v>45406</v>
      </c>
      <c r="C20" s="5">
        <v>45422</v>
      </c>
      <c r="D20" s="2">
        <f>C20-B20</f>
        <v>16</v>
      </c>
      <c r="E20" s="2">
        <v>71</v>
      </c>
      <c r="F20" s="2">
        <v>2</v>
      </c>
      <c r="G20" s="2">
        <v>2</v>
      </c>
      <c r="H20" s="2">
        <v>1</v>
      </c>
      <c r="I20" s="2">
        <v>0</v>
      </c>
      <c r="J20" s="2">
        <v>0</v>
      </c>
      <c r="K20" s="2">
        <v>0</v>
      </c>
      <c r="L20" s="2">
        <v>0</v>
      </c>
      <c r="M20" s="2">
        <v>0</v>
      </c>
      <c r="N20" s="2">
        <v>1</v>
      </c>
      <c r="O20" s="2" t="s">
        <v>99</v>
      </c>
      <c r="P20" t="s">
        <v>52</v>
      </c>
      <c r="Q20" s="2">
        <v>1</v>
      </c>
      <c r="R20" s="2">
        <v>0</v>
      </c>
      <c r="S20" s="2">
        <v>0</v>
      </c>
      <c r="T20" s="2">
        <v>0</v>
      </c>
      <c r="U20" s="2">
        <v>1</v>
      </c>
      <c r="V20" s="2">
        <v>2</v>
      </c>
      <c r="W20" s="5">
        <v>45409</v>
      </c>
      <c r="X20" s="5">
        <v>45410</v>
      </c>
      <c r="Y20" s="28">
        <f>X20-W20</f>
        <v>1</v>
      </c>
      <c r="Z20" s="2">
        <v>1</v>
      </c>
      <c r="AA20" s="2">
        <v>1</v>
      </c>
      <c r="AB20" s="2">
        <v>0</v>
      </c>
      <c r="AC20" s="2">
        <v>0</v>
      </c>
      <c r="AD20" s="2">
        <v>1</v>
      </c>
      <c r="AE20" s="2">
        <v>0</v>
      </c>
      <c r="AF20" s="2">
        <v>0</v>
      </c>
      <c r="AG20" s="2">
        <v>0</v>
      </c>
      <c r="AH20" s="2">
        <v>1</v>
      </c>
      <c r="AI20" s="2">
        <v>1</v>
      </c>
      <c r="AJ20" s="2" t="s">
        <v>79</v>
      </c>
      <c r="AK20" s="2">
        <v>1</v>
      </c>
      <c r="AL20" s="2">
        <v>1</v>
      </c>
      <c r="AM20" s="2">
        <v>1</v>
      </c>
      <c r="AN20" s="2">
        <f>COUNTIFS(AL20,"1",AM20,"1")</f>
        <v>1</v>
      </c>
      <c r="AO20" s="2">
        <f>COUNTIFS(AL20,"1",AM20,"0")</f>
        <v>0</v>
      </c>
      <c r="AP20" s="2">
        <f>COUNTIFS(AL20,"0",AM20,"1")</f>
        <v>0</v>
      </c>
      <c r="AQ20" s="2">
        <v>1</v>
      </c>
      <c r="AR20" s="2">
        <v>1</v>
      </c>
      <c r="AS20" s="5">
        <v>45414</v>
      </c>
      <c r="AT20" s="2">
        <v>0</v>
      </c>
      <c r="AU20" s="2">
        <v>0</v>
      </c>
      <c r="AV20" s="2">
        <f>AS20-B20</f>
        <v>8</v>
      </c>
      <c r="AW20" s="2">
        <v>0</v>
      </c>
      <c r="BA20" s="2">
        <v>0</v>
      </c>
      <c r="BB20" s="2">
        <v>0</v>
      </c>
      <c r="BC20" s="2">
        <v>1</v>
      </c>
      <c r="BD20" s="2">
        <f>SUM(I20:K20)</f>
        <v>0</v>
      </c>
      <c r="BE20" s="2">
        <v>0</v>
      </c>
      <c r="BF20" s="2">
        <f>COUNTIFS(AR20, "1",AW20, "1")</f>
        <v>0</v>
      </c>
      <c r="BG20" s="2" t="s">
        <v>100</v>
      </c>
    </row>
    <row r="21" spans="1:59">
      <c r="A21" s="2">
        <v>32</v>
      </c>
      <c r="B21" s="5">
        <v>45355</v>
      </c>
      <c r="C21" s="5">
        <v>45378</v>
      </c>
      <c r="D21" s="2">
        <f>C21-B21</f>
        <v>23</v>
      </c>
      <c r="E21" s="2">
        <v>79</v>
      </c>
      <c r="F21" s="2">
        <v>2</v>
      </c>
      <c r="G21" s="2">
        <v>2</v>
      </c>
      <c r="H21" s="2">
        <v>1</v>
      </c>
      <c r="I21" s="2">
        <v>0</v>
      </c>
      <c r="J21" s="2">
        <v>0</v>
      </c>
      <c r="K21" s="2">
        <v>0</v>
      </c>
      <c r="L21" s="2">
        <v>0</v>
      </c>
      <c r="M21" s="2">
        <v>0</v>
      </c>
      <c r="N21" s="2">
        <v>1</v>
      </c>
      <c r="O21" s="2" t="s">
        <v>106</v>
      </c>
      <c r="P21" t="s">
        <v>47</v>
      </c>
      <c r="Q21" s="2">
        <v>1</v>
      </c>
      <c r="R21" s="2">
        <v>0</v>
      </c>
      <c r="S21" s="2">
        <v>0</v>
      </c>
      <c r="T21" s="2">
        <v>0</v>
      </c>
      <c r="U21" s="2">
        <v>1</v>
      </c>
      <c r="V21" s="2">
        <v>5</v>
      </c>
      <c r="W21" s="5">
        <v>45355</v>
      </c>
      <c r="X21" s="5">
        <v>45359</v>
      </c>
      <c r="Y21" s="28">
        <f>X21-W21</f>
        <v>4</v>
      </c>
      <c r="Z21" s="2">
        <v>0</v>
      </c>
      <c r="AA21" s="2">
        <v>0</v>
      </c>
      <c r="AB21" s="2">
        <v>0</v>
      </c>
      <c r="AC21" s="2">
        <v>0</v>
      </c>
      <c r="AD21" s="2">
        <v>0</v>
      </c>
      <c r="AE21" s="2">
        <v>0</v>
      </c>
      <c r="AF21" s="2">
        <v>0</v>
      </c>
      <c r="AG21" s="2">
        <v>0</v>
      </c>
      <c r="AH21" s="2">
        <v>0</v>
      </c>
      <c r="AI21" s="2">
        <v>1</v>
      </c>
      <c r="AJ21" s="2" t="s">
        <v>48</v>
      </c>
      <c r="AK21" s="2">
        <v>1</v>
      </c>
      <c r="AL21" s="2">
        <v>1</v>
      </c>
      <c r="AM21" s="2">
        <v>1</v>
      </c>
      <c r="AN21" s="2">
        <f>COUNTIFS(AL21,"1",AM21,"1")</f>
        <v>1</v>
      </c>
      <c r="AO21" s="2">
        <f>COUNTIFS(AL21,"1",AM21,"0")</f>
        <v>0</v>
      </c>
      <c r="AP21" s="2">
        <f>COUNTIFS(AL21,"0",AM21,"1")</f>
        <v>0</v>
      </c>
      <c r="AQ21" s="2">
        <v>1</v>
      </c>
      <c r="AR21" s="2">
        <v>1</v>
      </c>
      <c r="AS21" s="5">
        <v>45357</v>
      </c>
      <c r="AT21" s="2">
        <v>0</v>
      </c>
      <c r="AU21" s="2">
        <v>0</v>
      </c>
      <c r="AV21" s="2">
        <f>AS21-B21</f>
        <v>2</v>
      </c>
      <c r="AW21" s="2">
        <v>1</v>
      </c>
      <c r="AX21" s="5">
        <v>45364</v>
      </c>
      <c r="AY21" s="2">
        <v>0</v>
      </c>
      <c r="AZ21" s="2">
        <v>0</v>
      </c>
      <c r="BA21" s="2">
        <v>0</v>
      </c>
      <c r="BB21" s="2">
        <v>0</v>
      </c>
      <c r="BC21" s="2">
        <v>1</v>
      </c>
      <c r="BD21" s="2">
        <f>SUM(I21:K21)</f>
        <v>0</v>
      </c>
      <c r="BE21" s="2">
        <v>0</v>
      </c>
      <c r="BF21" s="2">
        <f>COUNTIFS(AR21, "1",AW21, "1")</f>
        <v>1</v>
      </c>
      <c r="BG21" s="2" t="s">
        <v>107</v>
      </c>
    </row>
    <row r="22" spans="1:59">
      <c r="A22" s="8">
        <v>33</v>
      </c>
      <c r="B22" s="5">
        <v>45356</v>
      </c>
      <c r="C22" s="6">
        <v>45383</v>
      </c>
      <c r="D22" s="2">
        <f>C22-B22</f>
        <v>27</v>
      </c>
      <c r="E22" s="2">
        <v>77</v>
      </c>
      <c r="F22" s="2">
        <v>2</v>
      </c>
      <c r="G22" s="2">
        <v>3</v>
      </c>
      <c r="H22" s="2">
        <v>1</v>
      </c>
      <c r="I22" s="2">
        <v>0</v>
      </c>
      <c r="J22" s="2">
        <v>0</v>
      </c>
      <c r="K22" s="2">
        <v>1</v>
      </c>
      <c r="L22" s="2">
        <v>0</v>
      </c>
      <c r="M22" s="2">
        <v>0</v>
      </c>
      <c r="N22" s="2">
        <v>1</v>
      </c>
      <c r="O22" s="2" t="s">
        <v>108</v>
      </c>
      <c r="P22" t="s">
        <v>52</v>
      </c>
      <c r="Q22" s="2">
        <v>1</v>
      </c>
      <c r="R22" s="2">
        <v>0</v>
      </c>
      <c r="S22" s="2">
        <v>0</v>
      </c>
      <c r="T22" s="2">
        <v>0</v>
      </c>
      <c r="U22" s="2">
        <v>1</v>
      </c>
      <c r="V22" s="2">
        <v>3</v>
      </c>
      <c r="W22" s="5">
        <v>45364</v>
      </c>
      <c r="X22" s="5">
        <v>45366</v>
      </c>
      <c r="Y22" s="28">
        <f>X22-W22</f>
        <v>2</v>
      </c>
      <c r="Z22" s="2">
        <v>0</v>
      </c>
      <c r="AA22" s="2">
        <v>0</v>
      </c>
      <c r="AB22" s="2">
        <v>0</v>
      </c>
      <c r="AC22" s="2">
        <v>0</v>
      </c>
      <c r="AD22" s="2">
        <v>0</v>
      </c>
      <c r="AE22" s="2">
        <v>0</v>
      </c>
      <c r="AF22" s="2">
        <v>0</v>
      </c>
      <c r="AG22" s="2">
        <v>0</v>
      </c>
      <c r="AH22" s="2">
        <v>0</v>
      </c>
      <c r="AI22" s="2">
        <v>1</v>
      </c>
      <c r="AJ22" s="2" t="s">
        <v>55</v>
      </c>
      <c r="AK22" s="2">
        <v>1</v>
      </c>
      <c r="AL22" s="2">
        <v>0</v>
      </c>
      <c r="AM22" s="2">
        <v>1</v>
      </c>
      <c r="AN22" s="2">
        <f>COUNTIFS(AL22,"1",AM22,"1")</f>
        <v>0</v>
      </c>
      <c r="AO22" s="2">
        <f>COUNTIFS(AL22,"1",AM22,"0")</f>
        <v>0</v>
      </c>
      <c r="AP22" s="2">
        <f>COUNTIFS(AL22,"0",AM22,"1")</f>
        <v>1</v>
      </c>
      <c r="AQ22" s="2">
        <v>1</v>
      </c>
      <c r="AR22" s="2">
        <v>1</v>
      </c>
      <c r="AS22" s="5">
        <v>45365</v>
      </c>
      <c r="AT22" s="2">
        <v>0</v>
      </c>
      <c r="AU22" s="2">
        <v>0</v>
      </c>
      <c r="AV22" s="2">
        <f>AS22-B22</f>
        <v>9</v>
      </c>
      <c r="AW22" s="2">
        <v>1</v>
      </c>
      <c r="AX22" s="5">
        <v>45366</v>
      </c>
      <c r="AY22" s="2">
        <v>1</v>
      </c>
      <c r="AZ22" s="2">
        <v>0</v>
      </c>
      <c r="BA22" s="2">
        <v>0</v>
      </c>
      <c r="BB22" s="2">
        <v>1</v>
      </c>
      <c r="BC22" s="2">
        <f>SUM(I22:K22)</f>
        <v>1</v>
      </c>
      <c r="BD22" s="2">
        <f>SUM(I22:K22)</f>
        <v>1</v>
      </c>
      <c r="BE22" s="2">
        <v>0</v>
      </c>
      <c r="BF22" s="2">
        <f>COUNTIFS(AR22, "1",AW22, "1")</f>
        <v>1</v>
      </c>
      <c r="BG22" s="2" t="s">
        <v>109</v>
      </c>
    </row>
    <row r="23" spans="1:59">
      <c r="A23" s="2">
        <v>34</v>
      </c>
      <c r="B23" s="5">
        <v>45364</v>
      </c>
      <c r="C23" s="5">
        <v>45377</v>
      </c>
      <c r="D23" s="2">
        <f>C23-B23</f>
        <v>13</v>
      </c>
      <c r="E23" s="2">
        <v>95</v>
      </c>
      <c r="F23" s="2">
        <v>2</v>
      </c>
      <c r="G23" s="2">
        <v>4</v>
      </c>
      <c r="H23" s="2">
        <v>0</v>
      </c>
      <c r="I23" s="2">
        <v>0</v>
      </c>
      <c r="J23" s="2">
        <v>0</v>
      </c>
      <c r="K23" s="2">
        <v>0</v>
      </c>
      <c r="L23" s="2">
        <v>0</v>
      </c>
      <c r="M23" s="2">
        <v>0</v>
      </c>
      <c r="N23" s="2">
        <v>0</v>
      </c>
      <c r="P23" t="s">
        <v>52</v>
      </c>
      <c r="Q23" s="2">
        <v>1</v>
      </c>
      <c r="R23" s="2">
        <v>0</v>
      </c>
      <c r="S23" s="2">
        <v>0</v>
      </c>
      <c r="T23" s="2">
        <v>0</v>
      </c>
      <c r="U23" s="2">
        <v>1</v>
      </c>
      <c r="V23" s="2">
        <v>5</v>
      </c>
      <c r="W23" s="5">
        <v>45364</v>
      </c>
      <c r="X23" s="5">
        <v>45368</v>
      </c>
      <c r="Y23" s="28">
        <f>X23-W23</f>
        <v>4</v>
      </c>
      <c r="Z23" s="2">
        <v>1</v>
      </c>
      <c r="AA23" s="2">
        <v>0</v>
      </c>
      <c r="AB23" s="2">
        <v>0</v>
      </c>
      <c r="AC23" s="2">
        <v>0</v>
      </c>
      <c r="AD23" s="2">
        <v>0</v>
      </c>
      <c r="AE23" s="2">
        <v>0</v>
      </c>
      <c r="AF23" s="2">
        <v>0</v>
      </c>
      <c r="AG23" s="2">
        <v>0</v>
      </c>
      <c r="AH23" s="2">
        <v>1</v>
      </c>
      <c r="AI23" s="2">
        <v>1</v>
      </c>
      <c r="AJ23" s="2" t="s">
        <v>55</v>
      </c>
      <c r="AK23" s="2">
        <v>1</v>
      </c>
      <c r="AL23" s="2">
        <v>1</v>
      </c>
      <c r="AM23" s="2">
        <v>1</v>
      </c>
      <c r="AN23" s="2">
        <f>COUNTIFS(AL23,"1",AM23,"1")</f>
        <v>1</v>
      </c>
      <c r="AO23" s="2">
        <f>COUNTIFS(AL23,"1",AM23,"0")</f>
        <v>0</v>
      </c>
      <c r="AP23" s="2">
        <f>COUNTIFS(AL23,"0",AM23,"1")</f>
        <v>0</v>
      </c>
      <c r="AQ23" s="2">
        <v>1</v>
      </c>
      <c r="AR23" s="2">
        <v>1</v>
      </c>
      <c r="AS23" s="5">
        <v>45366</v>
      </c>
      <c r="AT23" s="2">
        <v>0</v>
      </c>
      <c r="AU23" s="2">
        <v>0</v>
      </c>
      <c r="AV23" s="2">
        <f>AS23-B23</f>
        <v>2</v>
      </c>
      <c r="AW23" s="2">
        <v>0</v>
      </c>
      <c r="BA23" s="2">
        <v>0</v>
      </c>
      <c r="BB23" s="2">
        <v>0</v>
      </c>
      <c r="BC23" s="2">
        <v>1</v>
      </c>
      <c r="BD23" s="2">
        <f>SUM(I23:K23)</f>
        <v>0</v>
      </c>
      <c r="BE23" s="2">
        <v>0</v>
      </c>
      <c r="BF23" s="2">
        <f>COUNTIFS(AR23, "1",AW23, "1")</f>
        <v>0</v>
      </c>
      <c r="BG23" s="2" t="s">
        <v>110</v>
      </c>
    </row>
    <row r="24" spans="1:59">
      <c r="A24" s="2">
        <v>38</v>
      </c>
      <c r="B24" s="5">
        <v>45381</v>
      </c>
      <c r="C24" s="5">
        <v>45412</v>
      </c>
      <c r="D24" s="2">
        <f>C24-B24</f>
        <v>31</v>
      </c>
      <c r="E24" s="2">
        <v>69</v>
      </c>
      <c r="F24" s="2">
        <v>2</v>
      </c>
      <c r="G24" s="2">
        <v>3</v>
      </c>
      <c r="H24" s="2">
        <v>0</v>
      </c>
      <c r="I24" s="2">
        <v>0</v>
      </c>
      <c r="J24" s="2">
        <v>0</v>
      </c>
      <c r="K24" s="2">
        <v>0</v>
      </c>
      <c r="L24" s="2">
        <v>0</v>
      </c>
      <c r="M24" s="2">
        <v>0</v>
      </c>
      <c r="N24" s="2">
        <v>0</v>
      </c>
      <c r="P24" t="s">
        <v>47</v>
      </c>
      <c r="Q24" s="2">
        <v>1</v>
      </c>
      <c r="R24" s="2">
        <v>0</v>
      </c>
      <c r="S24" s="2">
        <v>0</v>
      </c>
      <c r="T24" s="2">
        <v>0</v>
      </c>
      <c r="U24" s="2">
        <v>0</v>
      </c>
      <c r="V24" s="2">
        <v>1</v>
      </c>
      <c r="W24" s="5">
        <v>45381</v>
      </c>
      <c r="X24" s="5">
        <v>45381</v>
      </c>
      <c r="Y24" s="28">
        <f>X24-W24</f>
        <v>0</v>
      </c>
      <c r="Z24" s="2">
        <v>0</v>
      </c>
      <c r="AA24" s="2">
        <v>0</v>
      </c>
      <c r="AB24" s="2">
        <v>0</v>
      </c>
      <c r="AC24" s="2">
        <v>0</v>
      </c>
      <c r="AD24" s="2">
        <v>0</v>
      </c>
      <c r="AE24" s="2">
        <v>0</v>
      </c>
      <c r="AF24" s="2">
        <v>0</v>
      </c>
      <c r="AG24" s="2">
        <v>0</v>
      </c>
      <c r="AH24" s="2">
        <v>0</v>
      </c>
      <c r="AI24" s="2">
        <v>1</v>
      </c>
      <c r="AJ24" s="2" t="s">
        <v>48</v>
      </c>
      <c r="AK24" s="2">
        <v>1</v>
      </c>
      <c r="AL24" s="2">
        <v>1</v>
      </c>
      <c r="AM24" s="2">
        <v>1</v>
      </c>
      <c r="AN24" s="2">
        <f>COUNTIFS(AL24,"1",AM24,"1")</f>
        <v>1</v>
      </c>
      <c r="AO24" s="2">
        <f>COUNTIFS(AL24,"1",AM24,"0")</f>
        <v>0</v>
      </c>
      <c r="AP24" s="2">
        <f>COUNTIFS(AL24,"0",AM24,"1")</f>
        <v>0</v>
      </c>
      <c r="AQ24" s="2">
        <v>1</v>
      </c>
      <c r="AR24" s="2">
        <v>1</v>
      </c>
      <c r="AS24" s="5">
        <v>45383</v>
      </c>
      <c r="AT24" s="2">
        <v>0</v>
      </c>
      <c r="AU24" s="2">
        <v>1</v>
      </c>
      <c r="AV24" s="2">
        <f>AS24-B24</f>
        <v>2</v>
      </c>
      <c r="AW24" s="2">
        <v>1</v>
      </c>
      <c r="AX24" s="5">
        <v>45385</v>
      </c>
      <c r="AY24" s="2">
        <v>0</v>
      </c>
      <c r="AZ24" s="2">
        <v>0</v>
      </c>
      <c r="BA24" s="11">
        <v>1</v>
      </c>
      <c r="BB24" s="2">
        <v>0</v>
      </c>
      <c r="BC24" s="2">
        <v>1</v>
      </c>
      <c r="BD24" s="2">
        <f>SUM(I24:K24)</f>
        <v>0</v>
      </c>
      <c r="BE24" s="2">
        <v>0</v>
      </c>
      <c r="BF24" s="2">
        <f>COUNTIFS(AR24, "1",AW24, "1")</f>
        <v>1</v>
      </c>
      <c r="BG24" s="2" t="s">
        <v>115</v>
      </c>
    </row>
    <row r="25" spans="1:59">
      <c r="A25" s="2">
        <v>39</v>
      </c>
      <c r="B25" s="5">
        <v>45443</v>
      </c>
      <c r="C25" s="5">
        <v>45455</v>
      </c>
      <c r="D25" s="2">
        <f>C25-B25</f>
        <v>12</v>
      </c>
      <c r="E25" s="2">
        <v>70</v>
      </c>
      <c r="F25" s="2">
        <v>2</v>
      </c>
      <c r="G25" s="2">
        <v>2</v>
      </c>
      <c r="H25" s="2">
        <v>0</v>
      </c>
      <c r="I25" s="2">
        <v>0</v>
      </c>
      <c r="J25" s="2">
        <v>0</v>
      </c>
      <c r="K25" s="2">
        <v>0</v>
      </c>
      <c r="L25" s="2">
        <v>0</v>
      </c>
      <c r="M25" s="2">
        <v>0</v>
      </c>
      <c r="N25" s="2">
        <v>0</v>
      </c>
      <c r="P25" t="s">
        <v>116</v>
      </c>
      <c r="Q25" s="2">
        <v>0</v>
      </c>
      <c r="R25" s="2">
        <v>1</v>
      </c>
      <c r="S25" s="2">
        <v>0</v>
      </c>
      <c r="T25" s="2">
        <v>0</v>
      </c>
      <c r="U25" s="2">
        <v>0</v>
      </c>
      <c r="V25" s="2">
        <v>1</v>
      </c>
      <c r="W25" s="5">
        <v>45444</v>
      </c>
      <c r="X25" s="5">
        <v>45444</v>
      </c>
      <c r="Y25" s="28">
        <f>X25-W25</f>
        <v>0</v>
      </c>
      <c r="Z25" s="2">
        <v>1</v>
      </c>
      <c r="AA25" s="2">
        <v>1</v>
      </c>
      <c r="AB25" s="2">
        <v>0</v>
      </c>
      <c r="AC25" s="2">
        <v>0</v>
      </c>
      <c r="AD25" s="2">
        <v>0</v>
      </c>
      <c r="AE25" s="2">
        <v>0</v>
      </c>
      <c r="AF25" s="2">
        <v>0</v>
      </c>
      <c r="AG25" s="2">
        <v>0</v>
      </c>
      <c r="AH25" s="2">
        <v>0</v>
      </c>
      <c r="AI25" s="2">
        <v>1</v>
      </c>
      <c r="AJ25" s="2" t="s">
        <v>117</v>
      </c>
      <c r="AK25" s="2">
        <v>1</v>
      </c>
      <c r="AL25" s="2">
        <v>1</v>
      </c>
      <c r="AM25" s="2">
        <v>1</v>
      </c>
      <c r="AN25" s="2">
        <f>COUNTIFS(AL25,"1",AM25,"1")</f>
        <v>1</v>
      </c>
      <c r="AO25" s="2">
        <f>COUNTIFS(AL25,"1",AM25,"0")</f>
        <v>0</v>
      </c>
      <c r="AP25" s="2">
        <f>COUNTIFS(AL25,"0",AM25,"1")</f>
        <v>0</v>
      </c>
      <c r="AQ25" s="2">
        <v>1</v>
      </c>
      <c r="AR25" s="2">
        <v>1</v>
      </c>
      <c r="AS25" s="5">
        <v>45448</v>
      </c>
      <c r="AT25" s="2">
        <v>0</v>
      </c>
      <c r="AU25" s="2">
        <v>1</v>
      </c>
      <c r="AV25" s="2">
        <f>AS25-B25</f>
        <v>5</v>
      </c>
      <c r="AW25" s="2">
        <v>0</v>
      </c>
      <c r="BA25" s="2">
        <v>0</v>
      </c>
      <c r="BB25" s="2">
        <v>0</v>
      </c>
      <c r="BC25" s="2">
        <v>1</v>
      </c>
      <c r="BD25" s="2">
        <f>SUM(I25:K25)</f>
        <v>0</v>
      </c>
      <c r="BE25" s="2">
        <v>0</v>
      </c>
      <c r="BF25" s="2">
        <f>COUNTIFS(AR25, "1",AW25, "1")</f>
        <v>0</v>
      </c>
      <c r="BG25" s="2" t="s">
        <v>118</v>
      </c>
    </row>
    <row r="26" spans="1:59">
      <c r="A26" s="2">
        <v>41</v>
      </c>
      <c r="B26" s="5">
        <v>45450</v>
      </c>
      <c r="C26" s="5">
        <v>45456</v>
      </c>
      <c r="D26" s="2">
        <f>C26-B26</f>
        <v>6</v>
      </c>
      <c r="E26" s="2">
        <v>71</v>
      </c>
      <c r="F26" s="2">
        <v>1</v>
      </c>
      <c r="G26" s="2">
        <v>2</v>
      </c>
      <c r="H26" s="2">
        <v>1</v>
      </c>
      <c r="I26" s="2">
        <v>0</v>
      </c>
      <c r="J26" s="2">
        <v>1</v>
      </c>
      <c r="K26" s="2">
        <v>0</v>
      </c>
      <c r="L26" s="2">
        <v>0</v>
      </c>
      <c r="M26" s="2">
        <v>0</v>
      </c>
      <c r="N26" s="2">
        <v>0</v>
      </c>
      <c r="P26" t="s">
        <v>121</v>
      </c>
      <c r="Q26" s="2">
        <v>0</v>
      </c>
      <c r="R26" s="2">
        <v>1</v>
      </c>
      <c r="S26" s="2">
        <v>0</v>
      </c>
      <c r="T26" s="2">
        <v>0</v>
      </c>
      <c r="U26" s="2">
        <v>0</v>
      </c>
      <c r="V26" s="2">
        <v>1</v>
      </c>
      <c r="W26" s="5">
        <v>45450</v>
      </c>
      <c r="X26" s="5">
        <v>45450</v>
      </c>
      <c r="Y26" s="28">
        <f>X26-W26</f>
        <v>0</v>
      </c>
      <c r="Z26" s="2">
        <v>0</v>
      </c>
      <c r="AA26" s="2">
        <v>0</v>
      </c>
      <c r="AB26" s="2">
        <v>0</v>
      </c>
      <c r="AC26" s="2">
        <v>0</v>
      </c>
      <c r="AD26" s="2">
        <v>0</v>
      </c>
      <c r="AE26" s="2">
        <v>0</v>
      </c>
      <c r="AF26" s="2">
        <v>0</v>
      </c>
      <c r="AG26" s="2">
        <v>0</v>
      </c>
      <c r="AH26" s="2">
        <v>0</v>
      </c>
      <c r="AI26" s="2">
        <v>1</v>
      </c>
      <c r="AJ26" s="2" t="s">
        <v>117</v>
      </c>
      <c r="AK26" s="2">
        <v>1</v>
      </c>
      <c r="AL26" s="2">
        <v>1</v>
      </c>
      <c r="AM26" s="2">
        <v>1</v>
      </c>
      <c r="AN26" s="2">
        <f>COUNTIFS(AL26,"1",AM26,"1")</f>
        <v>1</v>
      </c>
      <c r="AO26" s="2">
        <f>COUNTIFS(AL26,"1",AM26,"0")</f>
        <v>0</v>
      </c>
      <c r="AP26" s="2">
        <f>COUNTIFS(AL26,"0",AM26,"1")</f>
        <v>0</v>
      </c>
      <c r="AQ26" s="2">
        <v>1</v>
      </c>
      <c r="AR26" s="2">
        <v>1</v>
      </c>
      <c r="AS26" s="5">
        <v>45453</v>
      </c>
      <c r="AT26" s="2">
        <v>0</v>
      </c>
      <c r="AU26" s="2">
        <v>0</v>
      </c>
      <c r="AV26" s="2">
        <f>AS26-B26</f>
        <v>3</v>
      </c>
      <c r="AW26" s="2">
        <v>1</v>
      </c>
      <c r="AX26" s="5">
        <v>45455</v>
      </c>
      <c r="AY26" s="2">
        <v>0</v>
      </c>
      <c r="AZ26" s="2">
        <v>1</v>
      </c>
      <c r="BA26" s="2">
        <v>0</v>
      </c>
      <c r="BB26" s="2">
        <v>0</v>
      </c>
      <c r="BC26" s="2">
        <f>SUM(I26:K26)</f>
        <v>1</v>
      </c>
      <c r="BD26" s="2">
        <f>SUM(I26:K26)</f>
        <v>1</v>
      </c>
      <c r="BE26" s="2">
        <v>0</v>
      </c>
      <c r="BF26" s="2">
        <f>COUNTIFS(AR26, "1",AW26, "1")</f>
        <v>1</v>
      </c>
      <c r="BG26" s="2" t="s">
        <v>122</v>
      </c>
    </row>
    <row r="27" spans="1:59">
      <c r="A27" s="2">
        <v>42</v>
      </c>
      <c r="B27" s="5">
        <v>45455</v>
      </c>
      <c r="C27" s="5">
        <v>45462</v>
      </c>
      <c r="D27" s="2">
        <f>C27-B27</f>
        <v>7</v>
      </c>
      <c r="E27" s="2">
        <v>83</v>
      </c>
      <c r="F27" s="2">
        <v>1</v>
      </c>
      <c r="G27" s="2">
        <v>5</v>
      </c>
      <c r="H27" s="2">
        <v>0</v>
      </c>
      <c r="I27" s="2">
        <v>0</v>
      </c>
      <c r="J27" s="2">
        <v>0</v>
      </c>
      <c r="K27" s="2">
        <v>0</v>
      </c>
      <c r="L27" s="2">
        <v>0</v>
      </c>
      <c r="M27" s="2">
        <v>0</v>
      </c>
      <c r="N27" s="2">
        <v>0</v>
      </c>
      <c r="P27" t="s">
        <v>119</v>
      </c>
      <c r="Q27" s="2">
        <v>0</v>
      </c>
      <c r="R27" s="2">
        <v>1</v>
      </c>
      <c r="S27" s="2">
        <v>0</v>
      </c>
      <c r="T27" s="2">
        <v>0</v>
      </c>
      <c r="U27" s="2">
        <v>0</v>
      </c>
      <c r="V27" s="2">
        <v>1</v>
      </c>
      <c r="W27" s="5">
        <v>45455</v>
      </c>
      <c r="X27" s="5">
        <v>45455</v>
      </c>
      <c r="Y27" s="28">
        <f>X27-W27</f>
        <v>0</v>
      </c>
      <c r="Z27" s="2">
        <v>1</v>
      </c>
      <c r="AA27" s="2">
        <v>0</v>
      </c>
      <c r="AB27" s="2">
        <v>0</v>
      </c>
      <c r="AC27" s="2">
        <v>0</v>
      </c>
      <c r="AD27" s="2">
        <v>1</v>
      </c>
      <c r="AE27" s="2">
        <v>0</v>
      </c>
      <c r="AF27" s="2">
        <v>0</v>
      </c>
      <c r="AG27" s="2">
        <v>0</v>
      </c>
      <c r="AH27" s="2">
        <v>0</v>
      </c>
      <c r="AI27" s="2">
        <v>1</v>
      </c>
      <c r="AJ27" s="2" t="s">
        <v>117</v>
      </c>
      <c r="AK27" s="2">
        <v>1</v>
      </c>
      <c r="AL27" s="2">
        <v>1</v>
      </c>
      <c r="AM27" s="2">
        <v>1</v>
      </c>
      <c r="AN27" s="2">
        <f>COUNTIFS(AL27,"1",AM27,"1")</f>
        <v>1</v>
      </c>
      <c r="AO27" s="2">
        <f>COUNTIFS(AL27,"1",AM27,"0")</f>
        <v>0</v>
      </c>
      <c r="AP27" s="2">
        <f>COUNTIFS(AL27,"0",AM27,"1")</f>
        <v>0</v>
      </c>
      <c r="AQ27" s="2">
        <v>1</v>
      </c>
      <c r="AR27" s="2">
        <v>1</v>
      </c>
      <c r="AS27" s="5">
        <v>45457</v>
      </c>
      <c r="AT27" s="2">
        <v>1</v>
      </c>
      <c r="AU27" s="2">
        <v>0</v>
      </c>
      <c r="AV27" s="2">
        <f>AS27-B27</f>
        <v>2</v>
      </c>
      <c r="AW27" s="2">
        <v>0</v>
      </c>
      <c r="AX27" s="5"/>
      <c r="BA27" s="2">
        <v>0</v>
      </c>
      <c r="BB27" s="2">
        <v>1</v>
      </c>
      <c r="BC27" s="2">
        <v>1</v>
      </c>
      <c r="BD27" s="2">
        <f>SUM(I27:K27)</f>
        <v>0</v>
      </c>
      <c r="BE27" s="2">
        <v>0</v>
      </c>
      <c r="BF27" s="2">
        <f>COUNTIFS(AR27, "1",AW27, "1")</f>
        <v>0</v>
      </c>
      <c r="BG27" s="2" t="s">
        <v>123</v>
      </c>
    </row>
    <row r="28" spans="1:59">
      <c r="A28" s="2">
        <v>52</v>
      </c>
      <c r="B28" s="5">
        <v>45356</v>
      </c>
      <c r="C28" s="5">
        <v>45366</v>
      </c>
      <c r="D28" s="2">
        <f>C28-B28</f>
        <v>10</v>
      </c>
      <c r="E28" s="2">
        <v>42</v>
      </c>
      <c r="F28" s="2">
        <v>1</v>
      </c>
      <c r="G28" s="2">
        <v>2</v>
      </c>
      <c r="H28" s="2">
        <v>1</v>
      </c>
      <c r="I28" s="2">
        <v>0</v>
      </c>
      <c r="J28" s="2">
        <v>0</v>
      </c>
      <c r="K28" s="2">
        <v>0</v>
      </c>
      <c r="L28" s="2">
        <v>0</v>
      </c>
      <c r="M28" s="2">
        <v>0</v>
      </c>
      <c r="N28" s="2">
        <v>1</v>
      </c>
      <c r="O28" s="2" t="s">
        <v>141</v>
      </c>
      <c r="P28" t="s">
        <v>121</v>
      </c>
      <c r="Q28" s="2">
        <v>0</v>
      </c>
      <c r="R28" s="2">
        <v>1</v>
      </c>
      <c r="S28" s="2">
        <v>0</v>
      </c>
      <c r="T28" s="2">
        <v>0</v>
      </c>
      <c r="U28" s="2">
        <v>1</v>
      </c>
      <c r="V28" s="2">
        <v>2</v>
      </c>
      <c r="W28" s="5">
        <v>45356</v>
      </c>
      <c r="X28" s="5">
        <v>45357</v>
      </c>
      <c r="Y28" s="28">
        <f>X28-W28</f>
        <v>1</v>
      </c>
      <c r="Z28" s="2">
        <v>0</v>
      </c>
      <c r="AA28" s="2">
        <v>0</v>
      </c>
      <c r="AB28" s="2">
        <v>0</v>
      </c>
      <c r="AC28" s="2">
        <v>0</v>
      </c>
      <c r="AD28" s="2">
        <v>0</v>
      </c>
      <c r="AE28" s="2">
        <v>0</v>
      </c>
      <c r="AF28" s="2">
        <v>0</v>
      </c>
      <c r="AG28" s="2">
        <v>0</v>
      </c>
      <c r="AH28" s="2">
        <v>0</v>
      </c>
      <c r="AI28" s="2">
        <v>1</v>
      </c>
      <c r="AJ28" s="2" t="s">
        <v>117</v>
      </c>
      <c r="AK28" s="2">
        <v>1</v>
      </c>
      <c r="AL28" s="2">
        <v>1</v>
      </c>
      <c r="AM28" s="2">
        <v>1</v>
      </c>
      <c r="AN28" s="2">
        <f>COUNTIFS(AL28,"1",AM28,"1")</f>
        <v>1</v>
      </c>
      <c r="AO28" s="2">
        <f>COUNTIFS(AL28,"1",AM28,"0")</f>
        <v>0</v>
      </c>
      <c r="AP28" s="2">
        <f>COUNTIFS(AL28,"0",AM28,"1")</f>
        <v>0</v>
      </c>
      <c r="AQ28" s="2">
        <v>1</v>
      </c>
      <c r="AR28" s="2">
        <v>1</v>
      </c>
      <c r="AS28" s="5">
        <v>45357</v>
      </c>
      <c r="AT28" s="2">
        <v>1</v>
      </c>
      <c r="AU28" s="11">
        <v>1</v>
      </c>
      <c r="AV28" s="2">
        <f>AS28-B28</f>
        <v>1</v>
      </c>
      <c r="AW28" s="11">
        <v>1</v>
      </c>
      <c r="AX28" s="5">
        <v>45359</v>
      </c>
      <c r="AY28" s="2">
        <v>1</v>
      </c>
      <c r="AZ28" s="2">
        <v>1</v>
      </c>
      <c r="BA28" s="2">
        <v>0</v>
      </c>
      <c r="BB28" s="2">
        <v>1</v>
      </c>
      <c r="BC28" s="2">
        <v>1</v>
      </c>
      <c r="BD28" s="2">
        <f>SUM(I28:K28)</f>
        <v>0</v>
      </c>
      <c r="BE28" s="2">
        <v>0</v>
      </c>
      <c r="BF28" s="2">
        <f>COUNTIFS(AR28, "1",AW28, "1")</f>
        <v>1</v>
      </c>
      <c r="BG28" s="2" t="s">
        <v>142</v>
      </c>
    </row>
    <row r="29" spans="1:59">
      <c r="A29" s="2">
        <v>53</v>
      </c>
      <c r="B29" s="5">
        <v>45357</v>
      </c>
      <c r="C29" s="5">
        <v>45385</v>
      </c>
      <c r="D29" s="2">
        <f>C29-B29</f>
        <v>28</v>
      </c>
      <c r="E29" s="2">
        <v>37</v>
      </c>
      <c r="F29" s="2">
        <v>2</v>
      </c>
      <c r="G29" s="2">
        <v>2</v>
      </c>
      <c r="H29" s="2">
        <v>0</v>
      </c>
      <c r="I29" s="2">
        <v>0</v>
      </c>
      <c r="J29" s="2">
        <v>0</v>
      </c>
      <c r="K29" s="2">
        <v>0</v>
      </c>
      <c r="L29" s="2">
        <v>0</v>
      </c>
      <c r="M29" s="2">
        <v>0</v>
      </c>
      <c r="N29" s="2">
        <v>0</v>
      </c>
      <c r="P29" t="s">
        <v>136</v>
      </c>
      <c r="Q29" s="2">
        <v>0</v>
      </c>
      <c r="R29" s="2">
        <v>1</v>
      </c>
      <c r="S29" s="2">
        <v>0</v>
      </c>
      <c r="T29" s="2">
        <v>0</v>
      </c>
      <c r="U29" s="2">
        <v>0</v>
      </c>
      <c r="V29" s="2">
        <v>1</v>
      </c>
      <c r="W29" s="5">
        <v>45357</v>
      </c>
      <c r="X29" s="5">
        <v>45357</v>
      </c>
      <c r="Y29" s="28">
        <f>X29-W29</f>
        <v>0</v>
      </c>
      <c r="Z29" s="2">
        <v>1</v>
      </c>
      <c r="AA29" s="2">
        <v>0</v>
      </c>
      <c r="AB29" s="2">
        <v>1</v>
      </c>
      <c r="AC29" s="2">
        <v>0</v>
      </c>
      <c r="AD29" s="2">
        <v>1</v>
      </c>
      <c r="AE29" s="2">
        <v>0</v>
      </c>
      <c r="AF29" s="2">
        <v>0</v>
      </c>
      <c r="AG29" s="2">
        <v>0</v>
      </c>
      <c r="AH29" s="2">
        <v>0</v>
      </c>
      <c r="AI29" s="2">
        <v>1</v>
      </c>
      <c r="AJ29" s="2" t="s">
        <v>143</v>
      </c>
      <c r="AK29" s="2">
        <v>1</v>
      </c>
      <c r="AL29" s="2">
        <v>1</v>
      </c>
      <c r="AM29" s="2">
        <v>1</v>
      </c>
      <c r="AN29" s="2">
        <f>COUNTIFS(AL29,"1",AM29,"1")</f>
        <v>1</v>
      </c>
      <c r="AO29" s="2">
        <f>COUNTIFS(AL29,"1",AM29,"0")</f>
        <v>0</v>
      </c>
      <c r="AP29" s="2">
        <f>COUNTIFS(AL29,"0",AM29,"1")</f>
        <v>0</v>
      </c>
      <c r="AQ29" s="2">
        <v>1</v>
      </c>
      <c r="AR29" s="2">
        <v>1</v>
      </c>
      <c r="AS29" s="5">
        <v>45359</v>
      </c>
      <c r="AT29" s="2">
        <v>0</v>
      </c>
      <c r="AU29" s="2">
        <v>0</v>
      </c>
      <c r="AV29" s="2">
        <f>AS29-B29</f>
        <v>2</v>
      </c>
      <c r="AW29" s="2">
        <v>0</v>
      </c>
      <c r="BA29" s="2">
        <v>0</v>
      </c>
      <c r="BB29" s="2">
        <v>0</v>
      </c>
      <c r="BC29" s="2">
        <v>1</v>
      </c>
      <c r="BD29" s="2">
        <f>SUM(I29:K29)</f>
        <v>0</v>
      </c>
      <c r="BE29" s="2">
        <v>1</v>
      </c>
      <c r="BF29" s="2">
        <f>COUNTIFS(AR29, "1",AW29, "1")</f>
        <v>0</v>
      </c>
      <c r="BG29" s="2" t="s">
        <v>144</v>
      </c>
    </row>
    <row r="30" spans="1:59">
      <c r="A30" s="2">
        <v>55</v>
      </c>
      <c r="B30" s="5">
        <v>45369</v>
      </c>
      <c r="C30" s="12">
        <v>45377</v>
      </c>
      <c r="D30" s="2">
        <f>C30-B30</f>
        <v>8</v>
      </c>
      <c r="E30" s="2">
        <v>74</v>
      </c>
      <c r="F30" s="2">
        <v>2</v>
      </c>
      <c r="G30" s="2">
        <v>2</v>
      </c>
      <c r="H30" s="2">
        <v>0</v>
      </c>
      <c r="I30" s="2">
        <v>0</v>
      </c>
      <c r="J30" s="2">
        <v>0</v>
      </c>
      <c r="K30" s="2">
        <v>0</v>
      </c>
      <c r="L30" s="2">
        <v>0</v>
      </c>
      <c r="M30" s="2">
        <v>0</v>
      </c>
      <c r="N30" s="2">
        <v>1</v>
      </c>
      <c r="O30" s="2" t="s">
        <v>70</v>
      </c>
      <c r="P30" t="s">
        <v>119</v>
      </c>
      <c r="Q30" s="2">
        <v>0</v>
      </c>
      <c r="R30" s="2">
        <v>1</v>
      </c>
      <c r="S30" s="2">
        <v>0</v>
      </c>
      <c r="T30" s="2">
        <v>0</v>
      </c>
      <c r="U30" s="2">
        <v>0</v>
      </c>
      <c r="V30" s="2">
        <v>1</v>
      </c>
      <c r="W30" s="5">
        <v>45369</v>
      </c>
      <c r="X30" s="5">
        <v>45369</v>
      </c>
      <c r="Y30" s="28">
        <f>X30-W30</f>
        <v>0</v>
      </c>
      <c r="Z30" s="2">
        <v>1</v>
      </c>
      <c r="AA30" s="2">
        <v>0</v>
      </c>
      <c r="AB30" s="2">
        <v>0</v>
      </c>
      <c r="AC30" s="2">
        <v>0</v>
      </c>
      <c r="AD30" s="2">
        <v>1</v>
      </c>
      <c r="AE30" s="2">
        <v>0</v>
      </c>
      <c r="AF30" s="2">
        <v>0</v>
      </c>
      <c r="AG30" s="2">
        <v>0</v>
      </c>
      <c r="AH30" s="2">
        <v>1</v>
      </c>
      <c r="AI30" s="2">
        <v>1</v>
      </c>
      <c r="AJ30" s="2" t="s">
        <v>117</v>
      </c>
      <c r="AK30" s="2">
        <v>1</v>
      </c>
      <c r="AL30" s="2">
        <v>0</v>
      </c>
      <c r="AM30" s="2">
        <v>1</v>
      </c>
      <c r="AN30" s="2">
        <f>COUNTIFS(AL30,"1",AM30,"1")</f>
        <v>0</v>
      </c>
      <c r="AO30" s="2">
        <f>COUNTIFS(AL30,"1",AM30,"0")</f>
        <v>0</v>
      </c>
      <c r="AP30" s="2">
        <f>COUNTIFS(AL30,"0",AM30,"1")</f>
        <v>1</v>
      </c>
      <c r="AQ30" s="2">
        <v>1</v>
      </c>
      <c r="AR30" s="2">
        <v>0</v>
      </c>
      <c r="AW30" s="2">
        <v>0</v>
      </c>
      <c r="BA30" s="2">
        <v>0</v>
      </c>
      <c r="BB30" s="2">
        <v>0</v>
      </c>
      <c r="BC30" s="2">
        <f>SUM(I30:K30)</f>
        <v>0</v>
      </c>
      <c r="BD30" s="2">
        <f>SUM(I30:K30)</f>
        <v>0</v>
      </c>
      <c r="BE30" s="2">
        <v>0</v>
      </c>
      <c r="BF30" s="2">
        <f>COUNTIFS(AR30, "1",AW30, "1")</f>
        <v>0</v>
      </c>
      <c r="BG30" s="2" t="s">
        <v>148</v>
      </c>
    </row>
    <row r="31" spans="1:59">
      <c r="A31" s="2">
        <v>57</v>
      </c>
      <c r="B31" s="5">
        <v>45459</v>
      </c>
      <c r="E31" s="2">
        <v>55</v>
      </c>
      <c r="F31" s="2">
        <v>2</v>
      </c>
      <c r="G31" s="2">
        <v>2</v>
      </c>
      <c r="H31" s="2">
        <v>1</v>
      </c>
      <c r="I31" s="2">
        <v>0</v>
      </c>
      <c r="J31" s="2">
        <v>0</v>
      </c>
      <c r="K31" s="2">
        <v>1</v>
      </c>
      <c r="L31" s="2">
        <v>0</v>
      </c>
      <c r="M31" s="2">
        <v>0</v>
      </c>
      <c r="N31" s="2">
        <v>1</v>
      </c>
      <c r="O31" s="2" t="s">
        <v>157</v>
      </c>
      <c r="P31" t="s">
        <v>155</v>
      </c>
      <c r="Q31" s="2">
        <v>0</v>
      </c>
      <c r="R31" s="2">
        <v>0</v>
      </c>
      <c r="S31" s="2">
        <v>1</v>
      </c>
      <c r="T31" s="2">
        <v>0</v>
      </c>
      <c r="U31" s="2">
        <v>1</v>
      </c>
      <c r="V31" s="2">
        <v>4</v>
      </c>
      <c r="W31" s="5">
        <v>45469</v>
      </c>
      <c r="X31" s="5">
        <v>45472</v>
      </c>
      <c r="Y31" s="28">
        <f>X31-W31</f>
        <v>3</v>
      </c>
      <c r="Z31" s="2">
        <v>0</v>
      </c>
      <c r="AA31" s="2">
        <v>0</v>
      </c>
      <c r="AB31" s="2">
        <v>0</v>
      </c>
      <c r="AC31" s="2">
        <v>0</v>
      </c>
      <c r="AD31" s="2">
        <v>0</v>
      </c>
      <c r="AE31" s="2">
        <v>0</v>
      </c>
      <c r="AF31" s="2">
        <v>0</v>
      </c>
      <c r="AG31" s="2">
        <v>0</v>
      </c>
      <c r="AH31" s="2">
        <v>0</v>
      </c>
      <c r="AI31" s="2">
        <v>1</v>
      </c>
      <c r="AJ31" s="2" t="s">
        <v>158</v>
      </c>
      <c r="AK31" s="2">
        <v>1</v>
      </c>
      <c r="AL31" s="2">
        <v>1</v>
      </c>
      <c r="AM31" s="2">
        <v>1</v>
      </c>
      <c r="AN31" s="2">
        <f>COUNTIFS(AL31,"1",AM31,"1")</f>
        <v>1</v>
      </c>
      <c r="AO31" s="2">
        <f>COUNTIFS(AL31,"1",AM31,"0")</f>
        <v>0</v>
      </c>
      <c r="AP31" s="2">
        <f>COUNTIFS(AL31,"0",AM31,"1")</f>
        <v>0</v>
      </c>
      <c r="AQ31" s="2">
        <v>1</v>
      </c>
      <c r="AR31" s="2">
        <v>1</v>
      </c>
      <c r="AS31" s="5">
        <v>45485</v>
      </c>
      <c r="AT31" s="2">
        <v>0</v>
      </c>
      <c r="AU31" s="2">
        <v>1</v>
      </c>
      <c r="AV31" s="2">
        <f>AS31-B31</f>
        <v>26</v>
      </c>
      <c r="AW31" s="11">
        <v>0</v>
      </c>
      <c r="BA31" s="2">
        <v>0</v>
      </c>
      <c r="BB31" s="2">
        <v>1</v>
      </c>
      <c r="BC31" s="2">
        <f>SUM(I31:K31)</f>
        <v>1</v>
      </c>
      <c r="BD31" s="2">
        <f>SUM(I31:K31)</f>
        <v>1</v>
      </c>
      <c r="BE31" s="2">
        <v>1</v>
      </c>
      <c r="BF31" s="2">
        <f>COUNTIFS(AR31, "1",AW31, "1")</f>
        <v>0</v>
      </c>
      <c r="BG31" s="2" t="s">
        <v>159</v>
      </c>
    </row>
    <row r="32" spans="1:59">
      <c r="A32" s="2">
        <v>60</v>
      </c>
      <c r="B32" s="5">
        <v>45425</v>
      </c>
      <c r="C32" s="5">
        <v>45444</v>
      </c>
      <c r="D32" s="2">
        <f>C32-B32</f>
        <v>19</v>
      </c>
      <c r="E32" s="2">
        <v>81</v>
      </c>
      <c r="F32" s="2">
        <v>1</v>
      </c>
      <c r="G32" s="2">
        <v>2</v>
      </c>
      <c r="H32" s="2">
        <v>1</v>
      </c>
      <c r="I32" s="2">
        <v>0</v>
      </c>
      <c r="J32" s="2">
        <v>0</v>
      </c>
      <c r="K32" s="2">
        <v>1</v>
      </c>
      <c r="L32" s="2">
        <v>0</v>
      </c>
      <c r="M32" s="2">
        <v>0</v>
      </c>
      <c r="N32" s="2">
        <v>1</v>
      </c>
      <c r="O32" s="2" t="s">
        <v>72</v>
      </c>
      <c r="P32" t="s">
        <v>155</v>
      </c>
      <c r="Q32" s="2">
        <v>0</v>
      </c>
      <c r="R32" s="2">
        <v>0</v>
      </c>
      <c r="S32" s="2">
        <v>1</v>
      </c>
      <c r="T32" s="2">
        <v>0</v>
      </c>
      <c r="U32" s="2">
        <v>1</v>
      </c>
      <c r="V32" s="2">
        <v>2</v>
      </c>
      <c r="W32" s="5">
        <v>45425</v>
      </c>
      <c r="X32" s="5">
        <v>45426</v>
      </c>
      <c r="Y32" s="28">
        <f>X32-W32</f>
        <v>1</v>
      </c>
      <c r="Z32" s="2">
        <v>1</v>
      </c>
      <c r="AA32" s="2">
        <v>0</v>
      </c>
      <c r="AB32" s="2">
        <v>0</v>
      </c>
      <c r="AC32" s="2">
        <v>0</v>
      </c>
      <c r="AD32" s="2">
        <v>0</v>
      </c>
      <c r="AE32" s="2">
        <v>1</v>
      </c>
      <c r="AF32" s="2">
        <v>0</v>
      </c>
      <c r="AG32" s="2">
        <v>0</v>
      </c>
      <c r="AH32" s="2">
        <v>0</v>
      </c>
      <c r="AI32" s="2">
        <v>1</v>
      </c>
      <c r="AJ32" s="2" t="s">
        <v>158</v>
      </c>
      <c r="AK32" s="2">
        <v>1</v>
      </c>
      <c r="AL32" s="2">
        <v>1</v>
      </c>
      <c r="AM32" s="2">
        <v>1</v>
      </c>
      <c r="AN32" s="2">
        <f>COUNTIFS(AL32,"1",AM32,"1")</f>
        <v>1</v>
      </c>
      <c r="AO32" s="2">
        <f>COUNTIFS(AL32,"1",AM32,"0")</f>
        <v>0</v>
      </c>
      <c r="AP32" s="2">
        <f>COUNTIFS(AL32,"0",AM32,"1")</f>
        <v>0</v>
      </c>
      <c r="AQ32" s="2">
        <v>1</v>
      </c>
      <c r="AR32" s="2">
        <v>1</v>
      </c>
      <c r="AS32" s="5">
        <v>45429</v>
      </c>
      <c r="AT32" s="2">
        <v>0</v>
      </c>
      <c r="AU32" s="2">
        <v>1</v>
      </c>
      <c r="AV32" s="2">
        <f>AS32-B32</f>
        <v>4</v>
      </c>
      <c r="AW32" s="2">
        <v>0</v>
      </c>
      <c r="BA32" s="2">
        <v>0</v>
      </c>
      <c r="BB32" s="2">
        <v>0</v>
      </c>
      <c r="BC32" s="2">
        <f>SUM(I32:K32)</f>
        <v>1</v>
      </c>
      <c r="BD32" s="2">
        <f>SUM(I32:K32)</f>
        <v>1</v>
      </c>
      <c r="BE32" s="2">
        <v>0</v>
      </c>
      <c r="BF32" s="2">
        <f>COUNTIFS(AR32, "1",AW32, "1")</f>
        <v>0</v>
      </c>
      <c r="BG32" s="2" t="s">
        <v>165</v>
      </c>
    </row>
    <row r="33" spans="1:59">
      <c r="A33" s="2">
        <v>61</v>
      </c>
      <c r="B33" s="5">
        <v>45381</v>
      </c>
      <c r="C33" s="5">
        <v>45387</v>
      </c>
      <c r="D33" s="2">
        <f>C33-B33</f>
        <v>6</v>
      </c>
      <c r="E33" s="2">
        <v>87</v>
      </c>
      <c r="F33" s="2">
        <v>2</v>
      </c>
      <c r="G33" s="2">
        <v>3</v>
      </c>
      <c r="H33" s="2">
        <v>1</v>
      </c>
      <c r="I33" s="2">
        <v>0</v>
      </c>
      <c r="J33" s="2">
        <v>0</v>
      </c>
      <c r="K33" s="2">
        <v>1</v>
      </c>
      <c r="L33" s="2">
        <v>0</v>
      </c>
      <c r="M33" s="2">
        <v>0</v>
      </c>
      <c r="N33" s="2">
        <v>1</v>
      </c>
      <c r="O33" s="2" t="s">
        <v>166</v>
      </c>
      <c r="P33" t="s">
        <v>155</v>
      </c>
      <c r="Q33" s="2">
        <v>0</v>
      </c>
      <c r="R33" s="2">
        <v>0</v>
      </c>
      <c r="S33" s="2">
        <v>1</v>
      </c>
      <c r="T33" s="2">
        <v>0</v>
      </c>
      <c r="U33" s="2">
        <v>1</v>
      </c>
      <c r="V33" s="2">
        <v>3</v>
      </c>
      <c r="W33" s="5">
        <v>45382</v>
      </c>
      <c r="X33" s="5">
        <v>45384</v>
      </c>
      <c r="Y33" s="28">
        <f>X33-W33</f>
        <v>2</v>
      </c>
      <c r="Z33" s="2">
        <v>0</v>
      </c>
      <c r="AA33" s="2">
        <v>0</v>
      </c>
      <c r="AB33" s="2">
        <v>0</v>
      </c>
      <c r="AC33" s="2">
        <v>0</v>
      </c>
      <c r="AD33" s="2">
        <v>0</v>
      </c>
      <c r="AE33" s="2">
        <v>0</v>
      </c>
      <c r="AF33" s="2">
        <v>0</v>
      </c>
      <c r="AG33" s="2">
        <v>0</v>
      </c>
      <c r="AH33" s="2">
        <v>0</v>
      </c>
      <c r="AI33" s="2">
        <v>1</v>
      </c>
      <c r="AJ33" s="2" t="s">
        <v>167</v>
      </c>
      <c r="AK33" s="2">
        <v>1</v>
      </c>
      <c r="AL33" s="2">
        <v>0</v>
      </c>
      <c r="AM33" s="2">
        <v>1</v>
      </c>
      <c r="AN33" s="2">
        <f>COUNTIFS(AL33,"1",AM33,"1")</f>
        <v>0</v>
      </c>
      <c r="AO33" s="2">
        <f>COUNTIFS(AL33,"1",AM33,"0")</f>
        <v>0</v>
      </c>
      <c r="AP33" s="2">
        <f>COUNTIFS(AL33,"0",AM33,"1")</f>
        <v>1</v>
      </c>
      <c r="AQ33" s="2">
        <v>1</v>
      </c>
      <c r="AR33" s="2">
        <v>1</v>
      </c>
      <c r="AS33" s="5">
        <v>45383</v>
      </c>
      <c r="AT33" s="2">
        <v>0</v>
      </c>
      <c r="AU33" s="2">
        <v>1</v>
      </c>
      <c r="AV33" s="2">
        <f>AS33-B33</f>
        <v>2</v>
      </c>
      <c r="AW33" s="2">
        <v>0</v>
      </c>
      <c r="BA33" s="2">
        <v>0</v>
      </c>
      <c r="BB33" s="2">
        <v>0</v>
      </c>
      <c r="BC33" s="2">
        <f>SUM(I33:K33)</f>
        <v>1</v>
      </c>
      <c r="BD33" s="2">
        <f>SUM(I33:K33)</f>
        <v>1</v>
      </c>
      <c r="BE33" s="2">
        <v>0</v>
      </c>
      <c r="BF33" s="2">
        <f>COUNTIFS(AR33, "1",AW33, "1")</f>
        <v>0</v>
      </c>
      <c r="BG33" s="2" t="s">
        <v>168</v>
      </c>
    </row>
    <row r="34" spans="1:59">
      <c r="A34" s="2">
        <v>62</v>
      </c>
      <c r="B34" s="5">
        <v>45398</v>
      </c>
      <c r="C34" s="5">
        <v>45403</v>
      </c>
      <c r="D34" s="11">
        <f>C34-B34</f>
        <v>5</v>
      </c>
      <c r="E34" s="2">
        <v>47</v>
      </c>
      <c r="F34" s="2">
        <v>1</v>
      </c>
      <c r="G34" s="2">
        <v>2</v>
      </c>
      <c r="H34" s="2">
        <v>1</v>
      </c>
      <c r="I34" s="2">
        <v>1</v>
      </c>
      <c r="J34" s="2">
        <v>0</v>
      </c>
      <c r="K34" s="2">
        <v>0</v>
      </c>
      <c r="L34" s="2">
        <v>0</v>
      </c>
      <c r="M34" s="2">
        <v>0</v>
      </c>
      <c r="N34" s="2">
        <v>1</v>
      </c>
      <c r="O34" s="2" t="s">
        <v>169</v>
      </c>
      <c r="P34" t="s">
        <v>155</v>
      </c>
      <c r="Q34" s="2">
        <v>0</v>
      </c>
      <c r="R34" s="2">
        <v>0</v>
      </c>
      <c r="S34" s="2">
        <v>1</v>
      </c>
      <c r="T34" s="2">
        <v>0</v>
      </c>
      <c r="U34" s="2">
        <v>1</v>
      </c>
      <c r="V34" s="2">
        <v>4</v>
      </c>
      <c r="W34" s="5">
        <v>45398</v>
      </c>
      <c r="X34" s="5">
        <v>45403</v>
      </c>
      <c r="Y34" s="28">
        <f>X34-W34</f>
        <v>5</v>
      </c>
      <c r="Z34" s="2">
        <v>1</v>
      </c>
      <c r="AA34" s="2">
        <v>0</v>
      </c>
      <c r="AB34" s="2">
        <v>1</v>
      </c>
      <c r="AC34" s="2">
        <v>0</v>
      </c>
      <c r="AD34" s="2">
        <v>0</v>
      </c>
      <c r="AE34" s="2">
        <v>0</v>
      </c>
      <c r="AF34" s="2">
        <v>0</v>
      </c>
      <c r="AG34" s="2">
        <v>0</v>
      </c>
      <c r="AH34" s="2">
        <v>0</v>
      </c>
      <c r="AI34" s="2">
        <v>1</v>
      </c>
      <c r="AJ34" s="2" t="s">
        <v>158</v>
      </c>
      <c r="AK34" s="2">
        <v>1</v>
      </c>
      <c r="AL34" s="2">
        <v>1</v>
      </c>
      <c r="AM34" s="2">
        <v>1</v>
      </c>
      <c r="AN34" s="2">
        <f>COUNTIFS(AL34,"1",AM34,"1")</f>
        <v>1</v>
      </c>
      <c r="AO34" s="2">
        <f>COUNTIFS(AL34,"1",AM34,"0")</f>
        <v>0</v>
      </c>
      <c r="AP34" s="2">
        <f>COUNTIFS(AL34,"0",AM34,"1")</f>
        <v>0</v>
      </c>
      <c r="AQ34" s="2">
        <v>1</v>
      </c>
      <c r="AR34" s="2">
        <v>1</v>
      </c>
      <c r="AS34" s="5">
        <v>45400</v>
      </c>
      <c r="AT34" s="2">
        <v>1</v>
      </c>
      <c r="AU34" s="2">
        <v>0</v>
      </c>
      <c r="AV34" s="2">
        <f>AS34-B34</f>
        <v>2</v>
      </c>
      <c r="AW34" s="2">
        <v>0</v>
      </c>
      <c r="BA34" s="2">
        <v>0</v>
      </c>
      <c r="BB34" s="2">
        <v>1</v>
      </c>
      <c r="BC34" s="2">
        <f>SUM(I34:K34)</f>
        <v>1</v>
      </c>
      <c r="BD34" s="2">
        <f>SUM(I34:K34)</f>
        <v>1</v>
      </c>
      <c r="BE34" s="2">
        <v>0</v>
      </c>
      <c r="BF34" s="2">
        <f>COUNTIFS(AR34, "1",AW34, "1")</f>
        <v>0</v>
      </c>
      <c r="BG34" s="2" t="s">
        <v>170</v>
      </c>
    </row>
    <row r="35" spans="1:59">
      <c r="A35" s="2">
        <v>63</v>
      </c>
      <c r="B35" s="5">
        <v>45398</v>
      </c>
      <c r="C35" s="5">
        <v>45442</v>
      </c>
      <c r="D35" s="2">
        <f>C35-B35</f>
        <v>44</v>
      </c>
      <c r="E35" s="2">
        <v>54</v>
      </c>
      <c r="F35" s="2">
        <v>1</v>
      </c>
      <c r="G35" s="2">
        <v>2</v>
      </c>
      <c r="H35" s="2">
        <v>1</v>
      </c>
      <c r="I35" s="2">
        <v>0</v>
      </c>
      <c r="J35" s="2">
        <v>0</v>
      </c>
      <c r="K35" s="2">
        <v>0</v>
      </c>
      <c r="L35" s="2">
        <v>1</v>
      </c>
      <c r="M35" s="2">
        <v>0</v>
      </c>
      <c r="N35" s="2">
        <v>0</v>
      </c>
      <c r="P35" t="s">
        <v>155</v>
      </c>
      <c r="Q35" s="2">
        <v>0</v>
      </c>
      <c r="R35" s="2">
        <v>0</v>
      </c>
      <c r="S35" s="2">
        <v>1</v>
      </c>
      <c r="T35" s="2">
        <v>0</v>
      </c>
      <c r="U35" s="2">
        <v>1</v>
      </c>
      <c r="V35" s="2">
        <v>5</v>
      </c>
      <c r="W35" s="5">
        <v>45398</v>
      </c>
      <c r="X35" s="5">
        <v>45401</v>
      </c>
      <c r="Y35" s="28">
        <f>X35-W35</f>
        <v>3</v>
      </c>
      <c r="Z35" s="2">
        <v>1</v>
      </c>
      <c r="AA35" s="2">
        <v>0</v>
      </c>
      <c r="AB35" s="2">
        <v>0</v>
      </c>
      <c r="AC35" s="2">
        <v>1</v>
      </c>
      <c r="AD35" s="2">
        <v>0</v>
      </c>
      <c r="AE35" s="2">
        <v>0</v>
      </c>
      <c r="AF35" s="2">
        <v>0</v>
      </c>
      <c r="AG35" s="2">
        <v>0</v>
      </c>
      <c r="AH35" s="2">
        <v>0</v>
      </c>
      <c r="AI35" s="2">
        <v>1</v>
      </c>
      <c r="AJ35" s="2" t="s">
        <v>158</v>
      </c>
      <c r="AK35" s="2">
        <v>1</v>
      </c>
      <c r="AL35" s="2">
        <v>1</v>
      </c>
      <c r="AM35" s="2">
        <v>1</v>
      </c>
      <c r="AN35" s="2">
        <f>COUNTIFS(AL35,"1",AM35,"1")</f>
        <v>1</v>
      </c>
      <c r="AO35" s="2">
        <f>COUNTIFS(AL35,"1",AM35,"0")</f>
        <v>0</v>
      </c>
      <c r="AP35" s="2">
        <f>COUNTIFS(AL35,"0",AM35,"1")</f>
        <v>0</v>
      </c>
      <c r="AQ35" s="2">
        <v>1</v>
      </c>
      <c r="AR35" s="2">
        <v>1</v>
      </c>
      <c r="AS35" s="5">
        <v>45401</v>
      </c>
      <c r="AT35" s="2">
        <v>0</v>
      </c>
      <c r="AU35" s="2">
        <v>0</v>
      </c>
      <c r="AV35" s="2">
        <f>AS35-B35</f>
        <v>3</v>
      </c>
      <c r="AW35" s="2">
        <v>0</v>
      </c>
      <c r="BA35" s="2">
        <v>0</v>
      </c>
      <c r="BB35" s="2">
        <v>0</v>
      </c>
      <c r="BC35" s="2">
        <v>1</v>
      </c>
      <c r="BD35" s="2">
        <f>SUM(I35:K35)</f>
        <v>0</v>
      </c>
      <c r="BE35" s="2">
        <v>1</v>
      </c>
      <c r="BF35" s="2">
        <f>COUNTIFS(AR35, "1",AW35, "1")</f>
        <v>0</v>
      </c>
      <c r="BG35" s="2" t="s">
        <v>171</v>
      </c>
    </row>
    <row r="36" spans="1:59">
      <c r="A36" s="2">
        <v>66</v>
      </c>
      <c r="B36" s="5">
        <v>45433</v>
      </c>
      <c r="C36" s="5">
        <v>45443</v>
      </c>
      <c r="D36" s="2">
        <f>C36-B36</f>
        <v>10</v>
      </c>
      <c r="E36" s="2">
        <v>71</v>
      </c>
      <c r="F36" s="2">
        <v>2</v>
      </c>
      <c r="G36" s="2">
        <v>2</v>
      </c>
      <c r="H36" s="2">
        <v>1</v>
      </c>
      <c r="I36" s="2">
        <v>0</v>
      </c>
      <c r="J36" s="2">
        <v>0</v>
      </c>
      <c r="K36" s="2">
        <v>0</v>
      </c>
      <c r="L36" s="2">
        <v>1</v>
      </c>
      <c r="M36" s="2">
        <v>0</v>
      </c>
      <c r="N36" s="2">
        <v>1</v>
      </c>
      <c r="O36" s="2" t="s">
        <v>99</v>
      </c>
      <c r="P36" t="s">
        <v>163</v>
      </c>
      <c r="Q36" s="2">
        <v>0</v>
      </c>
      <c r="R36" s="2">
        <v>0</v>
      </c>
      <c r="S36" s="2">
        <v>1</v>
      </c>
      <c r="T36" s="2">
        <v>0</v>
      </c>
      <c r="U36" s="2">
        <v>0</v>
      </c>
      <c r="V36" s="2">
        <v>1</v>
      </c>
      <c r="W36" s="5">
        <v>45433</v>
      </c>
      <c r="X36" s="5">
        <v>45433</v>
      </c>
      <c r="Y36" s="28">
        <f>X36-W36</f>
        <v>0</v>
      </c>
      <c r="Z36" s="2">
        <v>1</v>
      </c>
      <c r="AA36" s="2">
        <v>0</v>
      </c>
      <c r="AB36" s="2">
        <v>0</v>
      </c>
      <c r="AC36" s="2">
        <v>1</v>
      </c>
      <c r="AD36" s="2">
        <v>0</v>
      </c>
      <c r="AE36" s="2">
        <v>0</v>
      </c>
      <c r="AF36" s="2">
        <v>0</v>
      </c>
      <c r="AG36" s="2">
        <v>0</v>
      </c>
      <c r="AH36" s="2">
        <v>0</v>
      </c>
      <c r="AI36" s="2">
        <v>1</v>
      </c>
      <c r="AJ36" s="2" t="s">
        <v>48</v>
      </c>
      <c r="AK36" s="2">
        <v>1</v>
      </c>
      <c r="AL36" s="2">
        <v>0</v>
      </c>
      <c r="AM36" s="2">
        <v>1</v>
      </c>
      <c r="AN36" s="2">
        <f>COUNTIFS(AL36,"1",AM36,"1")</f>
        <v>0</v>
      </c>
      <c r="AO36" s="2">
        <f>COUNTIFS(AL36,"1",AM36,"0")</f>
        <v>0</v>
      </c>
      <c r="AP36" s="2">
        <f>COUNTIFS(AL36,"0",AM36,"1")</f>
        <v>1</v>
      </c>
      <c r="AQ36" s="2">
        <v>1</v>
      </c>
      <c r="AR36" s="2">
        <v>1</v>
      </c>
      <c r="AS36" s="5">
        <v>45436</v>
      </c>
      <c r="AT36" s="2">
        <v>0</v>
      </c>
      <c r="AU36" s="2">
        <v>0</v>
      </c>
      <c r="AV36" s="2">
        <f>AS36-B36</f>
        <v>3</v>
      </c>
      <c r="AW36" s="2">
        <v>0</v>
      </c>
      <c r="BA36" s="2">
        <v>0</v>
      </c>
      <c r="BB36" s="2">
        <v>0</v>
      </c>
      <c r="BC36" s="2">
        <f>SUM(I36:K36)</f>
        <v>0</v>
      </c>
      <c r="BD36" s="2">
        <f>SUM(I36:K36)</f>
        <v>0</v>
      </c>
      <c r="BE36" s="2">
        <v>0</v>
      </c>
      <c r="BF36" s="2">
        <f>COUNTIFS(AR36, "1",AW36, "1")</f>
        <v>0</v>
      </c>
      <c r="BG36" s="2" t="s">
        <v>177</v>
      </c>
    </row>
    <row r="37" spans="1:59">
      <c r="A37" s="2">
        <v>67</v>
      </c>
      <c r="B37" s="5">
        <v>45398</v>
      </c>
      <c r="C37" s="5">
        <v>45442</v>
      </c>
      <c r="D37" s="2">
        <f>C37-B37</f>
        <v>44</v>
      </c>
      <c r="E37" s="2">
        <v>54</v>
      </c>
      <c r="F37" s="2">
        <v>1</v>
      </c>
      <c r="G37" s="2">
        <v>2</v>
      </c>
      <c r="H37" s="2">
        <v>1</v>
      </c>
      <c r="I37" s="2">
        <v>0</v>
      </c>
      <c r="J37" s="2">
        <v>0</v>
      </c>
      <c r="K37" s="2">
        <v>0</v>
      </c>
      <c r="L37" s="2">
        <v>1</v>
      </c>
      <c r="M37" s="2">
        <v>0</v>
      </c>
      <c r="N37" s="2">
        <v>0</v>
      </c>
      <c r="P37" t="s">
        <v>155</v>
      </c>
      <c r="Q37" s="2">
        <v>0</v>
      </c>
      <c r="R37" s="2">
        <v>0</v>
      </c>
      <c r="S37" s="2">
        <v>1</v>
      </c>
      <c r="T37" s="2">
        <v>0</v>
      </c>
      <c r="U37" s="2">
        <v>1</v>
      </c>
      <c r="V37" s="2">
        <v>5</v>
      </c>
      <c r="W37" s="5">
        <v>45398</v>
      </c>
      <c r="X37" s="5">
        <v>45401</v>
      </c>
      <c r="Y37" s="28">
        <f>X37-W37</f>
        <v>3</v>
      </c>
      <c r="Z37" s="2">
        <v>1</v>
      </c>
      <c r="AA37" s="2">
        <v>0</v>
      </c>
      <c r="AB37" s="2">
        <v>0</v>
      </c>
      <c r="AC37" s="2">
        <v>1</v>
      </c>
      <c r="AD37" s="2">
        <v>0</v>
      </c>
      <c r="AE37" s="2">
        <v>1</v>
      </c>
      <c r="AF37" s="2">
        <v>0</v>
      </c>
      <c r="AG37" s="2">
        <v>0</v>
      </c>
      <c r="AH37" s="2">
        <v>0</v>
      </c>
      <c r="AI37" s="2">
        <v>1</v>
      </c>
      <c r="AJ37" s="2" t="s">
        <v>158</v>
      </c>
      <c r="AK37" s="2">
        <v>1</v>
      </c>
      <c r="AL37" s="2">
        <v>1</v>
      </c>
      <c r="AM37" s="2">
        <v>1</v>
      </c>
      <c r="AN37" s="2">
        <f>COUNTIFS(AL37,"1",AM37,"1")</f>
        <v>1</v>
      </c>
      <c r="AO37" s="2">
        <f>COUNTIFS(AL37,"1",AM37,"0")</f>
        <v>0</v>
      </c>
      <c r="AP37" s="2">
        <f>COUNTIFS(AL37,"0",AM37,"1")</f>
        <v>0</v>
      </c>
      <c r="AQ37" s="2">
        <v>1</v>
      </c>
      <c r="AR37" s="2">
        <v>1</v>
      </c>
      <c r="AS37" s="5">
        <v>45401</v>
      </c>
      <c r="AT37" s="2">
        <v>0</v>
      </c>
      <c r="AU37" s="2">
        <v>0</v>
      </c>
      <c r="AV37" s="2">
        <f>AS37-B37</f>
        <v>3</v>
      </c>
      <c r="AW37" s="2">
        <v>0</v>
      </c>
      <c r="BA37" s="2">
        <v>0</v>
      </c>
      <c r="BB37" s="2">
        <v>0</v>
      </c>
      <c r="BC37" s="2">
        <v>1</v>
      </c>
      <c r="BD37" s="2">
        <f>SUM(I37:K37)</f>
        <v>0</v>
      </c>
      <c r="BE37" s="2">
        <v>0</v>
      </c>
      <c r="BF37" s="2">
        <f>COUNTIFS(AR37, "1",AW37, "1")</f>
        <v>0</v>
      </c>
      <c r="BG37" s="2" t="s">
        <v>178</v>
      </c>
    </row>
    <row r="38" spans="1:59">
      <c r="A38" s="2">
        <v>76</v>
      </c>
      <c r="B38" s="5">
        <v>45457</v>
      </c>
      <c r="C38" s="5">
        <v>45468</v>
      </c>
      <c r="D38" s="2">
        <f>C38-B38</f>
        <v>11</v>
      </c>
      <c r="E38" s="2">
        <v>59</v>
      </c>
      <c r="F38" s="2">
        <v>1</v>
      </c>
      <c r="G38" s="2">
        <v>3</v>
      </c>
      <c r="H38" s="2">
        <v>0</v>
      </c>
      <c r="I38" s="2">
        <v>0</v>
      </c>
      <c r="J38" s="2">
        <v>0</v>
      </c>
      <c r="K38" s="2">
        <v>0</v>
      </c>
      <c r="L38" s="2">
        <v>0</v>
      </c>
      <c r="M38" s="2">
        <v>0</v>
      </c>
      <c r="N38" s="2">
        <v>0</v>
      </c>
      <c r="P38" t="s">
        <v>179</v>
      </c>
      <c r="Q38" s="2">
        <v>0</v>
      </c>
      <c r="R38" s="2">
        <v>0</v>
      </c>
      <c r="S38" s="2">
        <v>0</v>
      </c>
      <c r="T38" s="2">
        <v>1</v>
      </c>
      <c r="U38" s="2">
        <v>1</v>
      </c>
      <c r="V38" s="2">
        <v>3</v>
      </c>
      <c r="W38" s="5">
        <v>45457</v>
      </c>
      <c r="X38" s="5">
        <v>45460</v>
      </c>
      <c r="Y38" s="28">
        <f>X38-W38</f>
        <v>3</v>
      </c>
      <c r="Z38" s="2">
        <v>1</v>
      </c>
      <c r="AA38" s="2">
        <v>1</v>
      </c>
      <c r="AB38" s="2">
        <v>1</v>
      </c>
      <c r="AC38" s="2">
        <v>0</v>
      </c>
      <c r="AD38" s="2">
        <v>0</v>
      </c>
      <c r="AE38" s="2">
        <v>0</v>
      </c>
      <c r="AF38" s="2">
        <v>0</v>
      </c>
      <c r="AG38" s="2">
        <v>0</v>
      </c>
      <c r="AH38" s="2">
        <v>0</v>
      </c>
      <c r="AI38" s="2">
        <v>1</v>
      </c>
      <c r="AJ38" s="2" t="s">
        <v>55</v>
      </c>
      <c r="AK38" s="2">
        <v>1</v>
      </c>
      <c r="AL38" s="2">
        <v>1</v>
      </c>
      <c r="AM38" s="2">
        <v>1</v>
      </c>
      <c r="AN38" s="2">
        <f>COUNTIFS(AL38,"1",AM38,"1")</f>
        <v>1</v>
      </c>
      <c r="AO38" s="2">
        <f>COUNTIFS(AL38,"1",AM38,"0")</f>
        <v>0</v>
      </c>
      <c r="AP38" s="2">
        <f>COUNTIFS(AL38,"0",AM38,"1")</f>
        <v>0</v>
      </c>
      <c r="AQ38" s="2">
        <v>1</v>
      </c>
      <c r="AR38" s="2">
        <v>1</v>
      </c>
      <c r="AS38" s="5">
        <v>45461</v>
      </c>
      <c r="AT38" s="2">
        <v>0</v>
      </c>
      <c r="AU38" s="2">
        <v>0</v>
      </c>
      <c r="AV38" s="2">
        <f>AS38-B38</f>
        <v>4</v>
      </c>
      <c r="AW38" s="2">
        <v>1</v>
      </c>
      <c r="AX38" s="5">
        <v>45463</v>
      </c>
      <c r="AY38" s="2">
        <v>0</v>
      </c>
      <c r="AZ38" s="2">
        <v>0</v>
      </c>
      <c r="BA38" s="2">
        <v>0</v>
      </c>
      <c r="BB38" s="2">
        <v>0</v>
      </c>
      <c r="BC38" s="2">
        <f>SUM(I38:K38)</f>
        <v>0</v>
      </c>
      <c r="BD38" s="2">
        <f>SUM(I38:K38)</f>
        <v>0</v>
      </c>
      <c r="BE38" s="2">
        <v>0</v>
      </c>
      <c r="BF38" s="2">
        <f>COUNTIFS(AR38, "1",AW38, "1")</f>
        <v>1</v>
      </c>
    </row>
    <row r="39" spans="1:59">
      <c r="A39" s="2">
        <v>108</v>
      </c>
      <c r="B39" s="5">
        <v>45398</v>
      </c>
      <c r="C39" s="5">
        <v>45412</v>
      </c>
      <c r="D39" s="2">
        <f>C39-B39</f>
        <v>14</v>
      </c>
      <c r="E39" s="2">
        <v>78</v>
      </c>
      <c r="F39" s="2">
        <v>2</v>
      </c>
      <c r="G39" s="2">
        <v>2</v>
      </c>
      <c r="H39" s="2">
        <v>1</v>
      </c>
      <c r="I39" s="2">
        <v>0</v>
      </c>
      <c r="J39" s="2">
        <v>1</v>
      </c>
      <c r="K39" s="2">
        <v>0</v>
      </c>
      <c r="L39" s="2">
        <v>0</v>
      </c>
      <c r="M39" s="2">
        <v>0</v>
      </c>
      <c r="N39" s="2">
        <v>1</v>
      </c>
      <c r="O39" s="2" t="s">
        <v>225</v>
      </c>
      <c r="P39" t="s">
        <v>179</v>
      </c>
      <c r="Q39" s="2">
        <v>0</v>
      </c>
      <c r="R39" s="2">
        <v>0</v>
      </c>
      <c r="S39" s="2">
        <v>0</v>
      </c>
      <c r="T39" s="2">
        <v>1</v>
      </c>
      <c r="U39" s="2">
        <v>1</v>
      </c>
      <c r="V39" s="2">
        <v>4</v>
      </c>
      <c r="W39" s="5">
        <v>45398</v>
      </c>
      <c r="X39" s="5">
        <v>45404</v>
      </c>
      <c r="Y39" s="28">
        <f>X39-W39</f>
        <v>6</v>
      </c>
      <c r="Z39" s="2">
        <v>0</v>
      </c>
      <c r="AA39" s="2">
        <v>0</v>
      </c>
      <c r="AB39" s="2">
        <v>0</v>
      </c>
      <c r="AC39" s="2">
        <v>0</v>
      </c>
      <c r="AD39" s="2">
        <v>0</v>
      </c>
      <c r="AE39" s="2">
        <v>0</v>
      </c>
      <c r="AF39" s="2">
        <v>0</v>
      </c>
      <c r="AG39" s="2">
        <v>0</v>
      </c>
      <c r="AH39" s="2">
        <v>0</v>
      </c>
      <c r="AI39" s="2">
        <v>1</v>
      </c>
      <c r="AJ39" s="2" t="s">
        <v>91</v>
      </c>
      <c r="AK39" s="2">
        <v>1</v>
      </c>
      <c r="AL39" s="2">
        <v>1</v>
      </c>
      <c r="AM39" s="2">
        <v>1</v>
      </c>
      <c r="AN39" s="2">
        <f>COUNTIFS(AL39,"1",AM39,"1")</f>
        <v>1</v>
      </c>
      <c r="AO39" s="2">
        <f>COUNTIFS(AL39,"1",AM39,"0")</f>
        <v>0</v>
      </c>
      <c r="AP39" s="2">
        <f>COUNTIFS(AL39,"0",AM39,"1")</f>
        <v>0</v>
      </c>
      <c r="AQ39" s="2">
        <v>1</v>
      </c>
      <c r="AR39" s="2">
        <v>1</v>
      </c>
      <c r="AS39" s="5">
        <v>45399</v>
      </c>
      <c r="AT39" s="2">
        <v>0</v>
      </c>
      <c r="AU39" s="2">
        <v>1</v>
      </c>
      <c r="AV39" s="2">
        <f>AS39-B39</f>
        <v>1</v>
      </c>
      <c r="AW39" s="2">
        <v>1</v>
      </c>
      <c r="AX39" s="5">
        <v>45404</v>
      </c>
      <c r="AY39" s="2">
        <v>1</v>
      </c>
      <c r="AZ39" s="2">
        <v>1</v>
      </c>
      <c r="BA39" s="2">
        <v>0</v>
      </c>
      <c r="BB39" s="2">
        <v>1</v>
      </c>
      <c r="BC39" s="2">
        <f>SUM(I39:K39)</f>
        <v>1</v>
      </c>
      <c r="BD39" s="2">
        <f>SUM(I39:K39)</f>
        <v>1</v>
      </c>
      <c r="BE39" s="2">
        <v>0</v>
      </c>
      <c r="BF39" s="2">
        <f>COUNTIFS(AR39, "1",AW39, "1")</f>
        <v>1</v>
      </c>
      <c r="BG39" s="2" t="s">
        <v>226</v>
      </c>
    </row>
    <row r="40" spans="1:59" s="13" customFormat="1">
      <c r="A40" s="13">
        <v>132</v>
      </c>
      <c r="B40" s="18">
        <v>45363</v>
      </c>
      <c r="C40" s="18">
        <v>45401</v>
      </c>
      <c r="D40" s="13">
        <f>C40-B40</f>
        <v>38</v>
      </c>
      <c r="E40" s="13">
        <v>41</v>
      </c>
      <c r="F40" s="13">
        <v>1</v>
      </c>
      <c r="G40" s="13">
        <v>3</v>
      </c>
      <c r="H40" s="13">
        <v>1</v>
      </c>
      <c r="I40" s="13">
        <v>0</v>
      </c>
      <c r="J40" s="13">
        <v>0</v>
      </c>
      <c r="K40" s="13">
        <v>0</v>
      </c>
      <c r="L40" s="13">
        <v>1</v>
      </c>
      <c r="M40" s="13">
        <v>0</v>
      </c>
      <c r="N40" s="13">
        <v>0</v>
      </c>
      <c r="P40" s="14" t="s">
        <v>179</v>
      </c>
      <c r="Q40" s="13">
        <v>0</v>
      </c>
      <c r="R40" s="13">
        <v>0</v>
      </c>
      <c r="S40" s="13">
        <v>0</v>
      </c>
      <c r="T40" s="13">
        <v>1</v>
      </c>
      <c r="U40" s="13">
        <v>0</v>
      </c>
      <c r="V40" s="13">
        <v>1</v>
      </c>
      <c r="W40" s="18">
        <v>45370</v>
      </c>
      <c r="X40" s="18">
        <v>45370</v>
      </c>
      <c r="Y40" s="31">
        <f>X40-W40</f>
        <v>0</v>
      </c>
      <c r="Z40" s="13">
        <v>1</v>
      </c>
      <c r="AA40" s="13">
        <v>0</v>
      </c>
      <c r="AB40" s="13">
        <v>0</v>
      </c>
      <c r="AC40" s="13">
        <v>1</v>
      </c>
      <c r="AD40" s="13">
        <v>0</v>
      </c>
      <c r="AE40" s="13">
        <v>0</v>
      </c>
      <c r="AF40" s="13">
        <v>0</v>
      </c>
      <c r="AG40" s="13">
        <v>0</v>
      </c>
      <c r="AH40" s="13">
        <v>0</v>
      </c>
      <c r="AI40" s="13">
        <v>1</v>
      </c>
      <c r="AJ40" s="13" t="s">
        <v>91</v>
      </c>
      <c r="AK40" s="13">
        <v>1</v>
      </c>
      <c r="AL40" s="13">
        <v>1</v>
      </c>
      <c r="AM40" s="13">
        <v>1</v>
      </c>
      <c r="AN40" s="2">
        <f>COUNTIFS(AL40,"1",AM40,"1")</f>
        <v>1</v>
      </c>
      <c r="AO40" s="2">
        <f>COUNTIFS(AL40,"1",AM40,"0")</f>
        <v>0</v>
      </c>
      <c r="AP40" s="2">
        <f>COUNTIFS(AL40,"0",AM40,"1")</f>
        <v>0</v>
      </c>
      <c r="AQ40" s="13">
        <v>1</v>
      </c>
      <c r="AR40" s="13">
        <v>1</v>
      </c>
      <c r="AS40" s="18">
        <v>45372</v>
      </c>
      <c r="AT40" s="13">
        <v>0</v>
      </c>
      <c r="AU40" s="13">
        <v>0</v>
      </c>
      <c r="AV40" s="2">
        <f>AS40-B40</f>
        <v>9</v>
      </c>
      <c r="AW40" s="13">
        <v>0</v>
      </c>
      <c r="BA40" s="13">
        <v>0</v>
      </c>
      <c r="BB40" s="13">
        <v>0</v>
      </c>
      <c r="BC40" s="2">
        <f>SUM(I40:K40)</f>
        <v>0</v>
      </c>
      <c r="BD40" s="2">
        <f>SUM(I40:K40)</f>
        <v>0</v>
      </c>
      <c r="BE40" s="13">
        <v>0</v>
      </c>
      <c r="BF40" s="2">
        <f>COUNTIFS(AR40, "1",AW40, "1")</f>
        <v>0</v>
      </c>
      <c r="BG40" s="13" t="s">
        <v>242</v>
      </c>
    </row>
    <row r="42" spans="1:59">
      <c r="AX42" s="2">
        <f>SUM(AW2:AW40)</f>
        <v>12</v>
      </c>
    </row>
    <row r="56" spans="13:16">
      <c r="M56" s="72" t="s">
        <v>326</v>
      </c>
      <c r="N56" s="73" t="s">
        <v>39</v>
      </c>
      <c r="O56" s="74"/>
      <c r="P56" s="75"/>
    </row>
    <row r="57" spans="13:16">
      <c r="M57" s="65" t="s">
        <v>43</v>
      </c>
      <c r="N57">
        <v>0</v>
      </c>
      <c r="O57">
        <v>1</v>
      </c>
      <c r="P57" s="66" t="s">
        <v>329</v>
      </c>
    </row>
    <row r="58" spans="13:16">
      <c r="M58" s="67">
        <v>0</v>
      </c>
      <c r="N58">
        <v>27</v>
      </c>
      <c r="O58">
        <v>10</v>
      </c>
      <c r="P58" s="66">
        <v>37</v>
      </c>
    </row>
    <row r="59" spans="13:16">
      <c r="M59" s="67">
        <v>1</v>
      </c>
      <c r="N59"/>
      <c r="O59">
        <v>2</v>
      </c>
      <c r="P59" s="66">
        <v>2</v>
      </c>
    </row>
    <row r="60" spans="13:16">
      <c r="M60" s="67" t="s">
        <v>329</v>
      </c>
      <c r="N60">
        <v>27</v>
      </c>
      <c r="O60">
        <v>12</v>
      </c>
      <c r="P60" s="66">
        <v>39</v>
      </c>
    </row>
    <row r="61" spans="13:16">
      <c r="M61" s="67"/>
      <c r="N61"/>
      <c r="O61"/>
      <c r="P61" s="76"/>
    </row>
    <row r="62" spans="13:16">
      <c r="M62" s="67"/>
      <c r="N62"/>
      <c r="O62"/>
      <c r="P62" s="76"/>
    </row>
    <row r="63" spans="13:16">
      <c r="M63" s="68"/>
      <c r="N63" s="46">
        <v>0</v>
      </c>
      <c r="O63" s="46">
        <v>1</v>
      </c>
      <c r="P63" s="76"/>
    </row>
    <row r="64" spans="13:16">
      <c r="M64" s="67">
        <v>0</v>
      </c>
      <c r="N64">
        <f>(N60*P58)/P60</f>
        <v>25.615384615384617</v>
      </c>
      <c r="O64">
        <f>(P58*O60)/P60</f>
        <v>11.384615384615385</v>
      </c>
      <c r="P64" s="76"/>
    </row>
    <row r="65" spans="13:16">
      <c r="M65" s="67">
        <v>1</v>
      </c>
      <c r="N65">
        <f>(N60*P59)/P60</f>
        <v>1.3846153846153846</v>
      </c>
      <c r="O65">
        <f>(O60*P59)/P60</f>
        <v>0.61538461538461542</v>
      </c>
      <c r="P65" s="76"/>
    </row>
    <row r="66" spans="13:16">
      <c r="M66" s="67"/>
      <c r="N66"/>
      <c r="O66"/>
      <c r="P66" s="76"/>
    </row>
    <row r="67" spans="13:16">
      <c r="M67" s="77">
        <f>_xlfn.CHISQ.TEST(N58:O59,N64:O65)</f>
        <v>6.6853750868527767E-2</v>
      </c>
      <c r="N67"/>
      <c r="O67"/>
      <c r="P67" s="66">
        <f>SQRT(M68/(134*(2-1)))</f>
        <v>0.18814180193711233</v>
      </c>
    </row>
    <row r="68" spans="13:16">
      <c r="M68" s="67">
        <f>(((N58-N64)^2)/N64) + (((N59-N65)^2)/N65) + (((O58-O64)^2)/O64) + (((O59-O65)^2)/O65)</f>
        <v>4.743243243243243</v>
      </c>
      <c r="N68"/>
      <c r="O68"/>
      <c r="P68" s="76"/>
    </row>
    <row r="69" spans="13:16">
      <c r="M69" s="67">
        <v>1</v>
      </c>
      <c r="N69"/>
      <c r="O69"/>
      <c r="P69" s="76"/>
    </row>
    <row r="70" spans="13:16">
      <c r="M70" s="67"/>
      <c r="N70" t="s">
        <v>309</v>
      </c>
      <c r="O70" t="s">
        <v>310</v>
      </c>
      <c r="P70" s="76"/>
    </row>
    <row r="71" spans="13:16">
      <c r="M71" s="78" t="s">
        <v>356</v>
      </c>
      <c r="N71">
        <f>N64</f>
        <v>25.615384615384617</v>
      </c>
      <c r="O71">
        <f>N58</f>
        <v>27</v>
      </c>
      <c r="P71" s="76"/>
    </row>
    <row r="72" spans="13:16">
      <c r="M72" s="78" t="s">
        <v>357</v>
      </c>
      <c r="N72">
        <f>O64</f>
        <v>11.384615384615385</v>
      </c>
      <c r="O72">
        <f>O58</f>
        <v>10</v>
      </c>
      <c r="P72" s="76"/>
    </row>
    <row r="73" spans="13:16">
      <c r="M73" s="78" t="s">
        <v>358</v>
      </c>
      <c r="N73">
        <f>N65</f>
        <v>1.3846153846153846</v>
      </c>
      <c r="O73">
        <f>N59</f>
        <v>0</v>
      </c>
      <c r="P73" s="76"/>
    </row>
    <row r="74" spans="13:16">
      <c r="M74" s="79" t="s">
        <v>359</v>
      </c>
      <c r="N74" s="70">
        <f>O65</f>
        <v>0.61538461538461542</v>
      </c>
      <c r="O74" s="70">
        <f>O59</f>
        <v>2</v>
      </c>
      <c r="P74" s="8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2024-03-01T23:11:19Z</dcterms:created>
  <dcterms:modified xsi:type="dcterms:W3CDTF">2025-07-04T01:47:16Z</dcterms:modified>
  <cp:category/>
  <cp:contentStatus/>
</cp:coreProperties>
</file>