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X:\The_Brookings_Institution\CONSULTING\Structural Racism\Nature\"/>
    </mc:Choice>
  </mc:AlternateContent>
  <xr:revisionPtr revIDLastSave="0" documentId="13_ncr:1_{F3889DC0-B1F1-4948-B802-016817B20A39}" xr6:coauthVersionLast="47" xr6:coauthVersionMax="47" xr10:uidLastSave="{00000000-0000-0000-0000-000000000000}"/>
  <bookViews>
    <workbookView xWindow="-120" yWindow="-120" windowWidth="29040" windowHeight="15720" activeTab="9" xr2:uid="{331F24EB-3DDD-4F03-8CE5-217F09099E37}"/>
  </bookViews>
  <sheets>
    <sheet name="Contents" sheetId="11" r:id="rId1"/>
    <sheet name="SD1" sheetId="2" r:id="rId2"/>
    <sheet name="SD2" sheetId="4" r:id="rId3"/>
    <sheet name="SD3" sheetId="5" r:id="rId4"/>
    <sheet name="SD4" sheetId="7" r:id="rId5"/>
    <sheet name="SD5" sheetId="8" r:id="rId6"/>
    <sheet name="SD6" sheetId="9" r:id="rId7"/>
    <sheet name="SD7" sheetId="10" r:id="rId8"/>
    <sheet name="SD8" sheetId="12" r:id="rId9"/>
    <sheet name="SD9" sheetId="13" r:id="rId10"/>
    <sheet name="SD10" sheetId="14"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3" l="1"/>
  <c r="G10" i="13"/>
  <c r="G9" i="13"/>
  <c r="G8" i="13"/>
  <c r="G7" i="13"/>
  <c r="G6" i="13"/>
  <c r="G5" i="13"/>
  <c r="G4" i="13"/>
  <c r="E11" i="13"/>
  <c r="E10" i="13"/>
  <c r="E9" i="13"/>
  <c r="E8" i="13"/>
  <c r="E7" i="13"/>
  <c r="E6" i="13"/>
  <c r="E5" i="13"/>
  <c r="E4" i="13"/>
  <c r="C5" i="13"/>
  <c r="C6" i="13"/>
  <c r="C7" i="13"/>
  <c r="C8" i="13"/>
  <c r="C9" i="13"/>
  <c r="C10" i="13"/>
  <c r="C11" i="13"/>
  <c r="C4" i="13"/>
  <c r="F13" i="13"/>
  <c r="D13" i="13"/>
  <c r="B13" i="13"/>
  <c r="N4" i="8"/>
  <c r="R12" i="4"/>
  <c r="R12" i="5"/>
  <c r="Q12" i="5"/>
  <c r="P12" i="5"/>
  <c r="O12" i="5"/>
  <c r="N8" i="5"/>
  <c r="M8" i="5"/>
  <c r="L8" i="5"/>
  <c r="K8" i="5"/>
  <c r="M4" i="5"/>
  <c r="L4" i="5"/>
  <c r="K4" i="5"/>
  <c r="O12" i="4"/>
  <c r="K8" i="4"/>
  <c r="K3" i="7"/>
  <c r="R7" i="7"/>
  <c r="Q7" i="7"/>
  <c r="P7" i="7"/>
  <c r="O7" i="7"/>
  <c r="N7" i="7"/>
  <c r="M7" i="7"/>
  <c r="L7" i="7"/>
  <c r="R3" i="7"/>
  <c r="Q3" i="7"/>
  <c r="P3" i="7"/>
  <c r="O3" i="7"/>
  <c r="N3" i="7"/>
  <c r="K7" i="7"/>
  <c r="M3" i="7"/>
  <c r="L3" i="7"/>
  <c r="M8" i="4"/>
  <c r="Q12" i="4"/>
  <c r="P12" i="4"/>
  <c r="N8" i="4"/>
  <c r="L8" i="4"/>
  <c r="K4" i="4"/>
  <c r="M4" i="4"/>
  <c r="L4" i="4"/>
  <c r="G68" i="8" l="1"/>
  <c r="F68" i="8"/>
  <c r="E68" i="8"/>
  <c r="D68" i="8"/>
  <c r="C68" i="8"/>
  <c r="B68" i="8"/>
  <c r="G67" i="8"/>
  <c r="F67" i="8"/>
  <c r="E67" i="8"/>
  <c r="D67" i="8"/>
  <c r="C67" i="8"/>
  <c r="B67" i="8"/>
  <c r="G66" i="8"/>
  <c r="F66" i="8"/>
  <c r="E66" i="8"/>
  <c r="D66" i="8"/>
  <c r="C66" i="8"/>
  <c r="B66" i="8"/>
  <c r="G65" i="8"/>
  <c r="F65" i="8"/>
  <c r="E65" i="8"/>
  <c r="D65" i="8"/>
  <c r="C65" i="8"/>
  <c r="B65" i="8"/>
  <c r="G64" i="8"/>
  <c r="F64" i="8"/>
  <c r="E64" i="8"/>
  <c r="D64" i="8"/>
  <c r="C64" i="8"/>
  <c r="B64" i="8"/>
  <c r="G63" i="8"/>
  <c r="F63" i="8"/>
  <c r="E63" i="8"/>
  <c r="D63" i="8"/>
  <c r="C63" i="8"/>
  <c r="B63" i="8"/>
  <c r="G62" i="8"/>
  <c r="F62" i="8"/>
  <c r="E62" i="8"/>
  <c r="D62" i="8"/>
  <c r="C62" i="8"/>
  <c r="B62" i="8"/>
  <c r="G61" i="8"/>
  <c r="F61" i="8"/>
  <c r="E61" i="8"/>
  <c r="D61" i="8"/>
  <c r="C61" i="8"/>
  <c r="B61" i="8"/>
  <c r="G60" i="8"/>
  <c r="F60" i="8"/>
  <c r="E60" i="8"/>
  <c r="D60" i="8"/>
  <c r="C60" i="8"/>
  <c r="B60" i="8"/>
  <c r="G59" i="8"/>
  <c r="F59" i="8"/>
  <c r="E59" i="8"/>
  <c r="D59" i="8"/>
  <c r="C59" i="8"/>
  <c r="B59" i="8"/>
  <c r="G58" i="8"/>
  <c r="F58" i="8"/>
  <c r="E58" i="8"/>
  <c r="D58" i="8"/>
  <c r="C58" i="8"/>
  <c r="B58" i="8"/>
  <c r="G57" i="8"/>
  <c r="F57" i="8"/>
  <c r="E57" i="8"/>
  <c r="D57" i="8"/>
  <c r="C57" i="8"/>
  <c r="B57" i="8"/>
  <c r="G56" i="8"/>
  <c r="F56" i="8"/>
  <c r="E56" i="8"/>
  <c r="D56" i="8"/>
  <c r="C56" i="8"/>
  <c r="B56" i="8"/>
  <c r="G55" i="8"/>
  <c r="F55" i="8"/>
  <c r="E55" i="8"/>
  <c r="D55" i="8"/>
  <c r="C55" i="8"/>
  <c r="B55" i="8"/>
  <c r="G54" i="8"/>
  <c r="F54" i="8"/>
  <c r="E54" i="8"/>
  <c r="D54" i="8"/>
  <c r="C54" i="8"/>
  <c r="B54" i="8"/>
  <c r="G53" i="8"/>
  <c r="F53" i="8"/>
  <c r="E53" i="8"/>
  <c r="D53" i="8"/>
  <c r="C53" i="8"/>
  <c r="B53" i="8"/>
  <c r="G52" i="8"/>
  <c r="F52" i="8"/>
  <c r="E52" i="8"/>
  <c r="D52" i="8"/>
  <c r="C52" i="8"/>
  <c r="B52" i="8"/>
  <c r="G51" i="8"/>
  <c r="F51" i="8"/>
  <c r="E51" i="8"/>
  <c r="D51" i="8"/>
  <c r="C51" i="8"/>
  <c r="B51" i="8"/>
  <c r="G50" i="8"/>
  <c r="F50" i="8"/>
  <c r="E50" i="8"/>
  <c r="D50" i="8"/>
  <c r="C50" i="8"/>
  <c r="B50" i="8"/>
  <c r="G49" i="8"/>
  <c r="F49" i="8"/>
  <c r="E49" i="8"/>
  <c r="D49" i="8"/>
  <c r="C49" i="8"/>
  <c r="B49" i="8"/>
  <c r="G48" i="8"/>
  <c r="F48" i="8"/>
  <c r="E48" i="8"/>
  <c r="D48" i="8"/>
  <c r="C48" i="8"/>
  <c r="B48" i="8"/>
  <c r="G47" i="8"/>
  <c r="F47" i="8"/>
  <c r="E47" i="8"/>
  <c r="D47" i="8"/>
  <c r="C47" i="8"/>
  <c r="B47" i="8"/>
  <c r="G46" i="8"/>
  <c r="F46" i="8"/>
  <c r="E46" i="8"/>
  <c r="D46" i="8"/>
  <c r="C46" i="8"/>
  <c r="B46" i="8"/>
  <c r="G45" i="8"/>
  <c r="F45" i="8"/>
  <c r="E45" i="8"/>
  <c r="D45" i="8"/>
  <c r="C45" i="8"/>
  <c r="B45" i="8"/>
  <c r="G44" i="8"/>
  <c r="F44" i="8"/>
  <c r="E44" i="8"/>
  <c r="D44" i="8"/>
  <c r="C44" i="8"/>
  <c r="B44" i="8"/>
  <c r="G43" i="8"/>
  <c r="F43" i="8"/>
  <c r="E43" i="8"/>
  <c r="D43" i="8"/>
  <c r="C43" i="8"/>
  <c r="B43" i="8"/>
  <c r="G42" i="8"/>
  <c r="F42" i="8"/>
  <c r="E42" i="8"/>
  <c r="D42" i="8"/>
  <c r="C42" i="8"/>
  <c r="B42" i="8"/>
  <c r="G41" i="8"/>
  <c r="F41" i="8"/>
  <c r="E41" i="8"/>
  <c r="D41" i="8"/>
  <c r="C41" i="8"/>
  <c r="B41" i="8"/>
  <c r="G40" i="8"/>
  <c r="F40" i="8"/>
  <c r="E40" i="8"/>
  <c r="D40" i="8"/>
  <c r="C40" i="8"/>
  <c r="B40" i="8"/>
  <c r="G39" i="8"/>
  <c r="F39" i="8"/>
  <c r="E39" i="8"/>
  <c r="D39" i="8"/>
  <c r="C39" i="8"/>
  <c r="B39" i="8"/>
  <c r="G38" i="8"/>
  <c r="F38" i="8"/>
  <c r="E38" i="8"/>
  <c r="D38" i="8"/>
  <c r="C38" i="8"/>
  <c r="B38" i="8"/>
  <c r="G37" i="8"/>
  <c r="F37" i="8"/>
  <c r="E37" i="8"/>
  <c r="D37" i="8"/>
  <c r="C37" i="8"/>
  <c r="B37" i="8"/>
  <c r="G36" i="8"/>
  <c r="F36" i="8"/>
  <c r="E36" i="8"/>
  <c r="D36" i="8"/>
  <c r="C36" i="8"/>
  <c r="B36" i="8"/>
  <c r="G35" i="8"/>
  <c r="F35" i="8"/>
  <c r="E35" i="8"/>
  <c r="D35" i="8"/>
  <c r="C35" i="8"/>
  <c r="B35" i="8"/>
  <c r="G34" i="8"/>
  <c r="F34" i="8"/>
  <c r="E34" i="8"/>
  <c r="D34" i="8"/>
  <c r="C34" i="8"/>
  <c r="B34" i="8"/>
  <c r="G33" i="8"/>
  <c r="F33" i="8"/>
  <c r="E33" i="8"/>
  <c r="D33" i="8"/>
  <c r="C33" i="8"/>
  <c r="B33" i="8"/>
  <c r="G32" i="8"/>
  <c r="F32" i="8"/>
  <c r="E32" i="8"/>
  <c r="D32" i="8"/>
  <c r="C32" i="8"/>
  <c r="B32" i="8"/>
  <c r="G31" i="8"/>
  <c r="F31" i="8"/>
  <c r="E31" i="8"/>
  <c r="D31" i="8"/>
  <c r="C31" i="8"/>
  <c r="B31" i="8"/>
  <c r="G30" i="8"/>
  <c r="F30" i="8"/>
  <c r="E30" i="8"/>
  <c r="D30" i="8"/>
  <c r="C30" i="8"/>
  <c r="B30" i="8"/>
  <c r="G29" i="8"/>
  <c r="F29" i="8"/>
  <c r="E29" i="8"/>
  <c r="D29" i="8"/>
  <c r="C29" i="8"/>
  <c r="B29" i="8"/>
  <c r="G28" i="8"/>
  <c r="F28" i="8"/>
  <c r="E28" i="8"/>
  <c r="D28" i="8"/>
  <c r="C28" i="8"/>
  <c r="B28" i="8"/>
  <c r="G27" i="8"/>
  <c r="F27" i="8"/>
  <c r="E27" i="8"/>
  <c r="D27" i="8"/>
  <c r="C27" i="8"/>
  <c r="B27" i="8"/>
  <c r="G26" i="8"/>
  <c r="F26" i="8"/>
  <c r="E26" i="8"/>
  <c r="D26" i="8"/>
  <c r="C26" i="8"/>
  <c r="B26" i="8"/>
  <c r="G25" i="8"/>
  <c r="F25" i="8"/>
  <c r="E25" i="8"/>
  <c r="D25" i="8"/>
  <c r="C25" i="8"/>
  <c r="B25" i="8"/>
  <c r="G24" i="8"/>
  <c r="F24" i="8"/>
  <c r="E24" i="8"/>
  <c r="D24" i="8"/>
  <c r="C24" i="8"/>
  <c r="B24" i="8"/>
  <c r="G23" i="8"/>
  <c r="F23" i="8"/>
  <c r="E23" i="8"/>
  <c r="D23" i="8"/>
  <c r="C23" i="8"/>
  <c r="B23" i="8"/>
  <c r="G22" i="8"/>
  <c r="F22" i="8"/>
  <c r="E22" i="8"/>
  <c r="D22" i="8"/>
  <c r="C22" i="8"/>
  <c r="B22" i="8"/>
  <c r="G21" i="8"/>
  <c r="F21" i="8"/>
  <c r="E21" i="8"/>
  <c r="D21" i="8"/>
  <c r="C21" i="8"/>
  <c r="B21" i="8"/>
  <c r="G20" i="8"/>
  <c r="F20" i="8"/>
  <c r="E20" i="8"/>
  <c r="D20" i="8"/>
  <c r="C20" i="8"/>
  <c r="B20" i="8"/>
  <c r="G19" i="8"/>
  <c r="F19" i="8"/>
  <c r="E19" i="8"/>
  <c r="D19" i="8"/>
  <c r="C19" i="8"/>
  <c r="B19" i="8"/>
  <c r="G18" i="8"/>
  <c r="F18" i="8"/>
  <c r="E18" i="8"/>
  <c r="D18" i="8"/>
  <c r="C18" i="8"/>
  <c r="B18" i="8"/>
  <c r="G17" i="8"/>
  <c r="F17" i="8"/>
  <c r="E17" i="8"/>
  <c r="D17" i="8"/>
  <c r="C17" i="8"/>
  <c r="B17" i="8"/>
  <c r="G16" i="8"/>
  <c r="F16" i="8"/>
  <c r="E16" i="8"/>
  <c r="D16" i="8"/>
  <c r="C16" i="8"/>
  <c r="B16" i="8"/>
  <c r="G15" i="8"/>
  <c r="F15" i="8"/>
  <c r="E15" i="8"/>
  <c r="D15" i="8"/>
  <c r="C15" i="8"/>
  <c r="B15" i="8"/>
  <c r="G14" i="8"/>
  <c r="F14" i="8"/>
  <c r="E14" i="8"/>
  <c r="D14" i="8"/>
  <c r="C14" i="8"/>
  <c r="B14" i="8"/>
  <c r="G13" i="8"/>
  <c r="F13" i="8"/>
  <c r="E13" i="8"/>
  <c r="D13" i="8"/>
  <c r="C13" i="8"/>
  <c r="B13" i="8"/>
  <c r="G12" i="8"/>
  <c r="F12" i="8"/>
  <c r="E12" i="8"/>
  <c r="D12" i="8"/>
  <c r="C12" i="8"/>
  <c r="B12" i="8"/>
  <c r="G11" i="8"/>
  <c r="F11" i="8"/>
  <c r="E11" i="8"/>
  <c r="D11" i="8"/>
  <c r="C11" i="8"/>
  <c r="B11" i="8"/>
  <c r="G10" i="8"/>
  <c r="F10" i="8"/>
  <c r="E10" i="8"/>
  <c r="D10" i="8"/>
  <c r="C10" i="8"/>
  <c r="B10" i="8"/>
  <c r="G9" i="8"/>
  <c r="F9" i="8"/>
  <c r="E9" i="8"/>
  <c r="D9" i="8"/>
  <c r="C9" i="8"/>
  <c r="B9" i="8"/>
  <c r="G8" i="8"/>
  <c r="P8" i="8" s="1"/>
  <c r="F8" i="8"/>
  <c r="O8" i="8" s="1"/>
  <c r="E8" i="8"/>
  <c r="N8" i="8" s="1"/>
  <c r="D8" i="8"/>
  <c r="M8" i="8" s="1"/>
  <c r="C8" i="8"/>
  <c r="L8" i="8" s="1"/>
  <c r="B8" i="8"/>
  <c r="K8" i="8" s="1"/>
  <c r="G7" i="8"/>
  <c r="F7" i="8"/>
  <c r="E7" i="8"/>
  <c r="D7" i="8"/>
  <c r="C7" i="8"/>
  <c r="B7" i="8"/>
  <c r="G6" i="8"/>
  <c r="F6" i="8"/>
  <c r="E6" i="8"/>
  <c r="D6" i="8"/>
  <c r="C6" i="8"/>
  <c r="B6" i="8"/>
  <c r="G5" i="8"/>
  <c r="F5" i="8"/>
  <c r="E5" i="8"/>
  <c r="D5" i="8"/>
  <c r="C5" i="8"/>
  <c r="B5" i="8"/>
  <c r="G4" i="8"/>
  <c r="P4" i="8" s="1"/>
  <c r="F4" i="8"/>
  <c r="O4" i="8" s="1"/>
  <c r="E4" i="8"/>
  <c r="D4" i="8"/>
  <c r="M4" i="8" s="1"/>
  <c r="C4" i="8"/>
  <c r="L4" i="8" s="1"/>
  <c r="B4" i="8"/>
  <c r="K4" i="8" s="1"/>
  <c r="I36" i="7"/>
  <c r="H36" i="7"/>
  <c r="G36" i="7"/>
  <c r="F36" i="7"/>
  <c r="E36" i="7"/>
  <c r="D36" i="7"/>
  <c r="C36" i="7"/>
  <c r="B36" i="7"/>
  <c r="I35" i="7"/>
  <c r="H35" i="7"/>
  <c r="G35" i="7"/>
  <c r="F35" i="7"/>
  <c r="E35" i="7"/>
  <c r="D35" i="7"/>
  <c r="C35" i="7"/>
  <c r="B35" i="7"/>
  <c r="I34" i="7"/>
  <c r="H34" i="7"/>
  <c r="G34" i="7"/>
  <c r="F34" i="7"/>
  <c r="E34" i="7"/>
  <c r="D34" i="7"/>
  <c r="C34" i="7"/>
  <c r="B34" i="7"/>
  <c r="I33" i="7"/>
  <c r="H33" i="7"/>
  <c r="G33" i="7"/>
  <c r="F33" i="7"/>
  <c r="E33" i="7"/>
  <c r="D33" i="7"/>
  <c r="C33" i="7"/>
  <c r="B33" i="7"/>
  <c r="I32" i="7"/>
  <c r="H32" i="7"/>
  <c r="G32" i="7"/>
  <c r="F32" i="7"/>
  <c r="E32" i="7"/>
  <c r="D32" i="7"/>
  <c r="C32" i="7"/>
  <c r="B32" i="7"/>
  <c r="I31" i="7"/>
  <c r="H31" i="7"/>
  <c r="G31" i="7"/>
  <c r="F31" i="7"/>
  <c r="E31" i="7"/>
  <c r="D31" i="7"/>
  <c r="C31" i="7"/>
  <c r="B31" i="7"/>
  <c r="I30" i="7"/>
  <c r="H30" i="7"/>
  <c r="G30" i="7"/>
  <c r="F30" i="7"/>
  <c r="E30" i="7"/>
  <c r="D30" i="7"/>
  <c r="C30" i="7"/>
  <c r="B30" i="7"/>
  <c r="I29" i="7"/>
  <c r="H29" i="7"/>
  <c r="G29" i="7"/>
  <c r="F29" i="7"/>
  <c r="E29" i="7"/>
  <c r="D29" i="7"/>
  <c r="C29" i="7"/>
  <c r="B29" i="7"/>
  <c r="I28" i="7"/>
  <c r="H28" i="7"/>
  <c r="G28" i="7"/>
  <c r="F28" i="7"/>
  <c r="E28" i="7"/>
  <c r="D28" i="7"/>
  <c r="C28" i="7"/>
  <c r="B28" i="7"/>
  <c r="I27" i="7"/>
  <c r="H27" i="7"/>
  <c r="G27" i="7"/>
  <c r="F27" i="7"/>
  <c r="E27" i="7"/>
  <c r="D27" i="7"/>
  <c r="C27" i="7"/>
  <c r="B27" i="7"/>
  <c r="I26" i="7"/>
  <c r="H26" i="7"/>
  <c r="G26" i="7"/>
  <c r="F26" i="7"/>
  <c r="E26" i="7"/>
  <c r="D26" i="7"/>
  <c r="C26" i="7"/>
  <c r="B26" i="7"/>
  <c r="I25" i="7"/>
  <c r="H25" i="7"/>
  <c r="G25" i="7"/>
  <c r="F25" i="7"/>
  <c r="E25" i="7"/>
  <c r="D25" i="7"/>
  <c r="C25" i="7"/>
  <c r="B25" i="7"/>
  <c r="I24" i="7"/>
  <c r="H24" i="7"/>
  <c r="G24" i="7"/>
  <c r="F24" i="7"/>
  <c r="E24" i="7"/>
  <c r="D24" i="7"/>
  <c r="C24" i="7"/>
  <c r="B24" i="7"/>
  <c r="I23" i="7"/>
  <c r="H23" i="7"/>
  <c r="G23" i="7"/>
  <c r="F23" i="7"/>
  <c r="E23" i="7"/>
  <c r="D23" i="7"/>
  <c r="C23" i="7"/>
  <c r="B23" i="7"/>
  <c r="I22" i="7"/>
  <c r="H22" i="7"/>
  <c r="G22" i="7"/>
  <c r="F22" i="7"/>
  <c r="E22" i="7"/>
  <c r="D22" i="7"/>
  <c r="C22" i="7"/>
  <c r="B22" i="7"/>
  <c r="I21" i="7"/>
  <c r="H21" i="7"/>
  <c r="G21" i="7"/>
  <c r="F21" i="7"/>
  <c r="E21" i="7"/>
  <c r="D21" i="7"/>
  <c r="C21" i="7"/>
  <c r="B21" i="7"/>
  <c r="I20" i="7"/>
  <c r="H20" i="7"/>
  <c r="G20" i="7"/>
  <c r="F20" i="7"/>
  <c r="E20" i="7"/>
  <c r="D20" i="7"/>
  <c r="C20" i="7"/>
  <c r="B20" i="7"/>
  <c r="I19" i="7"/>
  <c r="H19" i="7"/>
  <c r="G19" i="7"/>
  <c r="F19" i="7"/>
  <c r="E19" i="7"/>
  <c r="D19" i="7"/>
  <c r="C19" i="7"/>
  <c r="B19" i="7"/>
  <c r="I18" i="7"/>
  <c r="H18" i="7"/>
  <c r="G18" i="7"/>
  <c r="F18" i="7"/>
  <c r="E18" i="7"/>
  <c r="D18" i="7"/>
  <c r="C18" i="7"/>
  <c r="B18" i="7"/>
  <c r="I17" i="7"/>
  <c r="H17" i="7"/>
  <c r="G17" i="7"/>
  <c r="F17" i="7"/>
  <c r="E17" i="7"/>
  <c r="D17" i="7"/>
  <c r="C17" i="7"/>
  <c r="B17" i="7"/>
  <c r="I16" i="7"/>
  <c r="H16" i="7"/>
  <c r="G16" i="7"/>
  <c r="F16" i="7"/>
  <c r="E16" i="7"/>
  <c r="D16" i="7"/>
  <c r="C16" i="7"/>
  <c r="B16" i="7"/>
  <c r="I15" i="7"/>
  <c r="H15" i="7"/>
  <c r="G15" i="7"/>
  <c r="F15" i="7"/>
  <c r="E15" i="7"/>
  <c r="D15" i="7"/>
  <c r="C15" i="7"/>
  <c r="B15" i="7"/>
  <c r="I14" i="7"/>
  <c r="H14" i="7"/>
  <c r="G14" i="7"/>
  <c r="F14" i="7"/>
  <c r="E14" i="7"/>
  <c r="D14" i="7"/>
  <c r="C14" i="7"/>
  <c r="B14" i="7"/>
  <c r="I13" i="7"/>
  <c r="H13" i="7"/>
  <c r="G13" i="7"/>
  <c r="F13" i="7"/>
  <c r="E13" i="7"/>
  <c r="D13" i="7"/>
  <c r="C13" i="7"/>
  <c r="B13" i="7"/>
  <c r="I12" i="7"/>
  <c r="H12" i="7"/>
  <c r="G12" i="7"/>
  <c r="F12" i="7"/>
  <c r="E12" i="7"/>
  <c r="D12" i="7"/>
  <c r="C12" i="7"/>
  <c r="B12" i="7"/>
  <c r="I11" i="7"/>
  <c r="H11" i="7"/>
  <c r="G11" i="7"/>
  <c r="F11" i="7"/>
  <c r="E11" i="7"/>
  <c r="D11" i="7"/>
  <c r="C11" i="7"/>
  <c r="B11" i="7"/>
  <c r="I10" i="7"/>
  <c r="H10" i="7"/>
  <c r="G10" i="7"/>
  <c r="F10" i="7"/>
  <c r="E10" i="7"/>
  <c r="D10" i="7"/>
  <c r="C10" i="7"/>
  <c r="B10" i="7"/>
  <c r="I9" i="7"/>
  <c r="H9" i="7"/>
  <c r="G9" i="7"/>
  <c r="F9" i="7"/>
  <c r="E9" i="7"/>
  <c r="D9" i="7"/>
  <c r="C9" i="7"/>
  <c r="B9" i="7"/>
  <c r="I8" i="7"/>
  <c r="H8" i="7"/>
  <c r="G8" i="7"/>
  <c r="F8" i="7"/>
  <c r="E8" i="7"/>
  <c r="D8" i="7"/>
  <c r="C8" i="7"/>
  <c r="B8" i="7"/>
  <c r="I7" i="7"/>
  <c r="H7" i="7"/>
  <c r="G7" i="7"/>
  <c r="F7" i="7"/>
  <c r="E7" i="7"/>
  <c r="D7" i="7"/>
  <c r="C7" i="7"/>
  <c r="B7" i="7"/>
  <c r="I6" i="7"/>
  <c r="H6" i="7"/>
  <c r="G6" i="7"/>
  <c r="F6" i="7"/>
  <c r="E6" i="7"/>
  <c r="D6" i="7"/>
  <c r="C6" i="7"/>
  <c r="B6" i="7"/>
  <c r="I5" i="7"/>
  <c r="H5" i="7"/>
  <c r="G5" i="7"/>
  <c r="F5" i="7"/>
  <c r="E5" i="7"/>
  <c r="D5" i="7"/>
  <c r="C5" i="7"/>
  <c r="B5" i="7"/>
  <c r="I4" i="7"/>
  <c r="H4" i="7"/>
  <c r="G4" i="7"/>
  <c r="F4" i="7"/>
  <c r="E4" i="7"/>
  <c r="D4" i="7"/>
  <c r="C4" i="7"/>
  <c r="B4" i="7"/>
  <c r="I92" i="5"/>
  <c r="H92" i="5"/>
  <c r="G92" i="5"/>
  <c r="F92" i="5"/>
  <c r="E92" i="5"/>
  <c r="D92" i="5"/>
  <c r="C92" i="5"/>
  <c r="B92" i="5"/>
  <c r="I91" i="5"/>
  <c r="H91" i="5"/>
  <c r="G91" i="5"/>
  <c r="F91" i="5"/>
  <c r="E91" i="5"/>
  <c r="D91" i="5"/>
  <c r="C91" i="5"/>
  <c r="B91" i="5"/>
  <c r="I90" i="5"/>
  <c r="H90" i="5"/>
  <c r="G90" i="5"/>
  <c r="F90" i="5"/>
  <c r="E90" i="5"/>
  <c r="D90" i="5"/>
  <c r="C90" i="5"/>
  <c r="B90" i="5"/>
  <c r="I89" i="5"/>
  <c r="H89" i="5"/>
  <c r="G89" i="5"/>
  <c r="F89" i="5"/>
  <c r="E89" i="5"/>
  <c r="D89" i="5"/>
  <c r="C89" i="5"/>
  <c r="B89" i="5"/>
  <c r="I88" i="5"/>
  <c r="H88" i="5"/>
  <c r="G88" i="5"/>
  <c r="F88" i="5"/>
  <c r="E88" i="5"/>
  <c r="D88" i="5"/>
  <c r="C88" i="5"/>
  <c r="B88" i="5"/>
  <c r="I87" i="5"/>
  <c r="H87" i="5"/>
  <c r="G87" i="5"/>
  <c r="F87" i="5"/>
  <c r="E87" i="5"/>
  <c r="D87" i="5"/>
  <c r="C87" i="5"/>
  <c r="B87" i="5"/>
  <c r="I86" i="5"/>
  <c r="H86" i="5"/>
  <c r="G86" i="5"/>
  <c r="F86" i="5"/>
  <c r="E86" i="5"/>
  <c r="D86" i="5"/>
  <c r="C86" i="5"/>
  <c r="B86" i="5"/>
  <c r="I85" i="5"/>
  <c r="H85" i="5"/>
  <c r="G85" i="5"/>
  <c r="F85" i="5"/>
  <c r="E85" i="5"/>
  <c r="D85" i="5"/>
  <c r="C85" i="5"/>
  <c r="B85" i="5"/>
  <c r="I84" i="5"/>
  <c r="H84" i="5"/>
  <c r="G84" i="5"/>
  <c r="F84" i="5"/>
  <c r="E84" i="5"/>
  <c r="D84" i="5"/>
  <c r="C84" i="5"/>
  <c r="B84" i="5"/>
  <c r="I83" i="5"/>
  <c r="H83" i="5"/>
  <c r="G83" i="5"/>
  <c r="F83" i="5"/>
  <c r="E83" i="5"/>
  <c r="D83" i="5"/>
  <c r="C83" i="5"/>
  <c r="B83" i="5"/>
  <c r="I82" i="5"/>
  <c r="H82" i="5"/>
  <c r="G82" i="5"/>
  <c r="F82" i="5"/>
  <c r="E82" i="5"/>
  <c r="D82" i="5"/>
  <c r="C82" i="5"/>
  <c r="B82" i="5"/>
  <c r="I81" i="5"/>
  <c r="H81" i="5"/>
  <c r="G81" i="5"/>
  <c r="F81" i="5"/>
  <c r="E81" i="5"/>
  <c r="D81" i="5"/>
  <c r="C81" i="5"/>
  <c r="B81" i="5"/>
  <c r="I80" i="5"/>
  <c r="H80" i="5"/>
  <c r="G80" i="5"/>
  <c r="F80" i="5"/>
  <c r="E80" i="5"/>
  <c r="D80" i="5"/>
  <c r="C80" i="5"/>
  <c r="B80" i="5"/>
  <c r="I79" i="5"/>
  <c r="H79" i="5"/>
  <c r="G79" i="5"/>
  <c r="F79" i="5"/>
  <c r="E79" i="5"/>
  <c r="D79" i="5"/>
  <c r="C79" i="5"/>
  <c r="B79" i="5"/>
  <c r="I78" i="5"/>
  <c r="H78" i="5"/>
  <c r="G78" i="5"/>
  <c r="F78" i="5"/>
  <c r="E78" i="5"/>
  <c r="D78" i="5"/>
  <c r="C78" i="5"/>
  <c r="B78" i="5"/>
  <c r="I77" i="5"/>
  <c r="H77" i="5"/>
  <c r="G77" i="5"/>
  <c r="F77" i="5"/>
  <c r="E77" i="5"/>
  <c r="D77" i="5"/>
  <c r="C77" i="5"/>
  <c r="B77" i="5"/>
  <c r="I76" i="5"/>
  <c r="H76" i="5"/>
  <c r="G76" i="5"/>
  <c r="F76" i="5"/>
  <c r="E76" i="5"/>
  <c r="D76" i="5"/>
  <c r="C76" i="5"/>
  <c r="B76" i="5"/>
  <c r="I75" i="5"/>
  <c r="H75" i="5"/>
  <c r="G75" i="5"/>
  <c r="F75" i="5"/>
  <c r="E75" i="5"/>
  <c r="D75" i="5"/>
  <c r="C75" i="5"/>
  <c r="B75" i="5"/>
  <c r="I74" i="5"/>
  <c r="H74" i="5"/>
  <c r="G74" i="5"/>
  <c r="F74" i="5"/>
  <c r="E74" i="5"/>
  <c r="D74" i="5"/>
  <c r="C74" i="5"/>
  <c r="B74" i="5"/>
  <c r="I73" i="5"/>
  <c r="H73" i="5"/>
  <c r="G73" i="5"/>
  <c r="F73" i="5"/>
  <c r="E73" i="5"/>
  <c r="D73" i="5"/>
  <c r="C73" i="5"/>
  <c r="B73" i="5"/>
  <c r="I72" i="5"/>
  <c r="H72" i="5"/>
  <c r="G72" i="5"/>
  <c r="F72" i="5"/>
  <c r="E72" i="5"/>
  <c r="D72" i="5"/>
  <c r="C72" i="5"/>
  <c r="B72" i="5"/>
  <c r="I71" i="5"/>
  <c r="H71" i="5"/>
  <c r="G71" i="5"/>
  <c r="F71" i="5"/>
  <c r="E71" i="5"/>
  <c r="D71" i="5"/>
  <c r="C71" i="5"/>
  <c r="B71" i="5"/>
  <c r="I70" i="5"/>
  <c r="H70" i="5"/>
  <c r="G70" i="5"/>
  <c r="F70" i="5"/>
  <c r="E70" i="5"/>
  <c r="D70" i="5"/>
  <c r="C70" i="5"/>
  <c r="B70" i="5"/>
  <c r="I69" i="5"/>
  <c r="H69" i="5"/>
  <c r="G69" i="5"/>
  <c r="F69" i="5"/>
  <c r="E69" i="5"/>
  <c r="D69" i="5"/>
  <c r="C69" i="5"/>
  <c r="B69" i="5"/>
  <c r="I68" i="5"/>
  <c r="H68" i="5"/>
  <c r="G68" i="5"/>
  <c r="F68" i="5"/>
  <c r="E68" i="5"/>
  <c r="D68" i="5"/>
  <c r="C68" i="5"/>
  <c r="B68" i="5"/>
  <c r="I67" i="5"/>
  <c r="H67" i="5"/>
  <c r="G67" i="5"/>
  <c r="F67" i="5"/>
  <c r="E67" i="5"/>
  <c r="D67" i="5"/>
  <c r="C67" i="5"/>
  <c r="B67" i="5"/>
  <c r="I66" i="5"/>
  <c r="H66" i="5"/>
  <c r="G66" i="5"/>
  <c r="F66" i="5"/>
  <c r="E66" i="5"/>
  <c r="D66" i="5"/>
  <c r="C66" i="5"/>
  <c r="B66" i="5"/>
  <c r="I65" i="5"/>
  <c r="H65" i="5"/>
  <c r="G65" i="5"/>
  <c r="F65" i="5"/>
  <c r="E65" i="5"/>
  <c r="D65" i="5"/>
  <c r="C65" i="5"/>
  <c r="B65" i="5"/>
  <c r="I64" i="5"/>
  <c r="H64" i="5"/>
  <c r="G64" i="5"/>
  <c r="F64" i="5"/>
  <c r="E64" i="5"/>
  <c r="D64" i="5"/>
  <c r="C64" i="5"/>
  <c r="B64" i="5"/>
  <c r="I63" i="5"/>
  <c r="H63" i="5"/>
  <c r="G63" i="5"/>
  <c r="F63" i="5"/>
  <c r="E63" i="5"/>
  <c r="D63" i="5"/>
  <c r="C63" i="5"/>
  <c r="B63" i="5"/>
  <c r="I62" i="5"/>
  <c r="H62" i="5"/>
  <c r="G62" i="5"/>
  <c r="F62" i="5"/>
  <c r="E62" i="5"/>
  <c r="D62" i="5"/>
  <c r="C62" i="5"/>
  <c r="B62" i="5"/>
  <c r="I61" i="5"/>
  <c r="H61" i="5"/>
  <c r="G61" i="5"/>
  <c r="F61" i="5"/>
  <c r="E61" i="5"/>
  <c r="D61" i="5"/>
  <c r="C61" i="5"/>
  <c r="B61" i="5"/>
  <c r="I60" i="5"/>
  <c r="H60" i="5"/>
  <c r="G60" i="5"/>
  <c r="F60" i="5"/>
  <c r="E60" i="5"/>
  <c r="D60" i="5"/>
  <c r="C60" i="5"/>
  <c r="B60" i="5"/>
  <c r="I59" i="5"/>
  <c r="H59" i="5"/>
  <c r="G59" i="5"/>
  <c r="F59" i="5"/>
  <c r="E59" i="5"/>
  <c r="D59" i="5"/>
  <c r="C59" i="5"/>
  <c r="B59" i="5"/>
  <c r="I58" i="5"/>
  <c r="H58" i="5"/>
  <c r="G58" i="5"/>
  <c r="F58" i="5"/>
  <c r="E58" i="5"/>
  <c r="D58" i="5"/>
  <c r="C58" i="5"/>
  <c r="B58" i="5"/>
  <c r="I57" i="5"/>
  <c r="H57" i="5"/>
  <c r="G57" i="5"/>
  <c r="F57" i="5"/>
  <c r="E57" i="5"/>
  <c r="D57" i="5"/>
  <c r="C57" i="5"/>
  <c r="B57" i="5"/>
  <c r="I56" i="5"/>
  <c r="H56" i="5"/>
  <c r="G56" i="5"/>
  <c r="F56" i="5"/>
  <c r="E56" i="5"/>
  <c r="D56" i="5"/>
  <c r="C56" i="5"/>
  <c r="B56" i="5"/>
  <c r="I55" i="5"/>
  <c r="H55" i="5"/>
  <c r="G55" i="5"/>
  <c r="F55" i="5"/>
  <c r="E55" i="5"/>
  <c r="D55" i="5"/>
  <c r="C55" i="5"/>
  <c r="B55" i="5"/>
  <c r="I54" i="5"/>
  <c r="H54" i="5"/>
  <c r="G54" i="5"/>
  <c r="F54" i="5"/>
  <c r="E54" i="5"/>
  <c r="D54" i="5"/>
  <c r="C54" i="5"/>
  <c r="B54" i="5"/>
  <c r="I53" i="5"/>
  <c r="H53" i="5"/>
  <c r="G53" i="5"/>
  <c r="F53" i="5"/>
  <c r="E53" i="5"/>
  <c r="D53" i="5"/>
  <c r="C53" i="5"/>
  <c r="B53" i="5"/>
  <c r="I52" i="5"/>
  <c r="H52" i="5"/>
  <c r="G52" i="5"/>
  <c r="F52" i="5"/>
  <c r="E52" i="5"/>
  <c r="D52" i="5"/>
  <c r="C52" i="5"/>
  <c r="B52" i="5"/>
  <c r="I51" i="5"/>
  <c r="H51" i="5"/>
  <c r="G51" i="5"/>
  <c r="F51" i="5"/>
  <c r="E51" i="5"/>
  <c r="D51" i="5"/>
  <c r="C51" i="5"/>
  <c r="B51" i="5"/>
  <c r="I50" i="5"/>
  <c r="H50" i="5"/>
  <c r="G50" i="5"/>
  <c r="F50" i="5"/>
  <c r="E50" i="5"/>
  <c r="D50" i="5"/>
  <c r="C50" i="5"/>
  <c r="B50" i="5"/>
  <c r="I49" i="5"/>
  <c r="H49" i="5"/>
  <c r="G49" i="5"/>
  <c r="F49" i="5"/>
  <c r="E49" i="5"/>
  <c r="D49" i="5"/>
  <c r="C49" i="5"/>
  <c r="B49" i="5"/>
  <c r="I48" i="5"/>
  <c r="H48" i="5"/>
  <c r="G48" i="5"/>
  <c r="F48" i="5"/>
  <c r="E48" i="5"/>
  <c r="D48" i="5"/>
  <c r="C48" i="5"/>
  <c r="B48" i="5"/>
  <c r="I47" i="5"/>
  <c r="H47" i="5"/>
  <c r="G47" i="5"/>
  <c r="F47" i="5"/>
  <c r="E47" i="5"/>
  <c r="D47" i="5"/>
  <c r="C47" i="5"/>
  <c r="B47" i="5"/>
  <c r="I46" i="5"/>
  <c r="H46" i="5"/>
  <c r="G46" i="5"/>
  <c r="F46" i="5"/>
  <c r="E46" i="5"/>
  <c r="D46" i="5"/>
  <c r="C46" i="5"/>
  <c r="B46" i="5"/>
  <c r="I45" i="5"/>
  <c r="H45" i="5"/>
  <c r="G45" i="5"/>
  <c r="F45" i="5"/>
  <c r="E45" i="5"/>
  <c r="D45" i="5"/>
  <c r="C45" i="5"/>
  <c r="B45" i="5"/>
  <c r="I44" i="5"/>
  <c r="H44" i="5"/>
  <c r="G44" i="5"/>
  <c r="F44" i="5"/>
  <c r="E44" i="5"/>
  <c r="D44" i="5"/>
  <c r="C44" i="5"/>
  <c r="B44" i="5"/>
  <c r="I43" i="5"/>
  <c r="H43" i="5"/>
  <c r="G43" i="5"/>
  <c r="F43" i="5"/>
  <c r="E43" i="5"/>
  <c r="D43" i="5"/>
  <c r="C43" i="5"/>
  <c r="B43" i="5"/>
  <c r="I42" i="5"/>
  <c r="H42" i="5"/>
  <c r="G42" i="5"/>
  <c r="F42" i="5"/>
  <c r="E42" i="5"/>
  <c r="D42" i="5"/>
  <c r="C42" i="5"/>
  <c r="B42" i="5"/>
  <c r="I41" i="5"/>
  <c r="H41" i="5"/>
  <c r="G41" i="5"/>
  <c r="F41" i="5"/>
  <c r="E41" i="5"/>
  <c r="D41" i="5"/>
  <c r="C41" i="5"/>
  <c r="B41" i="5"/>
  <c r="I40" i="5"/>
  <c r="H40" i="5"/>
  <c r="G40" i="5"/>
  <c r="F40" i="5"/>
  <c r="E40" i="5"/>
  <c r="D40" i="5"/>
  <c r="C40" i="5"/>
  <c r="B40" i="5"/>
  <c r="I39" i="5"/>
  <c r="H39" i="5"/>
  <c r="G39" i="5"/>
  <c r="F39" i="5"/>
  <c r="E39" i="5"/>
  <c r="D39" i="5"/>
  <c r="C39" i="5"/>
  <c r="B39" i="5"/>
  <c r="I38" i="5"/>
  <c r="H38" i="5"/>
  <c r="G38" i="5"/>
  <c r="F38" i="5"/>
  <c r="E38" i="5"/>
  <c r="D38" i="5"/>
  <c r="C38" i="5"/>
  <c r="B38" i="5"/>
  <c r="I37" i="5"/>
  <c r="H37" i="5"/>
  <c r="G37" i="5"/>
  <c r="F37" i="5"/>
  <c r="E37" i="5"/>
  <c r="D37" i="5"/>
  <c r="C37" i="5"/>
  <c r="B37" i="5"/>
  <c r="I36" i="5"/>
  <c r="H36" i="5"/>
  <c r="G36" i="5"/>
  <c r="F36" i="5"/>
  <c r="E36" i="5"/>
  <c r="D36" i="5"/>
  <c r="C36" i="5"/>
  <c r="B36" i="5"/>
  <c r="I35" i="5"/>
  <c r="H35" i="5"/>
  <c r="G35" i="5"/>
  <c r="F35" i="5"/>
  <c r="E35" i="5"/>
  <c r="D35" i="5"/>
  <c r="C35" i="5"/>
  <c r="B35" i="5"/>
  <c r="I34" i="5"/>
  <c r="H34" i="5"/>
  <c r="G34" i="5"/>
  <c r="F34" i="5"/>
  <c r="E34" i="5"/>
  <c r="D34" i="5"/>
  <c r="C34" i="5"/>
  <c r="B34" i="5"/>
  <c r="I33" i="5"/>
  <c r="H33" i="5"/>
  <c r="G33" i="5"/>
  <c r="F33" i="5"/>
  <c r="E33" i="5"/>
  <c r="D33" i="5"/>
  <c r="C33" i="5"/>
  <c r="B33" i="5"/>
  <c r="I32" i="5"/>
  <c r="H32" i="5"/>
  <c r="G32" i="5"/>
  <c r="F32" i="5"/>
  <c r="E32" i="5"/>
  <c r="D32" i="5"/>
  <c r="C32" i="5"/>
  <c r="B32" i="5"/>
  <c r="I31" i="5"/>
  <c r="H31" i="5"/>
  <c r="G31" i="5"/>
  <c r="F31" i="5"/>
  <c r="E31" i="5"/>
  <c r="D31" i="5"/>
  <c r="C31" i="5"/>
  <c r="B31" i="5"/>
  <c r="I30" i="5"/>
  <c r="H30" i="5"/>
  <c r="G30" i="5"/>
  <c r="F30" i="5"/>
  <c r="E30" i="5"/>
  <c r="D30" i="5"/>
  <c r="C30" i="5"/>
  <c r="B30" i="5"/>
  <c r="I29" i="5"/>
  <c r="H29" i="5"/>
  <c r="G29" i="5"/>
  <c r="F29" i="5"/>
  <c r="E29" i="5"/>
  <c r="D29" i="5"/>
  <c r="C29" i="5"/>
  <c r="B29" i="5"/>
  <c r="I28" i="5"/>
  <c r="H28" i="5"/>
  <c r="G28" i="5"/>
  <c r="F28" i="5"/>
  <c r="E28" i="5"/>
  <c r="D28" i="5"/>
  <c r="C28" i="5"/>
  <c r="B28" i="5"/>
  <c r="I27" i="5"/>
  <c r="H27" i="5"/>
  <c r="G27" i="5"/>
  <c r="F27" i="5"/>
  <c r="E27" i="5"/>
  <c r="D27" i="5"/>
  <c r="C27" i="5"/>
  <c r="B27" i="5"/>
  <c r="I26" i="5"/>
  <c r="H26" i="5"/>
  <c r="G26" i="5"/>
  <c r="F26" i="5"/>
  <c r="E26" i="5"/>
  <c r="D26" i="5"/>
  <c r="C26" i="5"/>
  <c r="B26" i="5"/>
  <c r="I25" i="5"/>
  <c r="H25" i="5"/>
  <c r="G25" i="5"/>
  <c r="F25" i="5"/>
  <c r="E25" i="5"/>
  <c r="D25" i="5"/>
  <c r="C25" i="5"/>
  <c r="B25" i="5"/>
  <c r="I24" i="5"/>
  <c r="H24" i="5"/>
  <c r="G24" i="5"/>
  <c r="F24" i="5"/>
  <c r="E24" i="5"/>
  <c r="D24" i="5"/>
  <c r="C24" i="5"/>
  <c r="B24" i="5"/>
  <c r="I23" i="5"/>
  <c r="H23" i="5"/>
  <c r="G23" i="5"/>
  <c r="F23" i="5"/>
  <c r="E23" i="5"/>
  <c r="D23" i="5"/>
  <c r="C23" i="5"/>
  <c r="B23" i="5"/>
  <c r="I22" i="5"/>
  <c r="H22" i="5"/>
  <c r="G22" i="5"/>
  <c r="F22" i="5"/>
  <c r="E22" i="5"/>
  <c r="D22" i="5"/>
  <c r="C22" i="5"/>
  <c r="B22" i="5"/>
  <c r="I21" i="5"/>
  <c r="H21" i="5"/>
  <c r="G21" i="5"/>
  <c r="F21" i="5"/>
  <c r="E21" i="5"/>
  <c r="D21" i="5"/>
  <c r="C21" i="5"/>
  <c r="B21" i="5"/>
  <c r="I20" i="5"/>
  <c r="H20" i="5"/>
  <c r="G20" i="5"/>
  <c r="F20" i="5"/>
  <c r="E20" i="5"/>
  <c r="D20" i="5"/>
  <c r="C20" i="5"/>
  <c r="B20" i="5"/>
  <c r="I19" i="5"/>
  <c r="H19" i="5"/>
  <c r="G19" i="5"/>
  <c r="F19" i="5"/>
  <c r="E19" i="5"/>
  <c r="D19" i="5"/>
  <c r="C19" i="5"/>
  <c r="B19" i="5"/>
  <c r="I18" i="5"/>
  <c r="H18" i="5"/>
  <c r="G18" i="5"/>
  <c r="F18" i="5"/>
  <c r="E18" i="5"/>
  <c r="D18" i="5"/>
  <c r="C18" i="5"/>
  <c r="B18" i="5"/>
  <c r="I17" i="5"/>
  <c r="H17" i="5"/>
  <c r="G17" i="5"/>
  <c r="F17" i="5"/>
  <c r="E17" i="5"/>
  <c r="D17" i="5"/>
  <c r="C17" i="5"/>
  <c r="B17" i="5"/>
  <c r="I16" i="5"/>
  <c r="H16" i="5"/>
  <c r="G16" i="5"/>
  <c r="F16" i="5"/>
  <c r="E16" i="5"/>
  <c r="D16" i="5"/>
  <c r="C16" i="5"/>
  <c r="B16" i="5"/>
  <c r="I15" i="5"/>
  <c r="H15" i="5"/>
  <c r="G15" i="5"/>
  <c r="F15" i="5"/>
  <c r="E15" i="5"/>
  <c r="D15" i="5"/>
  <c r="C15" i="5"/>
  <c r="B15" i="5"/>
  <c r="I14" i="5"/>
  <c r="H14" i="5"/>
  <c r="G14" i="5"/>
  <c r="F14" i="5"/>
  <c r="E14" i="5"/>
  <c r="D14" i="5"/>
  <c r="C14" i="5"/>
  <c r="B14" i="5"/>
  <c r="I13" i="5"/>
  <c r="H13" i="5"/>
  <c r="G13" i="5"/>
  <c r="F13" i="5"/>
  <c r="E13" i="5"/>
  <c r="D13" i="5"/>
  <c r="C13" i="5"/>
  <c r="B13" i="5"/>
  <c r="I12" i="5"/>
  <c r="H12" i="5"/>
  <c r="G12" i="5"/>
  <c r="F12" i="5"/>
  <c r="E12" i="5"/>
  <c r="D12" i="5"/>
  <c r="C12" i="5"/>
  <c r="B12" i="5"/>
  <c r="I11" i="5"/>
  <c r="H11" i="5"/>
  <c r="G11" i="5"/>
  <c r="F11" i="5"/>
  <c r="E11" i="5"/>
  <c r="D11" i="5"/>
  <c r="C11" i="5"/>
  <c r="B11" i="5"/>
  <c r="I10" i="5"/>
  <c r="H10" i="5"/>
  <c r="G10" i="5"/>
  <c r="F10" i="5"/>
  <c r="E10" i="5"/>
  <c r="D10" i="5"/>
  <c r="C10" i="5"/>
  <c r="B10" i="5"/>
  <c r="I9" i="5"/>
  <c r="H9" i="5"/>
  <c r="G9" i="5"/>
  <c r="F9" i="5"/>
  <c r="E9" i="5"/>
  <c r="D9" i="5"/>
  <c r="C9" i="5"/>
  <c r="B9" i="5"/>
  <c r="I8" i="5"/>
  <c r="H8" i="5"/>
  <c r="G8" i="5"/>
  <c r="F8" i="5"/>
  <c r="E8" i="5"/>
  <c r="D8" i="5"/>
  <c r="C8" i="5"/>
  <c r="B8" i="5"/>
  <c r="I7" i="5"/>
  <c r="H7" i="5"/>
  <c r="G7" i="5"/>
  <c r="F7" i="5"/>
  <c r="E7" i="5"/>
  <c r="D7" i="5"/>
  <c r="C7" i="5"/>
  <c r="B7" i="5"/>
  <c r="I6" i="5"/>
  <c r="H6" i="5"/>
  <c r="G6" i="5"/>
  <c r="F6" i="5"/>
  <c r="E6" i="5"/>
  <c r="D6" i="5"/>
  <c r="C6" i="5"/>
  <c r="B6" i="5"/>
  <c r="I5" i="5"/>
  <c r="H5" i="5"/>
  <c r="G5" i="5"/>
  <c r="F5" i="5"/>
  <c r="E5" i="5"/>
  <c r="D5" i="5"/>
  <c r="C5" i="5"/>
  <c r="B5" i="5"/>
  <c r="I4" i="5"/>
  <c r="H4" i="5"/>
  <c r="G4" i="5"/>
  <c r="F4" i="5"/>
  <c r="E4" i="5"/>
  <c r="D4" i="5"/>
  <c r="C4" i="5"/>
  <c r="B4" i="5"/>
  <c r="I92" i="4"/>
  <c r="H92" i="4"/>
  <c r="G92" i="4"/>
  <c r="F92" i="4"/>
  <c r="E92" i="4"/>
  <c r="D92" i="4"/>
  <c r="C92" i="4"/>
  <c r="B92" i="4"/>
  <c r="I91" i="4"/>
  <c r="H91" i="4"/>
  <c r="G91" i="4"/>
  <c r="F91" i="4"/>
  <c r="E91" i="4"/>
  <c r="D91" i="4"/>
  <c r="C91" i="4"/>
  <c r="B91" i="4"/>
  <c r="I90" i="4"/>
  <c r="H90" i="4"/>
  <c r="G90" i="4"/>
  <c r="F90" i="4"/>
  <c r="E90" i="4"/>
  <c r="D90" i="4"/>
  <c r="C90" i="4"/>
  <c r="B90" i="4"/>
  <c r="I89" i="4"/>
  <c r="H89" i="4"/>
  <c r="G89" i="4"/>
  <c r="F89" i="4"/>
  <c r="E89" i="4"/>
  <c r="D89" i="4"/>
  <c r="C89" i="4"/>
  <c r="B89" i="4"/>
  <c r="I88" i="4"/>
  <c r="H88" i="4"/>
  <c r="G88" i="4"/>
  <c r="F88" i="4"/>
  <c r="E88" i="4"/>
  <c r="D88" i="4"/>
  <c r="C88" i="4"/>
  <c r="B88" i="4"/>
  <c r="I87" i="4"/>
  <c r="H87" i="4"/>
  <c r="G87" i="4"/>
  <c r="F87" i="4"/>
  <c r="E87" i="4"/>
  <c r="D87" i="4"/>
  <c r="C87" i="4"/>
  <c r="B87" i="4"/>
  <c r="I86" i="4"/>
  <c r="H86" i="4"/>
  <c r="G86" i="4"/>
  <c r="F86" i="4"/>
  <c r="E86" i="4"/>
  <c r="D86" i="4"/>
  <c r="C86" i="4"/>
  <c r="B86" i="4"/>
  <c r="I85" i="4"/>
  <c r="H85" i="4"/>
  <c r="G85" i="4"/>
  <c r="F85" i="4"/>
  <c r="E85" i="4"/>
  <c r="D85" i="4"/>
  <c r="C85" i="4"/>
  <c r="B85" i="4"/>
  <c r="I84" i="4"/>
  <c r="H84" i="4"/>
  <c r="G84" i="4"/>
  <c r="F84" i="4"/>
  <c r="E84" i="4"/>
  <c r="D84" i="4"/>
  <c r="C84" i="4"/>
  <c r="B84" i="4"/>
  <c r="I83" i="4"/>
  <c r="H83" i="4"/>
  <c r="G83" i="4"/>
  <c r="F83" i="4"/>
  <c r="E83" i="4"/>
  <c r="D83" i="4"/>
  <c r="C83" i="4"/>
  <c r="B83" i="4"/>
  <c r="I82" i="4"/>
  <c r="H82" i="4"/>
  <c r="G82" i="4"/>
  <c r="F82" i="4"/>
  <c r="E82" i="4"/>
  <c r="D82" i="4"/>
  <c r="C82" i="4"/>
  <c r="B82" i="4"/>
  <c r="I81" i="4"/>
  <c r="H81" i="4"/>
  <c r="G81" i="4"/>
  <c r="F81" i="4"/>
  <c r="E81" i="4"/>
  <c r="D81" i="4"/>
  <c r="C81" i="4"/>
  <c r="B81" i="4"/>
  <c r="I80" i="4"/>
  <c r="H80" i="4"/>
  <c r="G80" i="4"/>
  <c r="F80" i="4"/>
  <c r="E80" i="4"/>
  <c r="D80" i="4"/>
  <c r="C80" i="4"/>
  <c r="B80" i="4"/>
  <c r="I79" i="4"/>
  <c r="H79" i="4"/>
  <c r="G79" i="4"/>
  <c r="F79" i="4"/>
  <c r="E79" i="4"/>
  <c r="D79" i="4"/>
  <c r="C79" i="4"/>
  <c r="B79" i="4"/>
  <c r="I78" i="4"/>
  <c r="H78" i="4"/>
  <c r="G78" i="4"/>
  <c r="F78" i="4"/>
  <c r="E78" i="4"/>
  <c r="D78" i="4"/>
  <c r="C78" i="4"/>
  <c r="B78" i="4"/>
  <c r="I77" i="4"/>
  <c r="H77" i="4"/>
  <c r="G77" i="4"/>
  <c r="F77" i="4"/>
  <c r="E77" i="4"/>
  <c r="D77" i="4"/>
  <c r="C77" i="4"/>
  <c r="B77" i="4"/>
  <c r="I76" i="4"/>
  <c r="H76" i="4"/>
  <c r="G76" i="4"/>
  <c r="F76" i="4"/>
  <c r="E76" i="4"/>
  <c r="D76" i="4"/>
  <c r="C76" i="4"/>
  <c r="B76" i="4"/>
  <c r="I75" i="4"/>
  <c r="H75" i="4"/>
  <c r="G75" i="4"/>
  <c r="F75" i="4"/>
  <c r="E75" i="4"/>
  <c r="D75" i="4"/>
  <c r="C75" i="4"/>
  <c r="B75" i="4"/>
  <c r="I74" i="4"/>
  <c r="H74" i="4"/>
  <c r="G74" i="4"/>
  <c r="F74" i="4"/>
  <c r="E74" i="4"/>
  <c r="D74" i="4"/>
  <c r="C74" i="4"/>
  <c r="B74" i="4"/>
  <c r="I73" i="4"/>
  <c r="H73" i="4"/>
  <c r="G73" i="4"/>
  <c r="F73" i="4"/>
  <c r="E73" i="4"/>
  <c r="D73" i="4"/>
  <c r="C73" i="4"/>
  <c r="B73" i="4"/>
  <c r="I72" i="4"/>
  <c r="H72" i="4"/>
  <c r="G72" i="4"/>
  <c r="F72" i="4"/>
  <c r="E72" i="4"/>
  <c r="D72" i="4"/>
  <c r="C72" i="4"/>
  <c r="B72" i="4"/>
  <c r="I71" i="4"/>
  <c r="H71" i="4"/>
  <c r="G71" i="4"/>
  <c r="F71" i="4"/>
  <c r="E71" i="4"/>
  <c r="D71" i="4"/>
  <c r="C71" i="4"/>
  <c r="B71" i="4"/>
  <c r="I70" i="4"/>
  <c r="H70" i="4"/>
  <c r="G70" i="4"/>
  <c r="F70" i="4"/>
  <c r="E70" i="4"/>
  <c r="D70" i="4"/>
  <c r="C70" i="4"/>
  <c r="B70" i="4"/>
  <c r="I69" i="4"/>
  <c r="H69" i="4"/>
  <c r="G69" i="4"/>
  <c r="F69" i="4"/>
  <c r="E69" i="4"/>
  <c r="D69" i="4"/>
  <c r="C69" i="4"/>
  <c r="B69" i="4"/>
  <c r="I68" i="4"/>
  <c r="H68" i="4"/>
  <c r="G68" i="4"/>
  <c r="F68" i="4"/>
  <c r="E68" i="4"/>
  <c r="D68" i="4"/>
  <c r="C68" i="4"/>
  <c r="B68" i="4"/>
  <c r="I67" i="4"/>
  <c r="H67" i="4"/>
  <c r="G67" i="4"/>
  <c r="F67" i="4"/>
  <c r="E67" i="4"/>
  <c r="D67" i="4"/>
  <c r="C67" i="4"/>
  <c r="B67" i="4"/>
  <c r="I66" i="4"/>
  <c r="H66" i="4"/>
  <c r="G66" i="4"/>
  <c r="F66" i="4"/>
  <c r="E66" i="4"/>
  <c r="D66" i="4"/>
  <c r="C66" i="4"/>
  <c r="B66" i="4"/>
  <c r="I65" i="4"/>
  <c r="H65" i="4"/>
  <c r="G65" i="4"/>
  <c r="F65" i="4"/>
  <c r="E65" i="4"/>
  <c r="D65" i="4"/>
  <c r="C65" i="4"/>
  <c r="B65" i="4"/>
  <c r="I64" i="4"/>
  <c r="H64" i="4"/>
  <c r="G64" i="4"/>
  <c r="F64" i="4"/>
  <c r="E64" i="4"/>
  <c r="D64" i="4"/>
  <c r="C64" i="4"/>
  <c r="B64" i="4"/>
  <c r="I63" i="4"/>
  <c r="H63" i="4"/>
  <c r="G63" i="4"/>
  <c r="F63" i="4"/>
  <c r="E63" i="4"/>
  <c r="D63" i="4"/>
  <c r="C63" i="4"/>
  <c r="B63" i="4"/>
  <c r="I62" i="4"/>
  <c r="H62" i="4"/>
  <c r="G62" i="4"/>
  <c r="F62" i="4"/>
  <c r="E62" i="4"/>
  <c r="D62" i="4"/>
  <c r="C62" i="4"/>
  <c r="B62" i="4"/>
  <c r="I61" i="4"/>
  <c r="H61" i="4"/>
  <c r="G61" i="4"/>
  <c r="F61" i="4"/>
  <c r="E61" i="4"/>
  <c r="D61" i="4"/>
  <c r="C61" i="4"/>
  <c r="B61" i="4"/>
  <c r="I60" i="4"/>
  <c r="H60" i="4"/>
  <c r="G60" i="4"/>
  <c r="F60" i="4"/>
  <c r="E60" i="4"/>
  <c r="D60" i="4"/>
  <c r="C60" i="4"/>
  <c r="B60" i="4"/>
  <c r="I59" i="4"/>
  <c r="H59" i="4"/>
  <c r="G59" i="4"/>
  <c r="F59" i="4"/>
  <c r="E59" i="4"/>
  <c r="D59" i="4"/>
  <c r="C59" i="4"/>
  <c r="B59" i="4"/>
  <c r="I58" i="4"/>
  <c r="H58" i="4"/>
  <c r="G58" i="4"/>
  <c r="F58" i="4"/>
  <c r="E58" i="4"/>
  <c r="D58" i="4"/>
  <c r="C58" i="4"/>
  <c r="B58" i="4"/>
  <c r="I57" i="4"/>
  <c r="H57" i="4"/>
  <c r="G57" i="4"/>
  <c r="F57" i="4"/>
  <c r="E57" i="4"/>
  <c r="D57" i="4"/>
  <c r="C57" i="4"/>
  <c r="B57" i="4"/>
  <c r="I56" i="4"/>
  <c r="H56" i="4"/>
  <c r="G56" i="4"/>
  <c r="F56" i="4"/>
  <c r="E56" i="4"/>
  <c r="D56" i="4"/>
  <c r="C56" i="4"/>
  <c r="B56" i="4"/>
  <c r="I55" i="4"/>
  <c r="H55" i="4"/>
  <c r="G55" i="4"/>
  <c r="F55" i="4"/>
  <c r="E55" i="4"/>
  <c r="D55" i="4"/>
  <c r="C55" i="4"/>
  <c r="B55" i="4"/>
  <c r="I54" i="4"/>
  <c r="H54" i="4"/>
  <c r="G54" i="4"/>
  <c r="F54" i="4"/>
  <c r="E54" i="4"/>
  <c r="D54" i="4"/>
  <c r="C54" i="4"/>
  <c r="B54" i="4"/>
  <c r="I53" i="4"/>
  <c r="H53" i="4"/>
  <c r="G53" i="4"/>
  <c r="F53" i="4"/>
  <c r="E53" i="4"/>
  <c r="D53" i="4"/>
  <c r="C53" i="4"/>
  <c r="B53" i="4"/>
  <c r="I52" i="4"/>
  <c r="H52" i="4"/>
  <c r="G52" i="4"/>
  <c r="F52" i="4"/>
  <c r="E52" i="4"/>
  <c r="D52" i="4"/>
  <c r="C52" i="4"/>
  <c r="B52" i="4"/>
  <c r="I51" i="4"/>
  <c r="H51" i="4"/>
  <c r="G51" i="4"/>
  <c r="F51" i="4"/>
  <c r="E51" i="4"/>
  <c r="D51" i="4"/>
  <c r="C51" i="4"/>
  <c r="B51" i="4"/>
  <c r="I50" i="4"/>
  <c r="H50" i="4"/>
  <c r="G50" i="4"/>
  <c r="F50" i="4"/>
  <c r="E50" i="4"/>
  <c r="D50" i="4"/>
  <c r="C50" i="4"/>
  <c r="B50" i="4"/>
  <c r="I49" i="4"/>
  <c r="H49" i="4"/>
  <c r="G49" i="4"/>
  <c r="F49" i="4"/>
  <c r="E49" i="4"/>
  <c r="D49" i="4"/>
  <c r="C49" i="4"/>
  <c r="B49" i="4"/>
  <c r="I48" i="4"/>
  <c r="H48" i="4"/>
  <c r="G48" i="4"/>
  <c r="F48" i="4"/>
  <c r="E48" i="4"/>
  <c r="D48" i="4"/>
  <c r="C48" i="4"/>
  <c r="B48" i="4"/>
  <c r="I47" i="4"/>
  <c r="H47" i="4"/>
  <c r="G47" i="4"/>
  <c r="F47" i="4"/>
  <c r="E47" i="4"/>
  <c r="D47" i="4"/>
  <c r="C47" i="4"/>
  <c r="B47" i="4"/>
  <c r="I46" i="4"/>
  <c r="H46" i="4"/>
  <c r="G46" i="4"/>
  <c r="F46" i="4"/>
  <c r="E46" i="4"/>
  <c r="D46" i="4"/>
  <c r="C46" i="4"/>
  <c r="B46" i="4"/>
  <c r="I45" i="4"/>
  <c r="H45" i="4"/>
  <c r="G45" i="4"/>
  <c r="F45" i="4"/>
  <c r="E45" i="4"/>
  <c r="D45" i="4"/>
  <c r="C45" i="4"/>
  <c r="B45" i="4"/>
  <c r="I44" i="4"/>
  <c r="H44" i="4"/>
  <c r="G44" i="4"/>
  <c r="F44" i="4"/>
  <c r="E44" i="4"/>
  <c r="D44" i="4"/>
  <c r="C44" i="4"/>
  <c r="B44" i="4"/>
  <c r="I43" i="4"/>
  <c r="H43" i="4"/>
  <c r="G43" i="4"/>
  <c r="F43" i="4"/>
  <c r="E43" i="4"/>
  <c r="D43" i="4"/>
  <c r="C43" i="4"/>
  <c r="B43" i="4"/>
  <c r="I42" i="4"/>
  <c r="H42" i="4"/>
  <c r="G42" i="4"/>
  <c r="F42" i="4"/>
  <c r="E42" i="4"/>
  <c r="D42" i="4"/>
  <c r="C42" i="4"/>
  <c r="B42" i="4"/>
  <c r="I41" i="4"/>
  <c r="H41" i="4"/>
  <c r="G41" i="4"/>
  <c r="F41" i="4"/>
  <c r="E41" i="4"/>
  <c r="D41" i="4"/>
  <c r="C41" i="4"/>
  <c r="B41" i="4"/>
  <c r="I40" i="4"/>
  <c r="H40" i="4"/>
  <c r="G40" i="4"/>
  <c r="F40" i="4"/>
  <c r="E40" i="4"/>
  <c r="D40" i="4"/>
  <c r="C40" i="4"/>
  <c r="B40" i="4"/>
  <c r="I39" i="4"/>
  <c r="H39" i="4"/>
  <c r="G39" i="4"/>
  <c r="F39" i="4"/>
  <c r="E39" i="4"/>
  <c r="D39" i="4"/>
  <c r="C39" i="4"/>
  <c r="B39" i="4"/>
  <c r="I38" i="4"/>
  <c r="H38" i="4"/>
  <c r="G38" i="4"/>
  <c r="F38" i="4"/>
  <c r="E38" i="4"/>
  <c r="D38" i="4"/>
  <c r="C38" i="4"/>
  <c r="B38" i="4"/>
  <c r="I37" i="4"/>
  <c r="H37" i="4"/>
  <c r="G37" i="4"/>
  <c r="F37" i="4"/>
  <c r="E37" i="4"/>
  <c r="D37" i="4"/>
  <c r="C37" i="4"/>
  <c r="B37" i="4"/>
  <c r="I36" i="4"/>
  <c r="H36" i="4"/>
  <c r="G36" i="4"/>
  <c r="F36" i="4"/>
  <c r="E36" i="4"/>
  <c r="D36" i="4"/>
  <c r="C36" i="4"/>
  <c r="B36" i="4"/>
  <c r="I35" i="4"/>
  <c r="H35" i="4"/>
  <c r="G35" i="4"/>
  <c r="F35" i="4"/>
  <c r="E35" i="4"/>
  <c r="D35" i="4"/>
  <c r="C35" i="4"/>
  <c r="B35" i="4"/>
  <c r="I34" i="4"/>
  <c r="H34" i="4"/>
  <c r="G34" i="4"/>
  <c r="F34" i="4"/>
  <c r="E34" i="4"/>
  <c r="D34" i="4"/>
  <c r="C34" i="4"/>
  <c r="B34" i="4"/>
  <c r="I33" i="4"/>
  <c r="H33" i="4"/>
  <c r="G33" i="4"/>
  <c r="F33" i="4"/>
  <c r="E33" i="4"/>
  <c r="D33" i="4"/>
  <c r="C33" i="4"/>
  <c r="B33" i="4"/>
  <c r="I32" i="4"/>
  <c r="H32" i="4"/>
  <c r="G32" i="4"/>
  <c r="F32" i="4"/>
  <c r="E32" i="4"/>
  <c r="D32" i="4"/>
  <c r="C32" i="4"/>
  <c r="B32" i="4"/>
  <c r="I31" i="4"/>
  <c r="H31" i="4"/>
  <c r="G31" i="4"/>
  <c r="F31" i="4"/>
  <c r="E31" i="4"/>
  <c r="D31" i="4"/>
  <c r="C31" i="4"/>
  <c r="B31" i="4"/>
  <c r="I30" i="4"/>
  <c r="H30" i="4"/>
  <c r="G30" i="4"/>
  <c r="F30" i="4"/>
  <c r="E30" i="4"/>
  <c r="D30" i="4"/>
  <c r="C30" i="4"/>
  <c r="B30" i="4"/>
  <c r="I29" i="4"/>
  <c r="H29" i="4"/>
  <c r="G29" i="4"/>
  <c r="F29" i="4"/>
  <c r="E29" i="4"/>
  <c r="D29" i="4"/>
  <c r="C29" i="4"/>
  <c r="B29" i="4"/>
  <c r="I28" i="4"/>
  <c r="H28" i="4"/>
  <c r="G28" i="4"/>
  <c r="F28" i="4"/>
  <c r="E28" i="4"/>
  <c r="D28" i="4"/>
  <c r="C28" i="4"/>
  <c r="B28" i="4"/>
  <c r="I27" i="4"/>
  <c r="H27" i="4"/>
  <c r="G27" i="4"/>
  <c r="F27" i="4"/>
  <c r="E27" i="4"/>
  <c r="D27" i="4"/>
  <c r="C27" i="4"/>
  <c r="B27" i="4"/>
  <c r="I26" i="4"/>
  <c r="H26" i="4"/>
  <c r="G26" i="4"/>
  <c r="F26" i="4"/>
  <c r="E26" i="4"/>
  <c r="D26" i="4"/>
  <c r="C26" i="4"/>
  <c r="B26" i="4"/>
  <c r="I25" i="4"/>
  <c r="H25" i="4"/>
  <c r="G25" i="4"/>
  <c r="F25" i="4"/>
  <c r="E25" i="4"/>
  <c r="D25" i="4"/>
  <c r="C25" i="4"/>
  <c r="B25" i="4"/>
  <c r="I24" i="4"/>
  <c r="H24" i="4"/>
  <c r="G24" i="4"/>
  <c r="F24" i="4"/>
  <c r="E24" i="4"/>
  <c r="D24" i="4"/>
  <c r="C24" i="4"/>
  <c r="B24" i="4"/>
  <c r="I23" i="4"/>
  <c r="H23" i="4"/>
  <c r="G23" i="4"/>
  <c r="F23" i="4"/>
  <c r="E23" i="4"/>
  <c r="D23" i="4"/>
  <c r="C23" i="4"/>
  <c r="B23" i="4"/>
  <c r="I22" i="4"/>
  <c r="H22" i="4"/>
  <c r="G22" i="4"/>
  <c r="F22" i="4"/>
  <c r="E22" i="4"/>
  <c r="D22" i="4"/>
  <c r="C22" i="4"/>
  <c r="B22" i="4"/>
  <c r="I21" i="4"/>
  <c r="H21" i="4"/>
  <c r="G21" i="4"/>
  <c r="F21" i="4"/>
  <c r="E21" i="4"/>
  <c r="D21" i="4"/>
  <c r="C21" i="4"/>
  <c r="B21" i="4"/>
  <c r="I20" i="4"/>
  <c r="H20" i="4"/>
  <c r="G20" i="4"/>
  <c r="F20" i="4"/>
  <c r="E20" i="4"/>
  <c r="D20" i="4"/>
  <c r="C20" i="4"/>
  <c r="B20" i="4"/>
  <c r="I19" i="4"/>
  <c r="H19" i="4"/>
  <c r="G19" i="4"/>
  <c r="F19" i="4"/>
  <c r="E19" i="4"/>
  <c r="D19" i="4"/>
  <c r="C19" i="4"/>
  <c r="B19" i="4"/>
  <c r="I18" i="4"/>
  <c r="H18" i="4"/>
  <c r="G18" i="4"/>
  <c r="F18" i="4"/>
  <c r="E18" i="4"/>
  <c r="D18" i="4"/>
  <c r="C18" i="4"/>
  <c r="B18" i="4"/>
  <c r="I17" i="4"/>
  <c r="H17" i="4"/>
  <c r="G17" i="4"/>
  <c r="F17" i="4"/>
  <c r="E17" i="4"/>
  <c r="D17" i="4"/>
  <c r="C17" i="4"/>
  <c r="B17" i="4"/>
  <c r="I16" i="4"/>
  <c r="H16" i="4"/>
  <c r="G16" i="4"/>
  <c r="F16" i="4"/>
  <c r="E16" i="4"/>
  <c r="D16" i="4"/>
  <c r="C16" i="4"/>
  <c r="B16" i="4"/>
  <c r="I15" i="4"/>
  <c r="H15" i="4"/>
  <c r="G15" i="4"/>
  <c r="F15" i="4"/>
  <c r="E15" i="4"/>
  <c r="D15" i="4"/>
  <c r="C15" i="4"/>
  <c r="B15" i="4"/>
  <c r="I14" i="4"/>
  <c r="H14" i="4"/>
  <c r="G14" i="4"/>
  <c r="F14" i="4"/>
  <c r="E14" i="4"/>
  <c r="D14" i="4"/>
  <c r="C14" i="4"/>
  <c r="B14" i="4"/>
  <c r="I13" i="4"/>
  <c r="H13" i="4"/>
  <c r="G13" i="4"/>
  <c r="F13" i="4"/>
  <c r="E13" i="4"/>
  <c r="D13" i="4"/>
  <c r="C13" i="4"/>
  <c r="B13" i="4"/>
  <c r="I12" i="4"/>
  <c r="H12" i="4"/>
  <c r="G12" i="4"/>
  <c r="F12" i="4"/>
  <c r="E12" i="4"/>
  <c r="D12" i="4"/>
  <c r="C12" i="4"/>
  <c r="B12" i="4"/>
  <c r="I11" i="4"/>
  <c r="H11" i="4"/>
  <c r="G11" i="4"/>
  <c r="F11" i="4"/>
  <c r="E11" i="4"/>
  <c r="D11" i="4"/>
  <c r="C11" i="4"/>
  <c r="B11" i="4"/>
  <c r="I10" i="4"/>
  <c r="H10" i="4"/>
  <c r="G10" i="4"/>
  <c r="F10" i="4"/>
  <c r="E10" i="4"/>
  <c r="D10" i="4"/>
  <c r="C10" i="4"/>
  <c r="B10" i="4"/>
  <c r="I9" i="4"/>
  <c r="H9" i="4"/>
  <c r="G9" i="4"/>
  <c r="F9" i="4"/>
  <c r="E9" i="4"/>
  <c r="D9" i="4"/>
  <c r="C9" i="4"/>
  <c r="B9" i="4"/>
  <c r="I8" i="4"/>
  <c r="H8" i="4"/>
  <c r="G8" i="4"/>
  <c r="F8" i="4"/>
  <c r="E8" i="4"/>
  <c r="D8" i="4"/>
  <c r="C8" i="4"/>
  <c r="B8" i="4"/>
  <c r="I7" i="4"/>
  <c r="H7" i="4"/>
  <c r="G7" i="4"/>
  <c r="F7" i="4"/>
  <c r="E7" i="4"/>
  <c r="D7" i="4"/>
  <c r="C7" i="4"/>
  <c r="B7" i="4"/>
  <c r="I6" i="4"/>
  <c r="H6" i="4"/>
  <c r="G6" i="4"/>
  <c r="F6" i="4"/>
  <c r="E6" i="4"/>
  <c r="D6" i="4"/>
  <c r="C6" i="4"/>
  <c r="B6" i="4"/>
  <c r="I5" i="4"/>
  <c r="H5" i="4"/>
  <c r="G5" i="4"/>
  <c r="F5" i="4"/>
  <c r="E5" i="4"/>
  <c r="D5" i="4"/>
  <c r="C5" i="4"/>
  <c r="B5" i="4"/>
  <c r="I4" i="4"/>
  <c r="H4" i="4"/>
  <c r="G4" i="4"/>
  <c r="F4" i="4"/>
  <c r="E4" i="4"/>
  <c r="D4" i="4"/>
  <c r="C4" i="4"/>
  <c r="B4" i="4"/>
  <c r="A38" i="7" l="1"/>
  <c r="I37" i="7"/>
  <c r="H37" i="7"/>
  <c r="G37" i="7"/>
  <c r="F37" i="7"/>
  <c r="E37" i="7"/>
  <c r="D37" i="7"/>
  <c r="C37" i="7"/>
  <c r="B37"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A4" i="7"/>
  <c r="A3" i="7"/>
  <c r="I2" i="7"/>
  <c r="H2" i="7"/>
  <c r="G2" i="7"/>
  <c r="F2" i="7"/>
  <c r="E2" i="7"/>
  <c r="D2" i="7"/>
  <c r="C2" i="7"/>
  <c r="B2" i="7"/>
  <c r="A2" i="7"/>
  <c r="A70" i="8"/>
  <c r="G69" i="8"/>
  <c r="F69" i="8"/>
  <c r="E69" i="8"/>
  <c r="D69" i="8"/>
  <c r="C69" i="8"/>
  <c r="B69"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 r="A3" i="8"/>
  <c r="G2" i="8"/>
  <c r="F2" i="8"/>
  <c r="E2" i="8"/>
  <c r="D2" i="8"/>
  <c r="C2" i="8"/>
  <c r="B2" i="8"/>
  <c r="A2" i="8"/>
  <c r="A94" i="5"/>
  <c r="I93" i="5"/>
  <c r="H93" i="5"/>
  <c r="G93" i="5"/>
  <c r="F93" i="5"/>
  <c r="E93" i="5"/>
  <c r="D93" i="5"/>
  <c r="C93" i="5"/>
  <c r="B93"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1" i="5"/>
  <c r="A10" i="5"/>
  <c r="A9" i="5"/>
  <c r="A8" i="5"/>
  <c r="A7" i="5"/>
  <c r="A6" i="5"/>
  <c r="A5" i="5"/>
  <c r="A4" i="5"/>
  <c r="A2" i="5"/>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1" i="4"/>
  <c r="A10" i="4"/>
  <c r="A9" i="4"/>
  <c r="A7" i="4"/>
  <c r="A6" i="4"/>
  <c r="A5" i="4"/>
  <c r="A2" i="4"/>
</calcChain>
</file>

<file path=xl/sharedStrings.xml><?xml version="1.0" encoding="utf-8"?>
<sst xmlns="http://schemas.openxmlformats.org/spreadsheetml/2006/main" count="6652" uniqueCount="1162">
  <si>
    <t>label</t>
  </si>
  <si>
    <t>rw_</t>
  </si>
  <si>
    <t>sew_</t>
  </si>
  <si>
    <t>lw_</t>
  </si>
  <si>
    <t>uw_</t>
  </si>
  <si>
    <t>nw_</t>
  </si>
  <si>
    <t>r_</t>
  </si>
  <si>
    <t>se_</t>
  </si>
  <si>
    <t>l_</t>
  </si>
  <si>
    <t>u_</t>
  </si>
  <si>
    <t>n_</t>
  </si>
  <si>
    <t>model</t>
  </si>
  <si>
    <t>era</t>
  </si>
  <si>
    <t>cat</t>
  </si>
  <si>
    <t>method</t>
  </si>
  <si>
    <t>era_num</t>
  </si>
  <si>
    <t>r, weighted</t>
  </si>
  <si>
    <t>std error, weighted</t>
  </si>
  <si>
    <t>lower bound of 95% CI, weighted</t>
  </si>
  <si>
    <t>upper bound of 95% CI, weighted</t>
  </si>
  <si>
    <t>number of estimates</t>
  </si>
  <si>
    <t>r, unweighted</t>
  </si>
  <si>
    <t>std error, unweighted</t>
  </si>
  <si>
    <t>lower bound of 95% CI, unweighted</t>
  </si>
  <si>
    <t>upper bound of 95% CI, unweighted</t>
  </si>
  <si>
    <t>all</t>
  </si>
  <si>
    <t>jim</t>
  </si>
  <si>
    <t>child education</t>
  </si>
  <si>
    <t>jim_ed</t>
  </si>
  <si>
    <t>ed</t>
  </si>
  <si>
    <t>financial market</t>
  </si>
  <si>
    <t>jim_fm</t>
  </si>
  <si>
    <t>fm</t>
  </si>
  <si>
    <t>higher education</t>
  </si>
  <si>
    <t>jim_he</t>
  </si>
  <si>
    <t>he</t>
  </si>
  <si>
    <t>housing market</t>
  </si>
  <si>
    <t>jim_hm</t>
  </si>
  <si>
    <t>hm</t>
  </si>
  <si>
    <t>law enforcement</t>
  </si>
  <si>
    <t>jim_le</t>
  </si>
  <si>
    <t>le</t>
  </si>
  <si>
    <t>labor market</t>
  </si>
  <si>
    <t>jim_lm</t>
  </si>
  <si>
    <t>lm</t>
  </si>
  <si>
    <t>mate selection</t>
  </si>
  <si>
    <t>jim_ms</t>
  </si>
  <si>
    <t>ms</t>
  </si>
  <si>
    <t>voting</t>
  </si>
  <si>
    <t>jim_vo</t>
  </si>
  <si>
    <t>vo</t>
  </si>
  <si>
    <t>audit</t>
  </si>
  <si>
    <t>jim_aud</t>
  </si>
  <si>
    <t>aud</t>
  </si>
  <si>
    <t>success rate</t>
  </si>
  <si>
    <t>jim_hit</t>
  </si>
  <si>
    <t>hit</t>
  </si>
  <si>
    <t>model-adjusted</t>
  </si>
  <si>
    <t>jim_mod</t>
  </si>
  <si>
    <t>mod</t>
  </si>
  <si>
    <t>observe disparity</t>
  </si>
  <si>
    <t>jim_obs</t>
  </si>
  <si>
    <t>obs</t>
  </si>
  <si>
    <t>policy</t>
  </si>
  <si>
    <t>jim_pol</t>
  </si>
  <si>
    <t>pol</t>
  </si>
  <si>
    <t>survey</t>
  </si>
  <si>
    <t>jim_srv</t>
  </si>
  <si>
    <t>srv</t>
  </si>
  <si>
    <t>civ</t>
  </si>
  <si>
    <t>civ_ed</t>
  </si>
  <si>
    <t>civ_fm</t>
  </si>
  <si>
    <t>civ_he</t>
  </si>
  <si>
    <t>civ_hm</t>
  </si>
  <si>
    <t>civ_le</t>
  </si>
  <si>
    <t>civ_lm</t>
  </si>
  <si>
    <t>civ_ms</t>
  </si>
  <si>
    <t>civ_vo</t>
  </si>
  <si>
    <t>civ_aud</t>
  </si>
  <si>
    <t>civ_hit</t>
  </si>
  <si>
    <t>civ_mod</t>
  </si>
  <si>
    <t>civ_obs</t>
  </si>
  <si>
    <t>civ_pol</t>
  </si>
  <si>
    <t>civ_srv</t>
  </si>
  <si>
    <t>now</t>
  </si>
  <si>
    <t>now_ed</t>
  </si>
  <si>
    <t>now_fm</t>
  </si>
  <si>
    <t>now_he</t>
  </si>
  <si>
    <t>now_hm</t>
  </si>
  <si>
    <t>now_le</t>
  </si>
  <si>
    <t>now_lm</t>
  </si>
  <si>
    <t>now_ms</t>
  </si>
  <si>
    <t>now_vo</t>
  </si>
  <si>
    <t>now_aud</t>
  </si>
  <si>
    <t>now_hit</t>
  </si>
  <si>
    <t>now_mod</t>
  </si>
  <si>
    <t>now_obs</t>
  </si>
  <si>
    <t>now_pol</t>
  </si>
  <si>
    <t>now_srv</t>
  </si>
  <si>
    <t>Restricted to 1964 and later</t>
  </si>
  <si>
    <t>observed disparity</t>
  </si>
  <si>
    <t>self-reported</t>
  </si>
  <si>
    <t>education</t>
  </si>
  <si>
    <t>n</t>
  </si>
  <si>
    <t>Absolute t-stat</t>
  </si>
  <si>
    <t>T-stat</t>
  </si>
  <si>
    <t>Jim Crow</t>
  </si>
  <si>
    <t>Post-Civil Rights era</t>
  </si>
  <si>
    <t>21st century</t>
  </si>
  <si>
    <t>Supplementary Data Table 1. Mean era-level discrimation estimates (as r-values), along with standard errors and 95% confidence intervals overall, by domain, by by method</t>
  </si>
  <si>
    <t>Post civil-rights era (omitted category is Jim Crow era)</t>
  </si>
  <si>
    <t>21st Century (omitted category is Jim Crow era)</t>
  </si>
  <si>
    <t>Percent negative and significant (anti-White)</t>
  </si>
  <si>
    <t>Percent positive and significant (anti-Black)</t>
  </si>
  <si>
    <t>Cumulative studies with significant negative result (anti-White)</t>
  </si>
  <si>
    <t>Cumulative studies with significant positive result (anti-Black)</t>
  </si>
  <si>
    <t>year</t>
  </si>
  <si>
    <t>desirability_of_outcome</t>
  </si>
  <si>
    <t>domain</t>
  </si>
  <si>
    <t>subdomain</t>
  </si>
  <si>
    <t>measure</t>
  </si>
  <si>
    <t>sample</t>
  </si>
  <si>
    <t>units</t>
  </si>
  <si>
    <t>relevant_subgroup</t>
  </si>
  <si>
    <t>mean_effect_of_black</t>
  </si>
  <si>
    <t>se_effect</t>
  </si>
  <si>
    <t>tstat</t>
  </si>
  <si>
    <t>parameters</t>
  </si>
  <si>
    <t>degree_freedom</t>
  </si>
  <si>
    <t>partial_r</t>
  </si>
  <si>
    <t>fisher_z</t>
  </si>
  <si>
    <t>se_fisher</t>
  </si>
  <si>
    <t>up_bound_fisher</t>
  </si>
  <si>
    <t>low_bound_fisher</t>
  </si>
  <si>
    <t>var_r</t>
  </si>
  <si>
    <t>se_r</t>
  </si>
  <si>
    <t>up_bound</t>
  </si>
  <si>
    <t>low_bound</t>
  </si>
  <si>
    <t>comment</t>
  </si>
  <si>
    <t>citation</t>
  </si>
  <si>
    <t>literature</t>
  </si>
  <si>
    <t>category</t>
  </si>
  <si>
    <t>how race indictated</t>
  </si>
  <si>
    <t>survey_item</t>
  </si>
  <si>
    <t>not_best_model</t>
  </si>
  <si>
    <t>structural_estimate</t>
  </si>
  <si>
    <t>regional</t>
  </si>
  <si>
    <t>bad</t>
  </si>
  <si>
    <t>driver behavior</t>
  </si>
  <si>
    <t>probability of yeilding to pedestrian</t>
  </si>
  <si>
    <t>how race affects yielding behavior of drivers</t>
  </si>
  <si>
    <t>attempt to cross street</t>
  </si>
  <si>
    <t>pedestrians</t>
  </si>
  <si>
    <t>Results from number of cars passing without yielding in unmarked crosswalk. Other results are similar. Ttesti command calculated in STATA to test for differences by race, pooled across gender.</t>
  </si>
  <si>
    <t>Kahn, K. B., McMahon, J., Goddard, T. B., &amp; Adkins, A. (2017). Racial Bias in Drivers' Yielding Behavior at Crosswalks: Understanding the Effect (No. NITC-RR-869). National Institute for Transportation and Communities.</t>
  </si>
  <si>
    <t>actual</t>
  </si>
  <si>
    <t>good</t>
  </si>
  <si>
    <t>Pre-Civil War era</t>
  </si>
  <si>
    <t>access to public education</t>
  </si>
  <si>
    <t>Black and White enrollment rate differences among elementary and middle-school-aged children</t>
  </si>
  <si>
    <t>Black and White children aged 6 to 13</t>
  </si>
  <si>
    <t>children in U.S. south</t>
  </si>
  <si>
    <t xml:space="preserve">Enrollment rate for Black vs White children of school-age 6-13 as indicator of discrimination in access to public schooling </t>
  </si>
  <si>
    <t>Steven Ruggles, Sarah Flood, Matthew Sobek, Daniel Backman, Annie Chen, Grace Cooper, Stephanie Richards, Renae Rodgers, and Megan Schouweiler. IPUMS USA: Version 15.0 [Decennial Census from 1850-2010 and 2023 American Community Survey]. Minneapolis, MN: IPUMS, 2024. https://doi.org/10.18128/D010.V15.0</t>
  </si>
  <si>
    <t>children</t>
  </si>
  <si>
    <t>children outside U.S. south</t>
  </si>
  <si>
    <t>Post-Civil War era</t>
  </si>
  <si>
    <t>public education acces</t>
  </si>
  <si>
    <t>Equality of public education facilities</t>
  </si>
  <si>
    <t>White adults</t>
  </si>
  <si>
    <t>students</t>
  </si>
  <si>
    <t>Estimated effect using Survey/audit algorithm. Assumes 80-20 Black White split in population of 100,000.</t>
  </si>
  <si>
    <t>Gallup Organization</t>
  </si>
  <si>
    <t>self-reported discrimination</t>
  </si>
  <si>
    <t>the u.s. supreme court has ruled that racial segregation in the public schools is illegal. this means that all children no matter what their race, must be allowed to go to the same schools. do you approve or disapprove of this decision?</t>
  </si>
  <si>
    <t>public education spending per student</t>
  </si>
  <si>
    <t>Within state gap in White vs Black school funding per pupil</t>
  </si>
  <si>
    <t>states</t>
  </si>
  <si>
    <t>Mean black-white spending per pupil within states</t>
  </si>
  <si>
    <t>U.S. Department of Education</t>
  </si>
  <si>
    <t>Equality of public education spending</t>
  </si>
  <si>
    <t>Constructed hypothetical database from summary survey data. Database assumes 100 candidates are being rated as acceptable or not. Half are Black and half are White. The percent of Black candidates rated as acceptable equals one minus the discrimination rate. All White candidates are deemed acceptable, given the nature of the question. The model regresses candidate acceptability on Black race.</t>
  </si>
  <si>
    <t>Citation: Office of Public Opinion Research. OPOR Poll # 1940-301: Youth and Education, Question 17. USOPOR.40-301.Q11. Office of Public Opinion Research. Cornell University, Ithaca, NY: Roper Center for Public Opinion Research, 1940. Web. Jul-10-1940.</t>
  </si>
  <si>
    <t>Do you think that the same amount of tax money should be spent in this state for the education of a Negro child as for a white child?</t>
  </si>
  <si>
    <t>National Opinion Research Center (NORC)</t>
  </si>
  <si>
    <t>do you think negroes in this town should have the same chance as white people to get a good education?</t>
  </si>
  <si>
    <t>Shores, Kenneth A., Hojung Lee, and Elinor Williams. (2022). The Distribution of School Resources in The United States: A Comparative Analysis Across Levels of Governance, Student Sub-groups, And Educational Resources . (EdWorkingPaper: 21 -443). Retrieved from Annenberg Institute at Brown University: https://doi.org/10.26300/58f3-6v39</t>
  </si>
  <si>
    <t>school integregation</t>
  </si>
  <si>
    <t>Acceptability of Black students at White schools</t>
  </si>
  <si>
    <t>Constructed hypothetical database from summary survey data. Database assumes 100000 students are being rated as acceptable or not. 20% are Black and 80% are White. The percent of Black studentss rated as acceptable equals one minus the discrimination rate. All White students are deemed acceptable, given the nature of the question. The model regresses candidate acceptability on Black race.</t>
  </si>
  <si>
    <t>do you think white students and negro students should go to the same schools or to separate schools?</t>
  </si>
  <si>
    <t>training</t>
  </si>
  <si>
    <t>how race affects eligibility for training prorgram</t>
  </si>
  <si>
    <t>Training courses in defense industry jobs</t>
  </si>
  <si>
    <t>Southern training courses</t>
  </si>
  <si>
    <t xml:space="preserve">Data from text, converted into hypothetical database in which the outcome is acceptability of a trainee for a training program. "Out of 4,630 training courses in southern states, only 194 were open to Negro trainees." Assume 4630 courses, each listed twice in a database in there are 9260 training candidates (half Black and half White). Assign value of 1 to "acceptable" for all White candidates, because all courses are open to White adults. Assign value of 1 to 194 of the courses that match Black candidates and calculate correlation between Black and acceptability. </t>
  </si>
  <si>
    <t>Granger, L. B. (1942). Barriers to Negro war employment. The Annals of the American Academy of Political and Social Science, 223(1), 72-80.</t>
  </si>
  <si>
    <t>education outcome</t>
  </si>
  <si>
    <t>systemic effect of jim crow</t>
  </si>
  <si>
    <t>how exposure to Jim Crow affected outcomes</t>
  </si>
  <si>
    <t>years of education</t>
  </si>
  <si>
    <t>Black males</t>
  </si>
  <si>
    <t>Results from Table 1</t>
  </si>
  <si>
    <t>Althoff, L., &amp; Reichardt, H. (2024). Jim Crow and Black economic progress after slavery. The Quarterly Journal of Economics, 139(4), 2279-2330.</t>
  </si>
  <si>
    <t>total effect from slavery</t>
  </si>
  <si>
    <t>2005-2017</t>
  </si>
  <si>
    <t>automobile loan</t>
  </si>
  <si>
    <t>Effect of Black race on probability of loan approval for an automobile, conditional on credit worthiness</t>
  </si>
  <si>
    <t>car loan applicants</t>
  </si>
  <si>
    <t>consumers</t>
  </si>
  <si>
    <t>Data from Table 4, column 3, which isolates Black race</t>
  </si>
  <si>
    <t>Butler, A. W., Mayer, E. J., &amp; Weston, J. P. (2023). Racial disparities in the auto loan market. The Review of Financial Studies, 36(1), 1-41.</t>
  </si>
  <si>
    <t>Dept of Agriculture farm ownership (FO) loans to famers</t>
  </si>
  <si>
    <t>Effect of race on creditworthiness threshold, as implied by default rate on laons</t>
  </si>
  <si>
    <t>farms</t>
  </si>
  <si>
    <t>entrepreneurs</t>
  </si>
  <si>
    <t>Table 4, column 3, showing higher default rates for Black borrowers</t>
  </si>
  <si>
    <t>Dodson, C. B. (2013). Racial/Ethnic Discrimination in USDA’s Direct Farm Lending Programs. In 2013 Annual Meeting, August 4-6, 2013, Washington, DC (No. 150492). Agricultural and Applied Economics Association.</t>
  </si>
  <si>
    <t>Dept of Agriculture operating loans (OL) to famers</t>
  </si>
  <si>
    <t>Table 3, column 1, showing higher default rates for Black borrowers</t>
  </si>
  <si>
    <t>investors</t>
  </si>
  <si>
    <t>Effect of race on probability of getting a project funded on Kickstarter</t>
  </si>
  <si>
    <t>start-up businesses</t>
  </si>
  <si>
    <t>Column 3 from Table 2</t>
  </si>
  <si>
    <t>Younkin, Peter, and Venkat Kuppuswamy. "The colorblind crowd? Founder race and performance in crowdfunding." Management Science 64, no. 7 (2018): 3269-3287.</t>
  </si>
  <si>
    <t>photograph</t>
  </si>
  <si>
    <t>small business owner loan application</t>
  </si>
  <si>
    <t>Effect of race on probability of business loan denial</t>
  </si>
  <si>
    <t>businesses</t>
  </si>
  <si>
    <t>Table 3, column 1, model 5 of top panel</t>
  </si>
  <si>
    <t>Blanchflower, David G., Phillip B. Levine, and David J. Zimmerman. "Discrimination in the small-business credit market." Review of Economics and Statistics 85, no. 4 (2003): 930-943.</t>
  </si>
  <si>
    <t>Table 2, column 1 new loan denial rate in 1998. Std error imputed from p-value (assume 2.6 t-stat)</t>
  </si>
  <si>
    <t>Asiedu, Elizabeth, James A. Freeman, and Akwasi Nti-Addae. "Access to credit by small businesses: How relevant are race, ethnicity, and gender?." American Economic Review 102, no. 3 (2012): 532-537.</t>
  </si>
  <si>
    <t>Effect of race on interest rate of business loan</t>
  </si>
  <si>
    <t>Table 2, column 4 interest rates charged on loan in 1998</t>
  </si>
  <si>
    <t>Table 3, column 1, model 7 of second panel</t>
  </si>
  <si>
    <t>Table 2, column 2 new loan denial rate in 2003. Std error imputed from p-value (assume 2.6 t-stat)</t>
  </si>
  <si>
    <t>Table 2, column 5 interest rates charged on loan in 2003</t>
  </si>
  <si>
    <t>Table 7, col 6</t>
  </si>
  <si>
    <t>Blanchflower, David G. "Minority self-employment in the United States and the impact of affirmative action programs." Annals of Finance 5, no. 3 (2009): 361-396.</t>
  </si>
  <si>
    <t>government services</t>
  </si>
  <si>
    <t>local government response to inquiry</t>
  </si>
  <si>
    <t>how race affects probability of email reply from local government worker</t>
  </si>
  <si>
    <t>correpondence with government employee</t>
  </si>
  <si>
    <t>citizen inquiry</t>
  </si>
  <si>
    <t>Results from last column in Table 3</t>
  </si>
  <si>
    <t>Giulietti, C., Tonin, M., &amp; Vlassopoulos, M. (2019). Racial discrimination in local public services: A field experiment in the United States. Journal of the European Economic Association, 17(1), 165–204</t>
  </si>
  <si>
    <t>stereotypical names</t>
  </si>
  <si>
    <t>military service</t>
  </si>
  <si>
    <t>Acceptability of Black soldiers serving in same unit as White soldiers</t>
  </si>
  <si>
    <t>soldiers</t>
  </si>
  <si>
    <t>Citation: Gallup Organization. Gallup Poll # 419, Question 42. USGALLUP.419.QT06A. Gallup Organization. Cornell University, Ithaca, NY: Roper Center for Public Opinion Research, 1948. Web. May-28-1948.</t>
  </si>
  <si>
    <t>IT HAS BEEN SUGGESTED THAT WHITE AND COLORED MEN SERVE TOGETHER THROUGHOUT THE U.S. (UNITED STATES) ARMED SERVICES--THAT IS, LIVE AND WORK IN THE SAME UNITS. DO YOU THINK THIS IS A GOOD IDEA OR A POOR IDEA?</t>
  </si>
  <si>
    <t>healthcare</t>
  </si>
  <si>
    <t>hospital admissions</t>
  </si>
  <si>
    <t>whether Black patients could be admitted to New York City hospitals</t>
  </si>
  <si>
    <t>Discriminatory policy by hospital in New York City</t>
  </si>
  <si>
    <t>patients</t>
  </si>
  <si>
    <t>Assumes 10 out of 29 hospitals in New York Citry forbid Black admission. Database models acceptability of patients as a function of race.</t>
  </si>
  <si>
    <t>National Medical Association, https://nmanet.org/nma-history/, accessed Jan 20, 2025</t>
  </si>
  <si>
    <t>treatment centers</t>
  </si>
  <si>
    <t>How race affects accessibility by policy</t>
  </si>
  <si>
    <t>Private agencies providing social services and treatment for disabled or vulnerable populations</t>
  </si>
  <si>
    <t>people in need</t>
  </si>
  <si>
    <t>A survey of agencies report recorded the policy of 809 private social agencies, findings that 2/3 did not allow Black people</t>
  </si>
  <si>
    <t>Irene Graham, "Six Months of the 'South Side Survey,' July 1 to December 20, 1930." p 8 with records of Joint Committee on the Survey of Agencies Serving Negro Community, in Julius Rosenwald Papers, UCL "Report of the Committee on South Siude Survey of Social Agencies, Chicago 1930, p 2'' Referenced in Thomas Lee Philptt. 1991. The Slum and the Ghetto: Immigrants, Blacks, and Reformers in Chicago, 1880-1930 (Wadsworth Publishing, Belmont, CA), p 411.</t>
  </si>
  <si>
    <t>Private serivice agencies, such as hospitals, sanitariums, homes for people with disabilities, the Salvation Army, YMCA, hotels, etc, were recorded in a report as accessible to negroes or not. Philpott counted 1/3 (264 of 809) as accessiable (2/3 discriminated), though says this likely exaggerates the number somewhat becuase limited information was available.</t>
  </si>
  <si>
    <t>college admissions</t>
  </si>
  <si>
    <t>Effect of race on college admission</t>
  </si>
  <si>
    <t>colllege applicants</t>
  </si>
  <si>
    <t>colllege applicants to 10 selective colleges in USA</t>
  </si>
  <si>
    <t>Correlation is calculated from Odds ratio, shown in Table 7. Odds ratio is converted to log odds ratio and then Cohen's d and r, using formulas in Cooper et al.</t>
  </si>
  <si>
    <t>Espenshade, Thomas J., Chang Y. Chung, and Joan L. Walling. "Admission preferences for minority students, athletes, and legacies at elite universities." Social Science Quarterly 85, no. 5 (2004): 1422-1446.</t>
  </si>
  <si>
    <t>college applicants to top quintile of selective schools</t>
  </si>
  <si>
    <t>Data from Table 12-2</t>
  </si>
  <si>
    <t>Kane, T. J. (1998). Racial and ethnic preferences in college admissions. Ohio St. LJ, 59, 971.</t>
  </si>
  <si>
    <t>law school applicants</t>
  </si>
  <si>
    <t>colllege applicants to law school in the USA</t>
  </si>
  <si>
    <t>Data from introduction. Eventual passage rates are 97% for White students and 78% for Black students</t>
  </si>
  <si>
    <t>Linda F Wightman. LSAC National Longitudinal Bar Passage Study. LSAC Research Report Series, 1998, https://archive.lawschooltransparency.com/reform/projects/investigations/2015/documents/NLBPS.pdf</t>
  </si>
  <si>
    <t>colllege applicants to Harvard</t>
  </si>
  <si>
    <t>Column 2 from Table A2</t>
  </si>
  <si>
    <t>Arcidiacono, P., Kinsler, J., &amp; Ransom, T. (2023). What the Students for Fair Admissions Cases Reveal About Racial Preferences. Journal of Political Economy Microeconomics, 1(4), 615-668.</t>
  </si>
  <si>
    <t>Column 3 from Table 7</t>
  </si>
  <si>
    <t>colllege applicants to UNC</t>
  </si>
  <si>
    <t>Column 6 from Table 7</t>
  </si>
  <si>
    <t>Data from American Bar Association, using 2-year ultimate passage rate for students completing law school in 2021</t>
  </si>
  <si>
    <t>American Bar Association, 2023-2024 SUMMARY BAR PASS DATA: RACE, ETHNICITY, AND GENDER, available https://www.americanbar.org/content/dam/aba/administrative/legal_education_and_admissions_to_the_bar/statistics/2024/summary-race-ethnicity-gender.pdf</t>
  </si>
  <si>
    <t>faculty hiring based on affirmative action</t>
  </si>
  <si>
    <t>How White race affects whether well-qualified candidates are deemed acceptable for hiring</t>
  </si>
  <si>
    <t>Applicants to university professor positions at the University of Colorado, Boulder</t>
  </si>
  <si>
    <t>workers</t>
  </si>
  <si>
    <t>Of 18 recent non-spousal hires at the Univ of Colorado College of Arts and Sciences, the dean estimated that 90% (16 of 18) are from the discriminatory program aimed at not hiring White people, https://drive.google.com/file/d/1PW6i4ht2WpqKDLXcifYPCQHvl0vFe0cf/view. "Through the program, the university brazenly prompted departments to select faculty based on race," according to records obtained from a Freedom of Information Act request. the number of applicants was assumed to be 2X the number of hires</t>
  </si>
  <si>
    <t>John Sailer and Louis Galarowicz, "How DEI Conquered the University of Colorado Trump’s order against the practice is a crucial step in restoring the purpose of higher education" Jan. 26, 2025, https://www.wsj.com/opinion/how-dei-conquered-the-university-of-colorado-boulder-discrimination-hiring-professors-0c306a9e</t>
  </si>
  <si>
    <t>Applicants to university professor positions at the University of Illinois</t>
  </si>
  <si>
    <t>In September 2022, the Department of Industrial Engineering at the University of Illinois Chicago (UIC) made a bold promise to the school’s Office of Diversity, Equity, and Engagement: From then on, the department said, 50 percent of all faculty hires would be either women or minorities. The relevant program to which the dept applied lists 27 scholars hired by this initiative. The number of applicants was assumed to be at least 2X.</t>
  </si>
  <si>
    <t>Aaron Sibarium, "Race-Based Hiring Programs Persist at Public Universities. Here's How." The Washington Free Beacon, November 26, 2024, available https://freebeacon.com/campus/inside-a-public-universitys-race-based-hiring-program/. Further evidence is here: https://diversity.uic.edu/initiatives/bridge-to-faculty/. Data on the number of applicants hired under this process were available here: https://diversity.uic.edu/initiatives/bridge-to-faculty/</t>
  </si>
  <si>
    <t>medical school admissions</t>
  </si>
  <si>
    <t>whether Black students could be admitted to medical school</t>
  </si>
  <si>
    <t>Discriminatory policy by medical schools in U.S. South</t>
  </si>
  <si>
    <t>medical students</t>
  </si>
  <si>
    <t>Assumes 24 out of 26 schools forbid Black admission, based on number of medical schools in South, following Civil Rights Act. Analysis considers potential Black candidates and predict acceptability.</t>
  </si>
  <si>
    <t>Assumes 0 out of 26 schools forbid Black admission, based on number of medical schools in South, following Civil Rights Act. Analysis considers potential Black candidates and predict acceptability.</t>
  </si>
  <si>
    <t>racial integration at colleges</t>
  </si>
  <si>
    <t>Acceptability of Black students at large Southern land-grant college</t>
  </si>
  <si>
    <t>White students</t>
  </si>
  <si>
    <t>college students at land grant college</t>
  </si>
  <si>
    <t>Used survey/policy algorithm to create pseudo-database and estimate r. Database assumes 80% White population share. The survey shows that 47% of surveyed White college students at a large land-grant school in the South would reject the attendance of even a few Black students. I assume 90% White population in hypothetical database, given the survey pertains to only a few students</t>
  </si>
  <si>
    <t>Wilkerson, Doxey. "The Negro in American Education," p183-184. Quoted in p1421 of Myrdal, G. (1944). An American Dilemma. New York: Harper and Brothers.</t>
  </si>
  <si>
    <t>If a few Negroes are admitted by order of the court or legislature: How should the other students treat them: a) go out of the way to be friendly to them (0.4%); b) make no advanced but accept their presence in good grace (46%); c) can't say; not sure (7%); d) Deliberatrely ignore them so they'll feel they are not wanted (27%); e) Organize to make life miserable for them; try to force them to leave (20%)</t>
  </si>
  <si>
    <t>access to mortage loan</t>
  </si>
  <si>
    <t>Effect of race on probability of getting a response from an email about a mortgage loan application</t>
  </si>
  <si>
    <t>mortage applicants</t>
  </si>
  <si>
    <t>Data from Table 2</t>
  </si>
  <si>
    <t>Munnell, A. H., Tootell, G. M., Browne, L. E., &amp; McEneaney, J. (1996). Mortgage lending in Boston: Interpreting HMDA data. The American Economic Review, 25-53.</t>
  </si>
  <si>
    <t>Data from Table 2 predicted acceptance rate at a single bank (using a random sample of loan applications) and included many borrower financial charateristics</t>
  </si>
  <si>
    <t>Agarwal, S., Li, S., &amp; Mielnicki, L. (2003). Mortgages, minorities and discrimination: A bank-specific approach. Housing Studies, 18(3), 295-303.</t>
  </si>
  <si>
    <t>Recreated database with identical summary statistics to calculate effect size by regressing Black racial status on response from mortgage loan officer using data from Table 5, final columns. These are the best estimates because they adjust for mortgage loan officer fixed effects in response probability by comparing within the same officer.</t>
  </si>
  <si>
    <t>Hanson, Andrew, Zackary Hawley, Hal Martin, and Bo Liu. "Discrimination in mortgage lending: Evidence from a correspondence experiment." Journal of Urban Economics 92 (2016): 48-65.</t>
  </si>
  <si>
    <t>1987-1989</t>
  </si>
  <si>
    <t>Data from Table 3 predicting default rate by race. Higher default rate for Black borrowers suggests lower threshold for loan approval. Data are averaged across the three years and st errors are estimated from the p-value</t>
  </si>
  <si>
    <t>James A. Berkovec, Glenn B. Canner, Stuart A. Gabriel, Timothy H. Hannan. 1996. "Mortgage Discrimination and FHA Loan Performance," Cityscape: A Journal of Policy Development and Research 2 1. See also: James A. Berkovec, Glenn B. Canner, Stuart A. Gabriel, Timothy H. Hannan; Discrimination, Competition, and Loan Performance in FHA Mortgage Lending. The Review of Economics and Statistics 1998; 80 (2): 241–250. doi: https://doi.org/10.1162/003465398557483</t>
  </si>
  <si>
    <t>2000-2007</t>
  </si>
  <si>
    <t>appraised value of home</t>
  </si>
  <si>
    <t>Appraiser evalaution of home value</t>
  </si>
  <si>
    <t>Properties</t>
  </si>
  <si>
    <t>home owners</t>
  </si>
  <si>
    <t>Data from Table 3, column 1</t>
  </si>
  <si>
    <t>Ambrose, B. W., Conklin, J., Coulson, N. E., Diop, M., &amp; Lopez, L. A. (2022). Do Appraiser and Borrower Race Affect Valuation?. SSRN.</t>
  </si>
  <si>
    <t>2013-2021</t>
  </si>
  <si>
    <t>Effect of borrower race on appraiser evalaution of home value</t>
  </si>
  <si>
    <t>Black borrowers</t>
  </si>
  <si>
    <t>Estimated from primary models with property and neighborhood characteristics</t>
  </si>
  <si>
    <t>Rothwell J. 2024. Aggregate Discrimination in the Absence of Individual Discrimination: An Analysis of Home Appraisal Data (SSRN)</t>
  </si>
  <si>
    <t>Effect of Black neighborhood share of population on appraiser evalaution of home value</t>
  </si>
  <si>
    <t>black composition of neighborhood</t>
  </si>
  <si>
    <t>Black share of population</t>
  </si>
  <si>
    <t>high-interest loan</t>
  </si>
  <si>
    <t>Effect of race on probabilty of getting high interest loan</t>
  </si>
  <si>
    <t>mortgage loan applicants</t>
  </si>
  <si>
    <t>Table 3, column 7</t>
  </si>
  <si>
    <t>Bayer, Patrick, Fernando Ferreira, and Stephen L. Ross. "What drives racial and ethnic differences in high-cost mortgages? The role of high-risk lenders." The Review of Financial Studies 31, no. 1 (2018): 175-205.</t>
  </si>
  <si>
    <t>home or rental purchase</t>
  </si>
  <si>
    <t>Acceptability of Black people living near White people</t>
  </si>
  <si>
    <t>Fortune Magazine. Roper Fortune # 9: Roosevelt Balance Sheet/Tariffs/Negroes/Sex/General, Question 35. USROPER.39-009.QC04. The Roper Organization. Cornell University, Ithaca, NY: Roper Center for Public Opinion Research, 1939. Web. Sep-01-1939.</t>
  </si>
  <si>
    <t>Do you think...A. There should be laws compelling Negroes to live in certain districts, or B. There should be no laws, but there should be an unwritten understanding, baked up by social pressure, to keep Negroes out of the neighborhoods where white people live, or C. Negroes should be allowed to live wherever they want to live, and there should be no laws nor social pressure to keep them from it?</t>
  </si>
  <si>
    <t>Constructed hypothetical database from summary survey data. Database assumes 100000 candidates are being rated as acceptable or not. 80% White, 20% Black. The percent of Black candidates rated as acceptable equals one minus the discrimination rate, defined as percent say they would move. All White candidates are deemed acceptable, given the nature of the question. The model regresses candidate acceptability on Black race.</t>
  </si>
  <si>
    <t>if colored people came to live next door, would you move?</t>
  </si>
  <si>
    <t>Constructed hypothetical database from summary survey data. Database assumes 100000 candidates are being rated as acceptable or not. Half are Black and half are White. The percent of Black candidates rated as acceptable equals one minus the discrimination rate, defined as percent who agree that White people have the right to keep Black people out of their neighborhoods. All White candidates are deemed acceptable, given the nature of the question. The model regresses candidate acceptability on Black race.</t>
  </si>
  <si>
    <t>General Social Survey, National Opionion Research Center</t>
  </si>
  <si>
    <t>Here are some opinions other people have expressed in connection with (negro/black)-white relations. Which statement on the card comes closest to how you, yourself, feel?)... White people have a right to keep (negroes/blacks) out of their neighborhoods if they want to, and (negroes/blacks) should respect that right.</t>
  </si>
  <si>
    <t>home purchase</t>
  </si>
  <si>
    <t>Acceptability of Black neighbor</t>
  </si>
  <si>
    <t>Constructed hypothetical database from summary survey data. Database assumes 100000 candidates are being rated as acceptable or not. 80% White 20% Black. The percent of Black candidates rated as acceptable equals one minus the discrimination rate, defined as percent who agree that White people have the right to keep Black people out of their neighborhoods. All White candidates are deemed acceptable, given the nature of the question. The model regresses candidate acceptability on Black race.</t>
  </si>
  <si>
    <t>would it make any difference to you if a negro family moved in next door to you?</t>
  </si>
  <si>
    <t>Acceptability of Black buyer of your home</t>
  </si>
  <si>
    <t>Citation: Minneapolis Tribune. The Minnesota Poll: Politics/Race Relations, Question 23. 31093652.00023. Minneapolis Tribune. Cornell University, Ithaca, NY: Roper Center for Public Opinion Research, 1946. Web. Apr-23-1946.</t>
  </si>
  <si>
    <t xml:space="preserve">If you were selling your home and you were able to get a slightly better price from a Negro family than from some other would you sell it to them?  </t>
  </si>
  <si>
    <t>Minneapolis Tribune</t>
  </si>
  <si>
    <t>supposing a negro family moved into your neighborhood, would you treat them as you do your other neighborhood, would you try to have them moved out, or would you yourself move or wouldn't you care?</t>
  </si>
  <si>
    <t>if a negro with the same income and education as you have, moved into your block, would it make any difference to you?</t>
  </si>
  <si>
    <t>do you approve or disapprove of having white and negro families living in the same neighborhood in this state?</t>
  </si>
  <si>
    <t>interest rate</t>
  </si>
  <si>
    <t>Effect of race on interest rate</t>
  </si>
  <si>
    <t>Data from Quillian, L., Lee, J.J. &amp; Honoré, B. Racial Discrimination in the U.S. Housing and Mortgage Lending Markets: A Quantitative Review of Trends, 1976–2016. Race Soc Probl 12, 13–28 (2020). https://doi.org/10.1007/s12552-019-09276-x</t>
  </si>
  <si>
    <t>Bocian, D. G., Ernst, K. S., &amp; Li, W. (2008). Race, ethnicity and subprime home loan pricing. Journal of Economics and Business, 60(1–2), 110–124.</t>
  </si>
  <si>
    <t>Haughwout, A., Mayer, C., &amp; Tracy, J. (2009). Subprime Mortgage Pricing: The Impact of Race, Ethnicity, and Gender on the Cost of Borrowing. Brookings-Wharton Papers on Urban Affairs, 33–63.</t>
  </si>
  <si>
    <t>Been, V., Ellen, I., &amp; Madar, J. (2009). The High Cost of Segregation: Exploring Racial Disparities in High Cost Lending. Fordham Urban Law Journal, 36(3), 361–393.</t>
  </si>
  <si>
    <t>Faber, Jacob  W. (2013). Racial Dynamics of Subprime Mortgage Lending at the Peak. Housing Policy Debate, 23(2), 328–349. https://doi.org/10.1080/10511482.2013.771788</t>
  </si>
  <si>
    <t>Faber, Jacob William. (2018). Segregation and the Geography of Creditworthiness: Racial Inequality in a Recovered Mortgage Market. Housing Policy Debate, 28(2), 215–247. https://doi.org/10.1080/10511482.2017.1341944</t>
  </si>
  <si>
    <t>1976-1977</t>
  </si>
  <si>
    <t>Black, H., Schweitzer, R. L., &amp; Mandell, L. (1978). Discrimination in Mortgage Lending. American Economic Review, 68(2), 186–191.</t>
  </si>
  <si>
    <t>2000-2008</t>
  </si>
  <si>
    <t>Effect of race on risky loan</t>
  </si>
  <si>
    <t>Rugh, J. S., Albright, L., &amp; Massey, D. S. (2015). Race, Space, and Cumulative Disadvantage: A Case Study of the Subprime Lending Collapse. Social Problems, 62(2), 186–218. https://doi.org/10.1093/socpro/spv002</t>
  </si>
  <si>
    <t>2004-2007</t>
  </si>
  <si>
    <t>Data from Table 2 column 5 (top panel), fully specified model with lender fixed effects</t>
  </si>
  <si>
    <t>Bayer, P., Ferreira, F., &amp; Ross, S. L. (2018). What Drives Racial and Ethnic Differences in High-Cost Mortgages? The Role of High-Risk Lenders. The Review of Financial Studies, 31(1), 175–205</t>
  </si>
  <si>
    <t>refinance applicants</t>
  </si>
  <si>
    <t>Data from Table 2 column 5 (bottom panel), fully specified model with lender fixed effects</t>
  </si>
  <si>
    <t>2004-2013</t>
  </si>
  <si>
    <t>Delis, M. D., &amp; Papadopoulos, P. (2018). Mortgage Lending Discrimination Across the U.S.: New Methodology and New Evidence. Journal of Financial Services Research, 1–28.</t>
  </si>
  <si>
    <t xml:space="preserve">loan approval </t>
  </si>
  <si>
    <t>Effect of race on loan approval</t>
  </si>
  <si>
    <t>Miller, S. M. (1988). Discrimination in the Home-Mortgage Accept-Reject Decision: The Case of Hartford. Housing Finance Review, 7, 19–29.</t>
  </si>
  <si>
    <t>Schill, M. H., &amp; Wachter, S. M. (245AD). A Tale of Two Cities: Racial and Ethnic Geographic Disparities in Home Mortgage Lending in Boston and Philadelphia. Journal of Housing Research, 4(2), 1993.</t>
  </si>
  <si>
    <t>Effect of race on probability of getting information details from mortgage lender</t>
  </si>
  <si>
    <t>Table 3, information index, summed across cities. Analysis simulated using hypothetical database that matches the summary data. Pairs broken out into individual applicants N=153 X 2</t>
  </si>
  <si>
    <t>Ross, Stephen L., Margery Austin Turner, Erin Godfrey, and Robin R. Smith. "Mortgage lending in Chicago and Los Angeles: A paired testing study of the pre-application process." Journal of Urban Economics 63, no. 3 (2008): 902-919.</t>
  </si>
  <si>
    <t>1990-1992</t>
  </si>
  <si>
    <t>effect of race on mortgage approval</t>
  </si>
  <si>
    <t>Holloway, S. R. (1998). Exploring the Neighborhood Contingency of Race Discrimination in Mortgage Lending in Columbus, Ohio. Annals of the Association of American Geographers, 88(2), 252–276.</t>
  </si>
  <si>
    <t>1993-2000</t>
  </si>
  <si>
    <t>Ashton, P. (2008). Advantage or Disadvantage? The Changing Institutional Landscape of Underserved Mortgage Markets. Urban Affairs Review, 43(3), 352–402. https://doi.org/10.1177/1078087407306326</t>
  </si>
  <si>
    <t>Effect of race on housing loan</t>
  </si>
  <si>
    <t>rental price</t>
  </si>
  <si>
    <t>Effect of race on consumer willingness to spend</t>
  </si>
  <si>
    <t>Air B&amp;B rental price</t>
  </si>
  <si>
    <t>landlords</t>
  </si>
  <si>
    <t>Data from Table 3.</t>
  </si>
  <si>
    <t>Edelman, B. G., &amp; Luca, M. (2014). Digital discrimination: The case of Airbnb. com. Harvard Business School NOM Unit Working Paper, (14-054).</t>
  </si>
  <si>
    <t>restrictive covenants forbidding Black ownership of homes</t>
  </si>
  <si>
    <t>properties</t>
  </si>
  <si>
    <t>Sample of deeds</t>
  </si>
  <si>
    <t>Used survey/policy algorithm to create pseudo-database and estimate r. Database assumes 80% White population share.In her sample of 84 deeds, 48% had anti-Black covenants. Her data were obtained from members of the Home Building and Subdividers Division of the National Association of Real Estate Boards and the Chicago Real Estate Board (55 deeds). 29 deeds were taken from the Olmsted Brothers of Brookline, Massachusetts.</t>
  </si>
  <si>
    <t>Helen Monchow, The Use of Deed Restrictions in Subdivision Development. (Insitute for Research in Land Economics and Public Utiliteis, Chicago, 1928).</t>
  </si>
  <si>
    <t>Washington DC</t>
  </si>
  <si>
    <t>Used survey/policy algorithm to create pseudo-database and estimate r using 99% value. Database assumes 80% White population share. Residential associations such as the Federal of Citizens' Associations effectively forbid Black people from living in majority White areas. The 1948 Washington Real Estate Board Code of Ethics forbade renting or selling to Black people in White neighborhoods. OF the 30,000 new units built in the 1940s, just 200 were availabel for Black adults.</t>
  </si>
  <si>
    <t>Wendell E. Pritchett, “A National Issue: Segregation in the District of Columbia and the Civil Rights Movement at Mid-Century Civil Rights Movement at Mid-Century,” Georgetown Law Journal 93 (2005): 1328.</t>
  </si>
  <si>
    <t>1900-1947</t>
  </si>
  <si>
    <t>Kansas City</t>
  </si>
  <si>
    <t>Used survey/policy algorithm to create pseudo-database and estimate r. Database assumes 80% White population share. 77% of parecels were found to have covenants in Kansas City metro area</t>
  </si>
  <si>
    <t>Gotham, K. F. (2000). Urban space, restrictive covenants and the origins of racial residential segregation in a US city, 1900–50. International Journal of Urban and Regional Research, 24(3), 616-633.</t>
  </si>
  <si>
    <t>1900-1960</t>
  </si>
  <si>
    <t>Hennepin County</t>
  </si>
  <si>
    <t>Used survey/policy algorithm to create pseudo-database and estimate r. Database assumes 80% White population share. From the website: "The novel data on racial covenants in Hennepin County, Minnesota, comes from the Mapping Prejudice Project, providing a complete census of covenanted deeds in the county. The data collection involved at least five individuals examining every sale deed from 1900 to 1960 to confirm the presence or absence of racial covenants. Our baseline data is 2019 Hennepin county GIS parcel data.There are 435,765 parcels in total, out of which 418,953 are residential parcels." 5% were found to have covenants.</t>
  </si>
  <si>
    <t>Sood, Aradhya and E-Solberg, Kevin, The Long Shadow of Housing Discrimination: Evidence from Racial Covenants (August 30, 2024). Available at SSRN: https://ssrn.com/abstract=4606234 or http://dx.doi.org/10.2139/ssrn.4606234</t>
  </si>
  <si>
    <t>1920-1933</t>
  </si>
  <si>
    <t>Montgomery County</t>
  </si>
  <si>
    <t>Used survey/policy algorithm to create pseudo-database and estimate r. Database assumes 80% White population share. 53% of parecels were found to have covenants</t>
  </si>
  <si>
    <t>John Libertz, Rebeccah Ballo, and Jason Sartori. 2022. "Briefing on the Mapping Segregation Project" (Montgomery Planning), Attachment A, https://montgomeryplanning.org/wp-content/uploads/2022/12/Mapping-Segregation-Staff-Report-Attachment-A.pdf</t>
  </si>
  <si>
    <t>1925-1944</t>
  </si>
  <si>
    <t>Chicago</t>
  </si>
  <si>
    <t>Used survey/policy algorithm to create pseudo-database and estimate r using 10% value. Database assumes 80% White population share. Volunteers and researchers with the Chicago Covenants Project have searched through real estate index books covering approximately 20% of the City of Chicago. Since the project’s beginning in the Spring of 2021, we have located approximately 1000 covenants covering 100,000 parcels. I estimate this is 10% of properties in Chicago at the time of 1940, using data from Long and Johnson (1947).</t>
  </si>
  <si>
    <t>Numerator: Chicago Covenants Project, https://experience.arcgis.com/experience/32c7a747127e46dda110e82848286394/, accessed February 1, 2025. Denominator (housing units in Chicago in 1940) is from Herman Long and Charles S Johnson. People vs Property: Race Restrictive Covenants in Housing (Fisk University Pree, Nashville TN, 1947)</t>
  </si>
  <si>
    <t>1934-1948</t>
  </si>
  <si>
    <t>1938-1942</t>
  </si>
  <si>
    <t>New York counties: Queens, Nassau, and Westchester</t>
  </si>
  <si>
    <t>Used survey/policy algorithm to create pseudo-database and estimate r. Database assumes 80% White population share. 54.8% of parecels were found to have covenants</t>
  </si>
  <si>
    <t>John P. Dean. 1947. "Only Caucasian: A Study of Race Covenants"  The Journal of Land &amp; Public Utility Economics, Vol. 23, No. 4, pp. 428-432</t>
  </si>
  <si>
    <t>1949-1952</t>
  </si>
  <si>
    <t>Used survey/policy algorithm to create pseudo-database and estimate r. Database assumes 80% White population share. 18% of parecels were found to have covenants</t>
  </si>
  <si>
    <t>sale price</t>
  </si>
  <si>
    <t>Effect of Black neighborhood share of population on home value</t>
  </si>
  <si>
    <t>support for restrictive covenants</t>
  </si>
  <si>
    <t>Neighborhood Improvement Associations in Chicago and Detroit</t>
  </si>
  <si>
    <t>Community housing leaders in Chicago and Detroit</t>
  </si>
  <si>
    <t>Used survey/policy algorithm to create pseudo-database and estimate r. Database assumes 80% White population share. Table 12. Out of 45 organizations surveyed, 36 (60%) encouraged or supported covenants that prohibited Black people from buying homes in the area.</t>
  </si>
  <si>
    <t>Herman Long and Charles S Johnson. People vs Property: Race Restrictive Covenants in Housing (Fisk University Pree, Nashville TN, 1947)</t>
  </si>
  <si>
    <t>Are covenants encouraged or sponsored by your Neighborhood Improvement Association? No exact wording given.</t>
  </si>
  <si>
    <t>Community housing leaders</t>
  </si>
  <si>
    <t>Used survey/policy algorithm to create pseudo-database and estimate r. Database assumes 80% White population share. Table 13. 86.7% (39/45) said negroes were objectionable in the neighborhood. The next highest was Japanese (31%), followed by Jews (11.7%), Mexican (9.9%), and Italian (5.9). 21 of 45 said no groups were objectionable, aside from negroes</t>
  </si>
  <si>
    <t>Are negroes objectionable or not wanted in the neighborhood your association represents?</t>
  </si>
  <si>
    <t>transactions</t>
  </si>
  <si>
    <t>Effect of race on responsiveness of agent or seller to inequires</t>
  </si>
  <si>
    <t>prospective rental or home-purchase buyers</t>
  </si>
  <si>
    <t>Wienk, R. E. (1979). Measuring racial discrimination in American housing markets: The housing market practices survey (Vol. 444). Department of Housing and Urban Development, Office of Policy Development and Research, Division of Evaluation.</t>
  </si>
  <si>
    <t>James, Franklin J. "Urban economies: Trends, forces, and implications for the president's national urban policy." Cityscape (1995): 67-123.</t>
  </si>
  <si>
    <t>Massey, D. S., &amp; Lundy, G. (2001). Use of Black English and racial discrimination in urban housing markets: New methods and findings. Urban affairs review, 36(4), 452-469.</t>
  </si>
  <si>
    <t>Choi, S. J., Ondrich, J., &amp; Yinger, J. (2005). Do rental agents discriminate against minority customers? Evidence from the 2000 Housing Discrimination Study. Journal of Housing Economics, 14(1), 1-26.</t>
  </si>
  <si>
    <t>Carpusor, A. G., &amp; Loges, W. E. (2006). Rental discrimination and ethnicity in names 1. Journal of applied social psychology, 36(4), 934-952.</t>
  </si>
  <si>
    <t>Friedman, S., Squires, G. D., &amp; Galvan, C. (2010, May). Cybersegregation in Boston and Dallas: Is Neil a more desirable tenant than Tyrone or Jorge. In Population Association of America 2010 Annual Meeting. http://paa2010. princeton. edu.</t>
  </si>
  <si>
    <t>Hanson, A., &amp; Hawley, Z. (2011). Do landlords discriminate in the rental housing market? Evidence from an internet field experiment in US cities. Journal of urban Economics, 70(2-3), 99-114.</t>
  </si>
  <si>
    <t>Hanson, A., Hawley, Z., &amp; Taylor, A. (2011). Subtle discrimination in the rental housing market: Evidence from e-mail correspondence with landlords. Journal of Housing Economics, 20(4), 276-284.</t>
  </si>
  <si>
    <t>Data from Table 7, column 1, showing main effect of Black race. Also see: Quillian, L., Lee, J.J. &amp; Honoré, B. Racial Discrimination in the U.S. Housing and Mortgage Lending Markets: A Quantitative Review of Trends, 1976–2016. Race Soc Probl 12, 13–28 (2020). https://doi.org/10.1007/s12552-019-09276-x</t>
  </si>
  <si>
    <t>Ewens, Michael, Bryan Tomlin, and Liang Choon Wang. "Statistical discrimination or prejudice? A large sample field experiment." Review of Economics and Statistics 96, no. 1 (2014): 119-134.</t>
  </si>
  <si>
    <t>Turner, Margery Austin, Robert Santos, Diane K. Levy, Douglas A. Wissoker, Claudia Aranda, and Rob Pitingolo. "Housing discrimination against racial and ethnic minorities 2012: Executive summary." (2016).</t>
  </si>
  <si>
    <t>Murchie, J., &amp; Pang, J. (2018). Rental housing discrimination across protected classes: Evidence from a randomized experiment. Regional Science and Urban Economics, 73, 170-179.</t>
  </si>
  <si>
    <t>2012-2013</t>
  </si>
  <si>
    <t>Fang, A. H., Guess, A. M., &amp; Humphreys, M. (2019). Can the government deter discrimination? Evidence from a randomized intervention in New York City. The Journal of Politics, 81(1), 127-141.</t>
  </si>
  <si>
    <t>affirmative action for Black people</t>
  </si>
  <si>
    <t>Whether Black people should be given preferential treatment</t>
  </si>
  <si>
    <t>Adults</t>
  </si>
  <si>
    <t>Constructed hypothetical database from summary survey data. Database assumes 100 hypothetical candidates of equal quality are being rated as preferrable or not. Half are Black and half are White. The percent of White candidates rated as preferrable equals one minus the discrimination rate, which is the share who agree with affirmative action preferences for Black people. All Black candidates are deemed preferrable, given the nature of the question. The model regresses candidate acceptability on White race, such that higher values (above one) indicate anti-Black discrimiantion.</t>
  </si>
  <si>
    <t>American National Election Study 1980 (Post-Election), Cornell University, Ithaca, NY: Roper Center for Public Opinion Research</t>
  </si>
  <si>
    <t>Some people feel that the government in Washington should make every effort to improve the social and economic position of blacks and other minority groups, even if it means giving them preferential treatment. Suppose these people are at one end of the scale at point number 1. Others feel that the government should not make any special effort to help minorities because they should help themselves. Suppose these people are at the other end at point 7. And, of course, some other people have opinions somewhere in between at points 2, 3, 4. Where would you place yourself on this scale or haven't you thought much about this?</t>
  </si>
  <si>
    <t>People, The Press &amp; Politics Poll, Cornell University, Ithaca, NY: Roper Center for Public Opinion Research</t>
  </si>
  <si>
    <t>(Now I am going to read you a series of statements that will help us understand how you feel about a number of things. For each statement, please tell me whether you completely agree with it, mostly agree with it, mostly disagree with it or completely disagree with it.)... We should make every possible effort to improve the position of blacks and other minorities, even if it means giving them preferential treatment</t>
  </si>
  <si>
    <t>We should make every possible effort to improve the position of blacks and other minorities, even if it means giving them preferential treatment.</t>
  </si>
  <si>
    <t>We should make every possible effort to improve the position of blacks and other minorities, even if it means giving them preferential treatment</t>
  </si>
  <si>
    <t>People, The Press &amp; Politics Poll 1990, Cornell University, Ithaca, NY: Roper Center for Public Opinion Research</t>
  </si>
  <si>
    <t>(I am going to read you a series of statements that will help us understand how you feel about a number of things. For each statement, please tell me whether you completely agree with it, mostly agree with it, mostly disagree with it or completely disagree with it.)... We should make every possible effort to improve the position of blacks and other minorities, even if it means giving them preferential treatment</t>
  </si>
  <si>
    <t>Times Mirror News Interest Index, Cornell University, Ithaca, NY: Roper Center for Public Opinion Research</t>
  </si>
  <si>
    <t>(I am going to read you a series of statements about a number of different things. For each, please tell me whether you completely agree with it, mostly agree with it, mostly disagree with it or completely disagree with it.) We should make every effort to improve the position of blacks and other minorities, even if it means giving them preferential treatment.</t>
  </si>
  <si>
    <t>American Public Opinion About Privacy At Home And At Work, Cornell University, Ithaca, NY: Roper Center for Public Opinion Research</t>
  </si>
  <si>
    <t>When it comes to seeing that blacks and other minorities have equal opportunities in life, do you think this country still needs to do more, that it has done enough, or that it has gone too far by giving minorities preferential treatment?</t>
  </si>
  <si>
    <t>(Now I would like to read you some more statements that will help us understand how you feel about things. For each one I read please just tell me if you completely agree with it, mostly agree with it, mostly disagree with it, or completely disagree with it.)... We should make every possible effort to improve the position of blacks and other minorities, even if it means giving them preferential treatment</t>
  </si>
  <si>
    <t>People, The Press &amp; Politics Poll--New Political Landscape, Cornell University, Ithaca, NY: Roper Center for Public Opinion Research</t>
  </si>
  <si>
    <t>(Now I am going to read you another series of statements on some different topics. For each statement, please tell me if you completely agree with it, mostly agree with it, mostly disagree with it or completely disagree with it.) We should make every possible effort to improve the position of blacks and other minorities, even if it means giving them preferential treatment.</t>
  </si>
  <si>
    <t>Women's Equality Poll 1995, Cornell University, Ithaca, NY: Roper Center for Public Opinion Research</t>
  </si>
  <si>
    <t>Do you favor or oppose federal laws requiring preferential treatment programs for...blacks...provided there are no rigid quotas?</t>
  </si>
  <si>
    <t>Pew Research Center for the People &amp; the Press Values Update Survey, Cornell University, Ithaca, NY: Roper Center for Public Opinion Research</t>
  </si>
  <si>
    <t>(I am going to read you another series of statements on some different topics. For each statement, please tell me if you completely agree with it, mostly agree with it, mostly disagree with it, or completely disagree with it.)... We should make every possible effort to improve the position of blacks and other minorities, even if it means giving them preferential treatment.</t>
  </si>
  <si>
    <t>(Now I am going to read you another series on some different topics. For each statement, please tell me if you completely agree with it, mostly agree with it, mostly disagree with it or completely disagree with it.)...We should make every possible effort to improve the position of blacks and other minorities, even if it means giving them preferential treatment.</t>
  </si>
  <si>
    <t>(Now I am going to read you another series of statements on some different topics.  For each statement, please tell me if you completely agree with it, mostly agree with it, mostly disagree with it or completely disagree with it.)...We should make every possible effort to improve the position of blacks and other minorities, even if it means giving them preferential treatment.</t>
  </si>
  <si>
    <t>Pew Research Center for the People &amp; the Press Values Survey, Cornell University, Ithaca, NY: Roper Center for Public Opinion Research</t>
  </si>
  <si>
    <t>(Here is another series of statements on some different topics.)...We should make every possible effort to improve the position of blacks and other minorities, even if it means giving them preferential treatment.  Do you completely agree, mostly agree, mostly disagree, or completely disagree?</t>
  </si>
  <si>
    <t>Democracy Corps Poll, Cornell University, Ithaca, NY: Roper Center for Public Opinion Research</t>
  </si>
  <si>
    <t>(Now I am going to read you a series of statements that will help us understand how you feel about a number of things.  For each statement, please tell me if you agree or disagree with it.)...We should make every possible effort to improve the position of blacks and other minorities, even if it means giving them preferential treatment....(Would that be strongly agree/disagree or somewhat agree/disagree?)</t>
  </si>
  <si>
    <t>candidate evaluation</t>
  </si>
  <si>
    <t>Effect of Black race on whether job vacancy is available for application</t>
  </si>
  <si>
    <t>job vacancies</t>
  </si>
  <si>
    <t>U.S. vacancies in defense industry</t>
  </si>
  <si>
    <t>Data from text, converted into hypothetical database in which the outcome is acceptability of a job candidate in a population of applicants 10% black and 90% white (matching U.S. population in 1940). "During September 1941 the United States Employment Service inquired of selected defense industries throughout  the country. Out of 282,245 prospective job openings, 144,583 or 51 per cent were absolutely barred to Negroes, the answers holding good for northern and southern states and for unskilled as well as skilled jobs."</t>
  </si>
  <si>
    <t>Equality of hiring</t>
  </si>
  <si>
    <t>job applicants</t>
  </si>
  <si>
    <t>Citation: National Opinion Research Center (NORC). NORC Survey # 1944-0225:  Attitudes Toward Negroes, Question 20. USNORC.440225.R15. National Opinion Research Center (NORC). Cornell University, Ithaca, NY: Roper Center for Public Opinion Research, 1944. Web. May-01-1944.</t>
  </si>
  <si>
    <t>If a Negro is qualified to be a railroad engineer, do you think he should be given a chance at this job?</t>
  </si>
  <si>
    <t>Black vs White hiring considerations</t>
  </si>
  <si>
    <t>White adults asked to consider hypothetical job candidate and whether Black candidates should be given as good a chance as White candidates</t>
  </si>
  <si>
    <t>Constructed hypothetical database from summary survey data. Database assumes 100,000 job candidates are being rated as acceptable or not for a job. 10% are Black and 90% are White. The percent of Black candidates rated as acceptable equals one minus the discrimination rate (e.g 1 - 0.51 in 1944 or 49%). All White candidates are deemed acceptable, given the nature of the question. The model regresses candidate acceptability on Black race.</t>
  </si>
  <si>
    <t>National Opinion Research Center (NORC). (1944). NORC Survey # 1944-0225:  Attitudes Toward Negroes, Question 13 [USNORC.440225.R10]. National Opinion Research Center (NORC). Roper Center for Public Opinion Research.</t>
  </si>
  <si>
    <t>do you think negroes should have as good a chance as white people to get any kind of job, or do you think white people should have the first chance at any kind of job?</t>
  </si>
  <si>
    <t>National Opinion Research Center (NORC). (1946). NORC Survey:  Minorities; United Nations, Question 2 [USNORC.460241.R02]. National Opinion Research Center (NORC). Roper Center for Public Opinion Research.</t>
  </si>
  <si>
    <t>do you think negroes around here should have as good a chance as white people to get every kind of job, or do you think white people should have a better chance?</t>
  </si>
  <si>
    <t>National Opinion Research Center (NORC). (1963). NORC Amalgam Study # 330, Question 46 [USNORC.SRS330.QS09]. National Opinion Research Center (NORC). Roper Center for Public Opinion Research.</t>
  </si>
  <si>
    <t>National Opinion Research Center (NORC). (1966). NORC Amalgam Study # 889, Question 88 [USNORC.SRS889.R36]. National Opinion Research Center (NORC). Roper Center for Public Opinion Research.</t>
  </si>
  <si>
    <t>do you think that negroes should have as good a chance as white people to get any kind of job, or do you think that white people should have the first chance at any kind of job?</t>
  </si>
  <si>
    <t>NORC GSS, with funding from NSF and the Russell Sage Foundation. (1972). National Opinion Research Center General Social Survey 1972, Question 3962 [USNORC.GSS72.R40]. National Opinion Research Center [NORC]. Roper Center for Public Opinion Research.</t>
  </si>
  <si>
    <t>1994-2004</t>
  </si>
  <si>
    <t>compensation</t>
  </si>
  <si>
    <t>Effect of race on NBA salary</t>
  </si>
  <si>
    <t>professional football players</t>
  </si>
  <si>
    <t>employees</t>
  </si>
  <si>
    <t>Doran, J., &amp; Doran, D. R. (2004). Inequality in pay: A study of wage disparity in the NFL. Available at SSRN 628422.</t>
  </si>
  <si>
    <t>2011-2017</t>
  </si>
  <si>
    <t>professional basketball players</t>
  </si>
  <si>
    <t>Data from Table 3, column 4</t>
  </si>
  <si>
    <t>Johnson, C., &amp; Minuci, E. (2020). Wage discrimination in the NBA: Evidence using free agent signings. Southern Economic Journal, 87(2), 517-539.</t>
  </si>
  <si>
    <t>consumer discrimination</t>
  </si>
  <si>
    <t>Approval of Black nurses</t>
  </si>
  <si>
    <t>White adults asked about approval</t>
  </si>
  <si>
    <t>healthcare patients</t>
  </si>
  <si>
    <t>Constructed hypothetical database from summary survey data. Database assumes 100,000 candidates are being rated as acceptable or not. Of these 20% are Black and 80% White. The percent of Black candidates rated as acceptable equals one minus the discrimination rate. All White candidates are deemed acceptable. The model regresses candidate acceptability on Black race.</t>
  </si>
  <si>
    <t>if you were sick in a hospital, would it be all right with you if you had a negro nurse, or wouldn't you like it?</t>
  </si>
  <si>
    <t>discriminatory advertisements</t>
  </si>
  <si>
    <t>Stated or implied racial preference in job vacancy ads</t>
  </si>
  <si>
    <t>job vacancy ads</t>
  </si>
  <si>
    <t>No anti-Black or anti-ethnic job advertisements in San Francisco and Salt Lake City from 1968-1972</t>
  </si>
  <si>
    <t>Walsh, John et al. 1975. "Help Wanted: Case Studies of Classified Ads." Olympus Research Corp., Salt Lake City, Utah. Manpower Administration (Department of Labor, Washington, D.C).</t>
  </si>
  <si>
    <t>financial planning</t>
  </si>
  <si>
    <t>Effect of candidate race on hiring a financial planner</t>
  </si>
  <si>
    <t>consumer evaluation of financial planners</t>
  </si>
  <si>
    <t>financial planners</t>
  </si>
  <si>
    <t>Data from Table 4.10 of dissertation version. Likelihood to hire a financial planner by race</t>
  </si>
  <si>
    <t>Reiter, M., Seay, M., MacDonald, M., Lutter, S., &amp; Loving, A. (2022). Are there racial and gender preferences when hiring a financial planner? An experimental design on diversity in financial planning. Journal of Financial Counseling and Planning, 33(3), 344-357.</t>
  </si>
  <si>
    <t>Effect of candidate race on taking advice from a financial planner</t>
  </si>
  <si>
    <t>Data from Table 4.16 of dissertation version.</t>
  </si>
  <si>
    <t>Effect of candidate race on trusting a financial planner</t>
  </si>
  <si>
    <t>Data from Table 4.19 of dissertation version</t>
  </si>
  <si>
    <t>health care access</t>
  </si>
  <si>
    <t>Black vs White response rates to patient-initated request</t>
  </si>
  <si>
    <t>patient-therapist interactions</t>
  </si>
  <si>
    <t>mentally ill adults</t>
  </si>
  <si>
    <t>Table 5 column 1. Adjusted only for transgender status</t>
  </si>
  <si>
    <t>Button, Patrick, Eva Dils, Benjamin Harrell, Luca Fumarco, and David Schwegman. Gender identity, race, and ethnicity discrimination in access to mental health care: Preliminary evidence from a multi-wave audit field experiment. Vol. 28164. National Bureau of Economic Research, 2020.</t>
  </si>
  <si>
    <t>Table 5 column 5. Adjusted for transgender status, mental health condition, state, week, day effects. Not enough power to have so many parameters</t>
  </si>
  <si>
    <t>hiring discrimination--low-skilled jobs</t>
  </si>
  <si>
    <t>Black vs White call back rates</t>
  </si>
  <si>
    <t>candidate-employer interactions</t>
  </si>
  <si>
    <t>low-skilled job applicants</t>
  </si>
  <si>
    <t>Discrimination in callback probability for Black vs White respondents</t>
  </si>
  <si>
    <t>Kline, Patrick, Evan K. Rose, and Christopher R. Walters. "Systemic discrimination among large US employers." The Quarterly Journal of Economics 137, no. 4 (2022): 1963-2036.</t>
  </si>
  <si>
    <t>hiring policy</t>
  </si>
  <si>
    <t>Approval of Black promotion</t>
  </si>
  <si>
    <t>co-workers</t>
  </si>
  <si>
    <t>if a negro with more training had a better job than you at the place where you worked, would it be all right with you, or wouldn't you like it?</t>
  </si>
  <si>
    <t>Approval of racial integregation in workplace</t>
  </si>
  <si>
    <t>do you approve or disapprove of having white and negro people working together at the same jobs in offices, stores, or factories here in minnesota?</t>
  </si>
  <si>
    <t>hiring practices</t>
  </si>
  <si>
    <t>Effect of race on career success, conditional on initital draft position</t>
  </si>
  <si>
    <t>professional athletes in National Football League</t>
  </si>
  <si>
    <t>Coefficient on Black race in regression of career value "CarAV" (dependent variable) on draft position and draft position squared (independent variables); CarAV is an index of contribution to team wins relative to average player, given individual players statistics. These models were run separately for each year using the raw data provided by Niven. A positive value on Black race suggests the average Black player contributed more to team wins than predicted by draft position</t>
  </si>
  <si>
    <t>Niven, D. Stereotypes versus self-interest: race and the NFL draft. SN Soc Sci 2, 97 (2022). https://doi.org/10.1007/s43545-022-00401-z</t>
  </si>
  <si>
    <t>professional athletes in Major and Minor League Baseball</t>
  </si>
  <si>
    <t>Coefficient on Black race in regression of variable "WAR" (dependent variable) on draft position and draft position squared (independent variables); WAR is an index of contribution to team wins relative to average player, given individual players statistics. These models were run separately for each year using the raw data provided by Niven. A positive value on Black race suggests the average Black player contributed more to team wins than predicted by draft position</t>
  </si>
  <si>
    <t>Niven, D. The racial disparity in the Major League Baseball draft, 1965–2001. SN Soc Sci 4, 14 (2024). https://doi.org/10.1007/s43545-023-00825-1</t>
  </si>
  <si>
    <t>Effect of race on job level at entry</t>
  </si>
  <si>
    <t>Results from Table 2, bottom panell. The weighted average of the coefficients and standard errors is calculated using the number of Black workers as the weight</t>
  </si>
  <si>
    <t>Cassell, F. H., Director, S. M., &amp; Doctors, S. I. (1975). Discrimination Within Internal Labor Markets. Industrial Relations, 14(3).</t>
  </si>
  <si>
    <t>law career</t>
  </si>
  <si>
    <t>whether the American Bar Association would admit Black people</t>
  </si>
  <si>
    <t>Discriminatory policy excludes Black members from American Bar Association</t>
  </si>
  <si>
    <t>lawyers</t>
  </si>
  <si>
    <t>Assumes 1 Black member deemed acceptable out of 30,000 possible candidates, 10% of which are Black.</t>
  </si>
  <si>
    <t>White Jr, Walter. 2015. "Tracing the Roots of the Civil Rights and Social Justice Section" Human Rights Magazine Vol. 41, No. 3 - 50th Anniversary Issue, available https://www.americanbar.org/groups/crsj/publications/human_rights_magazine_home/2015-vol-41/vol-41--no-3-50th-anniversary-issue/tracing-the-roots-of-the-civil-rights-and-social-justice-section/ AND https://www.americanbar.org/about_the_aba/timeline/, accessed Jan 20, 2025 AND https://nationalbar.org/nba-history/, accessed Jan 20. 2025</t>
  </si>
  <si>
    <t>Assumes Black member deemed acceptable out of 30,000 possible candidates, 10% of which are Black.</t>
  </si>
  <si>
    <t>merit pay</t>
  </si>
  <si>
    <t>Effect of race on pay</t>
  </si>
  <si>
    <t>Results from Table 2, top panel, using results that adjust for initial job level. The weighted average of the coefficients and standard errors is calculated using the number of Black workers as the weight</t>
  </si>
  <si>
    <t>Effect of race on pay increase</t>
  </si>
  <si>
    <t>Table 2, column 2</t>
  </si>
  <si>
    <t>Castilla, Emilio J. "Accounting for the gap: A firm study manipulating organizational accountability and transparency in pay decisions." Organization Science 26, no. 2 (2015): 311-333.</t>
  </si>
  <si>
    <t>Table 2, column 5</t>
  </si>
  <si>
    <t>1988-2003</t>
  </si>
  <si>
    <t>Employees of the U.S. federal government, 1% sample</t>
  </si>
  <si>
    <t>Table 3.3. Calculate weighted average across gender to get black vs white comparison. This is for wage growth conditional on receiving an outstanding performance rating by supervisor</t>
  </si>
  <si>
    <t>Oh, Seong Soo, "The Impact of Performance Ratings on Federal Personnel Decisions." Dissertation, Georgia State University, 2010. doi: https://doi.org/10.57709/2852946</t>
  </si>
  <si>
    <t>1992-1995</t>
  </si>
  <si>
    <t>workers in Atlanta, New York, Detroit, and Los Angeles. Randomly sampled</t>
  </si>
  <si>
    <t>Coefficients from Table 5. Effect of black race on wage growth. I calculate average across men and women using columns 2 and 4 (wage growth)</t>
  </si>
  <si>
    <t>Blau, F. D., &amp; DeVaro, J. (2007). New evidence on gender differences in promotion rates: An empirical analysis of a sample of new hires. Industrial Relations: A Journal of Economy and Society, 46(3), 511-550.</t>
  </si>
  <si>
    <t>1994-2003</t>
  </si>
  <si>
    <t>Employees working for the state of North Carolina</t>
  </si>
  <si>
    <t>Appendix Table F1, earnings column. Coefficient on Black (can be interpreted as Black male), but effect is similar for Black female, which basically cancels out the (white) female coefficient</t>
  </si>
  <si>
    <t>Krull, H. (2007). Earnings disparities: The role of internal promotions and job performance evaluations. The University of North Carolina at Chapel Hill.</t>
  </si>
  <si>
    <t>1999-2008</t>
  </si>
  <si>
    <t>how race affect salary of National Basketball Association players conditional on performance</t>
  </si>
  <si>
    <t>U.S. born NBA players</t>
  </si>
  <si>
    <t>professional athletes</t>
  </si>
  <si>
    <t>Model results from Table 5</t>
  </si>
  <si>
    <t>Yang, C. H., &amp; Lin, H. Y. (2012). Is there salary discrimination by nationality in the NBA? Foreign talent or foreign market. Journal of Sports Economics, 13(1), 53-75.</t>
  </si>
  <si>
    <t>promotion</t>
  </si>
  <si>
    <t>Effect of race on probability of promotion</t>
  </si>
  <si>
    <t>Results from Table 2, middle panel, using results that adjust for initial job level. The weighted average of the coefficients and standard errors is calculated using the number of Black workers as the weight</t>
  </si>
  <si>
    <t>Effect of race on probability of promotion conditional on job performance</t>
  </si>
  <si>
    <t>financial services company</t>
  </si>
  <si>
    <t>Coefficients from Table 4, averaged together for minority men and women</t>
  </si>
  <si>
    <t>Paulin, E. A., &amp; Mellor, J. M. (1996). Gender, Race, and Promotions within a Private?Sector Firm. Industrial Relations: A Journal of Economy and Society, 35(2), 276-295.</t>
  </si>
  <si>
    <t>how race affects promotion of managers conditional on performance rating</t>
  </si>
  <si>
    <t>managers</t>
  </si>
  <si>
    <t>Table 1. results for race. T-stat is assumed to be one, but is flagged as merely insignificant, suggesting it is below 1.96</t>
  </si>
  <si>
    <t>Sheridan, J. E., Slocum, J. W., &amp; Buda, R. (1997). Factors influencing the probability of employee promotions: A comparative analysis of human capital, organization screening and gender/race discrimination theories. Journal of Business and Psychology, 11, 373-380.</t>
  </si>
  <si>
    <t>Effect of race on promotion</t>
  </si>
  <si>
    <t>Table 3.4. Calculate weighted average across gender to get black vs white comparison. This is the probability of promotion conditional on receiving an outstanding performance rating by supervisor</t>
  </si>
  <si>
    <t>Coefficients from Table 3. Effect of black race on promotion.</t>
  </si>
  <si>
    <t>Appendix Table F1, promotion column. Coefficient on Black (can be interpreted as Black male), but effect is similar for Black female, which basically cancels out the (white) female coefficient</t>
  </si>
  <si>
    <t>resume evaluation</t>
  </si>
  <si>
    <t>Black vs White resume evaluations</t>
  </si>
  <si>
    <t>manager evaluations of resumes in Illinois</t>
  </si>
  <si>
    <t>fictious resumes reviewed</t>
  </si>
  <si>
    <t>Data from Table 3 shows r-squared as percent. The square root of that value should correspond to the r-value.</t>
  </si>
  <si>
    <t>Triandis, Harry C. "Factors affecting employee selection in two cultures." Journal of Applied Psychology 47, no. 2 (1963): 89.</t>
  </si>
  <si>
    <t>fictious resumes reviewed by managers at 100 large firms in Illinois</t>
  </si>
  <si>
    <t>Ttesti command using data in Table 2. Compare mean Black to mean White effect</t>
  </si>
  <si>
    <t>Haefner JE. Race, Age, Sex, and Competence as Factors in Employer Selection of the Disadvantaged. Journal of Applied Psychology. 1977;62(2):199-202</t>
  </si>
  <si>
    <t>Data from Table 1. Diagonal represented neutral treatment. Data above diagonal represents positive biased treatment. Ran algorithim for audits using these data</t>
  </si>
  <si>
    <t>Newman, J. M. (1978). Discrimination in recruitment: An empirical analysis. ILR Review, 32(1), 15-23.</t>
  </si>
  <si>
    <t>Black vs White favorable responses</t>
  </si>
  <si>
    <t>entry level college</t>
  </si>
  <si>
    <t xml:space="preserve">Run algorithm for audit studies. Estimate effect size by regressing Black racial status on applicant success. </t>
  </si>
  <si>
    <t>McIntyre, Shelby, Dennis J. Moberg, and Barry Z. Posner. "Preferential treatment in preselection decisions according to sex and race." Academy of Management Journal 23, no. 4 (1980): 738-749.</t>
  </si>
  <si>
    <t>race stated on resume</t>
  </si>
  <si>
    <t>Using Table from Table 1, I created a hypothetical database with the same summary characteristics and regressed Black racial status on applicant success. The original data are from a 1990 Urban Institute audit and a related follow-up study</t>
  </si>
  <si>
    <t>Heckman, James J. "Detecting discrimination." Journal of economic perspectives 12, no. 2 (1998): 101-116.</t>
  </si>
  <si>
    <t>paired auditors</t>
  </si>
  <si>
    <t>Black vs White gaps in job offer</t>
  </si>
  <si>
    <t>job applicants in Denver</t>
  </si>
  <si>
    <t>Table 3 from James F. and DelCastillo S. (1992), “Measuring job discrimination, Hopeful evidence from recent audits”, Harvard Journal of African American Public Policy, 1, p. 35-53.</t>
  </si>
  <si>
    <t>Shalom, S. R. (1998). Dubious data: The thernstroms on race in america. Race &amp; Society, 1(2), 125–157. https://doi.org/10.1016/S1090-9524(99)80041-2</t>
  </si>
  <si>
    <t>in-person</t>
  </si>
  <si>
    <t>Rothwell analysis of underlying data. Lasso model used to select covariates.</t>
  </si>
  <si>
    <t>Bertrand, Marianne, and Sendhil Mullainathan. "Are Emily and Greg more employable than Lakisha and Jamal? A field experiment on labor market discrimination." American economic review 94, no. 4 (2004): 991-1013.</t>
  </si>
  <si>
    <t>Data from Figure 6, combined average within racial groups, so that mean callback is 9.5% for Black applicants and 25.5 for White applicants. Used audit algorithm to calculate standard error and effect size</t>
  </si>
  <si>
    <t>Pager, D. (2003). The mark of a criminal record. American journal of sociology, 108(5), 937-975.</t>
  </si>
  <si>
    <t>Data from Fig 1a.</t>
  </si>
  <si>
    <t>Pager, D., Bonikowski, B., &amp; Western, B. (2009). Discrimination in a low-wage labor market: A field experiment. American sociological review, 74(5), 777-799.</t>
  </si>
  <si>
    <t>Data from abstract and Table 1 (sample size). Averaged callbacks within race.</t>
  </si>
  <si>
    <t>Galgano, S. W. (2009). Barriers to reintegration: An audit study of the impact of race and offender status on employment opportunities for women. Social Thought &amp; Research, 21-37.</t>
  </si>
  <si>
    <t>job applicants in New York City</t>
  </si>
  <si>
    <t>Used callback rate and sample numbers from Table 3, combining all data for Black and White candidates. Ran through hiring algorithm to calculate effect size and standard errors.</t>
  </si>
  <si>
    <t>Kleykamp, M. (2009). A Great Place to Start?: The Effect of Prior Military Service on Hiring. Armed Forces &amp; Society (0095-327X), 35(2), 266–285. https://doi-org.proxy.lib.sfu.ca/10.1177/0095327X07308631</t>
  </si>
  <si>
    <t>Online applications, Table 6, men</t>
  </si>
  <si>
    <t>Decker, S. H., Spohn, C., Ortiz, N. R., &amp; Hedberg, E. (2014). Criminal stigma, race, gender, and employment: An expanded assessment of the consequences of imprisonment for employment. Unpublished Final Report. USA [United States of America]: USA Department of Justice. Available online also at: https://www. ncjrs. gov/pdffiles1/nij/grants/244756. pdf [accessed in Ilorin, Nigeria: 21st February 2019].</t>
  </si>
  <si>
    <t>In-person applications, Table 6, men</t>
  </si>
  <si>
    <t>Online applications, Table 4, women</t>
  </si>
  <si>
    <t>In-person applications, Table 4, women</t>
  </si>
  <si>
    <t xml:space="preserve">Using data from Table 2 and Figure 2, I created a hypothetical database with the summary characteristics and regressed Black racial status on applicant success. Race-specific sample is 952. Total sample is 1904. </t>
  </si>
  <si>
    <t>Gaddis, S. M. (2015). Discrimination in the credential society: An audit study of race and college selectivity in the labor market. Social Forces, 93(4), 1451-1479.</t>
  </si>
  <si>
    <t>Deming, David J., Noam Yuchtman, Amira Abulafi, Claudia Goldin, and Lawrence F. Katz. "The value of postsecondary credentials in the labor market: An experimental study." American Economic Review 106, no. 3 (2016): 778-806.</t>
  </si>
  <si>
    <t>Mobasseri, S. (2019). Race, place, and crime: How violent crime events affect employment discrimination. American journal of sociology, 125(1), 63-104</t>
  </si>
  <si>
    <t>recent college graduates applying for jobs</t>
  </si>
  <si>
    <t>Table 3 point estimate</t>
  </si>
  <si>
    <t>Agan, Amanda, and Sonja Starr. "Ban the box, criminal records, and racial discrimination: A field experiment." The Quarterly Journal of Economics 133, no. 1 (2018): 191-235.</t>
  </si>
  <si>
    <t>Black vs White interview requests</t>
  </si>
  <si>
    <t>Table 2 column 6. Point estimate with geographic controls</t>
  </si>
  <si>
    <t>Nunley, John M., Adam Pugh, Nicholas Romero, and R. Alan Seals. "Racial discrimination in the labor market for recent college graduates: Evidence from a field experiment." The BE Journal of Economic Analysis &amp; Policy 15, no. 3 (2015): 1093-1125.</t>
  </si>
  <si>
    <t>Data from Fig 1, holding experience constant, compare white vs black-sounding names, defining Black as "no name whitening" condition and White otherwise.</t>
  </si>
  <si>
    <t>Kang, S. K., DeCelles, K. A., Tilcsik, A., &amp; Jun, S. (2016). Whitened Résumés: Race and Self-Presentation in the Labor Market. Administrative Science Quarterly, 61(3), 469-502. https://doi.org/10.1177/0001839216639577</t>
  </si>
  <si>
    <t>Table 1, column 1. Point estimate from main model.</t>
  </si>
  <si>
    <t>Darolia, Rajeev, Cory Koedel, Paco Martorell, Katie Wilson, and Francisco Perez-Arce. "Race and gender effects on employer interest in job applicants: new evidence from a resume field experiment." Applied Economics Letters 23, no. 12 (2016): 853-856.</t>
  </si>
  <si>
    <t>stereotypical surnames but not given names</t>
  </si>
  <si>
    <t>Table 2, column 3</t>
  </si>
  <si>
    <t>Gorzig, Marina Mileo, and Deborah Rho. "The effect of the 2016 United States presidential election on employment discrimination." Journal of Population Economics 35, no. 1 (2022): 45-88.</t>
  </si>
  <si>
    <t>Discrimination in callback probability for Black vs White respondents, using replication file</t>
  </si>
  <si>
    <t>job applicants in Cleveland</t>
  </si>
  <si>
    <t>Pooled effect of race from Table 3</t>
  </si>
  <si>
    <t>Leasure, P. and Kaminski, R.J. (2021), The Effectiveness of Certificates of Relief: A Correspondence Audit of Hiring Outcomes. Journal of Empirical Legal Studies, 18: 849-875. https://doi-org.proxy.lib.sfu.ca/10.1111/jels.12297</t>
  </si>
  <si>
    <t>software developer applicants</t>
  </si>
  <si>
    <t>Hypothetical database constructed from un-adjusted callback rates from data in Table 2 (emailed by author). Weighted average callback rates were calculated for all Black and all White candidates across job types.</t>
  </si>
  <si>
    <t>Weisshaar, Katherine, Koji Chavez, and Tania Hutt. "Hiring Discrimination Under Pressures to Diversify: Gender, Race, and Diversity Commodification across Job Transitions in Software Engineering." American Sociological Review 89, no. 3 (2024): 584-613.</t>
  </si>
  <si>
    <t>candidate-recruiter interactions</t>
  </si>
  <si>
    <t>Table 5, last column, whehter candidate is interviewed</t>
  </si>
  <si>
    <t>Cowgill, B., &amp; Perkowski, P. (2024). Delegation in hiring: Evidence from a two-sided audit. Journal of Political Economy Microeconomics, 2(4), 852-882.</t>
  </si>
  <si>
    <t>Black vs White hiring rates</t>
  </si>
  <si>
    <t>Table 5, second to last column, estimated probability that candidate is hired</t>
  </si>
  <si>
    <t>1989-1991</t>
  </si>
  <si>
    <t>Black vs White gaps in interview request, job offers, wage offers</t>
  </si>
  <si>
    <t>job applicants in Washington DC and Chicago</t>
  </si>
  <si>
    <t>Pooled effect across studies using Table 2. Outcome is any unfavorbale treatment (top panel)</t>
  </si>
  <si>
    <t>Bendick Jr, M., Jackson, C. W., &amp; Reinoso, V. A. (1994). Measuring employment discrimination through controlled experiments. The review of black political economy, 23(1), 25-48.</t>
  </si>
  <si>
    <t>Pooled effect across studies using Table 2. Outcome is job offer (bottom panel)</t>
  </si>
  <si>
    <t>2007-2008</t>
  </si>
  <si>
    <t>Data from Table 1, combining within race</t>
  </si>
  <si>
    <t>Uggen, C., Vuolo, M., Lageson, S., Ruhland, E., &amp; K. WHITHAM, H. I. L. A. R. Y. (2014). The edge of stigma: An experimental audit of the effects of low?level criminal records on employment. Criminology, 52(4), 627-654.</t>
  </si>
  <si>
    <t>2009-2010</t>
  </si>
  <si>
    <t>Data from Table 2, ignoring foreign-sounding names</t>
  </si>
  <si>
    <t>Jacquemet, N., &amp; Yannelis, C. (2012). Indiscriminate discrimination: A correspondence test for ethnic homophily in the Chicago labor market. Labour Economics, 19(6), 824-832.</t>
  </si>
  <si>
    <t>union membership</t>
  </si>
  <si>
    <t>How race affects probability of eligibility for union, measured as percent of unions that accept Black people</t>
  </si>
  <si>
    <t>labor unions</t>
  </si>
  <si>
    <t>Data from correspondance survey conducted by Booker T Washington, asking if unions admit Black workers, approx date 1913</t>
  </si>
  <si>
    <t>Booker T Washington, "The negro and the labor unions" The Atlantic Monthly (1857-1932); Jun 1913; 111, 756-767</t>
  </si>
  <si>
    <t>potential labor union members</t>
  </si>
  <si>
    <t>Investigation of union bylaws and constitutions. Sample is 185 unions with 13.5 million members. There are 2.5 million members in unions that discriminate.</t>
  </si>
  <si>
    <t>Summers, C. W. (1946). Admission policies of labor unions. The quarterly journal of economics, 61(1), 66-107.</t>
  </si>
  <si>
    <t>labor market outcome</t>
  </si>
  <si>
    <t>labor income in dollars</t>
  </si>
  <si>
    <t>total income in dollars</t>
  </si>
  <si>
    <t>Results from Table 2</t>
  </si>
  <si>
    <t>audit rate of taxes</t>
  </si>
  <si>
    <t>racial differences in auditing rate</t>
  </si>
  <si>
    <t>tax payers</t>
  </si>
  <si>
    <t>Table 1, model adjusted difference in auditing rate</t>
  </si>
  <si>
    <t>Elzayn, Hadi, Evelyn Smith, Thomas Hertz, Cameron Guage, Arun Ramesh, Robin Fisher, Daniel E. Ho, and Jacob Goldin. "Measuring and mitigating racial disparities in tax audits." The Quarterly Journal of Economics (2024): qjae027.</t>
  </si>
  <si>
    <t>estimated based on name and geolocation</t>
  </si>
  <si>
    <t>2009-2019</t>
  </si>
  <si>
    <t>detention</t>
  </si>
  <si>
    <t>Black race effect on probability of being released at initial hearing, conditional on risk factors</t>
  </si>
  <si>
    <t>Criminal offenders</t>
  </si>
  <si>
    <t>suspect awaiting trial</t>
  </si>
  <si>
    <t>Table A1, disparate treatment model with full set of controls</t>
  </si>
  <si>
    <t>Joshua Grossman, Julian Nyarko, and Sharad Goel. Racial bias as a multi-stage, multi-actor problem: An analysis of pretrial detention. Journal of Empirical Legal Studies, 20(1):86–133, 2023</t>
  </si>
  <si>
    <t>Black race effect on probability of being released after hearing, conditional on risk factors</t>
  </si>
  <si>
    <t>Table A2, disparate treatment model with full set of controls</t>
  </si>
  <si>
    <t>police search</t>
  </si>
  <si>
    <t>effect of race on probability of search, conditional on observable justifications (hit rate)</t>
  </si>
  <si>
    <t>police-civilian encounters leading to search</t>
  </si>
  <si>
    <t>crime suspects in Tennessee</t>
  </si>
  <si>
    <t>Hit rate from Exhibit 11: Evidence as a Percentage of Total Searches Statewide, by race. Search and stop numbers from appendix tables</t>
  </si>
  <si>
    <t>Cohen-Vogel, Dan and Doss, Brian (2002): “Vehicle Stops and Race: A Study and Report in Response to Public Chapter 910 of 2000" Report to Comptroller of the Treasury.</t>
  </si>
  <si>
    <t>crime suspects in Rhode Island (state patrol)</t>
  </si>
  <si>
    <t>Hit rates suggest anti-black bias. I use audit/hit rate algorithm to create pseudo-database and esimate r directly.</t>
  </si>
  <si>
    <t>Farrell, A., McDevitt, D. J., Cronin, Shea, Pierce, Erica (2003): “Rhode Island Traffic Stop Statistics Act Final Report," Northeastern University, Institute on Race and Justice.</t>
  </si>
  <si>
    <t>crime suspects in New York City</t>
  </si>
  <si>
    <t>Hit rate on searches. Hit defined as 1 if  contraband found</t>
  </si>
  <si>
    <t>New York City Police Department, https://www.nyc.gov/site/nypd/stats/reports-analysis/stopfrisk.page</t>
  </si>
  <si>
    <t xml:space="preserve">Hit rate on searches. Hit defined as 1 if weapon found, other contraband found, or firearm found. </t>
  </si>
  <si>
    <t>effect of race on probability of search, conditional on observable justifications</t>
  </si>
  <si>
    <t>crime suspects in California</t>
  </si>
  <si>
    <t>Table 1, regression-adjusted hit rates for stops shows 2ppt bias against Black suspects (lower hit rate) compared to White suspects. 29.8 for White vs 27.3 for Black searches</t>
  </si>
  <si>
    <t>Andrea Guerrero, William Armaline, Chad Bianco, DJ Criner, John Dobard, Sean Duryee, Lawanda Hawkins, Brian Eric Kennedy, Lily Khadjavi, Manjusha P. Kulkarni, Melanie Ochoa, Rich Randolph, Angela Sierra, Tamani Taylor, Sean Thuilliez, Cha Vang, and Ronaldo Villeda. Ripa board report 2024. Technical report, California Department of Justice, Racial Identity and Profiling Act Advisory Board, 2024. URL https://oag.ca.gov/system/files/media/ ripa-board-report-2024.pdf. Accessed: 2024-02-27.</t>
  </si>
  <si>
    <t>1995-1997</t>
  </si>
  <si>
    <t>crime suspects in Trenton NJ</t>
  </si>
  <si>
    <t>Hit rates suggest anti-black bias. Page 28. 71% of searches were of Black people compared to 29% of White people, using only Black and White searches</t>
  </si>
  <si>
    <t>Verniero, P. and Zoubek, P. (1999): Interim Report of the state police review team regarding allegations of racial profiling, Trenton: NJ, Attorney Generals Office.</t>
  </si>
  <si>
    <t>1995-1999</t>
  </si>
  <si>
    <t>crime suspects</t>
  </si>
  <si>
    <t>Stata ttesti command using data in Table 1. Compare mean Black to mean White guilty rate. 1002 .35 .02 463 .32 .02</t>
  </si>
  <si>
    <t>Knowles, J., Persico, N., &amp; Todd, P. (2001). Racial bias in motor vehicle searches: Theory and evidence. Journal of political economy, 109(1), 203-229.</t>
  </si>
  <si>
    <t>2000-2015</t>
  </si>
  <si>
    <t>crime suspects in Charlotte, North Carolina</t>
  </si>
  <si>
    <t>Hit rates suggest anti-white bias. 26.8 vs 26.6</t>
  </si>
  <si>
    <t>Open Policing Project, raw data from Charlotte Police Department, 2000-2015</t>
  </si>
  <si>
    <t>2001-2023</t>
  </si>
  <si>
    <t>crime suspects in Missouri from state highway patrol</t>
  </si>
  <si>
    <t>Hits per race divided by searches per race, aggregated from 2001-2023 using annual report executive summary tables. Suggests anti-Black bias</t>
  </si>
  <si>
    <t>Missouri Attorney General, Vehicle Stops Report, mulitple years 2001-2023, https://ago.mo.gov/get-help/vehicle-stops-report/, accessed January 28, 2025.</t>
  </si>
  <si>
    <t>2002-2015</t>
  </si>
  <si>
    <t>crime suspects in Raliegh NC</t>
  </si>
  <si>
    <t>Hit rate is higher for Black people, 16 vs 14</t>
  </si>
  <si>
    <t>Open Policing Project, raw data from Raleigh North Carolina Police Dept, 2002-2015</t>
  </si>
  <si>
    <t>2005-2020</t>
  </si>
  <si>
    <t>State patrol data on crime suspects in CT, IL, NC, RI, SC, TX, WA, and WI.</t>
  </si>
  <si>
    <t>Aggregate findings data from findings page of Stanford Open Policing Project, https://openpolicing.stanford.edu/findings/. Downloaded Jan 21, 2025. These are the hit rate data for statewide stops (state patrol)</t>
  </si>
  <si>
    <t>Pierson, E., Simoiu, C., Overgoor, J., Corbett-Davies, S., Jenson, D., Shoemaker, A., ... &amp; Goel, S. (2020). A large-scale analysis of racial disparities in police stops across the United States. Nature human behaviour, 4(7), 736-745.</t>
  </si>
  <si>
    <t>Municipal police data on crime suspects in cities of Plano, Nashville, New Orleans, Philadelphia, San Diego, and San Francisco.</t>
  </si>
  <si>
    <t>Aggregate findings data from findings page of Stanford Open Policing Project, https://openpolicing.stanford.edu/findings/. Downloaded Jan 21, 2025. These are the hit rate data for city stops (city level police departments)</t>
  </si>
  <si>
    <t>effect of race on threshold for search, estimated from model using hit rate and search rate</t>
  </si>
  <si>
    <t>Aggregate findings data from findings page of Stanford Open Policing Project, https://openpolicing.stanford.edu/findings/. Downloaded Jan 21, 2025. These are the inferred threshold for search results from the authors, which are calculated using complex statistical analysis based on the search and hit rates. These results are not observed, and they make several important assumptions. The authors note: "If officers disproportionately suspect more serious criminal activity when searching black and Hispanic drivers compared to white drivers (for example, possession of larger quantities of contraband), then lower observed thresholds may stem from non-discriminatory police practices."</t>
  </si>
  <si>
    <t>2006-2016</t>
  </si>
  <si>
    <t>crime suspects in Austin, Texas</t>
  </si>
  <si>
    <t xml:space="preserve">Hit rates suggest anti-white bias. </t>
  </si>
  <si>
    <t>Open Policing Project, raw data from Austin Police Department, 2006-2016</t>
  </si>
  <si>
    <t>2007-2014</t>
  </si>
  <si>
    <t>crime suspects in Maryland from state highway patrol</t>
  </si>
  <si>
    <t>Hit rates suggest anti-white bias (roughly equal rates of 10%)</t>
  </si>
  <si>
    <t>Open Policing Project, raw data from Maryland Highway Patrol, 2007-2015</t>
  </si>
  <si>
    <t>2007-2015</t>
  </si>
  <si>
    <t>crime suspects in Massachusetts from state highway patrol</t>
  </si>
  <si>
    <t xml:space="preserve">Hit rates suggest anti-black bias. </t>
  </si>
  <si>
    <t>Open Policing Project, raw data from Massachusetts highway patrol, 2007-2015</t>
  </si>
  <si>
    <t>2009-2014</t>
  </si>
  <si>
    <t>Table 1 hit rate differences favors White, suggesting anti-Black discrimination</t>
  </si>
  <si>
    <t>Simoiu, C., Corbett-Davies, S., &amp; Goel, S. (2017). THE PROBLEM OF INFRA-MARGINALITY IN OUTCOME TESTS FOR DISCRIMINATION. THE ANNALS of APPLIED STATISTICS, 1193-1216.</t>
  </si>
  <si>
    <t>2009-2016</t>
  </si>
  <si>
    <t>crime suspects in New Jersey contacted through state patrol</t>
  </si>
  <si>
    <t>Hit rate for searches is higher for White drivers relative to Black</t>
  </si>
  <si>
    <t>Open Policing Project, raw data from New Jersey state patrol</t>
  </si>
  <si>
    <t>2009-2017</t>
  </si>
  <si>
    <t>crime suspects in Arizona from state highway patrol</t>
  </si>
  <si>
    <t>Hit rate higher for Black people</t>
  </si>
  <si>
    <t>Open Policing Project, raw data from Arizona State Highway Patrol, 2009-2017</t>
  </si>
  <si>
    <t>2010-2015</t>
  </si>
  <si>
    <t>crime suspects in Baltimore</t>
  </si>
  <si>
    <t>Data from page 53-54. Hit rates are lower for Black suspects than non-Black (treated as White here). Data are pooled across vehicle and pedestrian searches</t>
  </si>
  <si>
    <t>US Department of Justice. "Investigation of the Baltimore city police department." (2016).</t>
  </si>
  <si>
    <t>effect of race on probability of charges for failure to obey being dismissed by judge</t>
  </si>
  <si>
    <t>crime suspects in Vermont from state highway patrol</t>
  </si>
  <si>
    <t>Hit rates suggests anti-Black bias (86 vs 73)</t>
  </si>
  <si>
    <t>Open Policing Project, raw data from Vermont Highway Patrol, 2010-2015</t>
  </si>
  <si>
    <t>2012-2014</t>
  </si>
  <si>
    <t>crime suspects in Ferguson, Missouri</t>
  </si>
  <si>
    <t>Data from page 65 using vehicles stops</t>
  </si>
  <si>
    <t>US Department of Justice. "Investigation of the Ferguson Police Department." (2015).</t>
  </si>
  <si>
    <t>2012-2020</t>
  </si>
  <si>
    <t>crime suspects in San Antonio</t>
  </si>
  <si>
    <t>Contraband hit rate on searches. W=10.3; B=8.4, suggesting anti-Black bias</t>
  </si>
  <si>
    <t>Open Policing Project, raw data from San Antonio Police Department, 2012-2020</t>
  </si>
  <si>
    <t>crime suspects in Burlington, Vermont</t>
  </si>
  <si>
    <t>Open Policing Project, raw data from Burlington VT, 2012-2020</t>
  </si>
  <si>
    <t>2013-2016</t>
  </si>
  <si>
    <t>crime suspects in Hartford CT</t>
  </si>
  <si>
    <t>Hit rate is higher for Black people, 1.7% vs 1.2% (suprisingly low for both groups--possible data errors)</t>
  </si>
  <si>
    <t>2013-2017</t>
  </si>
  <si>
    <t>crime suspects in Oakland, CA</t>
  </si>
  <si>
    <t>Hit rate higher for White people</t>
  </si>
  <si>
    <t>Open Policing Project, raw data from Oakland, California Police Dept, 2013-2016</t>
  </si>
  <si>
    <t>2013-2018</t>
  </si>
  <si>
    <t>crime suspects in San Jose, CA</t>
  </si>
  <si>
    <t>Open Policing Project, raw data from San Jose, California Police Dept, 2013-2018</t>
  </si>
  <si>
    <t>2016-2023</t>
  </si>
  <si>
    <t>crime suspects in Lansing Michigan</t>
  </si>
  <si>
    <t>Analysis of actual search data. Black people accounted for 58% of searches of Black and White people conducted between 2016-2023 in Lansing. Hit rate was 3.3 ppt higher for Black adults, suggesting anti-White discrimination</t>
  </si>
  <si>
    <t>Lansing Open Data, Traffic stops, accessed Jan 24, 2025, available https://data-lansing.opendata.arcgis.com/search?tags=Police</t>
  </si>
  <si>
    <t>2018-2020</t>
  </si>
  <si>
    <t>crime suspects in Chicago</t>
  </si>
  <si>
    <t>Analysis of actual search data. Black people accounted for 94% of searches of Black and White people conducted between 2018-2020 in Chicago. Hit rate was 9 ppt higher for White adults, suggesting anti-Black discrimination</t>
  </si>
  <si>
    <t>Open Policing Project, data from Chicago</t>
  </si>
  <si>
    <t>2018-2025</t>
  </si>
  <si>
    <t>crime suspects in Los Angeles County, CA</t>
  </si>
  <si>
    <t>Analysis of actual search data rom Los Angeles County shows very small anti-White discrimination from higher hit rate (25.1 vs 24.5, for Black White hit rates)</t>
  </si>
  <si>
    <t>Los Angeles County, https://catalog.data.gov/dataset/lapd-ripa-ab-953-stop-person-detail-from-7-1-2018-to-present</t>
  </si>
  <si>
    <t>2019-2022</t>
  </si>
  <si>
    <t>crime suspects in Washington DC</t>
  </si>
  <si>
    <t>Hit rate is larger for White suspects (51 vs 47)</t>
  </si>
  <si>
    <t>DC Police Department Open Data, available at https://opendata.dc.gov/ or https://opendata.dc.gov/datasets/1d0cbb1658d54027a54234f6b9bf52bf_45/explore</t>
  </si>
  <si>
    <t>2023-2024</t>
  </si>
  <si>
    <t>Hit rate is larger for White suspects (22.5 vs 20.4); 98% of searches involve Black suspect. 13% of stopped Black people are searched vs 2% of stopped White people.</t>
  </si>
  <si>
    <t>DC Police Department Open Data, available at https://opendata.dc.gov/ or https://opendata.dc.gov/datasets/5c359f8ebdf24d22a1f840d64c5cc540_41/explore?showTable=true</t>
  </si>
  <si>
    <t>police stop</t>
  </si>
  <si>
    <t>effect of race on probability of arrest, conditional on stop (alternative hit rate)</t>
  </si>
  <si>
    <t>police-civilian encounters leading to stop</t>
  </si>
  <si>
    <t>Arrest rate per stop. Search and stop numbers from appendix tables. Exhibit 4: Statewide Summary of Dispositions of the Stop, by race.</t>
  </si>
  <si>
    <t>1998-1999</t>
  </si>
  <si>
    <t>justified arrest, measured as arrests per stop</t>
  </si>
  <si>
    <t>Stops by race (for Black and White) are calculated from Table 1.A.5. Arrest data by race are calculated from "Table I.B.1 Ratio of Stops to Arrests by NYPD Command - January 1998 through March 1999." These two sources were used to contruct a database with three variables: arrests (0/1) and an indicator variable for Black and one for White. A regression of Black on arrest is the model and the universe is stops. Thus, conditional on stops, equal treatment would suppose the coefficient on Black is zero.</t>
  </si>
  <si>
    <t>Spitzer, E. (1999), "The New York City Police Department's Stop and Frist Practices," Office of the New York State Attorney General. Available https://ur.ag.ny.gov/sites/default/files/reports/stp_frsk.pdf (accessed Jan 10, 2025).</t>
  </si>
  <si>
    <t>effect of race on probability of stop, conditional on observable justifications (arrest rate)</t>
  </si>
  <si>
    <t>police-civilian encounters leading to arrest</t>
  </si>
  <si>
    <t>Arrests per stop suggests anti-white bias</t>
  </si>
  <si>
    <t>Arrests per stop by race, aggregated from 2001-2023 using data from various years (2003, 2005-2009, 2010-2016, 2019, 2022, 2023) using data from annual report executive summary tables. The arrest rate was 7.1% for Black adults vs 4.2% for White adults, suggesting White adults are stopped more non-arrestable offenses more frequently. Moreover, all arrests result in "search," so arrest rate comparisons are useful to compare to the hit rate, since police were required to search more Black adults, given the higher arrest rate, even if they did not suspect contraband.</t>
  </si>
  <si>
    <t>Arrest rate higher for Black people</t>
  </si>
  <si>
    <t>2004-2012</t>
  </si>
  <si>
    <t>Arrest or summons rate per stop. Table 6, column 6, fully specified model with suspect characteristics, precinct, time effects.</t>
  </si>
  <si>
    <t>Fagan, J. (2021). No runs, few hits, and many errors: Street stops, bias, and proactive policing. UCLA L. Rev., 68, 1584.</t>
  </si>
  <si>
    <t>Arrest rate per stop is higher for Black drivers</t>
  </si>
  <si>
    <t>Arrest rate suggests anti-White bias</t>
  </si>
  <si>
    <t>Arrests per stop by race. B=0.33% vs W=0.27%</t>
  </si>
  <si>
    <t>Arrests per stop higher for Black people</t>
  </si>
  <si>
    <t>Arrest rate per stop is 28% for Black adults vs 9% for White adults</t>
  </si>
  <si>
    <t>Arrest rate per stop is 30% for Black adults vs 10% for White adults</t>
  </si>
  <si>
    <t>1996-2011</t>
  </si>
  <si>
    <t>police use-of-force</t>
  </si>
  <si>
    <t>Effect of race on use of force</t>
  </si>
  <si>
    <t>police-civilian encounters</t>
  </si>
  <si>
    <t>Table 2, row L, national data. Converted odds ratio to log odds, Cohen's D, and r</t>
  </si>
  <si>
    <t>Fryer Jr, R. G. (2019). An empirical analysis of racial differences in police use of force. Journal of Political Economy, 127(3), 1210-1261.</t>
  </si>
  <si>
    <t>2003-2013</t>
  </si>
  <si>
    <t>Table 2, row G, NYPD data. Converted odds ratio to log odds, Cohen's D, and r</t>
  </si>
  <si>
    <t>1974-1978</t>
  </si>
  <si>
    <t>police use-of-lethal-force</t>
  </si>
  <si>
    <t>Effect of race on use of lethal force conditional on suspect firing at police</t>
  </si>
  <si>
    <t>police-civilian encounters involing officer shooting</t>
  </si>
  <si>
    <t>crime suspects in Los Angeles, CA</t>
  </si>
  <si>
    <t>Table 1. Population arrests, attacks on officers, and shot fatally by race, 1974-1978. Calculation examines what percentage of suspects killed by the police, shot at the police? This uses the number who shot at police as the numerator and the number shot by the police as the denominator. It is 84% for Black suspects vs 78% for White suspects, suggesting White suspects were more likely to be shot at without having shot first. This is akin to the hit rate calculation, where contraband is replaced with shooting at police and search is replaced with lethal force.</t>
  </si>
  <si>
    <t>Meyer, M. W. (1980). Police shootings at minorities: The case of Los Angeles. The Annals of the American Academy of Political and Social Science, 452(1), 98-110.</t>
  </si>
  <si>
    <t>Effect of race on use of lethal force</t>
  </si>
  <si>
    <t>Table 4, row f, column 7. Converted odds ratio to log odds, Cohen's D, and r</t>
  </si>
  <si>
    <t>punishment</t>
  </si>
  <si>
    <t>Effect of Black race on length of prison sentence</t>
  </si>
  <si>
    <t>Criminal convicts in Texas</t>
  </si>
  <si>
    <t>Criminal convicts</t>
  </si>
  <si>
    <t>Data from Table 4. Coefficients were coded as negative if favored Black convicts and positive if favored White convicts. The weighted average correlation coefficient (from paper) was calculated using the number of convicts. Results showed longer sentences for Black people in burglary but shorter for murder or rape.</t>
  </si>
  <si>
    <t>Bullock, H. A. (1961). Significance of the racial factor in the length of prison sentences. J. Crim. L. Criminology &amp; Police Sci., 52, 411.</t>
  </si>
  <si>
    <t>1930-1939</t>
  </si>
  <si>
    <t>Effect of Black race on execution for homicide</t>
  </si>
  <si>
    <t>All U.S. persons convicted of homicide</t>
  </si>
  <si>
    <t>homicide defendants</t>
  </si>
  <si>
    <t>Data from Table 4 and 5 showing executions per homicide by race. Higher rate for White people suggests anti-White prejudice.</t>
  </si>
  <si>
    <t>Kleck, G. (1981). Racial discrimination in criminal sentencing: A critical evaluation of the evidence with additional evidence on the death penalty. American Sociological Review, 783-805.</t>
  </si>
  <si>
    <t>1940-1949</t>
  </si>
  <si>
    <t>Data from Table 4 and 5 showing executions per homicide by race. Higher rate for Black people suggests anti-Black prejudice.</t>
  </si>
  <si>
    <t>1950-1967</t>
  </si>
  <si>
    <t>1990-1994</t>
  </si>
  <si>
    <t>Black race effect on probability of being held without bail, conditional on predicted risk of violence, drug offense, and flight probability</t>
  </si>
  <si>
    <t>Adults charged with crimes awaiting trial in New York City</t>
  </si>
  <si>
    <t>bail applicants</t>
  </si>
  <si>
    <t>Data are from Table 10</t>
  </si>
  <si>
    <t>McIntyre, F., &amp; Baradaran, S. (2013). Race, prediction, and pretrial detention. Journal of Empirical Legal Studies, 10(4), 741-770.</t>
  </si>
  <si>
    <t>1990-1998</t>
  </si>
  <si>
    <t>Black race effect on having charged dismissed, indicating excessive arrests</t>
  </si>
  <si>
    <t>felony defendants in state courts</t>
  </si>
  <si>
    <t>Results from Table 6, column 4, all crimes. R=0.017 for column 1, high discretion crimes</t>
  </si>
  <si>
    <t>Tomic, A., &amp; Hakes, J. K. (2008). Case dismissed: Police discretion and racial differences in dismissals of felony charges. American law and economics review, 10(1), 110-141.</t>
  </si>
  <si>
    <t>1990-2006</t>
  </si>
  <si>
    <t>Black race effect on bail amount</t>
  </si>
  <si>
    <t>Data are from Table 11</t>
  </si>
  <si>
    <t>McIntyre, Frank, and Shima Baradaran. 2013. “Race, Prediction, and Pretrial Detention.” Journal of Empirical Legal Studies 10 (4): 741–70</t>
  </si>
  <si>
    <t>1996-2000</t>
  </si>
  <si>
    <t>1998-2003</t>
  </si>
  <si>
    <t>Black race effect on reduction of sentence from recommended standard</t>
  </si>
  <si>
    <t>Convicted criminals in federal court</t>
  </si>
  <si>
    <t>Table 1, adjusted estimates from column 1. I took the mean for men and women to get pooled estimates.</t>
  </si>
  <si>
    <t>McConnell, B., &amp; Rasul, I. (2018, May). Racial and ethnic sentencing differentials in the federal criminal justice system. In AEA Papers and Proceedings (Vol. 108, pp. 241-245). 2014 Broadway, Suite 305, Nashville, TN 37203: American Economic Association.</t>
  </si>
  <si>
    <t>Black race effect on length of prison sentence</t>
  </si>
  <si>
    <t>Table 1, adjusted estimates from column 3. I took the mean for men and women to get pooled estimates.</t>
  </si>
  <si>
    <t>2002-2006</t>
  </si>
  <si>
    <t>2005-2015</t>
  </si>
  <si>
    <t>Effect of Black race on whether driver is let off with a warning for speeding</t>
  </si>
  <si>
    <t>Driver interactions with Florida state highway patrol</t>
  </si>
  <si>
    <t>Drivers</t>
  </si>
  <si>
    <t>Table 2, column 1. Probability of Black driver not getting a ticket for speeding, conditional on being pulled over by a highway patrol officer and driver characteristics</t>
  </si>
  <si>
    <t>Goncalves, F., &amp; Mello, S. (2021). A few bad apples? Racial bias in policing. American Economic Review, 111(5), 1406-1441.</t>
  </si>
  <si>
    <t>2006-2014</t>
  </si>
  <si>
    <t>Black race effect on probability of release on bail, conditional on risk, as revealed by subsequent offense rate</t>
  </si>
  <si>
    <t>Adults charged with crimes awaiting trial in Philadelphia and Miami</t>
  </si>
  <si>
    <t>Data are from Table 1, summary statistics, showing re-arrest rate piror to disposition by race for those released. Standard errors are simulated in hypothetical database matching these statistics. In the absence of discrimination in bail release, these re-arrest rates should be equal. Higher arrest rates for Black suspects suggests judges are more lenient, conditional on risk of offense. This is a more comprehensive measure than the author's consideration of discrimination of the "marginal defendent," using predicted release (based on judge characteristics). That is an exogenous source of variation in release probability, but it ignores defendent characteristics, which greatly affect the release probability. Also consider Appendix Table A4: Non-Hispanic White-Black Result. Main results in text compare Hispanic or White offenders to Black offenders, but other data in appendix shows discrimination (using their test) in favor of Hispanic offenders relative to non-Hispanic White offenders.</t>
  </si>
  <si>
    <t>Arnold, D., Dobbie, W., &amp; Yang, C. S. (2018). Racial bias in bail decisions. The Quarterly Journal of Economics, 133(4), 1885-1932.</t>
  </si>
  <si>
    <t>2008-2013</t>
  </si>
  <si>
    <t>Data are from Table 1, summary statistics, showing misconduct rate (either re-arrest or failure to appear in court) by race for those released. Standard errors are calculated from hypothetical database, matching the statistics. In the absence of discrimination in bail release, these misconduct rates should be equal. Higher arrest rates for Black suspects suggests judges are more lenient toward Black offenders, conditional on risk of offense. This is a more comprehensive measure than the author's consideration of discrimination of the "marginal defendent," using predicted release (based on judge characteristics). That is an exogenous source of variation in release probability, but it ignores defendent characteristics, which greatly affect the release and re-offense probability.</t>
  </si>
  <si>
    <t>Dobbie, W., Hull, P., &amp; Arnold, D. (2022). Measuring Racial Discrimination in Bail Decisions. American Economic Review, 112(9).</t>
  </si>
  <si>
    <t>1973-1995</t>
  </si>
  <si>
    <t>sentencing</t>
  </si>
  <si>
    <t>whether Black defendents are more or less likely to have sentences reversed by appeals at state or federal court level in death penalty cases</t>
  </si>
  <si>
    <t>judicial rulings in death penalty cases</t>
  </si>
  <si>
    <t>defendents facing death penalty</t>
  </si>
  <si>
    <t>Combine data in Tables 1 and 2 to calculate error rate by race of defendant. It is 37% for White vs 36% for Black defendants, suggesting anti-White discrimination. Note authors use this as evidence of anit-Black discrimination by comparing error rate to race of victim, finding higher error rates for Black defendents if they kill White victims compared to when they kill Black victims. The problem is that the error rate is higher for White defendents whether they killed a White or Black victim. It appears the error rate is just especially low for Black-on-Black murder, which is why it is higher for Black-on-White murder (but similar or lower than White-on-White or White-on-Black murder reversals).</t>
  </si>
  <si>
    <t>Alesina, A., &amp; La Ferrara, E. (2014). A test of racial bias in capital sentencing. American Economic Review, 104(11), 3397-3433.</t>
  </si>
  <si>
    <t>2002-2004</t>
  </si>
  <si>
    <t>dating</t>
  </si>
  <si>
    <t>Effect of Black race on probability of wanting another date for White speed daters</t>
  </si>
  <si>
    <t>dating exchanges</t>
  </si>
  <si>
    <t>daters</t>
  </si>
  <si>
    <t>Data from Table 6, White estimates of effect of Black candidate are averaged across men and women</t>
  </si>
  <si>
    <t>Fisman, R., Iyengar, S. S., Kamenica, E., &amp; Simonson, I. (2008). Racial preferences in dating. The Review of Economic Studies, 75(1), 117-132.</t>
  </si>
  <si>
    <t>Effect of White race on probability of wanting another date for Black speed daters</t>
  </si>
  <si>
    <t>Data from Table 6, Black estimates of effect of White candidate are averaged across men and women</t>
  </si>
  <si>
    <t>marriage evaluation</t>
  </si>
  <si>
    <t>Approval of Black-White marriage</t>
  </si>
  <si>
    <t>White adults asked to consider hypothetical marriage candidate</t>
  </si>
  <si>
    <t>romantic partners</t>
  </si>
  <si>
    <t>Uses survey alogorithm to create pseudo-database from the survey data. Database assumes 100,000 marriage candidates are being rated as acceptable or not. Of these 80% are White to match the approximate relative White share of population. The percent of Black candidates rated as acceptable equals one minus the discrimination rate (e.g 1 - 0.94 in 1958 or 6%). All White candidates are deemed acceptable. The model regresses candidate acceptability on Black race.</t>
  </si>
  <si>
    <t>do you approve or disapprove of marriages between white and colored people?</t>
  </si>
  <si>
    <t>do you approve or disapprove of marriage between--whites and non-whites?</t>
  </si>
  <si>
    <t>do you approve or disapprove of marriage between: whites and non-whites?</t>
  </si>
  <si>
    <t>Believe there should be laws against Black-White marriage</t>
  </si>
  <si>
    <t>National Opinion Research Center [NORC]</t>
  </si>
  <si>
    <t>do you think there should be laws against marriages between (negroes/blacks) and whites?</t>
  </si>
  <si>
    <t>now, thinking about ten years ago, that is in 1972, did you then think there should be laws against marriages between (negroes/ blacks) and whites?</t>
  </si>
  <si>
    <t>(please tell me whether you approve or disapprove of the following action?)...interracial dating and marriage between blacks and whites....strongly approve, mildly approve, mildly disapprove, strongly disapprove</t>
  </si>
  <si>
    <t>do you approve or disapprove of marriage between blacks and whites?</t>
  </si>
  <si>
    <t>do you think there should be laws against marriages between (negroes/black) and whites?</t>
  </si>
  <si>
    <t>Chilton Research Services</t>
  </si>
  <si>
    <t>how about interracial marriage between blacks and whites: would you say you approve or disapprove of that?</t>
  </si>
  <si>
    <t>NBC News</t>
  </si>
  <si>
    <t>do you think the law should allow marriage between blacks and whites? ("No" is coded as discriminatory)</t>
  </si>
  <si>
    <t>do you think the law should forbid marriage between blacks and whites?</t>
  </si>
  <si>
    <t>do you think there should be laws against marriages between blacks and whites?</t>
  </si>
  <si>
    <t>do you think there should be laws against marriages between (negroes/blacks/african-americans) and whites?</t>
  </si>
  <si>
    <t>in general, do you approve or disapprove of marriages between blacks and whites?</t>
  </si>
  <si>
    <t>Princeton Survey Research Associates</t>
  </si>
  <si>
    <t>(please tell me whether you generally approve or disapprove of marriage between people with the following different racial and ethnic backgrounds.) do you approve or disapprove of marriages between...blacks and asians?</t>
  </si>
  <si>
    <t>(please tell me whether you generally approve or disapprove of marriage between people with the following different racial and ethnic backgrounds.) do you approve or disapprove of marriages between...hispanics and non-hispanic blacks?</t>
  </si>
  <si>
    <t>please tell me whether you generally approve or disapprove of marriage between people with the following different racial and ethnic backgrounds. do you approve or disapprove of marriages between ...blacks and whites?</t>
  </si>
  <si>
    <t>Hart-Teeter Research Companies</t>
  </si>
  <si>
    <t>do you approve or disapprove of marriage between whites and non-whites?</t>
  </si>
  <si>
    <t>do you generally approve or disapprove of marriage between blacks and whites?</t>
  </si>
  <si>
    <t>Princeton Survey Research Associates International</t>
  </si>
  <si>
    <t>please tell me if you approve or disapprove of marriages between people with the following different racial and ethnic backgrounds.  do you approve or disapprove of marriages between...blacks and whites?</t>
  </si>
  <si>
    <t>CBS News</t>
  </si>
  <si>
    <t>do you approve or disapprove of marriage between black people and white people?</t>
  </si>
  <si>
    <t>2003-2010</t>
  </si>
  <si>
    <t>online dating</t>
  </si>
  <si>
    <t>Dating outreach</t>
  </si>
  <si>
    <t>online daters</t>
  </si>
  <si>
    <t>White females outreach to Black men</t>
  </si>
  <si>
    <t>Data from Table A1</t>
  </si>
  <si>
    <t>Lin, K. H., &amp; Lundquist, J. (2013). Mate selection in cyberspace: The intersection of race, gender, and education. American Journal of Sociology, 119(1), 183-215.</t>
  </si>
  <si>
    <t>White men outreach to Black females</t>
  </si>
  <si>
    <t>Response to dating inquiry</t>
  </si>
  <si>
    <t>White females response to Black men</t>
  </si>
  <si>
    <t>Data from Table A2</t>
  </si>
  <si>
    <t>White men response to Black females</t>
  </si>
  <si>
    <t>retail</t>
  </si>
  <si>
    <t>access to transportation</t>
  </si>
  <si>
    <t>Equality of access to public transportation</t>
  </si>
  <si>
    <t>passengers</t>
  </si>
  <si>
    <t>the supreme court has also ruled that racial segregation on trains, buses and in public waiting rooms must end. do you approve or disapprove of this ruling?</t>
  </si>
  <si>
    <t>purchase of used car</t>
  </si>
  <si>
    <t>How race affects sales negotiations for car</t>
  </si>
  <si>
    <t>automobile dealership transactions</t>
  </si>
  <si>
    <t>Results from primary model, shown in Table 2 using dollar values. Results are very similar using ttesti comparison with data from Table 1.</t>
  </si>
  <si>
    <t>Ayres, I., &amp; Siegelman, P. (1995). Race and gender discrimination in bargaining for a new car. The American Economic Review, 304-321.</t>
  </si>
  <si>
    <t>restaurant services</t>
  </si>
  <si>
    <t>Approval of restaurant integregation</t>
  </si>
  <si>
    <t>do you think some restaurants in this town should serve both negro and white people?</t>
  </si>
  <si>
    <t>do you think you would eat in a restaurant that served both negro and white people?</t>
  </si>
  <si>
    <t>if a negro were sitting at one table (in a restaurant), would you sit at a table next to his?</t>
  </si>
  <si>
    <t>sale of online product</t>
  </si>
  <si>
    <t>Effect of revealing Black race on probability of receiving an offer for an ipod device advertised online</t>
  </si>
  <si>
    <t>online shopper</t>
  </si>
  <si>
    <t>Anti-black discrimination against online seller</t>
  </si>
  <si>
    <t>Doleac, J. L., &amp; Stein, L. C. (2013). The visible hand: Race and online market outcomes. The Economic Journal, 123(572), F469-F492.</t>
  </si>
  <si>
    <t>skin color</t>
  </si>
  <si>
    <t>Effect of revealing Black race on mean offer for ipod advertised online</t>
  </si>
  <si>
    <t>transportation</t>
  </si>
  <si>
    <t>taxi services</t>
  </si>
  <si>
    <t>How race affects driver acceptance, wait times, travel time, and cancellation risk</t>
  </si>
  <si>
    <t>passenger interactions with transportation service providers</t>
  </si>
  <si>
    <t>Results are pooled from Black coefficients from model 2 (which includes only relevant controls) for Table 4 (acceptance time), Table 5 (wait time), Table 6 (travel time), and Table 14 (cancellation). Results ignore cases in which discrimination is nearly impossible. For example, Uber did not show profile photo before rider accepted, but Lyft did, so only the estimate from Lyft is shown in Table 4. For Table 14, both Uber and Lyft estimates are shown because the experimenters used African-American names to signal race and test for discrimination in canecellations. Uber but not Lyft showed higher cancellations for Black-sounding names.</t>
  </si>
  <si>
    <t>Ge, Y., Knittel, C. R., MacKenzie, D., &amp; Zoepf, S. (2020). Racial discrimination in transportation network companies. Journal of Public Economics, 190, 104205.</t>
  </si>
  <si>
    <t>disenfranchisement policies</t>
  </si>
  <si>
    <t>How race of potential voters affects state legislation designed to reduce voter turnout</t>
  </si>
  <si>
    <t>state legislatures</t>
  </si>
  <si>
    <t>voters</t>
  </si>
  <si>
    <t>These estimates are not directly provided by Gray and Jenkins but use their data. The coefficient shown is the linear combination of coefficients on the poll tax and number of lynchings in state level models predicting White-Black voter turnout gaps. The model estimates year-specific OLS model predicting White-Black ratio in voter turnout rate for each state. The turnout rate is estimated by county-level regression; I regress total turnout (provided by Gray and Jenkins as population X turnout rate) on the county-level Black population and White population. I obtain county total population data from Census data provided by IPUMS NHGIS. The coefficient identifies the effect of disenfranchisement laws on Black voting rates relative to White voting rates in each state. An effect of zero suggests no discriminatory implications. In fact, the implication is that Southern voters and politicians decided to enact these voting restrictions to disproportionately lower Black voting, which is well supported by the historical evidence and consistent with these empirical results.</t>
  </si>
  <si>
    <t>Gray, T. R., &amp; Jenkins, J. A. (2024). Estimating Disenfranchisement in US Elections, 1870–1970. Perspectives on Politics, 1-21.</t>
  </si>
  <si>
    <t>presidential candidates</t>
  </si>
  <si>
    <t>How race affects acceptance of candidate for your party's nomination for president</t>
  </si>
  <si>
    <t>White adults asked to consider hypothetical presidential candidate from own party</t>
  </si>
  <si>
    <t>Uses survey alogorithm to create pseudo-database from the survey data. Database assumes 1000 candidates are being rated as acceptable or not. Half are Black and half are White. The percent of Black candidates rated as acceptable equals one minus the discrimination rate. All White candidates are deemed acceptable, given the nature of the question. The model regresses candidate acceptability on Black race.</t>
  </si>
  <si>
    <t>Gallup Poll</t>
  </si>
  <si>
    <t>between now and 1960, there will be much discussion about the qualifications of presidential candidates--their education, age, religion, race and the like. if your party nominated a generally well-qualified man for president and he happened to be a negro, would you vote for him?</t>
  </si>
  <si>
    <t>between now and the time of the conventions in 1960, there will be much discussion about the qualifications of presidential candidates--their education, age, religion, race, and the like...if your party nominated a generally well-qualified man for president and he happened to be a negro, would you vote for him?</t>
  </si>
  <si>
    <t>if your party nominated a generally well-qualified man for president and he happened to be...a negro.., would you vote for him?</t>
  </si>
  <si>
    <t>there's always much discussion about the qualifications of presidential candidates--their education, age, race, religion, and the like...if your party nominated a generally well-qualified man for president and he happened to be negro, would you vote for him?</t>
  </si>
  <si>
    <t>if your party nominated a generally well-qualified man for president and if he happened to be a negro, would you vote for him?</t>
  </si>
  <si>
    <t>there's always much discussion about the qualifications of presidential candidates--their education, age, race, religion, and the like...if your party nominated a generally well qualified man for president and he happened to be a negro, would you vote for him?</t>
  </si>
  <si>
    <t>there's always much discussion about the qualifications of presidential candidates--their education, age, race, religion, and the like... if your party nominated a generally well-qualified man for president and ...he happened to be a negro... would you vote for him</t>
  </si>
  <si>
    <t>there's always much discussion about the qualifications of presidential candidates--their education, age, race, religion, and the like. if your party nominated a generally well-qualified man for president and he happened to be a negro, would you vote for him?</t>
  </si>
  <si>
    <t>between now and the time of the convention in 1980 there will be more discussion about the qualifications of presidential candidates -- their education, age, religion, race, and the like... if your party nominated a generally well-qualified man for president and he happened to be a black, would you vote for him?</t>
  </si>
  <si>
    <t>if your party nominated a generally well-qualified man for mayor and he happened to be black, would you vote for him?</t>
  </si>
  <si>
    <t>this year 1984 there has been much discussion about the qualifications of presidential candidates---their education, age, religion, race, and the like. if your party nominated a generally well-qualified man for president, would you vote for him if he happened to be black?</t>
  </si>
  <si>
    <t>if your party nominated a generally well-qualified man for president and if he happened to be black would you vote for him?</t>
  </si>
  <si>
    <t>if your party nominated a generally well-qualified person for president and that person happened to be black, would you vote for that person?</t>
  </si>
  <si>
    <t>between now and the 2000 political conventions, there will be discussion about the qualifications of presidential candidates--their education, age, religion, race, and so on. if your party nominated a generally well-qualified person for president who happened to be... black, would you vote for that person?</t>
  </si>
  <si>
    <t>between now and the 2004 political conventions, there will be discussion about the qualifications of presidential candidates--their education, age, religion, race, and so on. if your party nominated a generally well-qualified person for president who happened to be...black, would you vote for that person?</t>
  </si>
  <si>
    <t>between now and the 2008 political conventions, there will be discussion about the qualifications of presidential candidates--their education, age, religion, race, and so on. if your party nominated a generally well-qualified person for president who happened to be...black, would you vote for that person?</t>
  </si>
  <si>
    <t>between now and the 2012 political conventions, there will be discussion about the qualifications of presidential candidates--their education, age, religion, race, and so on. if your party nominated a generally well-qualified person for president who happened to be...black, would you vote for that person?</t>
  </si>
  <si>
    <t>between now and the 2016 political conventions, there will be discussion about the qualifications of presidential candidates--their education, age, religion, race, and so on. if your party nominated a generally well-qualified person for president who happened to be...black, would you vote for that person?</t>
  </si>
  <si>
    <t>between now and the 2020 political conventions, there will be discussion about the qualifications of presidential candidates--their education, age, religion, race, and so on. if your party nominated a generally well-qualified person for president who happened to be...black, would you vote for that person?</t>
  </si>
  <si>
    <t>Used survey/policy algorithm to create pseudo-database and estimate r. Constructed hypothetical database from summary survey data. Database assumes 1000 candidates are being rated as acceptable or not. Half are Black and half are White. The percent of Black candidates rated as acceptable equals one minus the discrimination rate. All White candidates are deemed acceptable, given the nature of the question. The model regresses candidate acceptability on Black race.</t>
  </si>
  <si>
    <t>between now and the 2024 political conventions, there will be discussion about the qualifications of presidential candidates--their education, age, religion, race and so on, if your party nominated a generally well-qualified person for president who happened to be...black, would you vote for that person?</t>
  </si>
  <si>
    <t>2012-2022</t>
  </si>
  <si>
    <t>How random assignment of Black race affects acceptance of candidate</t>
  </si>
  <si>
    <t>Adults asked to rate political candidates with randomly assigned characteristics</t>
  </si>
  <si>
    <t>Data from meta-analysis of 39 conjoint analyses. Effect size reported in Figure 2, Black vs White canidate. Shows small insignificant pro-Black bias.</t>
  </si>
  <si>
    <t>van Oosten, S., Mügge, L. &amp; van der Pas, D. Race/Ethnicity in Candidate Experiments: a Meta-Analysis and the Case for Shared Identification. Acta Polit 59, 19–41 (2024). https://doi.org/10.1057/s41269-022-00279-y</t>
  </si>
  <si>
    <t>n used in effect-size calculation</t>
  </si>
  <si>
    <t>sample used for meta-analysis (correspondents to number of decisions)</t>
  </si>
  <si>
    <t>effect is from publication</t>
  </si>
  <si>
    <t>not a decision</t>
  </si>
  <si>
    <t>subset of United States (drop from final analysis)</t>
  </si>
  <si>
    <t>Supplementary Data Table 7. Meta-database</t>
  </si>
  <si>
    <t>Supplementary Data Table 6. Summary of statistical significance using  95% confidence levels by era</t>
  </si>
  <si>
    <t>Supplementary Data Table 4. Domain-specific decision-weighted meta regression using random effect models of effect size of race (anti-black discrimination) on time, adjusting for domain of activity and method of measurements</t>
  </si>
  <si>
    <t>Supplementary Data Table 2. Decision-weighted meta regression using random effect models of effect size of race (anti-black discrimination) on time, adjusting for domain of activity and method of measurements</t>
  </si>
  <si>
    <t>Supplementary Data Table 3. Unweighted meta regression using random effect models of effect size of race (anti-black discrimination) on time, adjusting for domain of activity and method of measurements</t>
  </si>
  <si>
    <t>Supplementary Data Table 5. Method-specific decision-weighted meta regression using random effect models of effect size of race (anti-black discrimination) on time, adjusting for domain of activity and method of measurements</t>
  </si>
  <si>
    <t>21st Century</t>
  </si>
  <si>
    <t>Supplementary Data Table 8. Summary effect size and tau-squared measures of variance overall, by era, and by method</t>
  </si>
  <si>
    <t>&lt; -10</t>
  </si>
  <si>
    <t>-10 to &lt;-5</t>
  </si>
  <si>
    <t>5 to &lt;10</t>
  </si>
  <si>
    <t>10 or more</t>
  </si>
  <si>
    <t>Number of estimates</t>
  </si>
  <si>
    <t>T-statistics range</t>
  </si>
  <si>
    <t>Share of total</t>
  </si>
  <si>
    <t>Supplementary Data Table 9. Distribution of t-statistics</t>
  </si>
  <si>
    <t>-1.96 to &lt;0</t>
  </si>
  <si>
    <t>-5 to &lt;-1.96</t>
  </si>
  <si>
    <t>1.96 to &lt;5</t>
  </si>
  <si>
    <t>Restricted to 1965 and later</t>
  </si>
  <si>
    <t>0 to &lt;1.96</t>
  </si>
  <si>
    <t>Supplementary Data Table 10. Citations of sources used to generate estimates</t>
  </si>
  <si>
    <t>srvy</t>
  </si>
  <si>
    <t>number_estimates</t>
  </si>
  <si>
    <t>total_sample_decision_units</t>
  </si>
  <si>
    <t>mean_year_of_est</t>
  </si>
  <si>
    <t>mean_effect</t>
  </si>
  <si>
    <t>Delis, M. D., &amp; Papadopoulos, P. (2018). Mortgage Lending Discrimination Across the U.S.: New Methodology and New Evidence. Journal of Financial Services Research, 128.</t>
  </si>
  <si>
    <t>Faber, Jacob  W. (2013). Racial Dynamics of Subprime Mortgage Lending at the Peak. Housing Policy Debate, 23(2), 328349. https://doi.org/10.1080/10511482.2013.771788</t>
  </si>
  <si>
    <t>Faber, Jacob William. (2018). Segregation and the Geography of Creditworthiness: Racial Inequality in a Recovered Mortgage Market. Housing Policy Debate, 28(2), 215247. https://doi.org/10.1080/10511482.2017.1341944</t>
  </si>
  <si>
    <t>Been, V., Ellen, I., &amp; Madar, J. (2009). The High Cost of Segregation: Exploring Racial Disparities in High Cost Lending. Fordham Urban Law Journal, 36(3), 361393.</t>
  </si>
  <si>
    <t>Ashton, P. (2008). Advantage or Disadvantage? The Changing Institutional Landscape of Underserved Mortgage Markets. Urban Affairs Review, 43(3), 352402. https://doi.org/10.1177/1078087407306326</t>
  </si>
  <si>
    <t>Cohen-Vogel, Dan and Doss, Brian (2002): Vehicle Stops and Race: A Study and Report in Response to Public Chapter 910 of 2000" Report to Comptroller of the Treasury.</t>
  </si>
  <si>
    <t>Bayer, P., Ferreira, F., &amp; Ross, S. L. (2018). What Drives Racial and Ethnic Differences in High-Cost Mortgages? The Role of High-Risk Lenders. The Review of Financial Studies, 31(1), 175205</t>
  </si>
  <si>
    <t>Wendell E. Pritchett, A National Issue: Segregation in the District of Columbia and the Civil Rights Movement at Mid-Century Civil Rights Movement at Mid-Century, Georgetown Law Journal 93 (2005): 1328.</t>
  </si>
  <si>
    <t>Gotham, K. F. (2000). Urban space, restrictive covenants and the origins of racial residential segregation in a US city, 190050. International Journal of Urban and Regional Research, 24(3), 616-633.</t>
  </si>
  <si>
    <t>van Oosten, S., Mügge, L. &amp; van der Pas, D. Race/Ethnicity in Candidate Experiments: a Meta-Analysis and the Case for Shared Identification. Acta Polit 59, 1941 (2024). https://doi.org/10.1057/s41269-022-00279-y</t>
  </si>
  <si>
    <t>McIntyre, Frank, and Shima Baradaran. 2013. Race, Prediction, and Pretrial Detention. Journal of Empirical Legal Studies 10 (4): 74170</t>
  </si>
  <si>
    <t>Haughwout, A., Mayer, C., &amp; Tracy, J. (2009). Subprime Mortgage Pricing: The Impact of Race, Ethnicity, and Gender on the Cost of Borrowing. Brookings-Wharton Papers on Urban Affairs, 3363.</t>
  </si>
  <si>
    <t>James A. Berkovec, Glenn B. Canner, Stuart A. Gabriel, Timothy H. Hannan. 1996. "Mortgage Discrimination and FHA Loan Performance," Cityscape: A Journal of Policy Development and Research 2 1. See also: James A. Berkovec, Glenn B. Canner, Stuart A. Gabriel, Timothy H. Hannan; Discrimination, Competition, and Loan Performance in FHA Mortgage Lending. The Review of Economics and Statistics 1998; 80 (2): 241250. doi: https://doi.org/10.1162/003465398557483</t>
  </si>
  <si>
    <t>Giulietti, C., Tonin, M., &amp; Vlassopoulos, M. (2019). Racial discrimination in local public services: A field experiment in the United States. Journal of the European Economic Association, 17(1), 165204</t>
  </si>
  <si>
    <t>Farrell, A., McDevitt, D. J., Cronin, Shea, Pierce, Erica (2003): Rhode Island Traffic Stop Statistics Act Final Report," Northeastern University, Institute on Race and Justice.</t>
  </si>
  <si>
    <t>Joshua Grossman, Julian Nyarko, and Sharad Goel. Racial bias as a multi-stage, multi-actor problem: An analysis of pretrial detention. Journal of Empirical Legal Studies, 20(1):86133, 2023</t>
  </si>
  <si>
    <t>Holloway, S. R. (1998). Exploring the Neighborhood Contingency of Race Discrimination in Mortgage Lending in Columbus, Ohio. Annals of the Association of American Geographers, 88(2), 252276.</t>
  </si>
  <si>
    <t>Dodson, C. B. (2013). Racial/Ethnic Discrimination in USDAs Direct Farm Lending Programs. In 2013 Annual Meeting, August 4-6, 2013, Washington, DC (No. 150492). Agricultural and Applied Economics Association.</t>
  </si>
  <si>
    <t>Niven, D. The racial disparity in the Major League Baseball draft, 19652001. SN Soc Sci 4, 14 (2024). https://doi.org/10.1007/s43545-023-00825-1</t>
  </si>
  <si>
    <t>Black, H., Schweitzer, R. L., &amp; Mandell, L. (1978). Discrimination in Mortgage Lending. American Economic Review, 68(2), 186191.</t>
  </si>
  <si>
    <t>Rugh, J. S., Albright, L., &amp; Massey, D. S. (2015). Race, Space, and Cumulative Disadvantage: A Case Study of the Subprime Lending Collapse. Social Problems, 62(2), 186218. https://doi.org/10.1093/socpro/spv002</t>
  </si>
  <si>
    <t>Bocian, D. G., Ernst, K. S., &amp; Li, W. (2008). Race, ethnicity and subprime home loan pricing. Journal of Economics and Business, 60(12), 110124.</t>
  </si>
  <si>
    <t>Miller, S. M. (1988). Discrimination in the Home-Mortgage Accept-Reject Decision: The Case of Hartford. Housing Finance Review, 7, 1929.</t>
  </si>
  <si>
    <t>Kleykamp, M. (2009). A Great Place to Start?: The Effect of Prior Military Service on Hiring. Armed Forces &amp; Society (0095-327X), 35(2), 266285. https://doi-org.proxy.lib.sfu.ca/10.1177/0095327X07308631</t>
  </si>
  <si>
    <t>Gray, T. R., &amp; Jenkins, J. A. (2024). Estimating Disenfranchisement in US Elections, 18701970. Perspectives on Politics, 1-21.</t>
  </si>
  <si>
    <t>Shalom, S. R. (1998). Dubious data: The thernstroms on race in america. Race &amp; Society, 1(2), 125157. https://doi.org/10.1016/S1090-9524(99)80041-2</t>
  </si>
  <si>
    <t>John Sailer and Louis Galarowicz, "How DEI Conquered the University of Colorado Trumps order against the practice is a crucial step in restoring the purpose of higher education" Jan. 26, 2025, https://www.wsj.com/opinion/how-dei-conquered-the-university-of-colorado-boulder-discrimination-hiring-professors-0c306a9e</t>
  </si>
  <si>
    <t>degrees of freedom</t>
  </si>
  <si>
    <t>Overall</t>
  </si>
  <si>
    <t>Post-Civil Rights</t>
  </si>
  <si>
    <t>Year of study</t>
  </si>
  <si>
    <t>Supplementary Data Table 2. Decision-weighted meta regression using random effect models of effect size of race (anti-black discrimination) on time, adjusting for domain of activity and method of measurements. rows correspond to beta values; t-statistics; 95% confidence intervals; p-values. Values are Fisher's Z statistics. Weights are calculated as the inverse of the variance, using Hunter-Schmidt method</t>
  </si>
  <si>
    <t>Supplementary Data Table 3. Equal-weighted meta regression using random effect models of effect size of race (anti-black discrimination) on time, adjusting for domain of activity and method of measurements. rows correspond to beta values; t-statistics; 95% confidence intervals; p-values. Values are Fisher's Z statistics. Weights are calculated as the inverse of the variance, which is forced to be equilvalent.</t>
  </si>
  <si>
    <t>Supplementary Data Table 4. Domain-specific decision-weighted meta regression using random effect models of effect size of race (anti-black discrimination) on time, adjusting for domain of activity and method of measurements. rows correspond to beta values; t-statistics; 95% confidence intervals; p-values. Limited to domains with at least 10 observations. Weights use the Hunter-Schmidt method. Fisher's z values are used for the effects.</t>
  </si>
  <si>
    <t>Supplementary Data Table 5. Method-specific decision-weighted meta regression using random effect models of effect size of race (anti-black discrimination) on time, adjusting for domain of activity and method of measurements. rows correspond to beta values; t-statistics; 95% confidence intervals; p-values. Weights use the Hunter-Schmidt method. Fisher's z values are used for the effects.</t>
  </si>
  <si>
    <t>R if negative (anti-White discrimination), unweighted mean</t>
  </si>
  <si>
    <t>R if positive (anti-Black discrimination), unweighted mean</t>
  </si>
  <si>
    <t>r_theta</t>
  </si>
  <si>
    <t>r_se</t>
  </si>
  <si>
    <t>r_ci_lb</t>
  </si>
  <si>
    <t>r_ci_ub</t>
  </si>
  <si>
    <t>r_cred_lb</t>
  </si>
  <si>
    <t>r_cred_ub</t>
  </si>
  <si>
    <t>df</t>
  </si>
  <si>
    <t>r_tau</t>
  </si>
  <si>
    <t>theta</t>
  </si>
  <si>
    <t>se</t>
  </si>
  <si>
    <t>ci_lb</t>
  </si>
  <si>
    <t>ci_ub</t>
  </si>
  <si>
    <t>tau</t>
  </si>
  <si>
    <t>cred_lb</t>
  </si>
  <si>
    <t>cred_ub</t>
  </si>
  <si>
    <t>REML by method of effect size estimation</t>
  </si>
  <si>
    <t>REML by era</t>
  </si>
  <si>
    <t>Hunter-Schmidt by era</t>
  </si>
  <si>
    <t>Hunter-Schmidt by method of effect size estimation</t>
  </si>
  <si>
    <t>Correlation coefficients, transformed back from Fisher's Z</t>
  </si>
  <si>
    <t>Fisher's Z-based statistics</t>
  </si>
  <si>
    <t>Supplementary Data Table 8. Effect size estimates using REML method versus Hunter-Schmidt in the Stata meta analysis package</t>
  </si>
  <si>
    <t>Lower-bound of 90% credibility interval (based on variance of estimates)</t>
  </si>
  <si>
    <t>Upper-bound of 90% credibility interval (based on variance of estimates)</t>
  </si>
  <si>
    <t>Lower bound of 95% confidence interval (based on point estimate)</t>
  </si>
  <si>
    <t>Upper bound of 95% confidence interval (based on point estimate)</t>
  </si>
  <si>
    <t>Standard error of mean</t>
  </si>
  <si>
    <t>Mean effect</t>
  </si>
  <si>
    <t>Tau-squared (variance of effects)</t>
  </si>
  <si>
    <t>Re-converted correlations from Fisher's Z</t>
  </si>
  <si>
    <t>Novel estimates</t>
  </si>
  <si>
    <t>Previously published</t>
  </si>
  <si>
    <t>Total</t>
  </si>
  <si>
    <t>All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</si>
</sst>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ptos Narrow"/>
      <family val="2"/>
      <scheme val="minor"/>
    </font>
    <font>
      <i/>
      <sz val="11"/>
      <color theme="1"/>
      <name val="Aptos Narrow"/>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7" tint="0.7999816888943144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0" fontId="18" fillId="0" borderId="0"/>
  </cellStyleXfs>
  <cellXfs count="31">
    <xf numFmtId="0" fontId="0" fillId="0" borderId="0" xfId="0"/>
    <xf numFmtId="0" fontId="0" fillId="0" borderId="0" xfId="0" applyAlignment="1">
      <alignment horizontal="center"/>
    </xf>
    <xf numFmtId="0" fontId="16" fillId="0" borderId="0" xfId="0" applyFont="1" applyAlignment="1">
      <alignment horizontal="center" wrapText="1"/>
    </xf>
    <xf numFmtId="0" fontId="16" fillId="0" borderId="0" xfId="0" applyFont="1"/>
    <xf numFmtId="0" fontId="0" fillId="0" borderId="0" xfId="0" applyAlignment="1">
      <alignment horizontal="center" wrapText="1"/>
    </xf>
    <xf numFmtId="9" fontId="0" fillId="0" borderId="0" xfId="42" applyFont="1" applyAlignment="1">
      <alignment horizontal="center"/>
    </xf>
    <xf numFmtId="2" fontId="0" fillId="0" borderId="0" xfId="0" applyNumberFormat="1" applyAlignment="1">
      <alignment horizontal="center"/>
    </xf>
    <xf numFmtId="2" fontId="0" fillId="0" borderId="0" xfId="0" applyNumberFormat="1" applyAlignment="1">
      <alignment horizontal="center" wrapText="1"/>
    </xf>
    <xf numFmtId="2" fontId="0" fillId="0" borderId="10" xfId="0" applyNumberFormat="1" applyBorder="1" applyAlignment="1">
      <alignment horizontal="center"/>
    </xf>
    <xf numFmtId="0" fontId="0" fillId="0" borderId="0" xfId="0" applyAlignment="1">
      <alignment horizontal="left"/>
    </xf>
    <xf numFmtId="2" fontId="0" fillId="0" borderId="13" xfId="0" applyNumberFormat="1" applyBorder="1" applyAlignment="1">
      <alignment horizontal="center"/>
    </xf>
    <xf numFmtId="2" fontId="16" fillId="0" borderId="0" xfId="0" applyNumberFormat="1" applyFont="1" applyAlignment="1">
      <alignment horizontal="center"/>
    </xf>
    <xf numFmtId="2" fontId="0" fillId="0" borderId="15" xfId="0" applyNumberFormat="1" applyBorder="1" applyAlignment="1">
      <alignment horizontal="center"/>
    </xf>
    <xf numFmtId="2" fontId="16" fillId="0" borderId="0" xfId="0" applyNumberFormat="1" applyFont="1" applyAlignment="1">
      <alignment horizontal="center" wrapText="1"/>
    </xf>
    <xf numFmtId="2" fontId="0" fillId="0" borderId="14" xfId="0" applyNumberFormat="1" applyBorder="1" applyAlignment="1">
      <alignment horizontal="center" wrapText="1"/>
    </xf>
    <xf numFmtId="0" fontId="0" fillId="0" borderId="0" xfId="0" applyAlignment="1">
      <alignment horizontal="left" wrapText="1"/>
    </xf>
    <xf numFmtId="0" fontId="16" fillId="0" borderId="10" xfId="0" applyFont="1" applyBorder="1" applyAlignment="1">
      <alignment horizontal="center" wrapText="1"/>
    </xf>
    <xf numFmtId="0" fontId="0" fillId="0" borderId="10" xfId="0" applyBorder="1" applyAlignment="1">
      <alignment horizontal="center" wrapText="1"/>
    </xf>
    <xf numFmtId="0" fontId="16" fillId="0" borderId="10" xfId="0" applyFont="1" applyBorder="1" applyAlignment="1">
      <alignment horizontal="left" wrapText="1"/>
    </xf>
    <xf numFmtId="2" fontId="16" fillId="0" borderId="12" xfId="0" applyNumberFormat="1" applyFont="1" applyBorder="1" applyAlignment="1">
      <alignment horizontal="center" wrapText="1"/>
    </xf>
    <xf numFmtId="2" fontId="16" fillId="0" borderId="11" xfId="0" applyNumberFormat="1" applyFont="1" applyBorder="1" applyAlignment="1">
      <alignment horizontal="center" wrapText="1"/>
    </xf>
    <xf numFmtId="2" fontId="16" fillId="0" borderId="0" xfId="0" applyNumberFormat="1" applyFont="1" applyAlignment="1">
      <alignment horizontal="center" wrapText="1"/>
    </xf>
    <xf numFmtId="2" fontId="16" fillId="0" borderId="10" xfId="0" applyNumberFormat="1" applyFont="1" applyBorder="1" applyAlignment="1">
      <alignment horizontal="left" wrapText="1"/>
    </xf>
    <xf numFmtId="2" fontId="0" fillId="0" borderId="10" xfId="0" applyNumberFormat="1" applyBorder="1" applyAlignment="1">
      <alignment horizontal="left" wrapText="1"/>
    </xf>
    <xf numFmtId="2" fontId="19" fillId="0" borderId="10" xfId="0" applyNumberFormat="1" applyFont="1" applyBorder="1" applyAlignment="1">
      <alignment horizontal="center" wrapText="1"/>
    </xf>
    <xf numFmtId="1" fontId="0" fillId="0" borderId="0" xfId="0" applyNumberFormat="1" applyAlignment="1">
      <alignment horizontal="center"/>
    </xf>
    <xf numFmtId="49" fontId="0" fillId="0" borderId="0" xfId="0" applyNumberFormat="1" applyAlignment="1">
      <alignment horizontal="center"/>
    </xf>
    <xf numFmtId="9" fontId="0" fillId="0" borderId="0" xfId="42" applyFont="1" applyFill="1" applyAlignment="1">
      <alignment horizontal="center"/>
    </xf>
    <xf numFmtId="49" fontId="0" fillId="34" borderId="0" xfId="0" applyNumberFormat="1" applyFill="1" applyAlignment="1">
      <alignment horizontal="center"/>
    </xf>
    <xf numFmtId="49" fontId="0" fillId="33" borderId="0" xfId="0" applyNumberFormat="1" applyFill="1" applyAlignment="1">
      <alignment horizontal="center"/>
    </xf>
    <xf numFmtId="0" fontId="19" fillId="0" borderId="0" xfId="0" applyFont="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xr:uid="{2C4AE3CA-545D-4CB2-841D-A467A791B90A}"/>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87E4-E17E-4747-ABAE-D089A8932E10}">
  <dimension ref="A1:J10"/>
  <sheetViews>
    <sheetView workbookViewId="0">
      <selection activeCell="A11" sqref="A11:XFD11"/>
    </sheetView>
  </sheetViews>
  <sheetFormatPr defaultRowHeight="15" x14ac:dyDescent="0.25"/>
  <sheetData>
    <row r="1" spans="1:10" x14ac:dyDescent="0.25">
      <c r="A1" t="s">
        <v>109</v>
      </c>
    </row>
    <row r="2" spans="1:10" x14ac:dyDescent="0.25">
      <c r="A2" t="s">
        <v>1067</v>
      </c>
    </row>
    <row r="3" spans="1:10" x14ac:dyDescent="0.25">
      <c r="A3" t="s">
        <v>1068</v>
      </c>
    </row>
    <row r="4" spans="1:10" x14ac:dyDescent="0.25">
      <c r="A4" t="s">
        <v>1066</v>
      </c>
    </row>
    <row r="5" spans="1:10" ht="15" customHeight="1" x14ac:dyDescent="0.25">
      <c r="A5" t="s">
        <v>1069</v>
      </c>
    </row>
    <row r="6" spans="1:10" x14ac:dyDescent="0.25">
      <c r="A6" s="15" t="s">
        <v>1065</v>
      </c>
      <c r="B6" s="15"/>
      <c r="C6" s="15"/>
      <c r="D6" s="15"/>
      <c r="E6" s="15"/>
      <c r="F6" s="15"/>
      <c r="G6" s="15"/>
      <c r="H6" s="15"/>
      <c r="I6" s="15"/>
      <c r="J6" s="15"/>
    </row>
    <row r="7" spans="1:10" x14ac:dyDescent="0.25">
      <c r="A7" t="s">
        <v>1064</v>
      </c>
    </row>
    <row r="8" spans="1:10" x14ac:dyDescent="0.25">
      <c r="A8" t="s">
        <v>1071</v>
      </c>
    </row>
    <row r="9" spans="1:10" x14ac:dyDescent="0.25">
      <c r="A9" t="s">
        <v>1079</v>
      </c>
    </row>
    <row r="10" spans="1:10" x14ac:dyDescent="0.25">
      <c r="A10" t="s">
        <v>1085</v>
      </c>
    </row>
  </sheetData>
  <mergeCells count="1">
    <mergeCell ref="A6:J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DADC-EE9C-46C4-BD74-901D55F2B736}">
  <dimension ref="A1:G13"/>
  <sheetViews>
    <sheetView tabSelected="1" workbookViewId="0">
      <selection activeCell="B16" sqref="B16"/>
    </sheetView>
  </sheetViews>
  <sheetFormatPr defaultRowHeight="15" x14ac:dyDescent="0.25"/>
  <cols>
    <col min="1" max="1" width="16.28515625" style="1" bestFit="1" customWidth="1"/>
    <col min="2" max="2" width="19.5703125" style="1" bestFit="1" customWidth="1"/>
    <col min="3" max="3" width="12.5703125" style="1" bestFit="1" customWidth="1"/>
    <col min="4" max="4" width="19.5703125" style="1" bestFit="1" customWidth="1"/>
    <col min="5" max="5" width="12.5703125" style="1" bestFit="1" customWidth="1"/>
    <col min="6" max="6" width="19.5703125" style="1" bestFit="1" customWidth="1"/>
    <col min="7" max="7" width="12.5703125" style="1" bestFit="1" customWidth="1"/>
    <col min="8" max="16384" width="9.140625" style="1"/>
  </cols>
  <sheetData>
    <row r="1" spans="1:7" x14ac:dyDescent="0.25">
      <c r="A1" s="16" t="s">
        <v>1079</v>
      </c>
      <c r="B1" s="17"/>
      <c r="C1" s="17"/>
      <c r="D1" s="17"/>
      <c r="E1" s="17"/>
      <c r="F1" s="17"/>
      <c r="G1" s="17"/>
    </row>
    <row r="2" spans="1:7" ht="33" customHeight="1" x14ac:dyDescent="0.25">
      <c r="B2" s="30" t="s">
        <v>1161</v>
      </c>
      <c r="C2" s="30"/>
      <c r="D2" s="30" t="s">
        <v>1158</v>
      </c>
      <c r="E2" s="30"/>
      <c r="F2" s="30" t="s">
        <v>1159</v>
      </c>
      <c r="G2" s="30"/>
    </row>
    <row r="3" spans="1:7" x14ac:dyDescent="0.25">
      <c r="A3" s="1" t="s">
        <v>1077</v>
      </c>
      <c r="B3" s="1" t="s">
        <v>1076</v>
      </c>
      <c r="C3" s="1" t="s">
        <v>1078</v>
      </c>
      <c r="D3" s="1" t="s">
        <v>1076</v>
      </c>
      <c r="E3" s="1" t="s">
        <v>1078</v>
      </c>
      <c r="F3" s="1" t="s">
        <v>1076</v>
      </c>
      <c r="G3" s="1" t="s">
        <v>1078</v>
      </c>
    </row>
    <row r="4" spans="1:7" x14ac:dyDescent="0.25">
      <c r="A4" s="26" t="s">
        <v>1072</v>
      </c>
      <c r="B4" s="1">
        <v>21</v>
      </c>
      <c r="C4" s="27">
        <f>B4/B$13</f>
        <v>4.4967880085653104E-2</v>
      </c>
      <c r="D4" s="1">
        <v>14</v>
      </c>
      <c r="E4" s="27">
        <f>D4/D$13</f>
        <v>5.4474708171206226E-2</v>
      </c>
      <c r="F4" s="1">
        <v>7</v>
      </c>
      <c r="G4" s="27">
        <f>F4/F$13</f>
        <v>3.3333333333333333E-2</v>
      </c>
    </row>
    <row r="5" spans="1:7" x14ac:dyDescent="0.25">
      <c r="A5" s="26" t="s">
        <v>1073</v>
      </c>
      <c r="B5" s="1">
        <v>12</v>
      </c>
      <c r="C5" s="27">
        <f t="shared" ref="C5:E11" si="0">B5/B$13</f>
        <v>2.569593147751606E-2</v>
      </c>
      <c r="D5" s="1">
        <v>7</v>
      </c>
      <c r="E5" s="27">
        <f t="shared" si="0"/>
        <v>2.7237354085603113E-2</v>
      </c>
      <c r="F5" s="1">
        <v>5</v>
      </c>
      <c r="G5" s="27">
        <f t="shared" ref="G5" si="1">F5/F$13</f>
        <v>2.3809523809523808E-2</v>
      </c>
    </row>
    <row r="6" spans="1:7" x14ac:dyDescent="0.25">
      <c r="A6" s="28" t="s">
        <v>1081</v>
      </c>
      <c r="B6" s="1">
        <v>37</v>
      </c>
      <c r="C6" s="27">
        <f t="shared" si="0"/>
        <v>7.922912205567452E-2</v>
      </c>
      <c r="D6" s="1">
        <v>26</v>
      </c>
      <c r="E6" s="27">
        <f t="shared" si="0"/>
        <v>0.10116731517509728</v>
      </c>
      <c r="F6" s="1">
        <v>11</v>
      </c>
      <c r="G6" s="27">
        <f t="shared" ref="G6" si="2">F6/F$13</f>
        <v>5.2380952380952382E-2</v>
      </c>
    </row>
    <row r="7" spans="1:7" x14ac:dyDescent="0.25">
      <c r="A7" s="28" t="s">
        <v>1080</v>
      </c>
      <c r="B7" s="1">
        <v>39</v>
      </c>
      <c r="C7" s="27">
        <f t="shared" si="0"/>
        <v>8.3511777301927201E-2</v>
      </c>
      <c r="D7" s="1">
        <v>5</v>
      </c>
      <c r="E7" s="27">
        <f t="shared" si="0"/>
        <v>1.9455252918287938E-2</v>
      </c>
      <c r="F7" s="1">
        <v>34</v>
      </c>
      <c r="G7" s="27">
        <f t="shared" ref="G7" si="3">F7/F$13</f>
        <v>0.16190476190476191</v>
      </c>
    </row>
    <row r="8" spans="1:7" x14ac:dyDescent="0.25">
      <c r="A8" s="29" t="s">
        <v>1084</v>
      </c>
      <c r="B8" s="1">
        <v>61</v>
      </c>
      <c r="C8" s="27">
        <f t="shared" si="0"/>
        <v>0.13062098501070663</v>
      </c>
      <c r="D8" s="1">
        <v>9</v>
      </c>
      <c r="E8" s="27">
        <f t="shared" si="0"/>
        <v>3.5019455252918288E-2</v>
      </c>
      <c r="F8" s="1">
        <v>52</v>
      </c>
      <c r="G8" s="27">
        <f t="shared" ref="G8" si="4">F8/F$13</f>
        <v>0.24761904761904763</v>
      </c>
    </row>
    <row r="9" spans="1:7" x14ac:dyDescent="0.25">
      <c r="A9" s="29" t="s">
        <v>1082</v>
      </c>
      <c r="B9" s="1">
        <v>74</v>
      </c>
      <c r="C9" s="27">
        <f t="shared" si="0"/>
        <v>0.15845824411134904</v>
      </c>
      <c r="D9" s="1">
        <v>20</v>
      </c>
      <c r="E9" s="27">
        <f t="shared" si="0"/>
        <v>7.7821011673151752E-2</v>
      </c>
      <c r="F9" s="1">
        <v>54</v>
      </c>
      <c r="G9" s="27">
        <f t="shared" ref="G9" si="5">F9/F$13</f>
        <v>0.25714285714285712</v>
      </c>
    </row>
    <row r="10" spans="1:7" x14ac:dyDescent="0.25">
      <c r="A10" s="26" t="s">
        <v>1074</v>
      </c>
      <c r="B10" s="1">
        <v>43</v>
      </c>
      <c r="C10" s="27">
        <f t="shared" si="0"/>
        <v>9.2077087794432549E-2</v>
      </c>
      <c r="D10" s="1">
        <v>21</v>
      </c>
      <c r="E10" s="27">
        <f t="shared" si="0"/>
        <v>8.171206225680934E-2</v>
      </c>
      <c r="F10" s="1">
        <v>22</v>
      </c>
      <c r="G10" s="27">
        <f t="shared" ref="G10" si="6">F10/F$13</f>
        <v>0.10476190476190476</v>
      </c>
    </row>
    <row r="11" spans="1:7" x14ac:dyDescent="0.25">
      <c r="A11" s="26" t="s">
        <v>1075</v>
      </c>
      <c r="B11" s="1">
        <v>180</v>
      </c>
      <c r="C11" s="27">
        <f t="shared" si="0"/>
        <v>0.38543897216274092</v>
      </c>
      <c r="D11" s="1">
        <v>155</v>
      </c>
      <c r="E11" s="27">
        <f t="shared" si="0"/>
        <v>0.60311284046692604</v>
      </c>
      <c r="F11" s="1">
        <v>25</v>
      </c>
      <c r="G11" s="27">
        <f t="shared" ref="G11" si="7">F11/F$13</f>
        <v>0.11904761904761904</v>
      </c>
    </row>
    <row r="13" spans="1:7" x14ac:dyDescent="0.25">
      <c r="A13" s="1" t="s">
        <v>1160</v>
      </c>
      <c r="B13" s="1">
        <f>SUM(B4:B11)</f>
        <v>467</v>
      </c>
      <c r="D13" s="1">
        <f>SUM(D4:D11)</f>
        <v>257</v>
      </c>
      <c r="F13" s="1">
        <f>SUM(F4:F11)</f>
        <v>210</v>
      </c>
    </row>
  </sheetData>
  <mergeCells count="4">
    <mergeCell ref="B2:C2"/>
    <mergeCell ref="D2:E2"/>
    <mergeCell ref="F2:G2"/>
    <mergeCell ref="A1:G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8AF6D-123B-4D9F-B949-161B808BDBAF}">
  <dimension ref="A1:L194"/>
  <sheetViews>
    <sheetView workbookViewId="0"/>
  </sheetViews>
  <sheetFormatPr defaultRowHeight="15" x14ac:dyDescent="0.25"/>
  <cols>
    <col min="1" max="1" width="50.5703125" customWidth="1"/>
    <col min="9" max="9" width="12.7109375" customWidth="1"/>
    <col min="10" max="12" width="23.42578125" customWidth="1"/>
  </cols>
  <sheetData>
    <row r="1" spans="1:12" x14ac:dyDescent="0.25">
      <c r="A1" s="3" t="s">
        <v>1085</v>
      </c>
    </row>
    <row r="2" spans="1:12" x14ac:dyDescent="0.25">
      <c r="A2" t="s">
        <v>139</v>
      </c>
      <c r="B2" t="s">
        <v>118</v>
      </c>
      <c r="C2" t="s">
        <v>51</v>
      </c>
      <c r="D2" t="s">
        <v>11</v>
      </c>
      <c r="E2" t="s">
        <v>62</v>
      </c>
      <c r="F2" t="s">
        <v>63</v>
      </c>
      <c r="G2" t="s">
        <v>1086</v>
      </c>
      <c r="H2" t="s">
        <v>56</v>
      </c>
      <c r="I2" t="s">
        <v>1087</v>
      </c>
      <c r="J2" t="s">
        <v>1088</v>
      </c>
      <c r="K2" t="s">
        <v>1089</v>
      </c>
      <c r="L2" t="s">
        <v>1090</v>
      </c>
    </row>
    <row r="3" spans="1:12" x14ac:dyDescent="0.25">
      <c r="A3" t="s">
        <v>714</v>
      </c>
      <c r="B3" t="s">
        <v>39</v>
      </c>
      <c r="C3">
        <v>0</v>
      </c>
      <c r="D3">
        <v>1</v>
      </c>
      <c r="E3">
        <v>0</v>
      </c>
      <c r="F3">
        <v>0</v>
      </c>
      <c r="G3">
        <v>0</v>
      </c>
      <c r="H3">
        <v>0</v>
      </c>
      <c r="I3">
        <v>1</v>
      </c>
      <c r="J3">
        <v>120000000</v>
      </c>
      <c r="K3">
        <v>2014</v>
      </c>
      <c r="L3">
        <v>2.4731199999999998E-2</v>
      </c>
    </row>
    <row r="4" spans="1:12" x14ac:dyDescent="0.25">
      <c r="A4" t="s">
        <v>757</v>
      </c>
      <c r="B4" t="s">
        <v>39</v>
      </c>
      <c r="C4">
        <v>0</v>
      </c>
      <c r="D4">
        <v>0</v>
      </c>
      <c r="E4">
        <v>0</v>
      </c>
      <c r="F4">
        <v>0</v>
      </c>
      <c r="G4">
        <v>0</v>
      </c>
      <c r="H4">
        <v>1</v>
      </c>
      <c r="I4">
        <v>2</v>
      </c>
      <c r="J4">
        <v>33520979</v>
      </c>
      <c r="K4">
        <v>2012</v>
      </c>
      <c r="L4">
        <v>-7.6920000000000005E-4</v>
      </c>
    </row>
    <row r="5" spans="1:12" x14ac:dyDescent="0.25">
      <c r="A5" t="s">
        <v>1091</v>
      </c>
      <c r="B5" t="s">
        <v>36</v>
      </c>
      <c r="C5">
        <v>0</v>
      </c>
      <c r="D5">
        <v>1</v>
      </c>
      <c r="E5">
        <v>0</v>
      </c>
      <c r="F5">
        <v>0</v>
      </c>
      <c r="G5">
        <v>0</v>
      </c>
      <c r="H5">
        <v>0</v>
      </c>
      <c r="I5">
        <v>2</v>
      </c>
      <c r="J5">
        <v>7046581</v>
      </c>
      <c r="K5">
        <v>2009</v>
      </c>
      <c r="L5">
        <v>-4.2239499999999999E-2</v>
      </c>
    </row>
    <row r="6" spans="1:12" x14ac:dyDescent="0.25">
      <c r="A6" t="s">
        <v>1092</v>
      </c>
      <c r="B6" t="s">
        <v>36</v>
      </c>
      <c r="C6">
        <v>0</v>
      </c>
      <c r="D6">
        <v>1</v>
      </c>
      <c r="E6">
        <v>0</v>
      </c>
      <c r="F6">
        <v>0</v>
      </c>
      <c r="G6">
        <v>0</v>
      </c>
      <c r="H6">
        <v>0</v>
      </c>
      <c r="I6">
        <v>2</v>
      </c>
      <c r="J6">
        <v>6680856</v>
      </c>
      <c r="K6">
        <v>2006</v>
      </c>
      <c r="L6">
        <v>2.7027700000000002E-2</v>
      </c>
    </row>
    <row r="7" spans="1:12" x14ac:dyDescent="0.25">
      <c r="A7" t="s">
        <v>1093</v>
      </c>
      <c r="B7" t="s">
        <v>36</v>
      </c>
      <c r="C7">
        <v>0</v>
      </c>
      <c r="D7">
        <v>1</v>
      </c>
      <c r="E7">
        <v>0</v>
      </c>
      <c r="F7">
        <v>0</v>
      </c>
      <c r="G7">
        <v>0</v>
      </c>
      <c r="H7">
        <v>0</v>
      </c>
      <c r="I7">
        <v>2</v>
      </c>
      <c r="J7">
        <v>6423647</v>
      </c>
      <c r="K7">
        <v>2014</v>
      </c>
      <c r="L7">
        <v>2.96295E-2</v>
      </c>
    </row>
    <row r="8" spans="1:12" x14ac:dyDescent="0.25">
      <c r="A8" t="s">
        <v>163</v>
      </c>
      <c r="B8" t="s">
        <v>102</v>
      </c>
      <c r="C8">
        <v>0</v>
      </c>
      <c r="D8">
        <v>0</v>
      </c>
      <c r="E8">
        <v>1</v>
      </c>
      <c r="F8">
        <v>0</v>
      </c>
      <c r="G8">
        <v>0</v>
      </c>
      <c r="H8">
        <v>0</v>
      </c>
      <c r="I8">
        <v>12</v>
      </c>
      <c r="J8">
        <v>6071416</v>
      </c>
      <c r="K8">
        <v>1965.25</v>
      </c>
      <c r="L8">
        <v>9.8438999999999992E-3</v>
      </c>
    </row>
    <row r="9" spans="1:12" x14ac:dyDescent="0.25">
      <c r="A9" t="s">
        <v>867</v>
      </c>
      <c r="B9" t="s">
        <v>39</v>
      </c>
      <c r="C9">
        <v>0</v>
      </c>
      <c r="D9">
        <v>1</v>
      </c>
      <c r="E9">
        <v>0</v>
      </c>
      <c r="F9">
        <v>0</v>
      </c>
      <c r="G9">
        <v>0</v>
      </c>
      <c r="H9">
        <v>0</v>
      </c>
      <c r="I9">
        <v>3</v>
      </c>
      <c r="J9">
        <v>4993624</v>
      </c>
      <c r="K9">
        <v>2006.6666</v>
      </c>
      <c r="L9">
        <v>7.9287099999999999E-2</v>
      </c>
    </row>
    <row r="10" spans="1:12" x14ac:dyDescent="0.25">
      <c r="A10" t="s">
        <v>855</v>
      </c>
      <c r="B10" t="s">
        <v>39</v>
      </c>
      <c r="C10">
        <v>0</v>
      </c>
      <c r="D10">
        <v>0</v>
      </c>
      <c r="E10">
        <v>0</v>
      </c>
      <c r="F10">
        <v>0</v>
      </c>
      <c r="G10">
        <v>0</v>
      </c>
      <c r="H10">
        <v>1</v>
      </c>
      <c r="I10">
        <v>1</v>
      </c>
      <c r="J10">
        <v>4052868</v>
      </c>
      <c r="K10">
        <v>2008</v>
      </c>
      <c r="L10">
        <v>1.6558E-3</v>
      </c>
    </row>
    <row r="11" spans="1:12" x14ac:dyDescent="0.25">
      <c r="A11" t="s">
        <v>788</v>
      </c>
      <c r="B11" t="s">
        <v>39</v>
      </c>
      <c r="C11">
        <v>0</v>
      </c>
      <c r="D11">
        <v>0</v>
      </c>
      <c r="E11">
        <v>0</v>
      </c>
      <c r="F11">
        <v>0</v>
      </c>
      <c r="G11">
        <v>0</v>
      </c>
      <c r="H11">
        <v>1</v>
      </c>
      <c r="I11">
        <v>2</v>
      </c>
      <c r="J11">
        <v>3170041</v>
      </c>
      <c r="K11">
        <v>2013</v>
      </c>
      <c r="L11">
        <v>-3.4673599999999999E-2</v>
      </c>
    </row>
    <row r="12" spans="1:12" x14ac:dyDescent="0.25">
      <c r="A12" t="s">
        <v>777</v>
      </c>
      <c r="B12" t="s">
        <v>39</v>
      </c>
      <c r="C12">
        <v>0</v>
      </c>
      <c r="D12">
        <v>0</v>
      </c>
      <c r="E12">
        <v>0</v>
      </c>
      <c r="F12">
        <v>0</v>
      </c>
      <c r="G12">
        <v>0</v>
      </c>
      <c r="H12">
        <v>1</v>
      </c>
      <c r="I12">
        <v>2</v>
      </c>
      <c r="J12">
        <v>3153801</v>
      </c>
      <c r="K12">
        <v>2011</v>
      </c>
      <c r="L12">
        <v>-7.6002999999999999E-3</v>
      </c>
    </row>
    <row r="13" spans="1:12" x14ac:dyDescent="0.25">
      <c r="A13" t="s">
        <v>781</v>
      </c>
      <c r="B13" t="s">
        <v>39</v>
      </c>
      <c r="C13">
        <v>0</v>
      </c>
      <c r="D13">
        <v>0</v>
      </c>
      <c r="E13">
        <v>0</v>
      </c>
      <c r="F13">
        <v>0</v>
      </c>
      <c r="G13">
        <v>0</v>
      </c>
      <c r="H13">
        <v>1</v>
      </c>
      <c r="I13">
        <v>2</v>
      </c>
      <c r="J13">
        <v>2923506</v>
      </c>
      <c r="K13">
        <v>2011</v>
      </c>
      <c r="L13">
        <v>4.816E-4</v>
      </c>
    </row>
    <row r="14" spans="1:12" x14ac:dyDescent="0.25">
      <c r="A14" t="s">
        <v>792</v>
      </c>
      <c r="B14" t="s">
        <v>39</v>
      </c>
      <c r="C14">
        <v>0</v>
      </c>
      <c r="D14">
        <v>0</v>
      </c>
      <c r="E14">
        <v>0</v>
      </c>
      <c r="F14">
        <v>0</v>
      </c>
      <c r="G14">
        <v>0</v>
      </c>
      <c r="H14">
        <v>1</v>
      </c>
      <c r="I14">
        <v>2</v>
      </c>
      <c r="J14">
        <v>2368930</v>
      </c>
      <c r="K14">
        <v>2013</v>
      </c>
      <c r="L14">
        <v>-3.6854400000000002E-2</v>
      </c>
    </row>
    <row r="15" spans="1:12" x14ac:dyDescent="0.25">
      <c r="A15" t="s">
        <v>957</v>
      </c>
      <c r="B15" t="s">
        <v>45</v>
      </c>
      <c r="C15">
        <v>0</v>
      </c>
      <c r="D15">
        <v>0</v>
      </c>
      <c r="E15">
        <v>0</v>
      </c>
      <c r="F15">
        <v>0</v>
      </c>
      <c r="G15">
        <v>1</v>
      </c>
      <c r="H15">
        <v>0</v>
      </c>
      <c r="I15">
        <v>22</v>
      </c>
      <c r="J15">
        <v>2200000</v>
      </c>
      <c r="K15">
        <v>1986.3181999999999</v>
      </c>
      <c r="L15">
        <v>0.44046360000000001</v>
      </c>
    </row>
    <row r="16" spans="1:12" x14ac:dyDescent="0.25">
      <c r="A16" t="s">
        <v>1094</v>
      </c>
      <c r="B16" t="s">
        <v>36</v>
      </c>
      <c r="C16">
        <v>0</v>
      </c>
      <c r="D16">
        <v>1</v>
      </c>
      <c r="E16">
        <v>0</v>
      </c>
      <c r="F16">
        <v>0</v>
      </c>
      <c r="G16">
        <v>0</v>
      </c>
      <c r="H16">
        <v>0</v>
      </c>
      <c r="I16">
        <v>1</v>
      </c>
      <c r="J16">
        <v>2154042</v>
      </c>
      <c r="K16">
        <v>2006</v>
      </c>
      <c r="L16">
        <v>1.7443000000000001E-3</v>
      </c>
    </row>
    <row r="17" spans="1:12" x14ac:dyDescent="0.25">
      <c r="A17" t="s">
        <v>923</v>
      </c>
      <c r="B17" t="s">
        <v>39</v>
      </c>
      <c r="C17">
        <v>0</v>
      </c>
      <c r="D17">
        <v>0</v>
      </c>
      <c r="E17">
        <v>0</v>
      </c>
      <c r="F17">
        <v>0</v>
      </c>
      <c r="G17">
        <v>0</v>
      </c>
      <c r="H17">
        <v>1</v>
      </c>
      <c r="I17">
        <v>1</v>
      </c>
      <c r="J17">
        <v>2078315</v>
      </c>
      <c r="K17">
        <v>2010</v>
      </c>
      <c r="L17">
        <v>6.3410000000000003E-3</v>
      </c>
    </row>
    <row r="18" spans="1:12" x14ac:dyDescent="0.25">
      <c r="A18" t="s">
        <v>988</v>
      </c>
      <c r="B18" t="s">
        <v>45</v>
      </c>
      <c r="C18">
        <v>0</v>
      </c>
      <c r="D18">
        <v>1</v>
      </c>
      <c r="E18">
        <v>0</v>
      </c>
      <c r="F18">
        <v>0</v>
      </c>
      <c r="G18">
        <v>0</v>
      </c>
      <c r="H18">
        <v>0</v>
      </c>
      <c r="I18">
        <v>4</v>
      </c>
      <c r="J18">
        <v>1910011</v>
      </c>
      <c r="K18">
        <v>2007</v>
      </c>
      <c r="L18">
        <v>4.5382199999999998E-2</v>
      </c>
    </row>
    <row r="19" spans="1:12" x14ac:dyDescent="0.25">
      <c r="A19" t="s">
        <v>349</v>
      </c>
      <c r="B19" t="s">
        <v>36</v>
      </c>
      <c r="C19">
        <v>0</v>
      </c>
      <c r="D19">
        <v>0</v>
      </c>
      <c r="E19">
        <v>0</v>
      </c>
      <c r="F19">
        <v>0</v>
      </c>
      <c r="G19">
        <v>1</v>
      </c>
      <c r="H19">
        <v>0</v>
      </c>
      <c r="I19">
        <v>18</v>
      </c>
      <c r="J19">
        <v>1800000</v>
      </c>
      <c r="K19">
        <v>1982.5</v>
      </c>
      <c r="L19">
        <v>0.27483770000000002</v>
      </c>
    </row>
    <row r="20" spans="1:12" x14ac:dyDescent="0.25">
      <c r="A20" t="s">
        <v>172</v>
      </c>
      <c r="B20" t="s">
        <v>102</v>
      </c>
      <c r="C20">
        <v>0</v>
      </c>
      <c r="D20">
        <v>0</v>
      </c>
      <c r="E20">
        <v>0</v>
      </c>
      <c r="F20">
        <v>0</v>
      </c>
      <c r="G20">
        <v>1</v>
      </c>
      <c r="H20">
        <v>0</v>
      </c>
      <c r="I20">
        <v>17</v>
      </c>
      <c r="J20">
        <v>1700000</v>
      </c>
      <c r="K20">
        <v>1986.0588</v>
      </c>
      <c r="L20">
        <v>0.54204070000000004</v>
      </c>
    </row>
    <row r="21" spans="1:12" x14ac:dyDescent="0.25">
      <c r="A21" t="s">
        <v>753</v>
      </c>
      <c r="B21" t="s">
        <v>39</v>
      </c>
      <c r="C21">
        <v>0</v>
      </c>
      <c r="D21">
        <v>0</v>
      </c>
      <c r="E21">
        <v>0</v>
      </c>
      <c r="F21">
        <v>0</v>
      </c>
      <c r="G21">
        <v>0</v>
      </c>
      <c r="H21">
        <v>1</v>
      </c>
      <c r="I21">
        <v>2</v>
      </c>
      <c r="J21">
        <v>1464269</v>
      </c>
      <c r="K21">
        <v>2008</v>
      </c>
      <c r="L21">
        <v>-2.2997E-2</v>
      </c>
    </row>
    <row r="22" spans="1:12" x14ac:dyDescent="0.25">
      <c r="A22" t="s">
        <v>1095</v>
      </c>
      <c r="B22" t="s">
        <v>36</v>
      </c>
      <c r="C22">
        <v>0</v>
      </c>
      <c r="D22">
        <v>1</v>
      </c>
      <c r="E22">
        <v>0</v>
      </c>
      <c r="F22">
        <v>0</v>
      </c>
      <c r="G22">
        <v>0</v>
      </c>
      <c r="H22">
        <v>0</v>
      </c>
      <c r="I22">
        <v>1</v>
      </c>
      <c r="J22">
        <v>1160728</v>
      </c>
      <c r="K22">
        <v>1997</v>
      </c>
      <c r="L22">
        <v>-2.3762000000000002E-3</v>
      </c>
    </row>
    <row r="23" spans="1:12" x14ac:dyDescent="0.25">
      <c r="A23" t="s">
        <v>184</v>
      </c>
      <c r="B23" t="s">
        <v>102</v>
      </c>
      <c r="C23">
        <v>0</v>
      </c>
      <c r="D23">
        <v>0</v>
      </c>
      <c r="E23">
        <v>0</v>
      </c>
      <c r="F23">
        <v>0</v>
      </c>
      <c r="G23">
        <v>1</v>
      </c>
      <c r="H23">
        <v>0</v>
      </c>
      <c r="I23">
        <v>11</v>
      </c>
      <c r="J23">
        <v>1100000</v>
      </c>
      <c r="K23">
        <v>1953.3635999999999</v>
      </c>
      <c r="L23">
        <v>0.51796920000000002</v>
      </c>
    </row>
    <row r="24" spans="1:12" x14ac:dyDescent="0.25">
      <c r="A24" t="s">
        <v>333</v>
      </c>
      <c r="B24" t="s">
        <v>36</v>
      </c>
      <c r="C24">
        <v>0</v>
      </c>
      <c r="D24">
        <v>1</v>
      </c>
      <c r="E24">
        <v>0</v>
      </c>
      <c r="F24">
        <v>0</v>
      </c>
      <c r="G24">
        <v>0</v>
      </c>
      <c r="H24">
        <v>0</v>
      </c>
      <c r="I24">
        <v>3</v>
      </c>
      <c r="J24">
        <v>1075951</v>
      </c>
      <c r="K24">
        <v>2017</v>
      </c>
      <c r="L24">
        <v>2.7287200000000001E-2</v>
      </c>
    </row>
    <row r="25" spans="1:12" x14ac:dyDescent="0.25">
      <c r="A25" t="s">
        <v>575</v>
      </c>
      <c r="B25" t="s">
        <v>42</v>
      </c>
      <c r="C25">
        <v>0</v>
      </c>
      <c r="D25">
        <v>0</v>
      </c>
      <c r="E25">
        <v>0</v>
      </c>
      <c r="F25">
        <v>1</v>
      </c>
      <c r="G25">
        <v>0</v>
      </c>
      <c r="H25">
        <v>0</v>
      </c>
      <c r="I25">
        <v>33</v>
      </c>
      <c r="J25">
        <v>990000</v>
      </c>
      <c r="K25">
        <v>1927</v>
      </c>
      <c r="L25">
        <v>0.96428749999999996</v>
      </c>
    </row>
    <row r="26" spans="1:12" x14ac:dyDescent="0.25">
      <c r="A26" t="s">
        <v>761</v>
      </c>
      <c r="B26" t="s">
        <v>39</v>
      </c>
      <c r="C26">
        <v>0</v>
      </c>
      <c r="D26">
        <v>0</v>
      </c>
      <c r="E26">
        <v>0</v>
      </c>
      <c r="F26">
        <v>0</v>
      </c>
      <c r="G26">
        <v>0</v>
      </c>
      <c r="H26">
        <v>1</v>
      </c>
      <c r="I26">
        <v>4</v>
      </c>
      <c r="J26">
        <v>790168</v>
      </c>
      <c r="K26">
        <v>2012</v>
      </c>
      <c r="L26">
        <v>-2.67312E-2</v>
      </c>
    </row>
    <row r="27" spans="1:12" x14ac:dyDescent="0.25">
      <c r="A27" t="s">
        <v>808</v>
      </c>
      <c r="B27" t="s">
        <v>39</v>
      </c>
      <c r="C27">
        <v>0</v>
      </c>
      <c r="D27">
        <v>0</v>
      </c>
      <c r="E27">
        <v>0</v>
      </c>
      <c r="F27">
        <v>0</v>
      </c>
      <c r="G27">
        <v>0</v>
      </c>
      <c r="H27">
        <v>1</v>
      </c>
      <c r="I27">
        <v>2</v>
      </c>
      <c r="J27">
        <v>628453</v>
      </c>
      <c r="K27">
        <v>2016</v>
      </c>
      <c r="L27">
        <v>1.26178E-2</v>
      </c>
    </row>
    <row r="28" spans="1:12" x14ac:dyDescent="0.25">
      <c r="A28" t="s">
        <v>1096</v>
      </c>
      <c r="B28" t="s">
        <v>39</v>
      </c>
      <c r="C28">
        <v>0</v>
      </c>
      <c r="D28">
        <v>0</v>
      </c>
      <c r="E28">
        <v>0</v>
      </c>
      <c r="F28">
        <v>0</v>
      </c>
      <c r="G28">
        <v>0</v>
      </c>
      <c r="H28">
        <v>1</v>
      </c>
      <c r="I28">
        <v>2</v>
      </c>
      <c r="J28">
        <v>476487</v>
      </c>
      <c r="K28">
        <v>2001</v>
      </c>
      <c r="L28">
        <v>-2.6986099999999999E-2</v>
      </c>
    </row>
    <row r="29" spans="1:12" x14ac:dyDescent="0.25">
      <c r="A29" t="s">
        <v>931</v>
      </c>
      <c r="B29" t="s">
        <v>39</v>
      </c>
      <c r="C29">
        <v>0</v>
      </c>
      <c r="D29">
        <v>0</v>
      </c>
      <c r="E29">
        <v>0</v>
      </c>
      <c r="F29">
        <v>0</v>
      </c>
      <c r="G29">
        <v>0</v>
      </c>
      <c r="H29">
        <v>1</v>
      </c>
      <c r="I29">
        <v>1</v>
      </c>
      <c r="J29">
        <v>434201</v>
      </c>
      <c r="K29">
        <v>2011</v>
      </c>
      <c r="L29">
        <v>-7.2064799999999998E-2</v>
      </c>
    </row>
    <row r="30" spans="1:12" x14ac:dyDescent="0.25">
      <c r="A30" t="s">
        <v>358</v>
      </c>
      <c r="B30" t="s">
        <v>36</v>
      </c>
      <c r="C30">
        <v>0</v>
      </c>
      <c r="D30">
        <v>0</v>
      </c>
      <c r="E30">
        <v>0</v>
      </c>
      <c r="F30">
        <v>0</v>
      </c>
      <c r="G30">
        <v>1</v>
      </c>
      <c r="H30">
        <v>0</v>
      </c>
      <c r="I30">
        <v>4</v>
      </c>
      <c r="J30">
        <v>400000</v>
      </c>
      <c r="K30">
        <v>1960.75</v>
      </c>
      <c r="L30">
        <v>0.4374133</v>
      </c>
    </row>
    <row r="31" spans="1:12" x14ac:dyDescent="0.25">
      <c r="A31" t="s">
        <v>971</v>
      </c>
      <c r="B31" t="s">
        <v>45</v>
      </c>
      <c r="C31">
        <v>0</v>
      </c>
      <c r="D31">
        <v>0</v>
      </c>
      <c r="E31">
        <v>0</v>
      </c>
      <c r="F31">
        <v>0</v>
      </c>
      <c r="G31">
        <v>1</v>
      </c>
      <c r="H31">
        <v>0</v>
      </c>
      <c r="I31">
        <v>4</v>
      </c>
      <c r="J31">
        <v>400000</v>
      </c>
      <c r="K31">
        <v>1996.5</v>
      </c>
      <c r="L31">
        <v>0.46606310000000001</v>
      </c>
    </row>
    <row r="32" spans="1:12" x14ac:dyDescent="0.25">
      <c r="A32" t="s">
        <v>259</v>
      </c>
      <c r="B32" t="s">
        <v>253</v>
      </c>
      <c r="C32">
        <v>0</v>
      </c>
      <c r="D32">
        <v>0</v>
      </c>
      <c r="E32">
        <v>0</v>
      </c>
      <c r="F32">
        <v>1</v>
      </c>
      <c r="G32">
        <v>0</v>
      </c>
      <c r="H32">
        <v>0</v>
      </c>
      <c r="I32">
        <v>12</v>
      </c>
      <c r="J32">
        <v>360000</v>
      </c>
      <c r="K32">
        <v>1952.6666</v>
      </c>
      <c r="L32">
        <v>0.82259439999999995</v>
      </c>
    </row>
    <row r="33" spans="1:12" x14ac:dyDescent="0.25">
      <c r="A33" t="s">
        <v>832</v>
      </c>
      <c r="B33" t="s">
        <v>39</v>
      </c>
      <c r="C33">
        <v>0</v>
      </c>
      <c r="D33">
        <v>0</v>
      </c>
      <c r="E33">
        <v>0</v>
      </c>
      <c r="F33">
        <v>0</v>
      </c>
      <c r="G33">
        <v>0</v>
      </c>
      <c r="H33">
        <v>1</v>
      </c>
      <c r="I33">
        <v>1</v>
      </c>
      <c r="J33">
        <v>344839</v>
      </c>
      <c r="K33">
        <v>2022</v>
      </c>
      <c r="L33">
        <v>-5.7498000000000002E-3</v>
      </c>
    </row>
    <row r="34" spans="1:12" x14ac:dyDescent="0.25">
      <c r="A34" t="s">
        <v>796</v>
      </c>
      <c r="B34" t="s">
        <v>39</v>
      </c>
      <c r="C34">
        <v>0</v>
      </c>
      <c r="D34">
        <v>0</v>
      </c>
      <c r="E34">
        <v>0</v>
      </c>
      <c r="F34">
        <v>0</v>
      </c>
      <c r="G34">
        <v>0</v>
      </c>
      <c r="H34">
        <v>1</v>
      </c>
      <c r="I34">
        <v>2</v>
      </c>
      <c r="J34">
        <v>337122</v>
      </c>
      <c r="K34">
        <v>2013</v>
      </c>
      <c r="L34">
        <v>5.34479E-2</v>
      </c>
    </row>
    <row r="35" spans="1:12" x14ac:dyDescent="0.25">
      <c r="A35" t="s">
        <v>587</v>
      </c>
      <c r="B35" t="s">
        <v>42</v>
      </c>
      <c r="C35">
        <v>0</v>
      </c>
      <c r="D35">
        <v>1</v>
      </c>
      <c r="E35">
        <v>0</v>
      </c>
      <c r="F35">
        <v>0</v>
      </c>
      <c r="G35">
        <v>0</v>
      </c>
      <c r="H35">
        <v>0</v>
      </c>
      <c r="I35">
        <v>2</v>
      </c>
      <c r="J35">
        <v>332212</v>
      </c>
      <c r="K35">
        <v>1996</v>
      </c>
      <c r="L35">
        <v>-3.5986E-3</v>
      </c>
    </row>
    <row r="36" spans="1:12" x14ac:dyDescent="0.25">
      <c r="A36" t="s">
        <v>890</v>
      </c>
      <c r="B36" t="s">
        <v>39</v>
      </c>
      <c r="C36">
        <v>0</v>
      </c>
      <c r="D36">
        <v>0</v>
      </c>
      <c r="E36">
        <v>0</v>
      </c>
      <c r="F36">
        <v>0</v>
      </c>
      <c r="G36">
        <v>0</v>
      </c>
      <c r="H36">
        <v>1</v>
      </c>
      <c r="I36">
        <v>3</v>
      </c>
      <c r="J36">
        <v>316000</v>
      </c>
      <c r="K36">
        <v>1946.3334</v>
      </c>
      <c r="L36">
        <v>-4.5421000000000003E-3</v>
      </c>
    </row>
    <row r="37" spans="1:12" x14ac:dyDescent="0.25">
      <c r="A37" t="s">
        <v>741</v>
      </c>
      <c r="B37" t="s">
        <v>39</v>
      </c>
      <c r="C37">
        <v>0</v>
      </c>
      <c r="D37">
        <v>0</v>
      </c>
      <c r="E37">
        <v>0</v>
      </c>
      <c r="F37">
        <v>0</v>
      </c>
      <c r="G37">
        <v>0</v>
      </c>
      <c r="H37">
        <v>1</v>
      </c>
      <c r="I37">
        <v>1</v>
      </c>
      <c r="J37">
        <v>302384</v>
      </c>
      <c r="K37">
        <v>2022</v>
      </c>
      <c r="L37">
        <v>2.69181E-2</v>
      </c>
    </row>
    <row r="38" spans="1:12" x14ac:dyDescent="0.25">
      <c r="A38" t="s">
        <v>420</v>
      </c>
      <c r="B38" t="s">
        <v>36</v>
      </c>
      <c r="C38">
        <v>0</v>
      </c>
      <c r="D38">
        <v>0</v>
      </c>
      <c r="E38">
        <v>0</v>
      </c>
      <c r="F38">
        <v>1</v>
      </c>
      <c r="G38">
        <v>0</v>
      </c>
      <c r="H38">
        <v>0</v>
      </c>
      <c r="I38">
        <v>3</v>
      </c>
      <c r="J38">
        <v>300000</v>
      </c>
      <c r="K38">
        <v>1939.6666</v>
      </c>
      <c r="L38">
        <v>0.57984970000000002</v>
      </c>
    </row>
    <row r="39" spans="1:12" x14ac:dyDescent="0.25">
      <c r="A39" t="s">
        <v>196</v>
      </c>
      <c r="B39" t="s">
        <v>102</v>
      </c>
      <c r="C39">
        <v>0</v>
      </c>
      <c r="D39">
        <v>0</v>
      </c>
      <c r="E39">
        <v>1</v>
      </c>
      <c r="F39">
        <v>0</v>
      </c>
      <c r="G39">
        <v>0</v>
      </c>
      <c r="H39">
        <v>0</v>
      </c>
      <c r="I39">
        <v>2</v>
      </c>
      <c r="J39">
        <v>291502</v>
      </c>
      <c r="K39">
        <v>1940.5</v>
      </c>
      <c r="L39">
        <v>0.82772449999999997</v>
      </c>
    </row>
    <row r="40" spans="1:12" x14ac:dyDescent="0.25">
      <c r="A40" t="s">
        <v>914</v>
      </c>
      <c r="B40" t="s">
        <v>39</v>
      </c>
      <c r="C40">
        <v>0</v>
      </c>
      <c r="D40">
        <v>1</v>
      </c>
      <c r="E40">
        <v>0</v>
      </c>
      <c r="F40">
        <v>0</v>
      </c>
      <c r="G40">
        <v>0</v>
      </c>
      <c r="H40">
        <v>0</v>
      </c>
      <c r="I40">
        <v>2</v>
      </c>
      <c r="J40">
        <v>274174</v>
      </c>
      <c r="K40">
        <v>2001</v>
      </c>
      <c r="L40">
        <v>1.15487E-2</v>
      </c>
    </row>
    <row r="41" spans="1:12" x14ac:dyDescent="0.25">
      <c r="A41" t="s">
        <v>836</v>
      </c>
      <c r="B41" t="s">
        <v>39</v>
      </c>
      <c r="C41">
        <v>0</v>
      </c>
      <c r="D41">
        <v>0</v>
      </c>
      <c r="E41">
        <v>0</v>
      </c>
      <c r="F41">
        <v>0</v>
      </c>
      <c r="G41">
        <v>0</v>
      </c>
      <c r="H41">
        <v>1</v>
      </c>
      <c r="I41">
        <v>2</v>
      </c>
      <c r="J41">
        <v>273629</v>
      </c>
      <c r="K41">
        <v>2021</v>
      </c>
      <c r="L41">
        <v>-7.2542400000000007E-2</v>
      </c>
    </row>
    <row r="42" spans="1:12" x14ac:dyDescent="0.25">
      <c r="A42" t="s">
        <v>800</v>
      </c>
      <c r="B42" t="s">
        <v>39</v>
      </c>
      <c r="C42">
        <v>0</v>
      </c>
      <c r="D42">
        <v>0</v>
      </c>
      <c r="E42">
        <v>0</v>
      </c>
      <c r="F42">
        <v>0</v>
      </c>
      <c r="G42">
        <v>0</v>
      </c>
      <c r="H42">
        <v>1</v>
      </c>
      <c r="I42">
        <v>2</v>
      </c>
      <c r="J42">
        <v>273084</v>
      </c>
      <c r="K42">
        <v>2013</v>
      </c>
      <c r="L42">
        <v>4.4222200000000003E-2</v>
      </c>
    </row>
    <row r="43" spans="1:12" x14ac:dyDescent="0.25">
      <c r="A43" t="s">
        <v>282</v>
      </c>
      <c r="B43" t="s">
        <v>33</v>
      </c>
      <c r="C43">
        <v>0</v>
      </c>
      <c r="D43">
        <v>1</v>
      </c>
      <c r="E43">
        <v>0</v>
      </c>
      <c r="F43">
        <v>0</v>
      </c>
      <c r="G43">
        <v>0</v>
      </c>
      <c r="H43">
        <v>0</v>
      </c>
      <c r="I43">
        <v>2</v>
      </c>
      <c r="J43">
        <v>233538</v>
      </c>
      <c r="K43">
        <v>2015</v>
      </c>
      <c r="L43">
        <v>-0.12504779999999999</v>
      </c>
    </row>
    <row r="44" spans="1:12" x14ac:dyDescent="0.25">
      <c r="A44" t="s">
        <v>211</v>
      </c>
      <c r="B44" t="s">
        <v>30</v>
      </c>
      <c r="C44">
        <v>0</v>
      </c>
      <c r="D44">
        <v>1</v>
      </c>
      <c r="E44">
        <v>0</v>
      </c>
      <c r="F44">
        <v>0</v>
      </c>
      <c r="G44">
        <v>0</v>
      </c>
      <c r="H44">
        <v>0</v>
      </c>
      <c r="I44">
        <v>1</v>
      </c>
      <c r="J44">
        <v>214534</v>
      </c>
      <c r="K44">
        <v>2011</v>
      </c>
      <c r="L44">
        <v>1.0796200000000001E-2</v>
      </c>
    </row>
    <row r="45" spans="1:12" x14ac:dyDescent="0.25">
      <c r="A45" t="s">
        <v>765</v>
      </c>
      <c r="B45" t="s">
        <v>39</v>
      </c>
      <c r="C45">
        <v>0</v>
      </c>
      <c r="D45">
        <v>0</v>
      </c>
      <c r="E45">
        <v>0</v>
      </c>
      <c r="F45">
        <v>0</v>
      </c>
      <c r="G45">
        <v>0</v>
      </c>
      <c r="H45">
        <v>1</v>
      </c>
      <c r="I45">
        <v>4</v>
      </c>
      <c r="J45">
        <v>213922</v>
      </c>
      <c r="K45">
        <v>2013</v>
      </c>
      <c r="L45">
        <v>3.2650100000000001E-2</v>
      </c>
    </row>
    <row r="46" spans="1:12" x14ac:dyDescent="0.25">
      <c r="A46" t="s">
        <v>978</v>
      </c>
      <c r="B46" t="s">
        <v>45</v>
      </c>
      <c r="C46">
        <v>0</v>
      </c>
      <c r="D46">
        <v>0</v>
      </c>
      <c r="E46">
        <v>0</v>
      </c>
      <c r="F46">
        <v>0</v>
      </c>
      <c r="G46">
        <v>1</v>
      </c>
      <c r="H46">
        <v>0</v>
      </c>
      <c r="I46">
        <v>2</v>
      </c>
      <c r="J46">
        <v>200000</v>
      </c>
      <c r="K46">
        <v>2008.5</v>
      </c>
      <c r="L46">
        <v>0.36413849999999998</v>
      </c>
    </row>
    <row r="47" spans="1:12" x14ac:dyDescent="0.25">
      <c r="A47" t="s">
        <v>438</v>
      </c>
      <c r="B47" t="s">
        <v>36</v>
      </c>
      <c r="C47">
        <v>0</v>
      </c>
      <c r="D47">
        <v>0</v>
      </c>
      <c r="E47">
        <v>0</v>
      </c>
      <c r="F47">
        <v>0</v>
      </c>
      <c r="G47">
        <v>1</v>
      </c>
      <c r="H47">
        <v>0</v>
      </c>
      <c r="I47">
        <v>2</v>
      </c>
      <c r="J47">
        <v>200000</v>
      </c>
      <c r="K47">
        <v>1944</v>
      </c>
      <c r="L47">
        <v>0.8306943</v>
      </c>
    </row>
    <row r="48" spans="1:12" x14ac:dyDescent="0.25">
      <c r="A48" t="s">
        <v>503</v>
      </c>
      <c r="B48" t="s">
        <v>42</v>
      </c>
      <c r="C48">
        <v>0</v>
      </c>
      <c r="D48">
        <v>0</v>
      </c>
      <c r="E48">
        <v>0</v>
      </c>
      <c r="F48">
        <v>0</v>
      </c>
      <c r="G48">
        <v>1</v>
      </c>
      <c r="H48">
        <v>0</v>
      </c>
      <c r="I48">
        <v>2</v>
      </c>
      <c r="J48">
        <v>200000</v>
      </c>
      <c r="K48">
        <v>1946.5</v>
      </c>
      <c r="L48">
        <v>0.52823969999999998</v>
      </c>
    </row>
    <row r="49" spans="1:12" x14ac:dyDescent="0.25">
      <c r="A49" t="s">
        <v>965</v>
      </c>
      <c r="B49" t="s">
        <v>45</v>
      </c>
      <c r="C49">
        <v>0</v>
      </c>
      <c r="D49">
        <v>0</v>
      </c>
      <c r="E49">
        <v>0</v>
      </c>
      <c r="F49">
        <v>0</v>
      </c>
      <c r="G49">
        <v>1</v>
      </c>
      <c r="H49">
        <v>0</v>
      </c>
      <c r="I49">
        <v>2</v>
      </c>
      <c r="J49">
        <v>200000</v>
      </c>
      <c r="K49">
        <v>1989</v>
      </c>
      <c r="L49">
        <v>0.44823479999999999</v>
      </c>
    </row>
    <row r="50" spans="1:12" x14ac:dyDescent="0.25">
      <c r="A50" t="s">
        <v>328</v>
      </c>
      <c r="B50" t="s">
        <v>36</v>
      </c>
      <c r="C50">
        <v>0</v>
      </c>
      <c r="D50">
        <v>1</v>
      </c>
      <c r="E50">
        <v>0</v>
      </c>
      <c r="F50">
        <v>0</v>
      </c>
      <c r="G50">
        <v>0</v>
      </c>
      <c r="H50">
        <v>0</v>
      </c>
      <c r="I50">
        <v>1</v>
      </c>
      <c r="J50">
        <v>195158</v>
      </c>
      <c r="K50">
        <v>2004</v>
      </c>
      <c r="L50">
        <v>1.0186499999999999E-2</v>
      </c>
    </row>
    <row r="51" spans="1:12" x14ac:dyDescent="0.25">
      <c r="A51" t="s">
        <v>1097</v>
      </c>
      <c r="B51" t="s">
        <v>36</v>
      </c>
      <c r="C51">
        <v>0</v>
      </c>
      <c r="D51">
        <v>1</v>
      </c>
      <c r="E51">
        <v>0</v>
      </c>
      <c r="F51">
        <v>0</v>
      </c>
      <c r="G51">
        <v>0</v>
      </c>
      <c r="H51">
        <v>0</v>
      </c>
      <c r="I51">
        <v>2</v>
      </c>
      <c r="J51">
        <v>185941</v>
      </c>
      <c r="K51">
        <v>2006</v>
      </c>
      <c r="L51">
        <v>1.6219799999999999E-2</v>
      </c>
    </row>
    <row r="52" spans="1:12" x14ac:dyDescent="0.25">
      <c r="A52" t="s">
        <v>784</v>
      </c>
      <c r="B52" t="s">
        <v>39</v>
      </c>
      <c r="C52">
        <v>0</v>
      </c>
      <c r="D52">
        <v>0</v>
      </c>
      <c r="E52">
        <v>0</v>
      </c>
      <c r="F52">
        <v>0</v>
      </c>
      <c r="G52">
        <v>0</v>
      </c>
      <c r="H52">
        <v>1</v>
      </c>
      <c r="I52">
        <v>1</v>
      </c>
      <c r="J52">
        <v>166816</v>
      </c>
      <c r="K52">
        <v>2012</v>
      </c>
      <c r="L52">
        <v>5.9139299999999999E-2</v>
      </c>
    </row>
    <row r="53" spans="1:12" x14ac:dyDescent="0.25">
      <c r="A53" t="s">
        <v>928</v>
      </c>
      <c r="B53" t="s">
        <v>39</v>
      </c>
      <c r="C53">
        <v>0</v>
      </c>
      <c r="D53">
        <v>0</v>
      </c>
      <c r="E53">
        <v>0</v>
      </c>
      <c r="F53">
        <v>0</v>
      </c>
      <c r="G53">
        <v>0</v>
      </c>
      <c r="H53">
        <v>1</v>
      </c>
      <c r="I53">
        <v>1</v>
      </c>
      <c r="J53">
        <v>145314</v>
      </c>
      <c r="K53">
        <v>2010</v>
      </c>
      <c r="L53">
        <v>-7.8196699999999994E-2</v>
      </c>
    </row>
    <row r="54" spans="1:12" x14ac:dyDescent="0.25">
      <c r="A54" t="s">
        <v>456</v>
      </c>
      <c r="B54" t="s">
        <v>36</v>
      </c>
      <c r="C54">
        <v>1</v>
      </c>
      <c r="D54">
        <v>0</v>
      </c>
      <c r="E54">
        <v>0</v>
      </c>
      <c r="F54">
        <v>0</v>
      </c>
      <c r="G54">
        <v>0</v>
      </c>
      <c r="H54">
        <v>0</v>
      </c>
      <c r="I54">
        <v>1</v>
      </c>
      <c r="J54">
        <v>137352</v>
      </c>
      <c r="K54">
        <v>2012</v>
      </c>
      <c r="L54">
        <v>9.2399999999999999E-3</v>
      </c>
    </row>
    <row r="55" spans="1:12" x14ac:dyDescent="0.25">
      <c r="A55" t="s">
        <v>817</v>
      </c>
      <c r="B55" t="s">
        <v>39</v>
      </c>
      <c r="C55">
        <v>0</v>
      </c>
      <c r="D55">
        <v>0</v>
      </c>
      <c r="E55">
        <v>0</v>
      </c>
      <c r="F55">
        <v>0</v>
      </c>
      <c r="G55">
        <v>0</v>
      </c>
      <c r="H55">
        <v>1</v>
      </c>
      <c r="I55">
        <v>2</v>
      </c>
      <c r="J55">
        <v>126977</v>
      </c>
      <c r="K55">
        <v>2015</v>
      </c>
      <c r="L55">
        <v>-2.7498100000000001E-2</v>
      </c>
    </row>
    <row r="56" spans="1:12" x14ac:dyDescent="0.25">
      <c r="A56" t="s">
        <v>272</v>
      </c>
      <c r="B56" t="s">
        <v>33</v>
      </c>
      <c r="C56">
        <v>0</v>
      </c>
      <c r="D56">
        <v>1</v>
      </c>
      <c r="E56">
        <v>0</v>
      </c>
      <c r="F56">
        <v>0</v>
      </c>
      <c r="G56">
        <v>0</v>
      </c>
      <c r="H56">
        <v>0</v>
      </c>
      <c r="I56">
        <v>3</v>
      </c>
      <c r="J56">
        <v>124374</v>
      </c>
      <c r="K56">
        <v>1991</v>
      </c>
      <c r="L56">
        <v>-0.43544949999999999</v>
      </c>
    </row>
    <row r="57" spans="1:12" x14ac:dyDescent="0.25">
      <c r="A57" t="s">
        <v>595</v>
      </c>
      <c r="B57" t="s">
        <v>42</v>
      </c>
      <c r="C57">
        <v>0</v>
      </c>
      <c r="D57">
        <v>1</v>
      </c>
      <c r="E57">
        <v>0</v>
      </c>
      <c r="F57">
        <v>0</v>
      </c>
      <c r="G57">
        <v>0</v>
      </c>
      <c r="H57">
        <v>0</v>
      </c>
      <c r="I57">
        <v>2</v>
      </c>
      <c r="J57">
        <v>124114</v>
      </c>
      <c r="K57">
        <v>1999</v>
      </c>
      <c r="L57">
        <v>1.3952999999999999E-3</v>
      </c>
    </row>
    <row r="58" spans="1:12" x14ac:dyDescent="0.25">
      <c r="A58" t="s">
        <v>847</v>
      </c>
      <c r="B58" t="s">
        <v>39</v>
      </c>
      <c r="C58">
        <v>0</v>
      </c>
      <c r="D58">
        <v>0</v>
      </c>
      <c r="E58">
        <v>0</v>
      </c>
      <c r="F58">
        <v>0</v>
      </c>
      <c r="G58">
        <v>0</v>
      </c>
      <c r="H58">
        <v>1</v>
      </c>
      <c r="I58">
        <v>1</v>
      </c>
      <c r="J58">
        <v>111074</v>
      </c>
      <c r="K58">
        <v>1999</v>
      </c>
      <c r="L58">
        <v>2.81782E-2</v>
      </c>
    </row>
    <row r="59" spans="1:12" x14ac:dyDescent="0.25">
      <c r="A59" t="s">
        <v>1098</v>
      </c>
      <c r="B59" t="s">
        <v>36</v>
      </c>
      <c r="C59">
        <v>0</v>
      </c>
      <c r="D59">
        <v>0</v>
      </c>
      <c r="E59">
        <v>0</v>
      </c>
      <c r="F59">
        <v>1</v>
      </c>
      <c r="G59">
        <v>0</v>
      </c>
      <c r="H59">
        <v>0</v>
      </c>
      <c r="I59">
        <v>1</v>
      </c>
      <c r="J59">
        <v>100000</v>
      </c>
      <c r="K59">
        <v>1948</v>
      </c>
      <c r="L59">
        <v>0.99193629999999999</v>
      </c>
    </row>
    <row r="60" spans="1:12" x14ac:dyDescent="0.25">
      <c r="A60" t="s">
        <v>405</v>
      </c>
      <c r="B60" t="s">
        <v>36</v>
      </c>
      <c r="C60">
        <v>0</v>
      </c>
      <c r="D60">
        <v>0</v>
      </c>
      <c r="E60">
        <v>0</v>
      </c>
      <c r="F60">
        <v>1</v>
      </c>
      <c r="G60">
        <v>0</v>
      </c>
      <c r="H60">
        <v>0</v>
      </c>
      <c r="I60">
        <v>1</v>
      </c>
      <c r="J60">
        <v>100000</v>
      </c>
      <c r="K60">
        <v>1924</v>
      </c>
      <c r="L60">
        <v>0.65174410000000005</v>
      </c>
    </row>
    <row r="61" spans="1:12" x14ac:dyDescent="0.25">
      <c r="A61" t="s">
        <v>508</v>
      </c>
      <c r="B61" t="s">
        <v>42</v>
      </c>
      <c r="C61">
        <v>0</v>
      </c>
      <c r="D61">
        <v>0</v>
      </c>
      <c r="E61">
        <v>0</v>
      </c>
      <c r="F61">
        <v>0</v>
      </c>
      <c r="G61">
        <v>1</v>
      </c>
      <c r="H61">
        <v>0</v>
      </c>
      <c r="I61">
        <v>1</v>
      </c>
      <c r="J61">
        <v>100000</v>
      </c>
      <c r="K61">
        <v>1972</v>
      </c>
      <c r="L61">
        <v>0.15617529999999999</v>
      </c>
    </row>
    <row r="62" spans="1:12" x14ac:dyDescent="0.25">
      <c r="A62" t="s">
        <v>505</v>
      </c>
      <c r="B62" t="s">
        <v>42</v>
      </c>
      <c r="C62">
        <v>0</v>
      </c>
      <c r="D62">
        <v>0</v>
      </c>
      <c r="E62">
        <v>0</v>
      </c>
      <c r="F62">
        <v>0</v>
      </c>
      <c r="G62">
        <v>1</v>
      </c>
      <c r="H62">
        <v>0</v>
      </c>
      <c r="I62">
        <v>1</v>
      </c>
      <c r="J62">
        <v>100000</v>
      </c>
      <c r="K62">
        <v>1963</v>
      </c>
      <c r="L62">
        <v>0.34300000000000003</v>
      </c>
    </row>
    <row r="63" spans="1:12" x14ac:dyDescent="0.25">
      <c r="A63" t="s">
        <v>1099</v>
      </c>
      <c r="B63" t="s">
        <v>36</v>
      </c>
      <c r="C63">
        <v>0</v>
      </c>
      <c r="D63">
        <v>0</v>
      </c>
      <c r="E63">
        <v>0</v>
      </c>
      <c r="F63">
        <v>1</v>
      </c>
      <c r="G63">
        <v>0</v>
      </c>
      <c r="H63">
        <v>0</v>
      </c>
      <c r="I63">
        <v>1</v>
      </c>
      <c r="J63">
        <v>100000</v>
      </c>
      <c r="K63">
        <v>1924</v>
      </c>
      <c r="L63">
        <v>0.85141599999999995</v>
      </c>
    </row>
    <row r="64" spans="1:12" x14ac:dyDescent="0.25">
      <c r="A64" t="s">
        <v>980</v>
      </c>
      <c r="B64" t="s">
        <v>45</v>
      </c>
      <c r="C64">
        <v>0</v>
      </c>
      <c r="D64">
        <v>0</v>
      </c>
      <c r="E64">
        <v>0</v>
      </c>
      <c r="F64">
        <v>0</v>
      </c>
      <c r="G64">
        <v>1</v>
      </c>
      <c r="H64">
        <v>0</v>
      </c>
      <c r="I64">
        <v>1</v>
      </c>
      <c r="J64">
        <v>100000</v>
      </c>
      <c r="K64">
        <v>2013</v>
      </c>
      <c r="L64">
        <v>0.30151410000000001</v>
      </c>
    </row>
    <row r="65" spans="1:12" x14ac:dyDescent="0.25">
      <c r="A65" t="s">
        <v>702</v>
      </c>
      <c r="B65" t="s">
        <v>42</v>
      </c>
      <c r="C65">
        <v>0</v>
      </c>
      <c r="D65">
        <v>0</v>
      </c>
      <c r="E65">
        <v>0</v>
      </c>
      <c r="F65">
        <v>1</v>
      </c>
      <c r="G65">
        <v>0</v>
      </c>
      <c r="H65">
        <v>0</v>
      </c>
      <c r="I65">
        <v>1</v>
      </c>
      <c r="J65">
        <v>100000</v>
      </c>
      <c r="K65">
        <v>1913</v>
      </c>
      <c r="L65">
        <v>0.35171419999999998</v>
      </c>
    </row>
    <row r="66" spans="1:12" x14ac:dyDescent="0.25">
      <c r="A66" t="s">
        <v>963</v>
      </c>
      <c r="B66" t="s">
        <v>45</v>
      </c>
      <c r="C66">
        <v>0</v>
      </c>
      <c r="D66">
        <v>0</v>
      </c>
      <c r="E66">
        <v>0</v>
      </c>
      <c r="F66">
        <v>0</v>
      </c>
      <c r="G66">
        <v>1</v>
      </c>
      <c r="H66">
        <v>0</v>
      </c>
      <c r="I66">
        <v>1</v>
      </c>
      <c r="J66">
        <v>100000</v>
      </c>
      <c r="K66">
        <v>1986</v>
      </c>
      <c r="L66">
        <v>0.43630190000000002</v>
      </c>
    </row>
    <row r="67" spans="1:12" x14ac:dyDescent="0.25">
      <c r="A67" t="s">
        <v>424</v>
      </c>
      <c r="B67" t="s">
        <v>36</v>
      </c>
      <c r="C67">
        <v>0</v>
      </c>
      <c r="D67">
        <v>0</v>
      </c>
      <c r="E67">
        <v>0</v>
      </c>
      <c r="F67">
        <v>1</v>
      </c>
      <c r="G67">
        <v>0</v>
      </c>
      <c r="H67">
        <v>0</v>
      </c>
      <c r="I67">
        <v>1</v>
      </c>
      <c r="J67">
        <v>100000</v>
      </c>
      <c r="K67">
        <v>1935</v>
      </c>
      <c r="L67">
        <v>0.27629199999999998</v>
      </c>
    </row>
    <row r="68" spans="1:12" x14ac:dyDescent="0.25">
      <c r="A68" t="s">
        <v>506</v>
      </c>
      <c r="B68" t="s">
        <v>42</v>
      </c>
      <c r="C68">
        <v>0</v>
      </c>
      <c r="D68">
        <v>0</v>
      </c>
      <c r="E68">
        <v>0</v>
      </c>
      <c r="F68">
        <v>0</v>
      </c>
      <c r="G68">
        <v>1</v>
      </c>
      <c r="H68">
        <v>0</v>
      </c>
      <c r="I68">
        <v>1</v>
      </c>
      <c r="J68">
        <v>100000</v>
      </c>
      <c r="K68">
        <v>1966</v>
      </c>
      <c r="L68">
        <v>0.27629199999999998</v>
      </c>
    </row>
    <row r="69" spans="1:12" x14ac:dyDescent="0.25">
      <c r="A69" t="s">
        <v>265</v>
      </c>
      <c r="B69" t="s">
        <v>253</v>
      </c>
      <c r="C69">
        <v>0</v>
      </c>
      <c r="D69">
        <v>0</v>
      </c>
      <c r="E69">
        <v>0</v>
      </c>
      <c r="F69">
        <v>1</v>
      </c>
      <c r="G69">
        <v>0</v>
      </c>
      <c r="H69">
        <v>0</v>
      </c>
      <c r="I69">
        <v>1</v>
      </c>
      <c r="J69">
        <v>100000</v>
      </c>
      <c r="K69">
        <v>1930</v>
      </c>
      <c r="L69">
        <v>0.77993820000000003</v>
      </c>
    </row>
    <row r="70" spans="1:12" x14ac:dyDescent="0.25">
      <c r="A70" t="s">
        <v>416</v>
      </c>
      <c r="B70" t="s">
        <v>36</v>
      </c>
      <c r="C70">
        <v>0</v>
      </c>
      <c r="D70">
        <v>0</v>
      </c>
      <c r="E70">
        <v>0</v>
      </c>
      <c r="F70">
        <v>1</v>
      </c>
      <c r="G70">
        <v>0</v>
      </c>
      <c r="H70">
        <v>0</v>
      </c>
      <c r="I70">
        <v>1</v>
      </c>
      <c r="J70">
        <v>100000</v>
      </c>
      <c r="K70">
        <v>1930</v>
      </c>
      <c r="L70">
        <v>0.1938936</v>
      </c>
    </row>
    <row r="71" spans="1:12" x14ac:dyDescent="0.25">
      <c r="A71" t="s">
        <v>429</v>
      </c>
      <c r="B71" t="s">
        <v>36</v>
      </c>
      <c r="C71">
        <v>0</v>
      </c>
      <c r="D71">
        <v>0</v>
      </c>
      <c r="E71">
        <v>0</v>
      </c>
      <c r="F71">
        <v>1</v>
      </c>
      <c r="G71">
        <v>0</v>
      </c>
      <c r="H71">
        <v>0</v>
      </c>
      <c r="I71">
        <v>1</v>
      </c>
      <c r="J71">
        <v>100000</v>
      </c>
      <c r="K71">
        <v>1940</v>
      </c>
      <c r="L71">
        <v>0.69487140000000003</v>
      </c>
    </row>
    <row r="72" spans="1:12" x14ac:dyDescent="0.25">
      <c r="A72" t="s">
        <v>975</v>
      </c>
      <c r="B72" t="s">
        <v>45</v>
      </c>
      <c r="C72">
        <v>0</v>
      </c>
      <c r="D72">
        <v>0</v>
      </c>
      <c r="E72">
        <v>0</v>
      </c>
      <c r="F72">
        <v>0</v>
      </c>
      <c r="G72">
        <v>1</v>
      </c>
      <c r="H72">
        <v>0</v>
      </c>
      <c r="I72">
        <v>1</v>
      </c>
      <c r="J72">
        <v>100000</v>
      </c>
      <c r="K72">
        <v>1998</v>
      </c>
      <c r="L72">
        <v>0.45146969999999997</v>
      </c>
    </row>
    <row r="73" spans="1:12" x14ac:dyDescent="0.25">
      <c r="A73" t="s">
        <v>501</v>
      </c>
      <c r="B73" t="s">
        <v>42</v>
      </c>
      <c r="C73">
        <v>0</v>
      </c>
      <c r="D73">
        <v>0</v>
      </c>
      <c r="E73">
        <v>0</v>
      </c>
      <c r="F73">
        <v>0</v>
      </c>
      <c r="G73">
        <v>1</v>
      </c>
      <c r="H73">
        <v>0</v>
      </c>
      <c r="I73">
        <v>1</v>
      </c>
      <c r="J73">
        <v>100000</v>
      </c>
      <c r="K73">
        <v>1944</v>
      </c>
      <c r="L73">
        <v>0.66731209999999996</v>
      </c>
    </row>
    <row r="74" spans="1:12" x14ac:dyDescent="0.25">
      <c r="A74" t="s">
        <v>308</v>
      </c>
      <c r="B74" t="s">
        <v>33</v>
      </c>
      <c r="C74">
        <v>0</v>
      </c>
      <c r="D74">
        <v>0</v>
      </c>
      <c r="E74">
        <v>0</v>
      </c>
      <c r="F74">
        <v>0</v>
      </c>
      <c r="G74">
        <v>1</v>
      </c>
      <c r="H74">
        <v>0</v>
      </c>
      <c r="I74">
        <v>1</v>
      </c>
      <c r="J74">
        <v>100000</v>
      </c>
      <c r="K74">
        <v>1939</v>
      </c>
      <c r="L74">
        <v>0.66622499999999996</v>
      </c>
    </row>
    <row r="75" spans="1:12" x14ac:dyDescent="0.25">
      <c r="A75" t="s">
        <v>839</v>
      </c>
      <c r="B75" t="s">
        <v>39</v>
      </c>
      <c r="C75">
        <v>0</v>
      </c>
      <c r="D75">
        <v>0</v>
      </c>
      <c r="E75">
        <v>0</v>
      </c>
      <c r="F75">
        <v>0</v>
      </c>
      <c r="G75">
        <v>0</v>
      </c>
      <c r="H75">
        <v>1</v>
      </c>
      <c r="I75">
        <v>2</v>
      </c>
      <c r="J75">
        <v>96853</v>
      </c>
      <c r="K75">
        <v>2024</v>
      </c>
      <c r="L75">
        <v>-7.2996800000000001E-2</v>
      </c>
    </row>
    <row r="76" spans="1:12" x14ac:dyDescent="0.25">
      <c r="A76" t="s">
        <v>1100</v>
      </c>
      <c r="B76" t="s">
        <v>48</v>
      </c>
      <c r="C76">
        <v>0</v>
      </c>
      <c r="D76">
        <v>0</v>
      </c>
      <c r="E76">
        <v>0</v>
      </c>
      <c r="F76">
        <v>0</v>
      </c>
      <c r="G76">
        <v>1</v>
      </c>
      <c r="H76">
        <v>0</v>
      </c>
      <c r="I76">
        <v>1</v>
      </c>
      <c r="J76">
        <v>89711</v>
      </c>
      <c r="K76">
        <v>2017</v>
      </c>
      <c r="L76">
        <v>-6.0000000000000001E-3</v>
      </c>
    </row>
    <row r="77" spans="1:12" x14ac:dyDescent="0.25">
      <c r="A77" t="s">
        <v>1101</v>
      </c>
      <c r="B77" t="s">
        <v>39</v>
      </c>
      <c r="C77">
        <v>0</v>
      </c>
      <c r="D77">
        <v>0</v>
      </c>
      <c r="E77">
        <v>0</v>
      </c>
      <c r="F77">
        <v>0</v>
      </c>
      <c r="G77">
        <v>0</v>
      </c>
      <c r="H77">
        <v>1</v>
      </c>
      <c r="I77">
        <v>3</v>
      </c>
      <c r="J77">
        <v>86911</v>
      </c>
      <c r="K77">
        <v>2000</v>
      </c>
      <c r="L77">
        <v>9.8780000000000005E-4</v>
      </c>
    </row>
    <row r="78" spans="1:12" x14ac:dyDescent="0.25">
      <c r="A78" t="s">
        <v>552</v>
      </c>
      <c r="B78" t="s">
        <v>42</v>
      </c>
      <c r="C78">
        <v>1</v>
      </c>
      <c r="D78">
        <v>0</v>
      </c>
      <c r="E78">
        <v>0</v>
      </c>
      <c r="F78">
        <v>0</v>
      </c>
      <c r="G78">
        <v>0</v>
      </c>
      <c r="H78">
        <v>0</v>
      </c>
      <c r="I78">
        <v>3</v>
      </c>
      <c r="J78">
        <v>83643</v>
      </c>
      <c r="K78">
        <v>2020</v>
      </c>
      <c r="L78">
        <v>2.6381000000000002E-2</v>
      </c>
    </row>
    <row r="79" spans="1:12" x14ac:dyDescent="0.25">
      <c r="A79" t="s">
        <v>1102</v>
      </c>
      <c r="B79" t="s">
        <v>36</v>
      </c>
      <c r="C79">
        <v>0</v>
      </c>
      <c r="D79">
        <v>1</v>
      </c>
      <c r="E79">
        <v>0</v>
      </c>
      <c r="F79">
        <v>0</v>
      </c>
      <c r="G79">
        <v>0</v>
      </c>
      <c r="H79">
        <v>0</v>
      </c>
      <c r="I79">
        <v>1</v>
      </c>
      <c r="J79">
        <v>75744</v>
      </c>
      <c r="K79">
        <v>2005</v>
      </c>
      <c r="L79">
        <v>-6.9572999999999996E-3</v>
      </c>
    </row>
    <row r="80" spans="1:12" x14ac:dyDescent="0.25">
      <c r="A80" t="s">
        <v>1103</v>
      </c>
      <c r="B80" t="s">
        <v>36</v>
      </c>
      <c r="C80">
        <v>0</v>
      </c>
      <c r="D80">
        <v>1</v>
      </c>
      <c r="E80">
        <v>0</v>
      </c>
      <c r="F80">
        <v>0</v>
      </c>
      <c r="G80">
        <v>0</v>
      </c>
      <c r="H80">
        <v>0</v>
      </c>
      <c r="I80">
        <v>1</v>
      </c>
      <c r="J80">
        <v>73000</v>
      </c>
      <c r="K80">
        <v>1988</v>
      </c>
      <c r="L80">
        <v>-5.6445000000000002E-3</v>
      </c>
    </row>
    <row r="81" spans="1:12" x14ac:dyDescent="0.25">
      <c r="A81" t="s">
        <v>904</v>
      </c>
      <c r="B81" t="s">
        <v>39</v>
      </c>
      <c r="C81">
        <v>0</v>
      </c>
      <c r="D81">
        <v>1</v>
      </c>
      <c r="E81">
        <v>0</v>
      </c>
      <c r="F81">
        <v>0</v>
      </c>
      <c r="G81">
        <v>0</v>
      </c>
      <c r="H81">
        <v>0</v>
      </c>
      <c r="I81">
        <v>1</v>
      </c>
      <c r="J81">
        <v>58751</v>
      </c>
      <c r="K81">
        <v>1994</v>
      </c>
      <c r="L81">
        <v>-7.2201000000000001E-3</v>
      </c>
    </row>
    <row r="82" spans="1:12" x14ac:dyDescent="0.25">
      <c r="A82" t="s">
        <v>820</v>
      </c>
      <c r="B82" t="s">
        <v>39</v>
      </c>
      <c r="C82">
        <v>0</v>
      </c>
      <c r="D82">
        <v>0</v>
      </c>
      <c r="E82">
        <v>0</v>
      </c>
      <c r="F82">
        <v>0</v>
      </c>
      <c r="G82">
        <v>0</v>
      </c>
      <c r="H82">
        <v>1</v>
      </c>
      <c r="I82">
        <v>2</v>
      </c>
      <c r="J82">
        <v>50957</v>
      </c>
      <c r="K82">
        <v>2016</v>
      </c>
      <c r="L82">
        <v>-2.2633199999999999E-2</v>
      </c>
    </row>
    <row r="83" spans="1:12" x14ac:dyDescent="0.25">
      <c r="A83" t="s">
        <v>341</v>
      </c>
      <c r="B83" t="s">
        <v>36</v>
      </c>
      <c r="C83">
        <v>0</v>
      </c>
      <c r="D83">
        <v>1</v>
      </c>
      <c r="E83">
        <v>0</v>
      </c>
      <c r="F83">
        <v>0</v>
      </c>
      <c r="G83">
        <v>0</v>
      </c>
      <c r="H83">
        <v>0</v>
      </c>
      <c r="I83">
        <v>1</v>
      </c>
      <c r="J83">
        <v>44279</v>
      </c>
      <c r="K83">
        <v>2004</v>
      </c>
      <c r="L83">
        <v>2.6727399999999998E-2</v>
      </c>
    </row>
    <row r="84" spans="1:12" x14ac:dyDescent="0.25">
      <c r="A84" t="s">
        <v>1104</v>
      </c>
      <c r="B84" t="s">
        <v>240</v>
      </c>
      <c r="C84">
        <v>1</v>
      </c>
      <c r="D84">
        <v>0</v>
      </c>
      <c r="E84">
        <v>0</v>
      </c>
      <c r="F84">
        <v>0</v>
      </c>
      <c r="G84">
        <v>0</v>
      </c>
      <c r="H84">
        <v>0</v>
      </c>
      <c r="I84">
        <v>1</v>
      </c>
      <c r="J84">
        <v>38168</v>
      </c>
      <c r="K84">
        <v>2015</v>
      </c>
      <c r="L84">
        <v>3.4108300000000001E-2</v>
      </c>
    </row>
    <row r="85" spans="1:12" x14ac:dyDescent="0.25">
      <c r="A85" t="s">
        <v>451</v>
      </c>
      <c r="B85" t="s">
        <v>36</v>
      </c>
      <c r="C85">
        <v>1</v>
      </c>
      <c r="D85">
        <v>0</v>
      </c>
      <c r="E85">
        <v>0</v>
      </c>
      <c r="F85">
        <v>0</v>
      </c>
      <c r="G85">
        <v>0</v>
      </c>
      <c r="H85">
        <v>0</v>
      </c>
      <c r="I85">
        <v>1</v>
      </c>
      <c r="J85">
        <v>35160</v>
      </c>
      <c r="K85">
        <v>2009</v>
      </c>
      <c r="L85">
        <v>4.2507999999999997E-2</v>
      </c>
    </row>
    <row r="86" spans="1:12" x14ac:dyDescent="0.25">
      <c r="A86" t="s">
        <v>810</v>
      </c>
      <c r="B86" t="s">
        <v>39</v>
      </c>
      <c r="C86">
        <v>0</v>
      </c>
      <c r="D86">
        <v>0</v>
      </c>
      <c r="E86">
        <v>0</v>
      </c>
      <c r="F86">
        <v>0</v>
      </c>
      <c r="G86">
        <v>0</v>
      </c>
      <c r="H86">
        <v>1</v>
      </c>
      <c r="I86">
        <v>2</v>
      </c>
      <c r="J86">
        <v>33127</v>
      </c>
      <c r="K86">
        <v>2016</v>
      </c>
      <c r="L86">
        <v>3.6686900000000001E-2</v>
      </c>
    </row>
    <row r="87" spans="1:12" x14ac:dyDescent="0.25">
      <c r="A87" t="s">
        <v>736</v>
      </c>
      <c r="B87" t="s">
        <v>39</v>
      </c>
      <c r="C87">
        <v>0</v>
      </c>
      <c r="D87">
        <v>0</v>
      </c>
      <c r="E87">
        <v>0</v>
      </c>
      <c r="F87">
        <v>0</v>
      </c>
      <c r="G87">
        <v>0</v>
      </c>
      <c r="H87">
        <v>1</v>
      </c>
      <c r="I87">
        <v>9</v>
      </c>
      <c r="J87">
        <v>26032</v>
      </c>
      <c r="K87">
        <v>2019</v>
      </c>
      <c r="L87">
        <v>-5.89697E-2</v>
      </c>
    </row>
    <row r="88" spans="1:12" x14ac:dyDescent="0.25">
      <c r="A88" t="s">
        <v>186</v>
      </c>
      <c r="B88" t="s">
        <v>102</v>
      </c>
      <c r="C88">
        <v>0</v>
      </c>
      <c r="D88">
        <v>0</v>
      </c>
      <c r="E88">
        <v>1</v>
      </c>
      <c r="F88">
        <v>0</v>
      </c>
      <c r="G88">
        <v>0</v>
      </c>
      <c r="H88">
        <v>0</v>
      </c>
      <c r="I88">
        <v>1</v>
      </c>
      <c r="J88">
        <v>24169</v>
      </c>
      <c r="K88">
        <v>2018</v>
      </c>
      <c r="L88">
        <v>-6.19153E-2</v>
      </c>
    </row>
    <row r="89" spans="1:12" x14ac:dyDescent="0.25">
      <c r="A89" t="s">
        <v>1105</v>
      </c>
      <c r="B89" t="s">
        <v>39</v>
      </c>
      <c r="C89">
        <v>0</v>
      </c>
      <c r="D89">
        <v>0</v>
      </c>
      <c r="E89">
        <v>0</v>
      </c>
      <c r="F89">
        <v>0</v>
      </c>
      <c r="G89">
        <v>0</v>
      </c>
      <c r="H89">
        <v>1</v>
      </c>
      <c r="I89">
        <v>1</v>
      </c>
      <c r="J89">
        <v>24021</v>
      </c>
      <c r="K89">
        <v>2003</v>
      </c>
      <c r="L89">
        <v>7.0499999999999993E-2</v>
      </c>
    </row>
    <row r="90" spans="1:12" x14ac:dyDescent="0.25">
      <c r="A90" t="s">
        <v>287</v>
      </c>
      <c r="B90" t="s">
        <v>33</v>
      </c>
      <c r="C90">
        <v>0</v>
      </c>
      <c r="D90">
        <v>0</v>
      </c>
      <c r="E90">
        <v>0</v>
      </c>
      <c r="F90">
        <v>0</v>
      </c>
      <c r="G90">
        <v>0</v>
      </c>
      <c r="H90">
        <v>1</v>
      </c>
      <c r="I90">
        <v>1</v>
      </c>
      <c r="J90">
        <v>23807</v>
      </c>
      <c r="K90">
        <v>2021</v>
      </c>
      <c r="L90">
        <v>-0.36849330000000002</v>
      </c>
    </row>
    <row r="91" spans="1:12" x14ac:dyDescent="0.25">
      <c r="A91" t="s">
        <v>1032</v>
      </c>
      <c r="B91" t="s">
        <v>48</v>
      </c>
      <c r="C91">
        <v>0</v>
      </c>
      <c r="D91">
        <v>0</v>
      </c>
      <c r="E91">
        <v>0</v>
      </c>
      <c r="F91">
        <v>0</v>
      </c>
      <c r="G91">
        <v>1</v>
      </c>
      <c r="H91">
        <v>0</v>
      </c>
      <c r="I91">
        <v>22</v>
      </c>
      <c r="J91">
        <v>22000</v>
      </c>
      <c r="K91">
        <v>1988.7273</v>
      </c>
      <c r="L91">
        <v>0.299985</v>
      </c>
    </row>
    <row r="92" spans="1:12" x14ac:dyDescent="0.25">
      <c r="A92" t="s">
        <v>452</v>
      </c>
      <c r="B92" t="s">
        <v>36</v>
      </c>
      <c r="C92">
        <v>1</v>
      </c>
      <c r="D92">
        <v>0</v>
      </c>
      <c r="E92">
        <v>0</v>
      </c>
      <c r="F92">
        <v>0</v>
      </c>
      <c r="G92">
        <v>0</v>
      </c>
      <c r="H92">
        <v>0</v>
      </c>
      <c r="I92">
        <v>1</v>
      </c>
      <c r="J92">
        <v>21772</v>
      </c>
      <c r="K92">
        <v>2009</v>
      </c>
      <c r="L92">
        <v>3.0002000000000001E-2</v>
      </c>
    </row>
    <row r="93" spans="1:12" x14ac:dyDescent="0.25">
      <c r="A93" t="s">
        <v>514</v>
      </c>
      <c r="B93" t="s">
        <v>42</v>
      </c>
      <c r="C93">
        <v>0</v>
      </c>
      <c r="D93">
        <v>1</v>
      </c>
      <c r="E93">
        <v>0</v>
      </c>
      <c r="F93">
        <v>0</v>
      </c>
      <c r="G93">
        <v>0</v>
      </c>
      <c r="H93">
        <v>0</v>
      </c>
      <c r="I93">
        <v>1</v>
      </c>
      <c r="J93">
        <v>15612</v>
      </c>
      <c r="K93">
        <v>1999</v>
      </c>
      <c r="L93">
        <v>-4.1927399999999997E-2</v>
      </c>
    </row>
    <row r="94" spans="1:12" x14ac:dyDescent="0.25">
      <c r="A94" t="s">
        <v>663</v>
      </c>
      <c r="B94" t="s">
        <v>42</v>
      </c>
      <c r="C94">
        <v>1</v>
      </c>
      <c r="D94">
        <v>0</v>
      </c>
      <c r="E94">
        <v>0</v>
      </c>
      <c r="F94">
        <v>0</v>
      </c>
      <c r="G94">
        <v>0</v>
      </c>
      <c r="H94">
        <v>0</v>
      </c>
      <c r="I94">
        <v>1</v>
      </c>
      <c r="J94">
        <v>14637</v>
      </c>
      <c r="K94">
        <v>2015</v>
      </c>
      <c r="L94">
        <v>3.3384400000000002E-2</v>
      </c>
    </row>
    <row r="95" spans="1:12" x14ac:dyDescent="0.25">
      <c r="A95" t="s">
        <v>899</v>
      </c>
      <c r="B95" t="s">
        <v>39</v>
      </c>
      <c r="C95">
        <v>0</v>
      </c>
      <c r="D95">
        <v>0</v>
      </c>
      <c r="E95">
        <v>0</v>
      </c>
      <c r="F95">
        <v>0</v>
      </c>
      <c r="G95">
        <v>0</v>
      </c>
      <c r="H95">
        <v>1</v>
      </c>
      <c r="I95">
        <v>1</v>
      </c>
      <c r="J95">
        <v>12695</v>
      </c>
      <c r="K95">
        <v>1992</v>
      </c>
      <c r="L95">
        <v>2.5214E-3</v>
      </c>
    </row>
    <row r="96" spans="1:12" x14ac:dyDescent="0.25">
      <c r="A96" t="s">
        <v>453</v>
      </c>
      <c r="B96" t="s">
        <v>36</v>
      </c>
      <c r="C96">
        <v>1</v>
      </c>
      <c r="D96">
        <v>0</v>
      </c>
      <c r="E96">
        <v>0</v>
      </c>
      <c r="F96">
        <v>0</v>
      </c>
      <c r="G96">
        <v>0</v>
      </c>
      <c r="H96">
        <v>0</v>
      </c>
      <c r="I96">
        <v>1</v>
      </c>
      <c r="J96">
        <v>12612</v>
      </c>
      <c r="K96">
        <v>2009</v>
      </c>
      <c r="L96">
        <v>1.5334E-2</v>
      </c>
    </row>
    <row r="97" spans="1:12" x14ac:dyDescent="0.25">
      <c r="A97" t="s">
        <v>773</v>
      </c>
      <c r="B97" t="s">
        <v>39</v>
      </c>
      <c r="C97">
        <v>0</v>
      </c>
      <c r="D97">
        <v>0</v>
      </c>
      <c r="E97">
        <v>0</v>
      </c>
      <c r="F97">
        <v>0</v>
      </c>
      <c r="G97">
        <v>0</v>
      </c>
      <c r="H97">
        <v>1</v>
      </c>
      <c r="I97">
        <v>1</v>
      </c>
      <c r="J97">
        <v>11845</v>
      </c>
      <c r="K97">
        <v>2011</v>
      </c>
      <c r="L97">
        <v>-1.5395300000000001E-2</v>
      </c>
    </row>
    <row r="98" spans="1:12" x14ac:dyDescent="0.25">
      <c r="A98" t="s">
        <v>680</v>
      </c>
      <c r="B98" t="s">
        <v>42</v>
      </c>
      <c r="C98">
        <v>1</v>
      </c>
      <c r="D98">
        <v>0</v>
      </c>
      <c r="E98">
        <v>0</v>
      </c>
      <c r="F98">
        <v>0</v>
      </c>
      <c r="G98">
        <v>0</v>
      </c>
      <c r="H98">
        <v>0</v>
      </c>
      <c r="I98">
        <v>1</v>
      </c>
      <c r="J98">
        <v>11190</v>
      </c>
      <c r="K98">
        <v>2024</v>
      </c>
      <c r="L98">
        <v>7.0043099999999997E-2</v>
      </c>
    </row>
    <row r="99" spans="1:12" x14ac:dyDescent="0.25">
      <c r="A99" t="s">
        <v>582</v>
      </c>
      <c r="B99" t="s">
        <v>42</v>
      </c>
      <c r="C99">
        <v>0</v>
      </c>
      <c r="D99">
        <v>1</v>
      </c>
      <c r="E99">
        <v>0</v>
      </c>
      <c r="F99">
        <v>0</v>
      </c>
      <c r="G99">
        <v>0</v>
      </c>
      <c r="H99">
        <v>0</v>
      </c>
      <c r="I99">
        <v>2</v>
      </c>
      <c r="J99">
        <v>10824</v>
      </c>
      <c r="K99">
        <v>2003</v>
      </c>
      <c r="L99">
        <v>3.5368999999999998E-2</v>
      </c>
    </row>
    <row r="100" spans="1:12" x14ac:dyDescent="0.25">
      <c r="A100" t="s">
        <v>1106</v>
      </c>
      <c r="B100" t="s">
        <v>39</v>
      </c>
      <c r="C100">
        <v>0</v>
      </c>
      <c r="D100">
        <v>1</v>
      </c>
      <c r="E100">
        <v>0</v>
      </c>
      <c r="F100">
        <v>0</v>
      </c>
      <c r="G100">
        <v>0</v>
      </c>
      <c r="H100">
        <v>0</v>
      </c>
      <c r="I100">
        <v>2</v>
      </c>
      <c r="J100">
        <v>9618</v>
      </c>
      <c r="K100">
        <v>2014</v>
      </c>
      <c r="L100">
        <v>-6.4165999999999997E-3</v>
      </c>
    </row>
    <row r="101" spans="1:12" x14ac:dyDescent="0.25">
      <c r="A101" t="s">
        <v>666</v>
      </c>
      <c r="B101" t="s">
        <v>42</v>
      </c>
      <c r="C101">
        <v>1</v>
      </c>
      <c r="D101">
        <v>0</v>
      </c>
      <c r="E101">
        <v>0</v>
      </c>
      <c r="F101">
        <v>0</v>
      </c>
      <c r="G101">
        <v>0</v>
      </c>
      <c r="H101">
        <v>0</v>
      </c>
      <c r="I101">
        <v>1</v>
      </c>
      <c r="J101">
        <v>9396</v>
      </c>
      <c r="K101">
        <v>2015</v>
      </c>
      <c r="L101">
        <v>3.4551800000000001E-2</v>
      </c>
    </row>
    <row r="102" spans="1:12" x14ac:dyDescent="0.25">
      <c r="A102" t="s">
        <v>1107</v>
      </c>
      <c r="B102" t="s">
        <v>36</v>
      </c>
      <c r="C102">
        <v>0</v>
      </c>
      <c r="D102">
        <v>1</v>
      </c>
      <c r="E102">
        <v>0</v>
      </c>
      <c r="F102">
        <v>0</v>
      </c>
      <c r="G102">
        <v>0</v>
      </c>
      <c r="H102">
        <v>0</v>
      </c>
      <c r="I102">
        <v>1</v>
      </c>
      <c r="J102">
        <v>9235</v>
      </c>
      <c r="K102">
        <v>1991</v>
      </c>
      <c r="L102">
        <v>-5.7647999999999996E-3</v>
      </c>
    </row>
    <row r="103" spans="1:12" x14ac:dyDescent="0.25">
      <c r="A103" t="s">
        <v>828</v>
      </c>
      <c r="B103" t="s">
        <v>39</v>
      </c>
      <c r="C103">
        <v>0</v>
      </c>
      <c r="D103">
        <v>0</v>
      </c>
      <c r="E103">
        <v>0</v>
      </c>
      <c r="F103">
        <v>0</v>
      </c>
      <c r="G103">
        <v>0</v>
      </c>
      <c r="H103">
        <v>1</v>
      </c>
      <c r="I103">
        <v>1</v>
      </c>
      <c r="J103">
        <v>9119</v>
      </c>
      <c r="K103">
        <v>2019</v>
      </c>
      <c r="L103">
        <v>5.8730200000000003E-2</v>
      </c>
    </row>
    <row r="104" spans="1:12" x14ac:dyDescent="0.25">
      <c r="A104" t="s">
        <v>670</v>
      </c>
      <c r="B104" t="s">
        <v>42</v>
      </c>
      <c r="C104">
        <v>1</v>
      </c>
      <c r="D104">
        <v>0</v>
      </c>
      <c r="E104">
        <v>0</v>
      </c>
      <c r="F104">
        <v>0</v>
      </c>
      <c r="G104">
        <v>0</v>
      </c>
      <c r="H104">
        <v>0</v>
      </c>
      <c r="I104">
        <v>1</v>
      </c>
      <c r="J104">
        <v>8914</v>
      </c>
      <c r="K104">
        <v>2016</v>
      </c>
      <c r="L104">
        <v>1.4829200000000001E-2</v>
      </c>
    </row>
    <row r="105" spans="1:12" x14ac:dyDescent="0.25">
      <c r="A105" t="s">
        <v>1108</v>
      </c>
      <c r="B105" t="s">
        <v>30</v>
      </c>
      <c r="C105">
        <v>0</v>
      </c>
      <c r="D105">
        <v>0</v>
      </c>
      <c r="E105">
        <v>0</v>
      </c>
      <c r="F105">
        <v>0</v>
      </c>
      <c r="G105">
        <v>0</v>
      </c>
      <c r="H105">
        <v>1</v>
      </c>
      <c r="I105">
        <v>2</v>
      </c>
      <c r="J105">
        <v>8058</v>
      </c>
      <c r="K105">
        <v>2005</v>
      </c>
      <c r="L105">
        <v>-8.8140499999999997E-2</v>
      </c>
    </row>
    <row r="106" spans="1:12" x14ac:dyDescent="0.25">
      <c r="A106" t="s">
        <v>224</v>
      </c>
      <c r="B106" t="s">
        <v>30</v>
      </c>
      <c r="C106">
        <v>0</v>
      </c>
      <c r="D106">
        <v>1</v>
      </c>
      <c r="E106">
        <v>0</v>
      </c>
      <c r="F106">
        <v>0</v>
      </c>
      <c r="G106">
        <v>0</v>
      </c>
      <c r="H106">
        <v>0</v>
      </c>
      <c r="I106">
        <v>1</v>
      </c>
      <c r="J106">
        <v>7617</v>
      </c>
      <c r="K106">
        <v>2013</v>
      </c>
      <c r="L106">
        <v>0.129</v>
      </c>
    </row>
    <row r="107" spans="1:12" x14ac:dyDescent="0.25">
      <c r="A107" t="s">
        <v>1109</v>
      </c>
      <c r="B107" t="s">
        <v>42</v>
      </c>
      <c r="C107">
        <v>0</v>
      </c>
      <c r="D107">
        <v>1</v>
      </c>
      <c r="E107">
        <v>0</v>
      </c>
      <c r="F107">
        <v>0</v>
      </c>
      <c r="G107">
        <v>0</v>
      </c>
      <c r="H107">
        <v>0</v>
      </c>
      <c r="I107">
        <v>14</v>
      </c>
      <c r="J107">
        <v>7579</v>
      </c>
      <c r="K107">
        <v>1984.6428000000001</v>
      </c>
      <c r="L107">
        <v>4.3799100000000001E-2</v>
      </c>
    </row>
    <row r="108" spans="1:12" x14ac:dyDescent="0.25">
      <c r="A108" t="s">
        <v>457</v>
      </c>
      <c r="B108" t="s">
        <v>36</v>
      </c>
      <c r="C108">
        <v>1</v>
      </c>
      <c r="D108">
        <v>0</v>
      </c>
      <c r="E108">
        <v>0</v>
      </c>
      <c r="F108">
        <v>0</v>
      </c>
      <c r="G108">
        <v>0</v>
      </c>
      <c r="H108">
        <v>0</v>
      </c>
      <c r="I108">
        <v>1</v>
      </c>
      <c r="J108">
        <v>7013</v>
      </c>
      <c r="K108">
        <v>2016</v>
      </c>
      <c r="L108">
        <v>-2.5751E-2</v>
      </c>
    </row>
    <row r="109" spans="1:12" x14ac:dyDescent="0.25">
      <c r="A109" t="s">
        <v>449</v>
      </c>
      <c r="B109" t="s">
        <v>36</v>
      </c>
      <c r="C109">
        <v>1</v>
      </c>
      <c r="D109">
        <v>0</v>
      </c>
      <c r="E109">
        <v>0</v>
      </c>
      <c r="F109">
        <v>0</v>
      </c>
      <c r="G109">
        <v>0</v>
      </c>
      <c r="H109">
        <v>0</v>
      </c>
      <c r="I109">
        <v>1</v>
      </c>
      <c r="J109">
        <v>6912</v>
      </c>
      <c r="K109">
        <v>2000</v>
      </c>
      <c r="L109">
        <v>5.2326999999999999E-2</v>
      </c>
    </row>
    <row r="110" spans="1:12" x14ac:dyDescent="0.25">
      <c r="A110" t="s">
        <v>653</v>
      </c>
      <c r="B110" t="s">
        <v>42</v>
      </c>
      <c r="C110">
        <v>1</v>
      </c>
      <c r="D110">
        <v>0</v>
      </c>
      <c r="E110">
        <v>0</v>
      </c>
      <c r="F110">
        <v>0</v>
      </c>
      <c r="G110">
        <v>0</v>
      </c>
      <c r="H110">
        <v>0</v>
      </c>
      <c r="I110">
        <v>4</v>
      </c>
      <c r="J110">
        <v>6738</v>
      </c>
      <c r="K110">
        <v>2011</v>
      </c>
      <c r="L110">
        <v>4.8868300000000003E-2</v>
      </c>
    </row>
    <row r="111" spans="1:12" x14ac:dyDescent="0.25">
      <c r="A111" t="s">
        <v>659</v>
      </c>
      <c r="B111" t="s">
        <v>42</v>
      </c>
      <c r="C111">
        <v>1</v>
      </c>
      <c r="D111">
        <v>0</v>
      </c>
      <c r="E111">
        <v>0</v>
      </c>
      <c r="F111">
        <v>0</v>
      </c>
      <c r="G111">
        <v>0</v>
      </c>
      <c r="H111">
        <v>0</v>
      </c>
      <c r="I111">
        <v>1</v>
      </c>
      <c r="J111">
        <v>6382</v>
      </c>
      <c r="K111">
        <v>2014</v>
      </c>
      <c r="L111">
        <v>-1.7107799999999999E-2</v>
      </c>
    </row>
    <row r="112" spans="1:12" x14ac:dyDescent="0.25">
      <c r="A112" t="s">
        <v>446</v>
      </c>
      <c r="B112" t="s">
        <v>36</v>
      </c>
      <c r="C112">
        <v>0</v>
      </c>
      <c r="D112">
        <v>1</v>
      </c>
      <c r="E112">
        <v>0</v>
      </c>
      <c r="F112">
        <v>0</v>
      </c>
      <c r="G112">
        <v>0</v>
      </c>
      <c r="H112">
        <v>0</v>
      </c>
      <c r="I112">
        <v>1</v>
      </c>
      <c r="J112">
        <v>6080</v>
      </c>
      <c r="K112">
        <v>1977</v>
      </c>
      <c r="L112">
        <v>0.16083700000000001</v>
      </c>
    </row>
    <row r="113" spans="1:12" x14ac:dyDescent="0.25">
      <c r="A113" t="s">
        <v>563</v>
      </c>
      <c r="B113" t="s">
        <v>42</v>
      </c>
      <c r="C113">
        <v>0</v>
      </c>
      <c r="D113">
        <v>1</v>
      </c>
      <c r="E113">
        <v>0</v>
      </c>
      <c r="F113">
        <v>0</v>
      </c>
      <c r="G113">
        <v>0</v>
      </c>
      <c r="H113">
        <v>0</v>
      </c>
      <c r="I113">
        <v>18</v>
      </c>
      <c r="J113">
        <v>6055</v>
      </c>
      <c r="K113">
        <v>1983.2221999999999</v>
      </c>
      <c r="L113">
        <v>8.3568299999999998E-2</v>
      </c>
    </row>
    <row r="114" spans="1:12" x14ac:dyDescent="0.25">
      <c r="A114" t="s">
        <v>642</v>
      </c>
      <c r="B114" t="s">
        <v>42</v>
      </c>
      <c r="C114">
        <v>1</v>
      </c>
      <c r="D114">
        <v>0</v>
      </c>
      <c r="E114">
        <v>0</v>
      </c>
      <c r="F114">
        <v>0</v>
      </c>
      <c r="G114">
        <v>0</v>
      </c>
      <c r="H114">
        <v>0</v>
      </c>
      <c r="I114">
        <v>1</v>
      </c>
      <c r="J114">
        <v>4784</v>
      </c>
      <c r="K114">
        <v>2001</v>
      </c>
      <c r="L114">
        <v>5.9646999999999999E-2</v>
      </c>
    </row>
    <row r="115" spans="1:12" x14ac:dyDescent="0.25">
      <c r="A115" t="s">
        <v>824</v>
      </c>
      <c r="B115" t="s">
        <v>39</v>
      </c>
      <c r="C115">
        <v>0</v>
      </c>
      <c r="D115">
        <v>0</v>
      </c>
      <c r="E115">
        <v>0</v>
      </c>
      <c r="F115">
        <v>0</v>
      </c>
      <c r="G115">
        <v>0</v>
      </c>
      <c r="H115">
        <v>1</v>
      </c>
      <c r="I115">
        <v>1</v>
      </c>
      <c r="J115">
        <v>4637</v>
      </c>
      <c r="K115">
        <v>2020</v>
      </c>
      <c r="L115">
        <v>-3.42733E-2</v>
      </c>
    </row>
    <row r="116" spans="1:12" x14ac:dyDescent="0.25">
      <c r="A116" t="s">
        <v>455</v>
      </c>
      <c r="B116" t="s">
        <v>36</v>
      </c>
      <c r="C116">
        <v>1</v>
      </c>
      <c r="D116">
        <v>0</v>
      </c>
      <c r="E116">
        <v>0</v>
      </c>
      <c r="F116">
        <v>0</v>
      </c>
      <c r="G116">
        <v>0</v>
      </c>
      <c r="H116">
        <v>0</v>
      </c>
      <c r="I116">
        <v>1</v>
      </c>
      <c r="J116">
        <v>4226</v>
      </c>
      <c r="K116">
        <v>2009</v>
      </c>
      <c r="L116">
        <v>3.4265900000000002E-2</v>
      </c>
    </row>
    <row r="117" spans="1:12" x14ac:dyDescent="0.25">
      <c r="A117" t="s">
        <v>938</v>
      </c>
      <c r="B117" t="s">
        <v>39</v>
      </c>
      <c r="C117">
        <v>0</v>
      </c>
      <c r="D117">
        <v>0</v>
      </c>
      <c r="E117">
        <v>0</v>
      </c>
      <c r="F117">
        <v>0</v>
      </c>
      <c r="G117">
        <v>0</v>
      </c>
      <c r="H117">
        <v>1</v>
      </c>
      <c r="I117">
        <v>1</v>
      </c>
      <c r="J117">
        <v>4225</v>
      </c>
      <c r="K117">
        <v>1984</v>
      </c>
      <c r="L117">
        <v>9.1412999999999998E-3</v>
      </c>
    </row>
    <row r="118" spans="1:12" x14ac:dyDescent="0.25">
      <c r="A118" t="s">
        <v>279</v>
      </c>
      <c r="B118" t="s">
        <v>33</v>
      </c>
      <c r="C118">
        <v>0</v>
      </c>
      <c r="D118">
        <v>0</v>
      </c>
      <c r="E118">
        <v>0</v>
      </c>
      <c r="F118">
        <v>0</v>
      </c>
      <c r="G118">
        <v>0</v>
      </c>
      <c r="H118">
        <v>1</v>
      </c>
      <c r="I118">
        <v>1</v>
      </c>
      <c r="J118">
        <v>4225</v>
      </c>
      <c r="K118">
        <v>1991</v>
      </c>
      <c r="L118">
        <v>-0.42199999999999999</v>
      </c>
    </row>
    <row r="119" spans="1:12" x14ac:dyDescent="0.25">
      <c r="A119" t="s">
        <v>569</v>
      </c>
      <c r="B119" t="s">
        <v>42</v>
      </c>
      <c r="C119">
        <v>0</v>
      </c>
      <c r="D119">
        <v>1</v>
      </c>
      <c r="E119">
        <v>0</v>
      </c>
      <c r="F119">
        <v>0</v>
      </c>
      <c r="G119">
        <v>0</v>
      </c>
      <c r="H119">
        <v>0</v>
      </c>
      <c r="I119">
        <v>3</v>
      </c>
      <c r="J119">
        <v>3990</v>
      </c>
      <c r="K119">
        <v>1971</v>
      </c>
      <c r="L119">
        <v>1.50857E-2</v>
      </c>
    </row>
    <row r="120" spans="1:12" x14ac:dyDescent="0.25">
      <c r="A120" t="s">
        <v>318</v>
      </c>
      <c r="B120" t="s">
        <v>36</v>
      </c>
      <c r="C120">
        <v>1</v>
      </c>
      <c r="D120">
        <v>0</v>
      </c>
      <c r="E120">
        <v>0</v>
      </c>
      <c r="F120">
        <v>0</v>
      </c>
      <c r="G120">
        <v>0</v>
      </c>
      <c r="H120">
        <v>0</v>
      </c>
      <c r="I120">
        <v>1</v>
      </c>
      <c r="J120">
        <v>3982</v>
      </c>
      <c r="K120">
        <v>2016</v>
      </c>
      <c r="L120">
        <v>2.4281799999999999E-2</v>
      </c>
    </row>
    <row r="121" spans="1:12" x14ac:dyDescent="0.25">
      <c r="A121" t="s">
        <v>400</v>
      </c>
      <c r="B121" t="s">
        <v>36</v>
      </c>
      <c r="C121">
        <v>0</v>
      </c>
      <c r="D121">
        <v>1</v>
      </c>
      <c r="E121">
        <v>0</v>
      </c>
      <c r="F121">
        <v>0</v>
      </c>
      <c r="G121">
        <v>0</v>
      </c>
      <c r="H121">
        <v>0</v>
      </c>
      <c r="I121">
        <v>1</v>
      </c>
      <c r="J121">
        <v>3752</v>
      </c>
      <c r="K121">
        <v>2012</v>
      </c>
      <c r="L121">
        <v>8.3508399999999997E-2</v>
      </c>
    </row>
    <row r="122" spans="1:12" x14ac:dyDescent="0.25">
      <c r="A122" t="s">
        <v>884</v>
      </c>
      <c r="B122" t="s">
        <v>39</v>
      </c>
      <c r="C122">
        <v>0</v>
      </c>
      <c r="D122">
        <v>1</v>
      </c>
      <c r="E122">
        <v>0</v>
      </c>
      <c r="F122">
        <v>0</v>
      </c>
      <c r="G122">
        <v>0</v>
      </c>
      <c r="H122">
        <v>0</v>
      </c>
      <c r="I122">
        <v>1</v>
      </c>
      <c r="J122">
        <v>3644</v>
      </c>
      <c r="K122">
        <v>1958</v>
      </c>
      <c r="L122">
        <v>8.4247999999999997E-3</v>
      </c>
    </row>
    <row r="123" spans="1:12" x14ac:dyDescent="0.25">
      <c r="A123" t="s">
        <v>945</v>
      </c>
      <c r="B123" t="s">
        <v>45</v>
      </c>
      <c r="C123">
        <v>0</v>
      </c>
      <c r="D123">
        <v>1</v>
      </c>
      <c r="E123">
        <v>0</v>
      </c>
      <c r="F123">
        <v>0</v>
      </c>
      <c r="G123">
        <v>0</v>
      </c>
      <c r="H123">
        <v>0</v>
      </c>
      <c r="I123">
        <v>2</v>
      </c>
      <c r="J123">
        <v>3631</v>
      </c>
      <c r="K123">
        <v>2003</v>
      </c>
      <c r="L123">
        <v>4.5747700000000002E-2</v>
      </c>
    </row>
    <row r="124" spans="1:12" x14ac:dyDescent="0.25">
      <c r="A124" t="s">
        <v>232</v>
      </c>
      <c r="B124" t="s">
        <v>30</v>
      </c>
      <c r="C124">
        <v>0</v>
      </c>
      <c r="D124">
        <v>1</v>
      </c>
      <c r="E124">
        <v>0</v>
      </c>
      <c r="F124">
        <v>0</v>
      </c>
      <c r="G124">
        <v>0</v>
      </c>
      <c r="H124">
        <v>0</v>
      </c>
      <c r="I124">
        <v>4</v>
      </c>
      <c r="J124">
        <v>3511</v>
      </c>
      <c r="K124">
        <v>2000.5</v>
      </c>
      <c r="L124">
        <v>6.0962700000000002E-2</v>
      </c>
    </row>
    <row r="125" spans="1:12" x14ac:dyDescent="0.25">
      <c r="A125" t="s">
        <v>1110</v>
      </c>
      <c r="B125" t="s">
        <v>36</v>
      </c>
      <c r="C125">
        <v>0</v>
      </c>
      <c r="D125">
        <v>1</v>
      </c>
      <c r="E125">
        <v>0</v>
      </c>
      <c r="F125">
        <v>0</v>
      </c>
      <c r="G125">
        <v>0</v>
      </c>
      <c r="H125">
        <v>0</v>
      </c>
      <c r="I125">
        <v>1</v>
      </c>
      <c r="J125">
        <v>3456</v>
      </c>
      <c r="K125">
        <v>1977</v>
      </c>
      <c r="L125">
        <v>2.4721900000000002E-2</v>
      </c>
    </row>
    <row r="126" spans="1:12" x14ac:dyDescent="0.25">
      <c r="A126" t="s">
        <v>591</v>
      </c>
      <c r="B126" t="s">
        <v>42</v>
      </c>
      <c r="C126">
        <v>0</v>
      </c>
      <c r="D126">
        <v>1</v>
      </c>
      <c r="E126">
        <v>0</v>
      </c>
      <c r="F126">
        <v>0</v>
      </c>
      <c r="G126">
        <v>0</v>
      </c>
      <c r="H126">
        <v>0</v>
      </c>
      <c r="I126">
        <v>2</v>
      </c>
      <c r="J126">
        <v>3108</v>
      </c>
      <c r="K126">
        <v>1994</v>
      </c>
      <c r="L126">
        <v>-3.5843800000000002E-2</v>
      </c>
    </row>
    <row r="127" spans="1:12" x14ac:dyDescent="0.25">
      <c r="A127" t="s">
        <v>314</v>
      </c>
      <c r="B127" t="s">
        <v>36</v>
      </c>
      <c r="C127">
        <v>0</v>
      </c>
      <c r="D127">
        <v>1</v>
      </c>
      <c r="E127">
        <v>0</v>
      </c>
      <c r="F127">
        <v>0</v>
      </c>
      <c r="G127">
        <v>0</v>
      </c>
      <c r="H127">
        <v>0</v>
      </c>
      <c r="I127">
        <v>1</v>
      </c>
      <c r="J127">
        <v>2925</v>
      </c>
      <c r="K127">
        <v>1990</v>
      </c>
      <c r="L127">
        <v>-6.1660199999999998E-2</v>
      </c>
    </row>
    <row r="128" spans="1:12" x14ac:dyDescent="0.25">
      <c r="A128" t="s">
        <v>230</v>
      </c>
      <c r="B128" t="s">
        <v>30</v>
      </c>
      <c r="C128">
        <v>0</v>
      </c>
      <c r="D128">
        <v>1</v>
      </c>
      <c r="E128">
        <v>0</v>
      </c>
      <c r="F128">
        <v>0</v>
      </c>
      <c r="G128">
        <v>0</v>
      </c>
      <c r="H128">
        <v>0</v>
      </c>
      <c r="I128">
        <v>2</v>
      </c>
      <c r="J128">
        <v>2891</v>
      </c>
      <c r="K128">
        <v>1995.5</v>
      </c>
      <c r="L128">
        <v>0.13085250000000001</v>
      </c>
    </row>
    <row r="129" spans="1:12" x14ac:dyDescent="0.25">
      <c r="A129" t="s">
        <v>673</v>
      </c>
      <c r="B129" t="s">
        <v>42</v>
      </c>
      <c r="C129">
        <v>1</v>
      </c>
      <c r="D129">
        <v>0</v>
      </c>
      <c r="E129">
        <v>0</v>
      </c>
      <c r="F129">
        <v>0</v>
      </c>
      <c r="G129">
        <v>0</v>
      </c>
      <c r="H129">
        <v>0</v>
      </c>
      <c r="I129">
        <v>1</v>
      </c>
      <c r="J129">
        <v>2744</v>
      </c>
      <c r="K129">
        <v>2017</v>
      </c>
      <c r="L129">
        <v>7.5555700000000003E-2</v>
      </c>
    </row>
    <row r="130" spans="1:12" x14ac:dyDescent="0.25">
      <c r="A130" t="s">
        <v>601</v>
      </c>
      <c r="B130" t="s">
        <v>42</v>
      </c>
      <c r="C130">
        <v>0</v>
      </c>
      <c r="D130">
        <v>1</v>
      </c>
      <c r="E130">
        <v>0</v>
      </c>
      <c r="F130">
        <v>0</v>
      </c>
      <c r="G130">
        <v>0</v>
      </c>
      <c r="H130">
        <v>0</v>
      </c>
      <c r="I130">
        <v>1</v>
      </c>
      <c r="J130">
        <v>2611</v>
      </c>
      <c r="K130">
        <v>2004</v>
      </c>
      <c r="L130">
        <v>7.9041799999999995E-2</v>
      </c>
    </row>
    <row r="131" spans="1:12" x14ac:dyDescent="0.25">
      <c r="A131" t="s">
        <v>1013</v>
      </c>
      <c r="B131" t="s">
        <v>994</v>
      </c>
      <c r="C131">
        <v>1</v>
      </c>
      <c r="D131">
        <v>0</v>
      </c>
      <c r="E131">
        <v>0</v>
      </c>
      <c r="F131">
        <v>0</v>
      </c>
      <c r="G131">
        <v>0</v>
      </c>
      <c r="H131">
        <v>0</v>
      </c>
      <c r="I131">
        <v>2</v>
      </c>
      <c r="J131">
        <v>2400</v>
      </c>
      <c r="K131">
        <v>2009</v>
      </c>
      <c r="L131">
        <v>5.5058599999999999E-2</v>
      </c>
    </row>
    <row r="132" spans="1:12" x14ac:dyDescent="0.25">
      <c r="A132" t="s">
        <v>1111</v>
      </c>
      <c r="B132" t="s">
        <v>36</v>
      </c>
      <c r="C132">
        <v>0</v>
      </c>
      <c r="D132">
        <v>1</v>
      </c>
      <c r="E132">
        <v>0</v>
      </c>
      <c r="F132">
        <v>0</v>
      </c>
      <c r="G132">
        <v>0</v>
      </c>
      <c r="H132">
        <v>0</v>
      </c>
      <c r="I132">
        <v>1</v>
      </c>
      <c r="J132">
        <v>2394</v>
      </c>
      <c r="K132">
        <v>2004</v>
      </c>
      <c r="L132">
        <v>4.2524100000000002E-2</v>
      </c>
    </row>
    <row r="133" spans="1:12" x14ac:dyDescent="0.25">
      <c r="A133" t="s">
        <v>385</v>
      </c>
      <c r="B133" t="s">
        <v>36</v>
      </c>
      <c r="C133">
        <v>0</v>
      </c>
      <c r="D133">
        <v>1</v>
      </c>
      <c r="E133">
        <v>0</v>
      </c>
      <c r="F133">
        <v>0</v>
      </c>
      <c r="G133">
        <v>0</v>
      </c>
      <c r="H133">
        <v>0</v>
      </c>
      <c r="I133">
        <v>1</v>
      </c>
      <c r="J133">
        <v>1996</v>
      </c>
      <c r="K133">
        <v>1990</v>
      </c>
      <c r="L133">
        <v>0.15249190000000001</v>
      </c>
    </row>
    <row r="134" spans="1:12" x14ac:dyDescent="0.25">
      <c r="A134" t="s">
        <v>1021</v>
      </c>
      <c r="B134" t="s">
        <v>1016</v>
      </c>
      <c r="C134">
        <v>1</v>
      </c>
      <c r="D134">
        <v>0</v>
      </c>
      <c r="E134">
        <v>0</v>
      </c>
      <c r="F134">
        <v>0</v>
      </c>
      <c r="G134">
        <v>0</v>
      </c>
      <c r="H134">
        <v>0</v>
      </c>
      <c r="I134">
        <v>1</v>
      </c>
      <c r="J134">
        <v>1935</v>
      </c>
      <c r="K134">
        <v>2016</v>
      </c>
      <c r="L134">
        <v>2.8224900000000001E-2</v>
      </c>
    </row>
    <row r="135" spans="1:12" x14ac:dyDescent="0.25">
      <c r="A135" t="s">
        <v>658</v>
      </c>
      <c r="B135" t="s">
        <v>42</v>
      </c>
      <c r="C135">
        <v>1</v>
      </c>
      <c r="D135">
        <v>0</v>
      </c>
      <c r="E135">
        <v>0</v>
      </c>
      <c r="F135">
        <v>0</v>
      </c>
      <c r="G135">
        <v>0</v>
      </c>
      <c r="H135">
        <v>0</v>
      </c>
      <c r="I135">
        <v>1</v>
      </c>
      <c r="J135">
        <v>1904</v>
      </c>
      <c r="K135">
        <v>2011</v>
      </c>
      <c r="L135">
        <v>7.4133699999999997E-2</v>
      </c>
    </row>
    <row r="136" spans="1:12" x14ac:dyDescent="0.25">
      <c r="A136" t="s">
        <v>1112</v>
      </c>
      <c r="B136" t="s">
        <v>36</v>
      </c>
      <c r="C136">
        <v>0</v>
      </c>
      <c r="D136">
        <v>1</v>
      </c>
      <c r="E136">
        <v>0</v>
      </c>
      <c r="F136">
        <v>0</v>
      </c>
      <c r="G136">
        <v>0</v>
      </c>
      <c r="H136">
        <v>0</v>
      </c>
      <c r="I136">
        <v>1</v>
      </c>
      <c r="J136">
        <v>1840</v>
      </c>
      <c r="K136">
        <v>2004</v>
      </c>
      <c r="L136">
        <v>4.3004399999999998E-2</v>
      </c>
    </row>
    <row r="137" spans="1:12" x14ac:dyDescent="0.25">
      <c r="A137" t="s">
        <v>239</v>
      </c>
      <c r="B137" t="s">
        <v>30</v>
      </c>
      <c r="C137">
        <v>0</v>
      </c>
      <c r="D137">
        <v>1</v>
      </c>
      <c r="E137">
        <v>0</v>
      </c>
      <c r="F137">
        <v>0</v>
      </c>
      <c r="G137">
        <v>0</v>
      </c>
      <c r="H137">
        <v>0</v>
      </c>
      <c r="I137">
        <v>1</v>
      </c>
      <c r="J137">
        <v>1838</v>
      </c>
      <c r="K137">
        <v>2003</v>
      </c>
      <c r="L137">
        <v>0.1167296</v>
      </c>
    </row>
    <row r="138" spans="1:12" x14ac:dyDescent="0.25">
      <c r="A138" t="s">
        <v>535</v>
      </c>
      <c r="B138" t="s">
        <v>42</v>
      </c>
      <c r="C138">
        <v>1</v>
      </c>
      <c r="D138">
        <v>0</v>
      </c>
      <c r="E138">
        <v>0</v>
      </c>
      <c r="F138">
        <v>0</v>
      </c>
      <c r="G138">
        <v>0</v>
      </c>
      <c r="H138">
        <v>0</v>
      </c>
      <c r="I138">
        <v>3</v>
      </c>
      <c r="J138">
        <v>1785</v>
      </c>
      <c r="K138">
        <v>2019</v>
      </c>
      <c r="L138">
        <v>-4.2912199999999998E-2</v>
      </c>
    </row>
    <row r="139" spans="1:12" x14ac:dyDescent="0.25">
      <c r="A139" t="s">
        <v>275</v>
      </c>
      <c r="B139" t="s">
        <v>33</v>
      </c>
      <c r="C139">
        <v>0</v>
      </c>
      <c r="D139">
        <v>1</v>
      </c>
      <c r="E139">
        <v>0</v>
      </c>
      <c r="F139">
        <v>0</v>
      </c>
      <c r="G139">
        <v>0</v>
      </c>
      <c r="H139">
        <v>0</v>
      </c>
      <c r="I139">
        <v>1</v>
      </c>
      <c r="J139">
        <v>1696</v>
      </c>
      <c r="K139">
        <v>1983</v>
      </c>
      <c r="L139">
        <v>-8.9760499999999993E-2</v>
      </c>
    </row>
    <row r="140" spans="1:12" x14ac:dyDescent="0.25">
      <c r="A140" t="s">
        <v>625</v>
      </c>
      <c r="B140" t="s">
        <v>42</v>
      </c>
      <c r="C140">
        <v>1</v>
      </c>
      <c r="D140">
        <v>0</v>
      </c>
      <c r="E140">
        <v>0</v>
      </c>
      <c r="F140">
        <v>0</v>
      </c>
      <c r="G140">
        <v>0</v>
      </c>
      <c r="H140">
        <v>0</v>
      </c>
      <c r="I140">
        <v>1</v>
      </c>
      <c r="J140">
        <v>1600</v>
      </c>
      <c r="K140">
        <v>1977</v>
      </c>
      <c r="L140">
        <v>-7.1471E-3</v>
      </c>
    </row>
    <row r="141" spans="1:12" x14ac:dyDescent="0.25">
      <c r="A141" t="s">
        <v>450</v>
      </c>
      <c r="B141" t="s">
        <v>36</v>
      </c>
      <c r="C141">
        <v>1</v>
      </c>
      <c r="D141">
        <v>0</v>
      </c>
      <c r="E141">
        <v>0</v>
      </c>
      <c r="F141">
        <v>0</v>
      </c>
      <c r="G141">
        <v>0</v>
      </c>
      <c r="H141">
        <v>0</v>
      </c>
      <c r="I141">
        <v>1</v>
      </c>
      <c r="J141">
        <v>1482</v>
      </c>
      <c r="K141">
        <v>2003</v>
      </c>
      <c r="L141">
        <v>0.34147300000000003</v>
      </c>
    </row>
    <row r="142" spans="1:12" x14ac:dyDescent="0.25">
      <c r="A142" t="s">
        <v>749</v>
      </c>
      <c r="B142" t="s">
        <v>39</v>
      </c>
      <c r="C142">
        <v>0</v>
      </c>
      <c r="D142">
        <v>0</v>
      </c>
      <c r="E142">
        <v>0</v>
      </c>
      <c r="F142">
        <v>0</v>
      </c>
      <c r="G142">
        <v>0</v>
      </c>
      <c r="H142">
        <v>1</v>
      </c>
      <c r="I142">
        <v>1</v>
      </c>
      <c r="J142">
        <v>1465</v>
      </c>
      <c r="K142">
        <v>1997</v>
      </c>
      <c r="L142">
        <v>-2.4291299999999998E-2</v>
      </c>
    </row>
    <row r="143" spans="1:12" x14ac:dyDescent="0.25">
      <c r="A143" t="s">
        <v>448</v>
      </c>
      <c r="B143" t="s">
        <v>36</v>
      </c>
      <c r="C143">
        <v>0</v>
      </c>
      <c r="D143">
        <v>1</v>
      </c>
      <c r="E143">
        <v>0</v>
      </c>
      <c r="F143">
        <v>0</v>
      </c>
      <c r="G143">
        <v>0</v>
      </c>
      <c r="H143">
        <v>0</v>
      </c>
      <c r="I143">
        <v>1</v>
      </c>
      <c r="J143">
        <v>1264</v>
      </c>
      <c r="K143">
        <v>1999</v>
      </c>
      <c r="L143">
        <v>0.12094299999999999</v>
      </c>
    </row>
    <row r="144" spans="1:12" x14ac:dyDescent="0.25">
      <c r="A144" t="s">
        <v>677</v>
      </c>
      <c r="B144" t="s">
        <v>42</v>
      </c>
      <c r="C144">
        <v>1</v>
      </c>
      <c r="D144">
        <v>0</v>
      </c>
      <c r="E144">
        <v>0</v>
      </c>
      <c r="F144">
        <v>0</v>
      </c>
      <c r="G144">
        <v>0</v>
      </c>
      <c r="H144">
        <v>0</v>
      </c>
      <c r="I144">
        <v>1</v>
      </c>
      <c r="J144">
        <v>1200</v>
      </c>
      <c r="K144">
        <v>2019</v>
      </c>
      <c r="L144">
        <v>-0.11055089999999999</v>
      </c>
    </row>
    <row r="145" spans="1:12" x14ac:dyDescent="0.25">
      <c r="A145" t="s">
        <v>745</v>
      </c>
      <c r="B145" t="s">
        <v>39</v>
      </c>
      <c r="C145">
        <v>0</v>
      </c>
      <c r="D145">
        <v>0</v>
      </c>
      <c r="E145">
        <v>0</v>
      </c>
      <c r="F145">
        <v>0</v>
      </c>
      <c r="G145">
        <v>0</v>
      </c>
      <c r="H145">
        <v>1</v>
      </c>
      <c r="I145">
        <v>1</v>
      </c>
      <c r="J145">
        <v>1193</v>
      </c>
      <c r="K145">
        <v>1996</v>
      </c>
      <c r="L145">
        <v>4.3921599999999998E-2</v>
      </c>
    </row>
    <row r="146" spans="1:12" x14ac:dyDescent="0.25">
      <c r="A146" t="s">
        <v>804</v>
      </c>
      <c r="B146" t="s">
        <v>39</v>
      </c>
      <c r="C146">
        <v>0</v>
      </c>
      <c r="D146">
        <v>0</v>
      </c>
      <c r="E146">
        <v>0</v>
      </c>
      <c r="F146">
        <v>0</v>
      </c>
      <c r="G146">
        <v>0</v>
      </c>
      <c r="H146">
        <v>1</v>
      </c>
      <c r="I146">
        <v>1</v>
      </c>
      <c r="J146">
        <v>1173</v>
      </c>
      <c r="K146">
        <v>2013</v>
      </c>
      <c r="L146">
        <v>3.8395199999999997E-2</v>
      </c>
    </row>
    <row r="147" spans="1:12" x14ac:dyDescent="0.25">
      <c r="A147" t="s">
        <v>459</v>
      </c>
      <c r="B147" t="s">
        <v>36</v>
      </c>
      <c r="C147">
        <v>1</v>
      </c>
      <c r="D147">
        <v>0</v>
      </c>
      <c r="E147">
        <v>0</v>
      </c>
      <c r="F147">
        <v>0</v>
      </c>
      <c r="G147">
        <v>0</v>
      </c>
      <c r="H147">
        <v>0</v>
      </c>
      <c r="I147">
        <v>1</v>
      </c>
      <c r="J147">
        <v>1116</v>
      </c>
      <c r="K147">
        <v>2013</v>
      </c>
      <c r="L147">
        <v>4.5027999999999999E-2</v>
      </c>
    </row>
    <row r="148" spans="1:12" x14ac:dyDescent="0.25">
      <c r="A148" t="s">
        <v>529</v>
      </c>
      <c r="B148" t="s">
        <v>42</v>
      </c>
      <c r="C148">
        <v>0</v>
      </c>
      <c r="D148">
        <v>0</v>
      </c>
      <c r="E148">
        <v>1</v>
      </c>
      <c r="F148">
        <v>0</v>
      </c>
      <c r="G148">
        <v>0</v>
      </c>
      <c r="H148">
        <v>0</v>
      </c>
      <c r="I148">
        <v>1</v>
      </c>
      <c r="J148">
        <v>1108</v>
      </c>
      <c r="K148">
        <v>1968</v>
      </c>
      <c r="L148">
        <v>0</v>
      </c>
    </row>
    <row r="149" spans="1:12" x14ac:dyDescent="0.25">
      <c r="A149" t="s">
        <v>608</v>
      </c>
      <c r="B149" t="s">
        <v>42</v>
      </c>
      <c r="C149">
        <v>0</v>
      </c>
      <c r="D149">
        <v>1</v>
      </c>
      <c r="E149">
        <v>0</v>
      </c>
      <c r="F149">
        <v>0</v>
      </c>
      <c r="G149">
        <v>0</v>
      </c>
      <c r="H149">
        <v>0</v>
      </c>
      <c r="I149">
        <v>1</v>
      </c>
      <c r="J149">
        <v>1001</v>
      </c>
      <c r="K149">
        <v>1990</v>
      </c>
      <c r="L149">
        <v>4.2248599999999997E-2</v>
      </c>
    </row>
    <row r="150" spans="1:12" x14ac:dyDescent="0.25">
      <c r="A150" t="s">
        <v>545</v>
      </c>
      <c r="B150" t="s">
        <v>42</v>
      </c>
      <c r="C150">
        <v>1</v>
      </c>
      <c r="D150">
        <v>0</v>
      </c>
      <c r="E150">
        <v>0</v>
      </c>
      <c r="F150">
        <v>0</v>
      </c>
      <c r="G150">
        <v>0</v>
      </c>
      <c r="H150">
        <v>0</v>
      </c>
      <c r="I150">
        <v>1</v>
      </c>
      <c r="J150">
        <v>1000</v>
      </c>
      <c r="K150">
        <v>2020</v>
      </c>
      <c r="L150">
        <v>0.10688780000000001</v>
      </c>
    </row>
    <row r="151" spans="1:12" x14ac:dyDescent="0.25">
      <c r="A151" t="s">
        <v>631</v>
      </c>
      <c r="B151" t="s">
        <v>42</v>
      </c>
      <c r="C151">
        <v>1</v>
      </c>
      <c r="D151">
        <v>0</v>
      </c>
      <c r="E151">
        <v>0</v>
      </c>
      <c r="F151">
        <v>0</v>
      </c>
      <c r="G151">
        <v>0</v>
      </c>
      <c r="H151">
        <v>0</v>
      </c>
      <c r="I151">
        <v>1</v>
      </c>
      <c r="J151">
        <v>916</v>
      </c>
      <c r="K151">
        <v>1980</v>
      </c>
      <c r="L151">
        <v>-0.10707899999999999</v>
      </c>
    </row>
    <row r="152" spans="1:12" x14ac:dyDescent="0.25">
      <c r="A152" t="s">
        <v>690</v>
      </c>
      <c r="B152" t="s">
        <v>42</v>
      </c>
      <c r="C152">
        <v>1</v>
      </c>
      <c r="D152">
        <v>0</v>
      </c>
      <c r="E152">
        <v>0</v>
      </c>
      <c r="F152">
        <v>0</v>
      </c>
      <c r="G152">
        <v>0</v>
      </c>
      <c r="H152">
        <v>0</v>
      </c>
      <c r="I152">
        <v>2</v>
      </c>
      <c r="J152">
        <v>898</v>
      </c>
      <c r="K152">
        <v>1990</v>
      </c>
      <c r="L152">
        <v>0.20562859999999999</v>
      </c>
    </row>
    <row r="153" spans="1:12" x14ac:dyDescent="0.25">
      <c r="A153" t="s">
        <v>668</v>
      </c>
      <c r="B153" t="s">
        <v>42</v>
      </c>
      <c r="C153">
        <v>1</v>
      </c>
      <c r="D153">
        <v>0</v>
      </c>
      <c r="E153">
        <v>0</v>
      </c>
      <c r="F153">
        <v>0</v>
      </c>
      <c r="G153">
        <v>0</v>
      </c>
      <c r="H153">
        <v>0</v>
      </c>
      <c r="I153">
        <v>1</v>
      </c>
      <c r="J153">
        <v>800</v>
      </c>
      <c r="K153">
        <v>2015</v>
      </c>
      <c r="L153">
        <v>6.6170199999999998E-2</v>
      </c>
    </row>
    <row r="154" spans="1:12" x14ac:dyDescent="0.25">
      <c r="A154" t="s">
        <v>518</v>
      </c>
      <c r="B154" t="s">
        <v>42</v>
      </c>
      <c r="C154">
        <v>0</v>
      </c>
      <c r="D154">
        <v>1</v>
      </c>
      <c r="E154">
        <v>0</v>
      </c>
      <c r="F154">
        <v>0</v>
      </c>
      <c r="G154">
        <v>0</v>
      </c>
      <c r="H154">
        <v>0</v>
      </c>
      <c r="I154">
        <v>1</v>
      </c>
      <c r="J154">
        <v>797</v>
      </c>
      <c r="K154">
        <v>2014</v>
      </c>
      <c r="L154">
        <v>7.3867199999999994E-2</v>
      </c>
    </row>
    <row r="155" spans="1:12" x14ac:dyDescent="0.25">
      <c r="A155" t="s">
        <v>1113</v>
      </c>
      <c r="B155" t="s">
        <v>36</v>
      </c>
      <c r="C155">
        <v>0</v>
      </c>
      <c r="D155">
        <v>1</v>
      </c>
      <c r="E155">
        <v>0</v>
      </c>
      <c r="F155">
        <v>0</v>
      </c>
      <c r="G155">
        <v>0</v>
      </c>
      <c r="H155">
        <v>0</v>
      </c>
      <c r="I155">
        <v>1</v>
      </c>
      <c r="J155">
        <v>618</v>
      </c>
      <c r="K155">
        <v>1979</v>
      </c>
      <c r="L155">
        <v>-2.0254899999999999E-2</v>
      </c>
    </row>
    <row r="156" spans="1:12" x14ac:dyDescent="0.25">
      <c r="A156" t="s">
        <v>1114</v>
      </c>
      <c r="B156" t="s">
        <v>42</v>
      </c>
      <c r="C156">
        <v>1</v>
      </c>
      <c r="D156">
        <v>0</v>
      </c>
      <c r="E156">
        <v>0</v>
      </c>
      <c r="F156">
        <v>0</v>
      </c>
      <c r="G156">
        <v>0</v>
      </c>
      <c r="H156">
        <v>0</v>
      </c>
      <c r="I156">
        <v>1</v>
      </c>
      <c r="J156">
        <v>605</v>
      </c>
      <c r="K156">
        <v>2008</v>
      </c>
      <c r="L156">
        <v>-2.4766199999999999E-2</v>
      </c>
    </row>
    <row r="157" spans="1:12" x14ac:dyDescent="0.25">
      <c r="A157" t="s">
        <v>634</v>
      </c>
      <c r="B157" t="s">
        <v>42</v>
      </c>
      <c r="C157">
        <v>1</v>
      </c>
      <c r="D157">
        <v>0</v>
      </c>
      <c r="E157">
        <v>0</v>
      </c>
      <c r="F157">
        <v>0</v>
      </c>
      <c r="G157">
        <v>0</v>
      </c>
      <c r="H157">
        <v>0</v>
      </c>
      <c r="I157">
        <v>1</v>
      </c>
      <c r="J157">
        <v>583</v>
      </c>
      <c r="K157">
        <v>1990</v>
      </c>
      <c r="L157">
        <v>0.1070478</v>
      </c>
    </row>
    <row r="158" spans="1:12" x14ac:dyDescent="0.25">
      <c r="A158" t="s">
        <v>1115</v>
      </c>
      <c r="B158" t="s">
        <v>48</v>
      </c>
      <c r="C158">
        <v>0</v>
      </c>
      <c r="D158">
        <v>0</v>
      </c>
      <c r="E158">
        <v>0</v>
      </c>
      <c r="F158">
        <v>1</v>
      </c>
      <c r="G158">
        <v>0</v>
      </c>
      <c r="H158">
        <v>0</v>
      </c>
      <c r="I158">
        <v>13</v>
      </c>
      <c r="J158">
        <v>580</v>
      </c>
      <c r="K158">
        <v>1944</v>
      </c>
      <c r="L158">
        <v>0.29896699999999998</v>
      </c>
    </row>
    <row r="159" spans="1:12" x14ac:dyDescent="0.25">
      <c r="A159" t="s">
        <v>316</v>
      </c>
      <c r="B159" t="s">
        <v>36</v>
      </c>
      <c r="C159">
        <v>0</v>
      </c>
      <c r="D159">
        <v>1</v>
      </c>
      <c r="E159">
        <v>0</v>
      </c>
      <c r="F159">
        <v>0</v>
      </c>
      <c r="G159">
        <v>0</v>
      </c>
      <c r="H159">
        <v>0</v>
      </c>
      <c r="I159">
        <v>1</v>
      </c>
      <c r="J159">
        <v>567</v>
      </c>
      <c r="K159">
        <v>1999</v>
      </c>
      <c r="L159">
        <v>-3.8614000000000001E-3</v>
      </c>
    </row>
    <row r="160" spans="1:12" x14ac:dyDescent="0.25">
      <c r="A160" t="s">
        <v>481</v>
      </c>
      <c r="B160" t="s">
        <v>42</v>
      </c>
      <c r="C160">
        <v>0</v>
      </c>
      <c r="D160">
        <v>0</v>
      </c>
      <c r="E160">
        <v>0</v>
      </c>
      <c r="F160">
        <v>0</v>
      </c>
      <c r="G160">
        <v>1</v>
      </c>
      <c r="H160">
        <v>0</v>
      </c>
      <c r="I160">
        <v>4</v>
      </c>
      <c r="J160">
        <v>400</v>
      </c>
      <c r="K160">
        <v>2001.25</v>
      </c>
      <c r="L160">
        <v>-0.28975380000000001</v>
      </c>
    </row>
    <row r="161" spans="1:12" x14ac:dyDescent="0.25">
      <c r="A161" t="s">
        <v>466</v>
      </c>
      <c r="B161" t="s">
        <v>42</v>
      </c>
      <c r="C161">
        <v>0</v>
      </c>
      <c r="D161">
        <v>0</v>
      </c>
      <c r="E161">
        <v>0</v>
      </c>
      <c r="F161">
        <v>0</v>
      </c>
      <c r="G161">
        <v>1</v>
      </c>
      <c r="H161">
        <v>0</v>
      </c>
      <c r="I161">
        <v>4</v>
      </c>
      <c r="J161">
        <v>400</v>
      </c>
      <c r="K161">
        <v>1989.25</v>
      </c>
      <c r="L161">
        <v>-0.26320480000000002</v>
      </c>
    </row>
    <row r="162" spans="1:12" x14ac:dyDescent="0.25">
      <c r="A162" t="s">
        <v>644</v>
      </c>
      <c r="B162" t="s">
        <v>42</v>
      </c>
      <c r="C162">
        <v>1</v>
      </c>
      <c r="D162">
        <v>0</v>
      </c>
      <c r="E162">
        <v>0</v>
      </c>
      <c r="F162">
        <v>0</v>
      </c>
      <c r="G162">
        <v>0</v>
      </c>
      <c r="H162">
        <v>0</v>
      </c>
      <c r="I162">
        <v>1</v>
      </c>
      <c r="J162">
        <v>350</v>
      </c>
      <c r="K162">
        <v>2001</v>
      </c>
      <c r="L162">
        <v>-0.2168525</v>
      </c>
    </row>
    <row r="163" spans="1:12" x14ac:dyDescent="0.25">
      <c r="A163" t="s">
        <v>646</v>
      </c>
      <c r="B163" t="s">
        <v>42</v>
      </c>
      <c r="C163">
        <v>1</v>
      </c>
      <c r="D163">
        <v>0</v>
      </c>
      <c r="E163">
        <v>0</v>
      </c>
      <c r="F163">
        <v>0</v>
      </c>
      <c r="G163">
        <v>0</v>
      </c>
      <c r="H163">
        <v>0</v>
      </c>
      <c r="I163">
        <v>1</v>
      </c>
      <c r="J163">
        <v>342</v>
      </c>
      <c r="K163">
        <v>2004</v>
      </c>
      <c r="L163">
        <v>0.18731500000000001</v>
      </c>
    </row>
    <row r="164" spans="1:12" x14ac:dyDescent="0.25">
      <c r="A164" t="s">
        <v>612</v>
      </c>
      <c r="B164" t="s">
        <v>42</v>
      </c>
      <c r="C164">
        <v>0</v>
      </c>
      <c r="D164">
        <v>1</v>
      </c>
      <c r="E164">
        <v>0</v>
      </c>
      <c r="F164">
        <v>0</v>
      </c>
      <c r="G164">
        <v>0</v>
      </c>
      <c r="H164">
        <v>0</v>
      </c>
      <c r="I164">
        <v>1</v>
      </c>
      <c r="J164">
        <v>338</v>
      </c>
      <c r="K164">
        <v>1990</v>
      </c>
      <c r="L164">
        <v>-5.5048199999999999E-2</v>
      </c>
    </row>
    <row r="165" spans="1:12" x14ac:dyDescent="0.25">
      <c r="A165" t="s">
        <v>154</v>
      </c>
      <c r="B165" t="s">
        <v>148</v>
      </c>
      <c r="C165">
        <v>1</v>
      </c>
      <c r="D165">
        <v>0</v>
      </c>
      <c r="E165">
        <v>0</v>
      </c>
      <c r="F165">
        <v>0</v>
      </c>
      <c r="G165">
        <v>0</v>
      </c>
      <c r="H165">
        <v>0</v>
      </c>
      <c r="I165">
        <v>1</v>
      </c>
      <c r="J165">
        <v>320</v>
      </c>
      <c r="K165">
        <v>2017</v>
      </c>
      <c r="L165">
        <v>-1.5659999999999999E-3</v>
      </c>
    </row>
    <row r="166" spans="1:12" x14ac:dyDescent="0.25">
      <c r="A166" t="s">
        <v>388</v>
      </c>
      <c r="B166" t="s">
        <v>36</v>
      </c>
      <c r="C166">
        <v>1</v>
      </c>
      <c r="D166">
        <v>0</v>
      </c>
      <c r="E166">
        <v>0</v>
      </c>
      <c r="F166">
        <v>0</v>
      </c>
      <c r="G166">
        <v>0</v>
      </c>
      <c r="H166">
        <v>0</v>
      </c>
      <c r="I166">
        <v>1</v>
      </c>
      <c r="J166">
        <v>306</v>
      </c>
      <c r="K166">
        <v>2000</v>
      </c>
      <c r="L166">
        <v>0.16317599999999999</v>
      </c>
    </row>
    <row r="167" spans="1:12" x14ac:dyDescent="0.25">
      <c r="A167" t="s">
        <v>1003</v>
      </c>
      <c r="B167" t="s">
        <v>994</v>
      </c>
      <c r="C167">
        <v>0</v>
      </c>
      <c r="D167">
        <v>1</v>
      </c>
      <c r="E167">
        <v>0</v>
      </c>
      <c r="F167">
        <v>0</v>
      </c>
      <c r="G167">
        <v>0</v>
      </c>
      <c r="H167">
        <v>0</v>
      </c>
      <c r="I167">
        <v>1</v>
      </c>
      <c r="J167">
        <v>306</v>
      </c>
      <c r="K167">
        <v>1992</v>
      </c>
      <c r="L167">
        <v>0.52071120000000004</v>
      </c>
    </row>
    <row r="168" spans="1:12" x14ac:dyDescent="0.25">
      <c r="A168" t="s">
        <v>694</v>
      </c>
      <c r="B168" t="s">
        <v>42</v>
      </c>
      <c r="C168">
        <v>1</v>
      </c>
      <c r="D168">
        <v>0</v>
      </c>
      <c r="E168">
        <v>0</v>
      </c>
      <c r="F168">
        <v>0</v>
      </c>
      <c r="G168">
        <v>0</v>
      </c>
      <c r="H168">
        <v>0</v>
      </c>
      <c r="I168">
        <v>1</v>
      </c>
      <c r="J168">
        <v>300</v>
      </c>
      <c r="K168">
        <v>2008</v>
      </c>
      <c r="L168">
        <v>0.12039519999999999</v>
      </c>
    </row>
    <row r="169" spans="1:12" x14ac:dyDescent="0.25">
      <c r="A169" t="s">
        <v>648</v>
      </c>
      <c r="B169" t="s">
        <v>42</v>
      </c>
      <c r="C169">
        <v>1</v>
      </c>
      <c r="D169">
        <v>0</v>
      </c>
      <c r="E169">
        <v>0</v>
      </c>
      <c r="F169">
        <v>0</v>
      </c>
      <c r="G169">
        <v>0</v>
      </c>
      <c r="H169">
        <v>0</v>
      </c>
      <c r="I169">
        <v>1</v>
      </c>
      <c r="J169">
        <v>300</v>
      </c>
      <c r="K169">
        <v>2008</v>
      </c>
      <c r="L169">
        <v>4.7044099999999998E-2</v>
      </c>
    </row>
    <row r="170" spans="1:12" x14ac:dyDescent="0.25">
      <c r="A170" t="s">
        <v>683</v>
      </c>
      <c r="B170" t="s">
        <v>42</v>
      </c>
      <c r="C170">
        <v>1</v>
      </c>
      <c r="D170">
        <v>0</v>
      </c>
      <c r="E170">
        <v>0</v>
      </c>
      <c r="F170">
        <v>0</v>
      </c>
      <c r="G170">
        <v>0</v>
      </c>
      <c r="H170">
        <v>0</v>
      </c>
      <c r="I170">
        <v>2</v>
      </c>
      <c r="J170">
        <v>290</v>
      </c>
      <c r="K170">
        <v>2024</v>
      </c>
      <c r="L170">
        <v>-0.1241453</v>
      </c>
    </row>
    <row r="171" spans="1:12" x14ac:dyDescent="0.25">
      <c r="A171" t="s">
        <v>660</v>
      </c>
      <c r="B171" t="s">
        <v>42</v>
      </c>
      <c r="C171">
        <v>1</v>
      </c>
      <c r="D171">
        <v>0</v>
      </c>
      <c r="E171">
        <v>0</v>
      </c>
      <c r="F171">
        <v>0</v>
      </c>
      <c r="G171">
        <v>0</v>
      </c>
      <c r="H171">
        <v>0</v>
      </c>
      <c r="I171">
        <v>1</v>
      </c>
      <c r="J171">
        <v>244</v>
      </c>
      <c r="K171">
        <v>2014</v>
      </c>
      <c r="L171">
        <v>0.12756709999999999</v>
      </c>
    </row>
    <row r="172" spans="1:12" x14ac:dyDescent="0.25">
      <c r="A172" t="s">
        <v>447</v>
      </c>
      <c r="B172" t="s">
        <v>36</v>
      </c>
      <c r="C172">
        <v>0</v>
      </c>
      <c r="D172">
        <v>1</v>
      </c>
      <c r="E172">
        <v>0</v>
      </c>
      <c r="F172">
        <v>0</v>
      </c>
      <c r="G172">
        <v>0</v>
      </c>
      <c r="H172">
        <v>0</v>
      </c>
      <c r="I172">
        <v>1</v>
      </c>
      <c r="J172">
        <v>238</v>
      </c>
      <c r="K172">
        <v>1982</v>
      </c>
      <c r="L172">
        <v>6.9426000000000002E-2</v>
      </c>
    </row>
    <row r="173" spans="1:12" x14ac:dyDescent="0.25">
      <c r="A173" t="s">
        <v>697</v>
      </c>
      <c r="B173" t="s">
        <v>42</v>
      </c>
      <c r="C173">
        <v>1</v>
      </c>
      <c r="D173">
        <v>0</v>
      </c>
      <c r="E173">
        <v>0</v>
      </c>
      <c r="F173">
        <v>0</v>
      </c>
      <c r="G173">
        <v>0</v>
      </c>
      <c r="H173">
        <v>0</v>
      </c>
      <c r="I173">
        <v>1</v>
      </c>
      <c r="J173">
        <v>220</v>
      </c>
      <c r="K173">
        <v>2010</v>
      </c>
      <c r="L173">
        <v>0.14469950000000001</v>
      </c>
    </row>
    <row r="174" spans="1:12" x14ac:dyDescent="0.25">
      <c r="A174" t="s">
        <v>627</v>
      </c>
      <c r="B174" t="s">
        <v>42</v>
      </c>
      <c r="C174">
        <v>1</v>
      </c>
      <c r="D174">
        <v>0</v>
      </c>
      <c r="E174">
        <v>0</v>
      </c>
      <c r="F174">
        <v>0</v>
      </c>
      <c r="G174">
        <v>0</v>
      </c>
      <c r="H174">
        <v>0</v>
      </c>
      <c r="I174">
        <v>1</v>
      </c>
      <c r="J174">
        <v>204</v>
      </c>
      <c r="K174">
        <v>1977</v>
      </c>
      <c r="L174">
        <v>-9.48209E-2</v>
      </c>
    </row>
    <row r="175" spans="1:12" x14ac:dyDescent="0.25">
      <c r="A175" t="s">
        <v>485</v>
      </c>
      <c r="B175" t="s">
        <v>42</v>
      </c>
      <c r="C175">
        <v>0</v>
      </c>
      <c r="D175">
        <v>0</v>
      </c>
      <c r="E175">
        <v>0</v>
      </c>
      <c r="F175">
        <v>0</v>
      </c>
      <c r="G175">
        <v>1</v>
      </c>
      <c r="H175">
        <v>0</v>
      </c>
      <c r="I175">
        <v>2</v>
      </c>
      <c r="J175">
        <v>200</v>
      </c>
      <c r="K175">
        <v>2010.5</v>
      </c>
      <c r="L175">
        <v>-0.29488829999999999</v>
      </c>
    </row>
    <row r="176" spans="1:12" x14ac:dyDescent="0.25">
      <c r="A176" t="s">
        <v>705</v>
      </c>
      <c r="B176" t="s">
        <v>42</v>
      </c>
      <c r="C176">
        <v>0</v>
      </c>
      <c r="D176">
        <v>0</v>
      </c>
      <c r="E176">
        <v>0</v>
      </c>
      <c r="F176">
        <v>1</v>
      </c>
      <c r="G176">
        <v>0</v>
      </c>
      <c r="H176">
        <v>0</v>
      </c>
      <c r="I176">
        <v>1</v>
      </c>
      <c r="J176">
        <v>185</v>
      </c>
      <c r="K176">
        <v>1946</v>
      </c>
      <c r="L176">
        <v>0.39700000000000002</v>
      </c>
    </row>
    <row r="177" spans="1:12" x14ac:dyDescent="0.25">
      <c r="A177" t="s">
        <v>1116</v>
      </c>
      <c r="B177" t="s">
        <v>42</v>
      </c>
      <c r="C177">
        <v>1</v>
      </c>
      <c r="D177">
        <v>0</v>
      </c>
      <c r="E177">
        <v>0</v>
      </c>
      <c r="F177">
        <v>0</v>
      </c>
      <c r="G177">
        <v>0</v>
      </c>
      <c r="H177">
        <v>0</v>
      </c>
      <c r="I177">
        <v>1</v>
      </c>
      <c r="J177">
        <v>145</v>
      </c>
      <c r="K177">
        <v>1990</v>
      </c>
      <c r="L177">
        <v>3.7242200000000003E-2</v>
      </c>
    </row>
    <row r="178" spans="1:12" x14ac:dyDescent="0.25">
      <c r="A178" t="s">
        <v>876</v>
      </c>
      <c r="B178" t="s">
        <v>39</v>
      </c>
      <c r="C178">
        <v>0</v>
      </c>
      <c r="D178">
        <v>0</v>
      </c>
      <c r="E178">
        <v>0</v>
      </c>
      <c r="F178">
        <v>0</v>
      </c>
      <c r="G178">
        <v>0</v>
      </c>
      <c r="H178">
        <v>1</v>
      </c>
      <c r="I178">
        <v>1</v>
      </c>
      <c r="J178">
        <v>128</v>
      </c>
      <c r="K178">
        <v>1976</v>
      </c>
      <c r="L178">
        <v>-7.6309500000000002E-2</v>
      </c>
    </row>
    <row r="179" spans="1:12" x14ac:dyDescent="0.25">
      <c r="A179" t="s">
        <v>179</v>
      </c>
      <c r="B179" t="s">
        <v>102</v>
      </c>
      <c r="C179">
        <v>0</v>
      </c>
      <c r="D179">
        <v>0</v>
      </c>
      <c r="E179">
        <v>1</v>
      </c>
      <c r="F179">
        <v>0</v>
      </c>
      <c r="G179">
        <v>0</v>
      </c>
      <c r="H179">
        <v>0</v>
      </c>
      <c r="I179">
        <v>4</v>
      </c>
      <c r="J179">
        <v>120</v>
      </c>
      <c r="K179">
        <v>1940</v>
      </c>
      <c r="L179">
        <v>0.76010520000000004</v>
      </c>
    </row>
    <row r="180" spans="1:12" x14ac:dyDescent="0.25">
      <c r="A180" t="s">
        <v>470</v>
      </c>
      <c r="B180" t="s">
        <v>42</v>
      </c>
      <c r="C180">
        <v>0</v>
      </c>
      <c r="D180">
        <v>0</v>
      </c>
      <c r="E180">
        <v>0</v>
      </c>
      <c r="F180">
        <v>0</v>
      </c>
      <c r="G180">
        <v>1</v>
      </c>
      <c r="H180">
        <v>0</v>
      </c>
      <c r="I180">
        <v>1</v>
      </c>
      <c r="J180">
        <v>100</v>
      </c>
      <c r="K180">
        <v>1990</v>
      </c>
      <c r="L180">
        <v>-0.25264360000000002</v>
      </c>
    </row>
    <row r="181" spans="1:12" x14ac:dyDescent="0.25">
      <c r="A181" t="s">
        <v>474</v>
      </c>
      <c r="B181" t="s">
        <v>42</v>
      </c>
      <c r="C181">
        <v>0</v>
      </c>
      <c r="D181">
        <v>0</v>
      </c>
      <c r="E181">
        <v>0</v>
      </c>
      <c r="F181">
        <v>0</v>
      </c>
      <c r="G181">
        <v>1</v>
      </c>
      <c r="H181">
        <v>0</v>
      </c>
      <c r="I181">
        <v>1</v>
      </c>
      <c r="J181">
        <v>100</v>
      </c>
      <c r="K181">
        <v>1992</v>
      </c>
      <c r="L181">
        <v>-0.51557750000000002</v>
      </c>
    </row>
    <row r="182" spans="1:12" x14ac:dyDescent="0.25">
      <c r="A182" t="s">
        <v>182</v>
      </c>
      <c r="B182" t="s">
        <v>102</v>
      </c>
      <c r="C182">
        <v>0</v>
      </c>
      <c r="D182">
        <v>0</v>
      </c>
      <c r="E182">
        <v>0</v>
      </c>
      <c r="F182">
        <v>0</v>
      </c>
      <c r="G182">
        <v>1</v>
      </c>
      <c r="H182">
        <v>0</v>
      </c>
      <c r="I182">
        <v>1</v>
      </c>
      <c r="J182">
        <v>100</v>
      </c>
      <c r="K182">
        <v>1940</v>
      </c>
      <c r="L182">
        <v>0.2743505</v>
      </c>
    </row>
    <row r="183" spans="1:12" x14ac:dyDescent="0.25">
      <c r="A183" t="s">
        <v>344</v>
      </c>
      <c r="B183" t="s">
        <v>36</v>
      </c>
      <c r="C183">
        <v>0</v>
      </c>
      <c r="D183">
        <v>0</v>
      </c>
      <c r="E183">
        <v>0</v>
      </c>
      <c r="F183">
        <v>0</v>
      </c>
      <c r="G183">
        <v>1</v>
      </c>
      <c r="H183">
        <v>0</v>
      </c>
      <c r="I183">
        <v>1</v>
      </c>
      <c r="J183">
        <v>100</v>
      </c>
      <c r="K183">
        <v>1938</v>
      </c>
      <c r="L183">
        <v>0.83361540000000001</v>
      </c>
    </row>
    <row r="184" spans="1:12" x14ac:dyDescent="0.25">
      <c r="A184" t="s">
        <v>487</v>
      </c>
      <c r="B184" t="s">
        <v>42</v>
      </c>
      <c r="C184">
        <v>0</v>
      </c>
      <c r="D184">
        <v>0</v>
      </c>
      <c r="E184">
        <v>0</v>
      </c>
      <c r="F184">
        <v>0</v>
      </c>
      <c r="G184">
        <v>1</v>
      </c>
      <c r="H184">
        <v>0</v>
      </c>
      <c r="I184">
        <v>1</v>
      </c>
      <c r="J184">
        <v>100</v>
      </c>
      <c r="K184">
        <v>2013</v>
      </c>
      <c r="L184">
        <v>-0.2743505</v>
      </c>
    </row>
    <row r="185" spans="1:12" x14ac:dyDescent="0.25">
      <c r="A185" t="s">
        <v>496</v>
      </c>
      <c r="B185" t="s">
        <v>42</v>
      </c>
      <c r="C185">
        <v>0</v>
      </c>
      <c r="D185">
        <v>0</v>
      </c>
      <c r="E185">
        <v>0</v>
      </c>
      <c r="F185">
        <v>0</v>
      </c>
      <c r="G185">
        <v>1</v>
      </c>
      <c r="H185">
        <v>0</v>
      </c>
      <c r="I185">
        <v>1</v>
      </c>
      <c r="J185">
        <v>100</v>
      </c>
      <c r="K185">
        <v>1944</v>
      </c>
      <c r="L185">
        <v>0.3333333</v>
      </c>
    </row>
    <row r="186" spans="1:12" x14ac:dyDescent="0.25">
      <c r="A186" t="s">
        <v>472</v>
      </c>
      <c r="B186" t="s">
        <v>42</v>
      </c>
      <c r="C186">
        <v>0</v>
      </c>
      <c r="D186">
        <v>0</v>
      </c>
      <c r="E186">
        <v>0</v>
      </c>
      <c r="F186">
        <v>0</v>
      </c>
      <c r="G186">
        <v>1</v>
      </c>
      <c r="H186">
        <v>0</v>
      </c>
      <c r="I186">
        <v>1</v>
      </c>
      <c r="J186">
        <v>100</v>
      </c>
      <c r="K186">
        <v>1991</v>
      </c>
      <c r="L186">
        <v>-0.35156189999999998</v>
      </c>
    </row>
    <row r="187" spans="1:12" x14ac:dyDescent="0.25">
      <c r="A187" t="s">
        <v>479</v>
      </c>
      <c r="B187" t="s">
        <v>42</v>
      </c>
      <c r="C187">
        <v>0</v>
      </c>
      <c r="D187">
        <v>0</v>
      </c>
      <c r="E187">
        <v>0</v>
      </c>
      <c r="F187">
        <v>0</v>
      </c>
      <c r="G187">
        <v>1</v>
      </c>
      <c r="H187">
        <v>0</v>
      </c>
      <c r="I187">
        <v>1</v>
      </c>
      <c r="J187">
        <v>100</v>
      </c>
      <c r="K187">
        <v>1995</v>
      </c>
      <c r="L187">
        <v>-0.53108270000000002</v>
      </c>
    </row>
    <row r="188" spans="1:12" x14ac:dyDescent="0.25">
      <c r="A188" t="s">
        <v>464</v>
      </c>
      <c r="B188" t="s">
        <v>42</v>
      </c>
      <c r="C188">
        <v>0</v>
      </c>
      <c r="D188">
        <v>0</v>
      </c>
      <c r="E188">
        <v>0</v>
      </c>
      <c r="F188">
        <v>0</v>
      </c>
      <c r="G188">
        <v>1</v>
      </c>
      <c r="H188">
        <v>0</v>
      </c>
      <c r="I188">
        <v>1</v>
      </c>
      <c r="J188">
        <v>100</v>
      </c>
      <c r="K188">
        <v>1980</v>
      </c>
      <c r="L188">
        <v>-0.25264360000000002</v>
      </c>
    </row>
    <row r="189" spans="1:12" x14ac:dyDescent="0.25">
      <c r="A189" t="s">
        <v>477</v>
      </c>
      <c r="B189" t="s">
        <v>42</v>
      </c>
      <c r="C189">
        <v>0</v>
      </c>
      <c r="D189">
        <v>0</v>
      </c>
      <c r="E189">
        <v>0</v>
      </c>
      <c r="F189">
        <v>0</v>
      </c>
      <c r="G189">
        <v>1</v>
      </c>
      <c r="H189">
        <v>0</v>
      </c>
      <c r="I189">
        <v>1</v>
      </c>
      <c r="J189">
        <v>100</v>
      </c>
      <c r="K189">
        <v>1994</v>
      </c>
      <c r="L189">
        <v>-0.2743505</v>
      </c>
    </row>
    <row r="190" spans="1:12" x14ac:dyDescent="0.25">
      <c r="A190" t="s">
        <v>356</v>
      </c>
      <c r="B190" t="s">
        <v>36</v>
      </c>
      <c r="C190">
        <v>0</v>
      </c>
      <c r="D190">
        <v>0</v>
      </c>
      <c r="E190">
        <v>0</v>
      </c>
      <c r="F190">
        <v>0</v>
      </c>
      <c r="G190">
        <v>1</v>
      </c>
      <c r="H190">
        <v>0</v>
      </c>
      <c r="I190">
        <v>1</v>
      </c>
      <c r="J190">
        <v>100</v>
      </c>
      <c r="K190">
        <v>1946</v>
      </c>
      <c r="L190">
        <v>0.67027879999999995</v>
      </c>
    </row>
    <row r="191" spans="1:12" x14ac:dyDescent="0.25">
      <c r="A191" t="s">
        <v>251</v>
      </c>
      <c r="B191" t="s">
        <v>240</v>
      </c>
      <c r="C191">
        <v>0</v>
      </c>
      <c r="D191">
        <v>0</v>
      </c>
      <c r="E191">
        <v>0</v>
      </c>
      <c r="F191">
        <v>0</v>
      </c>
      <c r="G191">
        <v>1</v>
      </c>
      <c r="H191">
        <v>0</v>
      </c>
      <c r="I191">
        <v>1</v>
      </c>
      <c r="J191">
        <v>100</v>
      </c>
      <c r="K191">
        <v>1948</v>
      </c>
      <c r="L191">
        <v>0.65465309999999999</v>
      </c>
    </row>
    <row r="192" spans="1:12" x14ac:dyDescent="0.25">
      <c r="A192" t="s">
        <v>296</v>
      </c>
      <c r="B192" t="s">
        <v>33</v>
      </c>
      <c r="C192">
        <v>0</v>
      </c>
      <c r="D192">
        <v>0</v>
      </c>
      <c r="E192">
        <v>0</v>
      </c>
      <c r="F192">
        <v>1</v>
      </c>
      <c r="G192">
        <v>0</v>
      </c>
      <c r="H192">
        <v>0</v>
      </c>
      <c r="I192">
        <v>1</v>
      </c>
      <c r="J192">
        <v>54</v>
      </c>
      <c r="K192">
        <v>2022</v>
      </c>
      <c r="L192">
        <v>-0.3162277</v>
      </c>
    </row>
    <row r="193" spans="1:12" x14ac:dyDescent="0.25">
      <c r="A193" t="s">
        <v>1117</v>
      </c>
      <c r="B193" t="s">
        <v>33</v>
      </c>
      <c r="C193">
        <v>0</v>
      </c>
      <c r="D193">
        <v>0</v>
      </c>
      <c r="E193">
        <v>0</v>
      </c>
      <c r="F193">
        <v>1</v>
      </c>
      <c r="G193">
        <v>0</v>
      </c>
      <c r="H193">
        <v>0</v>
      </c>
      <c r="I193">
        <v>1</v>
      </c>
      <c r="J193">
        <v>36</v>
      </c>
      <c r="K193">
        <v>2022</v>
      </c>
      <c r="L193">
        <v>-0.71962300000000001</v>
      </c>
    </row>
    <row r="194" spans="1:12" x14ac:dyDescent="0.25">
      <c r="A194" t="s">
        <v>622</v>
      </c>
      <c r="B194" t="s">
        <v>42</v>
      </c>
      <c r="C194">
        <v>1</v>
      </c>
      <c r="D194">
        <v>0</v>
      </c>
      <c r="E194">
        <v>0</v>
      </c>
      <c r="F194">
        <v>0</v>
      </c>
      <c r="G194">
        <v>0</v>
      </c>
      <c r="H194">
        <v>0</v>
      </c>
      <c r="I194">
        <v>1</v>
      </c>
      <c r="J194">
        <v>32</v>
      </c>
      <c r="K194">
        <v>1962</v>
      </c>
      <c r="L194">
        <v>0.303315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4D9EE-2C35-4688-B48D-004C2633CED3}">
  <dimension ref="A1:P48"/>
  <sheetViews>
    <sheetView workbookViewId="0"/>
  </sheetViews>
  <sheetFormatPr defaultRowHeight="15" x14ac:dyDescent="0.25"/>
  <sheetData>
    <row r="1" spans="1:16" x14ac:dyDescent="0.25">
      <c r="A1" s="3" t="s">
        <v>109</v>
      </c>
    </row>
    <row r="2" spans="1:16" x14ac:dyDescent="0.25">
      <c r="B2" t="s">
        <v>1</v>
      </c>
      <c r="C2" t="s">
        <v>2</v>
      </c>
      <c r="D2" t="s">
        <v>3</v>
      </c>
      <c r="E2" t="s">
        <v>4</v>
      </c>
      <c r="F2" t="s">
        <v>5</v>
      </c>
      <c r="G2" t="s">
        <v>6</v>
      </c>
      <c r="H2" t="s">
        <v>7</v>
      </c>
      <c r="I2" t="s">
        <v>8</v>
      </c>
      <c r="J2" t="s">
        <v>9</v>
      </c>
      <c r="K2" t="s">
        <v>10</v>
      </c>
      <c r="L2" t="s">
        <v>11</v>
      </c>
      <c r="M2" t="s">
        <v>12</v>
      </c>
      <c r="N2" t="s">
        <v>13</v>
      </c>
      <c r="O2" t="s">
        <v>14</v>
      </c>
      <c r="P2" t="s">
        <v>15</v>
      </c>
    </row>
    <row r="3" spans="1:16" x14ac:dyDescent="0.25">
      <c r="A3" t="s">
        <v>0</v>
      </c>
      <c r="B3" t="s">
        <v>16</v>
      </c>
      <c r="C3" t="s">
        <v>17</v>
      </c>
      <c r="D3" t="s">
        <v>18</v>
      </c>
      <c r="E3" t="s">
        <v>19</v>
      </c>
      <c r="F3" t="s">
        <v>20</v>
      </c>
      <c r="G3" t="s">
        <v>21</v>
      </c>
      <c r="H3" t="s">
        <v>22</v>
      </c>
      <c r="I3" t="s">
        <v>23</v>
      </c>
      <c r="J3" t="s">
        <v>24</v>
      </c>
      <c r="K3" t="s">
        <v>20</v>
      </c>
    </row>
    <row r="4" spans="1:16" x14ac:dyDescent="0.25">
      <c r="A4" t="s">
        <v>25</v>
      </c>
      <c r="B4">
        <v>0.53262955000000001</v>
      </c>
      <c r="C4">
        <v>3.2697248999999998E-2</v>
      </c>
      <c r="D4">
        <v>0.46787434999999999</v>
      </c>
      <c r="E4">
        <v>0.59738469000000005</v>
      </c>
      <c r="F4">
        <v>118</v>
      </c>
      <c r="G4">
        <v>0.64332347999999995</v>
      </c>
      <c r="H4">
        <v>3.0987265E-2</v>
      </c>
      <c r="I4">
        <v>0.58195483999999997</v>
      </c>
      <c r="J4">
        <v>0.70469212999999997</v>
      </c>
      <c r="K4">
        <v>118</v>
      </c>
      <c r="L4" t="s">
        <v>26</v>
      </c>
      <c r="M4" t="s">
        <v>26</v>
      </c>
      <c r="N4" t="s">
        <v>25</v>
      </c>
      <c r="O4">
        <v>0</v>
      </c>
      <c r="P4">
        <v>1</v>
      </c>
    </row>
    <row r="5" spans="1:16" x14ac:dyDescent="0.25">
      <c r="A5" t="s">
        <v>27</v>
      </c>
      <c r="B5">
        <v>0.12108383</v>
      </c>
      <c r="C5">
        <v>5.9184964999999999E-2</v>
      </c>
      <c r="D5">
        <v>-5.8552958000000002E-3</v>
      </c>
      <c r="E5">
        <v>0.24802295999999999</v>
      </c>
      <c r="F5">
        <v>15</v>
      </c>
      <c r="G5">
        <v>0.38576078000000003</v>
      </c>
      <c r="H5">
        <v>9.5414445000000001E-2</v>
      </c>
      <c r="I5">
        <v>0.18111715</v>
      </c>
      <c r="J5">
        <v>0.59040439</v>
      </c>
      <c r="K5">
        <v>15</v>
      </c>
      <c r="L5" t="s">
        <v>28</v>
      </c>
      <c r="M5" t="s">
        <v>26</v>
      </c>
      <c r="N5" t="s">
        <v>29</v>
      </c>
      <c r="O5">
        <v>0</v>
      </c>
      <c r="P5">
        <v>1</v>
      </c>
    </row>
    <row r="6" spans="1:16" x14ac:dyDescent="0.25">
      <c r="A6" t="s">
        <v>30</v>
      </c>
      <c r="F6">
        <v>0</v>
      </c>
      <c r="K6">
        <v>0</v>
      </c>
      <c r="L6" t="s">
        <v>31</v>
      </c>
      <c r="M6" t="s">
        <v>26</v>
      </c>
      <c r="N6" t="s">
        <v>32</v>
      </c>
      <c r="O6">
        <v>0</v>
      </c>
      <c r="P6">
        <v>1</v>
      </c>
    </row>
    <row r="7" spans="1:16" x14ac:dyDescent="0.25">
      <c r="A7" t="s">
        <v>33</v>
      </c>
      <c r="B7">
        <v>0.86054122</v>
      </c>
      <c r="C7">
        <v>4.3020345000000002E-2</v>
      </c>
      <c r="D7">
        <v>0.76468592999999996</v>
      </c>
      <c r="E7">
        <v>0.95639651999999997</v>
      </c>
      <c r="F7">
        <v>11</v>
      </c>
      <c r="G7">
        <v>0.9017598</v>
      </c>
      <c r="H7">
        <v>3.5672008999999998E-2</v>
      </c>
      <c r="I7">
        <v>0.82227760999999999</v>
      </c>
      <c r="J7">
        <v>0.98124199999999995</v>
      </c>
      <c r="K7">
        <v>11</v>
      </c>
      <c r="L7" t="s">
        <v>34</v>
      </c>
      <c r="M7" t="s">
        <v>26</v>
      </c>
      <c r="N7" t="s">
        <v>35</v>
      </c>
      <c r="O7">
        <v>0</v>
      </c>
      <c r="P7">
        <v>1</v>
      </c>
    </row>
    <row r="8" spans="1:16" x14ac:dyDescent="0.25">
      <c r="A8" t="s">
        <v>36</v>
      </c>
      <c r="B8">
        <v>0.60236555000000003</v>
      </c>
      <c r="C8">
        <v>5.4266702E-2</v>
      </c>
      <c r="D8">
        <v>0.48835546000000002</v>
      </c>
      <c r="E8">
        <v>0.71637571</v>
      </c>
      <c r="F8">
        <v>19</v>
      </c>
      <c r="G8">
        <v>0.61809528000000002</v>
      </c>
      <c r="H8">
        <v>5.2831168999999997E-2</v>
      </c>
      <c r="I8">
        <v>0.50710105999999999</v>
      </c>
      <c r="J8">
        <v>0.72908943999999998</v>
      </c>
      <c r="K8">
        <v>19</v>
      </c>
      <c r="L8" t="s">
        <v>37</v>
      </c>
      <c r="M8" t="s">
        <v>26</v>
      </c>
      <c r="N8" t="s">
        <v>38</v>
      </c>
      <c r="O8">
        <v>0</v>
      </c>
      <c r="P8">
        <v>1</v>
      </c>
    </row>
    <row r="9" spans="1:16" x14ac:dyDescent="0.25">
      <c r="A9" t="s">
        <v>39</v>
      </c>
      <c r="B9">
        <v>-8.8140870999999996E-3</v>
      </c>
      <c r="C9">
        <v>1.1770559999999999E-2</v>
      </c>
      <c r="D9">
        <v>-4.6273265000000001E-2</v>
      </c>
      <c r="E9">
        <v>2.8645088999999999E-2</v>
      </c>
      <c r="F9">
        <v>4</v>
      </c>
      <c r="G9">
        <v>-1.3004042999999999E-3</v>
      </c>
      <c r="H9">
        <v>1.0693797999999999E-2</v>
      </c>
      <c r="I9">
        <v>-3.5332844000000002E-2</v>
      </c>
      <c r="J9">
        <v>3.2732032000000001E-2</v>
      </c>
      <c r="K9">
        <v>4</v>
      </c>
      <c r="L9" t="s">
        <v>40</v>
      </c>
      <c r="M9" t="s">
        <v>26</v>
      </c>
      <c r="N9" t="s">
        <v>41</v>
      </c>
      <c r="O9">
        <v>0</v>
      </c>
      <c r="P9">
        <v>1</v>
      </c>
    </row>
    <row r="10" spans="1:16" x14ac:dyDescent="0.25">
      <c r="A10" t="s">
        <v>42</v>
      </c>
      <c r="B10">
        <v>0.73674846000000005</v>
      </c>
      <c r="C10">
        <v>4.0733360000000003E-2</v>
      </c>
      <c r="D10">
        <v>0.65465574999999998</v>
      </c>
      <c r="E10">
        <v>0.81884115999999996</v>
      </c>
      <c r="F10">
        <v>45</v>
      </c>
      <c r="G10">
        <v>0.82910382999999999</v>
      </c>
      <c r="H10">
        <v>4.1796490999999998E-2</v>
      </c>
      <c r="I10">
        <v>0.74486852000000003</v>
      </c>
      <c r="J10">
        <v>0.91333907999999997</v>
      </c>
      <c r="K10">
        <v>45</v>
      </c>
      <c r="L10" t="s">
        <v>43</v>
      </c>
      <c r="M10" t="s">
        <v>26</v>
      </c>
      <c r="N10" t="s">
        <v>44</v>
      </c>
      <c r="O10">
        <v>0</v>
      </c>
      <c r="P10">
        <v>1</v>
      </c>
    </row>
    <row r="11" spans="1:16" x14ac:dyDescent="0.25">
      <c r="A11" t="s">
        <v>45</v>
      </c>
      <c r="B11">
        <v>0.96564083999999994</v>
      </c>
      <c r="F11">
        <v>1</v>
      </c>
      <c r="G11">
        <v>0.96564083999999994</v>
      </c>
      <c r="K11">
        <v>1</v>
      </c>
      <c r="L11" t="s">
        <v>46</v>
      </c>
      <c r="M11" t="s">
        <v>26</v>
      </c>
      <c r="N11" t="s">
        <v>47</v>
      </c>
      <c r="O11">
        <v>0</v>
      </c>
      <c r="P11">
        <v>1</v>
      </c>
    </row>
    <row r="12" spans="1:16" x14ac:dyDescent="0.25">
      <c r="A12" t="s">
        <v>48</v>
      </c>
      <c r="B12">
        <v>0.52350103999999997</v>
      </c>
      <c r="C12">
        <v>2.5154768000000001E-2</v>
      </c>
      <c r="D12">
        <v>0.46988496000000002</v>
      </c>
      <c r="E12">
        <v>0.5771172</v>
      </c>
      <c r="F12">
        <v>16</v>
      </c>
      <c r="G12">
        <v>0.38050473000000001</v>
      </c>
      <c r="H12">
        <v>4.3510340000000002E-2</v>
      </c>
      <c r="I12">
        <v>0.28776464000000002</v>
      </c>
      <c r="J12">
        <v>0.47324482000000001</v>
      </c>
      <c r="K12">
        <v>16</v>
      </c>
      <c r="L12" t="s">
        <v>49</v>
      </c>
      <c r="M12" t="s">
        <v>26</v>
      </c>
      <c r="N12" t="s">
        <v>50</v>
      </c>
      <c r="O12">
        <v>0</v>
      </c>
      <c r="P12">
        <v>1</v>
      </c>
    </row>
    <row r="13" spans="1:16" x14ac:dyDescent="0.25">
      <c r="A13" t="s">
        <v>51</v>
      </c>
      <c r="B13">
        <v>0.30331501</v>
      </c>
      <c r="F13">
        <v>1</v>
      </c>
      <c r="G13">
        <v>0.30331501</v>
      </c>
      <c r="K13">
        <v>1</v>
      </c>
      <c r="L13" t="s">
        <v>52</v>
      </c>
      <c r="M13" t="s">
        <v>26</v>
      </c>
      <c r="N13" t="s">
        <v>53</v>
      </c>
      <c r="O13">
        <v>1</v>
      </c>
      <c r="P13">
        <v>1</v>
      </c>
    </row>
    <row r="14" spans="1:16" x14ac:dyDescent="0.25">
      <c r="A14" t="s">
        <v>54</v>
      </c>
      <c r="B14">
        <v>-9.0128798E-3</v>
      </c>
      <c r="C14">
        <v>1.4438919E-2</v>
      </c>
      <c r="D14">
        <v>-7.1138538000000001E-2</v>
      </c>
      <c r="E14">
        <v>5.3112775000000001E-2</v>
      </c>
      <c r="F14">
        <v>3</v>
      </c>
      <c r="G14">
        <v>-4.5421421999999999E-3</v>
      </c>
      <c r="H14">
        <v>1.4411693E-2</v>
      </c>
      <c r="I14">
        <v>-6.6550650000000003E-2</v>
      </c>
      <c r="J14">
        <v>5.7466369000000003E-2</v>
      </c>
      <c r="K14">
        <v>3</v>
      </c>
      <c r="L14" t="s">
        <v>55</v>
      </c>
      <c r="M14" t="s">
        <v>26</v>
      </c>
      <c r="N14" t="s">
        <v>56</v>
      </c>
      <c r="O14">
        <v>1</v>
      </c>
      <c r="P14">
        <v>1</v>
      </c>
    </row>
    <row r="15" spans="1:16" x14ac:dyDescent="0.25">
      <c r="A15" t="s">
        <v>57</v>
      </c>
      <c r="B15">
        <v>8.4248082999999994E-3</v>
      </c>
      <c r="F15">
        <v>1</v>
      </c>
      <c r="G15">
        <v>8.4248082999999994E-3</v>
      </c>
      <c r="K15">
        <v>1</v>
      </c>
      <c r="L15" t="s">
        <v>58</v>
      </c>
      <c r="M15" t="s">
        <v>26</v>
      </c>
      <c r="N15" t="s">
        <v>59</v>
      </c>
      <c r="O15">
        <v>1</v>
      </c>
      <c r="P15">
        <v>1</v>
      </c>
    </row>
    <row r="16" spans="1:16" x14ac:dyDescent="0.25">
      <c r="A16" t="s">
        <v>60</v>
      </c>
      <c r="B16">
        <v>0.16123950000000001</v>
      </c>
      <c r="C16">
        <v>8.6195610000000006E-2</v>
      </c>
      <c r="D16">
        <v>-2.8475759999999999E-2</v>
      </c>
      <c r="E16">
        <v>0.35095477000000003</v>
      </c>
      <c r="F16">
        <v>12</v>
      </c>
      <c r="G16">
        <v>0.39707442999999998</v>
      </c>
      <c r="H16">
        <v>0.11926986000000001</v>
      </c>
      <c r="I16">
        <v>0.13456325</v>
      </c>
      <c r="J16">
        <v>0.65958559999999999</v>
      </c>
      <c r="K16">
        <v>12</v>
      </c>
      <c r="L16" t="s">
        <v>61</v>
      </c>
      <c r="M16" t="s">
        <v>26</v>
      </c>
      <c r="N16" t="s">
        <v>62</v>
      </c>
      <c r="O16">
        <v>1</v>
      </c>
      <c r="P16">
        <v>1</v>
      </c>
    </row>
    <row r="17" spans="1:16" x14ac:dyDescent="0.25">
      <c r="A17" t="s">
        <v>63</v>
      </c>
      <c r="B17">
        <v>0.78660887000000002</v>
      </c>
      <c r="C17">
        <v>3.2902165999999997E-2</v>
      </c>
      <c r="D17">
        <v>0.72093587999999997</v>
      </c>
      <c r="E17">
        <v>0.85228192999999997</v>
      </c>
      <c r="F17">
        <v>68</v>
      </c>
      <c r="G17">
        <v>0.77216982999999995</v>
      </c>
      <c r="H17">
        <v>3.7382282000000003E-2</v>
      </c>
      <c r="I17">
        <v>0.69755447000000004</v>
      </c>
      <c r="J17">
        <v>0.84678518999999997</v>
      </c>
      <c r="K17">
        <v>68</v>
      </c>
      <c r="L17" t="s">
        <v>64</v>
      </c>
      <c r="M17" t="s">
        <v>26</v>
      </c>
      <c r="N17" t="s">
        <v>65</v>
      </c>
      <c r="O17">
        <v>1</v>
      </c>
      <c r="P17">
        <v>1</v>
      </c>
    </row>
    <row r="18" spans="1:16" x14ac:dyDescent="0.25">
      <c r="A18" t="s">
        <v>66</v>
      </c>
      <c r="B18">
        <v>0.55723279999999997</v>
      </c>
      <c r="C18">
        <v>3.4006450000000001E-2</v>
      </c>
      <c r="D18">
        <v>0.48796391</v>
      </c>
      <c r="E18">
        <v>0.62650167999999995</v>
      </c>
      <c r="F18">
        <v>33</v>
      </c>
      <c r="G18">
        <v>0.55580658000000005</v>
      </c>
      <c r="H18">
        <v>3.2621655999999999E-2</v>
      </c>
      <c r="I18">
        <v>0.48935845</v>
      </c>
      <c r="J18">
        <v>0.62225472999999998</v>
      </c>
      <c r="K18">
        <v>33</v>
      </c>
      <c r="L18" t="s">
        <v>67</v>
      </c>
      <c r="M18" t="s">
        <v>26</v>
      </c>
      <c r="N18" t="s">
        <v>68</v>
      </c>
      <c r="O18">
        <v>1</v>
      </c>
      <c r="P18">
        <v>1</v>
      </c>
    </row>
    <row r="19" spans="1:16" x14ac:dyDescent="0.25">
      <c r="A19" t="s">
        <v>25</v>
      </c>
      <c r="B19">
        <v>0.21635234</v>
      </c>
      <c r="C19">
        <v>1.9104316999999999E-2</v>
      </c>
      <c r="D19">
        <v>0.17862140000000001</v>
      </c>
      <c r="E19">
        <v>0.25408331000000001</v>
      </c>
      <c r="F19">
        <v>160</v>
      </c>
      <c r="G19">
        <v>0.15641557</v>
      </c>
      <c r="H19">
        <v>2.0996582E-2</v>
      </c>
      <c r="I19">
        <v>0.11494739</v>
      </c>
      <c r="J19">
        <v>0.19788373000000001</v>
      </c>
      <c r="K19">
        <v>160</v>
      </c>
      <c r="L19" t="s">
        <v>69</v>
      </c>
      <c r="M19" t="s">
        <v>69</v>
      </c>
      <c r="N19" t="s">
        <v>25</v>
      </c>
      <c r="O19">
        <v>0</v>
      </c>
      <c r="P19">
        <v>2</v>
      </c>
    </row>
    <row r="20" spans="1:16" x14ac:dyDescent="0.25">
      <c r="A20" t="s">
        <v>27</v>
      </c>
      <c r="B20">
        <v>1.0244954000000001E-2</v>
      </c>
      <c r="C20">
        <v>1.1557805999999999E-3</v>
      </c>
      <c r="D20">
        <v>5.2720318000000002E-3</v>
      </c>
      <c r="E20">
        <v>1.5217876999999999E-2</v>
      </c>
      <c r="F20">
        <v>3</v>
      </c>
      <c r="G20">
        <v>1.0780644000000001E-2</v>
      </c>
      <c r="H20">
        <v>1.2129832E-3</v>
      </c>
      <c r="I20">
        <v>5.5615980999999997E-3</v>
      </c>
      <c r="J20">
        <v>1.5999688000000001E-2</v>
      </c>
      <c r="K20">
        <v>3</v>
      </c>
      <c r="L20" t="s">
        <v>70</v>
      </c>
      <c r="M20" t="s">
        <v>69</v>
      </c>
      <c r="N20" t="s">
        <v>29</v>
      </c>
      <c r="O20">
        <v>0</v>
      </c>
      <c r="P20">
        <v>2</v>
      </c>
    </row>
    <row r="21" spans="1:16" x14ac:dyDescent="0.25">
      <c r="A21" t="s">
        <v>30</v>
      </c>
      <c r="B21">
        <v>9.6487037999999997E-2</v>
      </c>
      <c r="C21">
        <v>2.7398162E-2</v>
      </c>
      <c r="D21">
        <v>9.2938580000000003E-3</v>
      </c>
      <c r="E21">
        <v>0.18368022000000001</v>
      </c>
      <c r="F21">
        <v>4</v>
      </c>
      <c r="G21">
        <v>8.7085924999999995E-2</v>
      </c>
      <c r="H21">
        <v>3.1541123999999997E-2</v>
      </c>
      <c r="I21">
        <v>-1.3292003E-2</v>
      </c>
      <c r="J21">
        <v>0.18746384999999999</v>
      </c>
      <c r="K21">
        <v>4</v>
      </c>
      <c r="L21" t="s">
        <v>71</v>
      </c>
      <c r="M21" t="s">
        <v>69</v>
      </c>
      <c r="N21" t="s">
        <v>32</v>
      </c>
      <c r="O21">
        <v>0</v>
      </c>
      <c r="P21">
        <v>2</v>
      </c>
    </row>
    <row r="22" spans="1:16" x14ac:dyDescent="0.25">
      <c r="A22" t="s">
        <v>33</v>
      </c>
      <c r="B22">
        <v>-0.34903606999999998</v>
      </c>
      <c r="C22">
        <v>7.7283524000000006E-2</v>
      </c>
      <c r="D22">
        <v>-0.54769968999999996</v>
      </c>
      <c r="E22">
        <v>-0.15037243</v>
      </c>
      <c r="F22">
        <v>6</v>
      </c>
      <c r="G22">
        <v>-0.30301818000000003</v>
      </c>
      <c r="H22">
        <v>8.2907140000000004E-2</v>
      </c>
      <c r="I22">
        <v>-0.51613777999999999</v>
      </c>
      <c r="J22">
        <v>-8.9898579000000006E-2</v>
      </c>
      <c r="K22">
        <v>6</v>
      </c>
      <c r="L22" t="s">
        <v>72</v>
      </c>
      <c r="M22" t="s">
        <v>69</v>
      </c>
      <c r="N22" t="s">
        <v>35</v>
      </c>
      <c r="O22">
        <v>0</v>
      </c>
      <c r="P22">
        <v>2</v>
      </c>
    </row>
    <row r="23" spans="1:16" x14ac:dyDescent="0.25">
      <c r="A23" t="s">
        <v>36</v>
      </c>
      <c r="B23">
        <v>0.15281343</v>
      </c>
      <c r="C23">
        <v>2.7054720000000001E-2</v>
      </c>
      <c r="D23">
        <v>9.7301736E-2</v>
      </c>
      <c r="E23">
        <v>0.20832513</v>
      </c>
      <c r="F23">
        <v>28</v>
      </c>
      <c r="G23">
        <v>0.17753974</v>
      </c>
      <c r="H23">
        <v>2.4792603999999999E-2</v>
      </c>
      <c r="I23">
        <v>0.12666951000000001</v>
      </c>
      <c r="J23">
        <v>0.22840995</v>
      </c>
      <c r="K23">
        <v>28</v>
      </c>
      <c r="L23" t="s">
        <v>73</v>
      </c>
      <c r="M23" t="s">
        <v>69</v>
      </c>
      <c r="N23" t="s">
        <v>38</v>
      </c>
      <c r="O23">
        <v>0</v>
      </c>
      <c r="P23">
        <v>2</v>
      </c>
    </row>
    <row r="24" spans="1:16" x14ac:dyDescent="0.25">
      <c r="A24" t="s">
        <v>39</v>
      </c>
      <c r="B24">
        <v>1.3512156000000001E-2</v>
      </c>
      <c r="C24">
        <v>6.3501694000000003E-3</v>
      </c>
      <c r="D24">
        <v>-1.5036082999999999E-3</v>
      </c>
      <c r="E24">
        <v>2.8527921000000001E-2</v>
      </c>
      <c r="F24">
        <v>8</v>
      </c>
      <c r="G24">
        <v>-3.0413357999999999E-3</v>
      </c>
      <c r="H24">
        <v>1.2820503E-2</v>
      </c>
      <c r="I24">
        <v>-3.3357006000000002E-2</v>
      </c>
      <c r="J24">
        <v>2.7274335E-2</v>
      </c>
      <c r="K24">
        <v>8</v>
      </c>
      <c r="L24" t="s">
        <v>74</v>
      </c>
      <c r="M24" t="s">
        <v>69</v>
      </c>
      <c r="N24" t="s">
        <v>41</v>
      </c>
      <c r="O24">
        <v>0</v>
      </c>
      <c r="P24">
        <v>2</v>
      </c>
    </row>
    <row r="25" spans="1:16" x14ac:dyDescent="0.25">
      <c r="A25" t="s">
        <v>42</v>
      </c>
      <c r="B25">
        <v>6.2676348000000007E-2</v>
      </c>
      <c r="C25">
        <v>1.3721005999999999E-2</v>
      </c>
      <c r="D25">
        <v>3.5230253000000003E-2</v>
      </c>
      <c r="E25">
        <v>9.0122445999999995E-2</v>
      </c>
      <c r="F25">
        <v>61</v>
      </c>
      <c r="G25">
        <v>-1.3991142999999999E-2</v>
      </c>
      <c r="H25">
        <v>2.2441205999999998E-2</v>
      </c>
      <c r="I25">
        <v>-5.888024E-2</v>
      </c>
      <c r="J25">
        <v>3.0897952999999999E-2</v>
      </c>
      <c r="K25">
        <v>61</v>
      </c>
      <c r="L25" t="s">
        <v>75</v>
      </c>
      <c r="M25" t="s">
        <v>69</v>
      </c>
      <c r="N25" t="s">
        <v>44</v>
      </c>
      <c r="O25">
        <v>0</v>
      </c>
      <c r="P25">
        <v>2</v>
      </c>
    </row>
    <row r="26" spans="1:16" x14ac:dyDescent="0.25">
      <c r="A26" t="s">
        <v>45</v>
      </c>
      <c r="B26">
        <v>0.49226350000000002</v>
      </c>
      <c r="C26">
        <v>1.9346293000000001E-2</v>
      </c>
      <c r="D26">
        <v>0.45306416999999999</v>
      </c>
      <c r="E26">
        <v>0.53146278999999996</v>
      </c>
      <c r="F26">
        <v>38</v>
      </c>
      <c r="G26">
        <v>0.49226350000000002</v>
      </c>
      <c r="H26">
        <v>1.9346293000000001E-2</v>
      </c>
      <c r="I26">
        <v>0.45306416999999999</v>
      </c>
      <c r="J26">
        <v>0.53146278999999996</v>
      </c>
      <c r="K26">
        <v>38</v>
      </c>
      <c r="L26" t="s">
        <v>76</v>
      </c>
      <c r="M26" t="s">
        <v>69</v>
      </c>
      <c r="N26" t="s">
        <v>47</v>
      </c>
      <c r="O26">
        <v>0</v>
      </c>
      <c r="P26">
        <v>2</v>
      </c>
    </row>
    <row r="27" spans="1:16" x14ac:dyDescent="0.25">
      <c r="A27" t="s">
        <v>48</v>
      </c>
      <c r="B27">
        <v>0.31300947000000001</v>
      </c>
      <c r="C27">
        <v>3.5803153999999997E-2</v>
      </c>
      <c r="D27">
        <v>0.23323508000000001</v>
      </c>
      <c r="E27">
        <v>0.39278387999999997</v>
      </c>
      <c r="F27">
        <v>11</v>
      </c>
      <c r="G27">
        <v>0.28580612</v>
      </c>
      <c r="H27">
        <v>4.4135573999999997E-2</v>
      </c>
      <c r="I27">
        <v>0.18746592000000001</v>
      </c>
      <c r="J27">
        <v>0.3841463</v>
      </c>
      <c r="K27">
        <v>11</v>
      </c>
      <c r="L27" t="s">
        <v>77</v>
      </c>
      <c r="M27" t="s">
        <v>69</v>
      </c>
      <c r="N27" t="s">
        <v>50</v>
      </c>
      <c r="O27">
        <v>0</v>
      </c>
      <c r="P27">
        <v>2</v>
      </c>
    </row>
    <row r="28" spans="1:16" x14ac:dyDescent="0.25">
      <c r="A28" t="s">
        <v>51</v>
      </c>
      <c r="B28">
        <v>2.8440004000000001E-2</v>
      </c>
      <c r="C28">
        <v>4.5847806999999997E-2</v>
      </c>
      <c r="D28">
        <v>-8.3745538999999994E-2</v>
      </c>
      <c r="E28">
        <v>0.14062554999999999</v>
      </c>
      <c r="F28">
        <v>7</v>
      </c>
      <c r="G28">
        <v>4.9500032999999999E-2</v>
      </c>
      <c r="H28">
        <v>4.9550898000000003E-2</v>
      </c>
      <c r="I28">
        <v>-7.1746646999999997E-2</v>
      </c>
      <c r="J28">
        <v>0.17074671</v>
      </c>
      <c r="K28">
        <v>7</v>
      </c>
      <c r="L28" t="s">
        <v>78</v>
      </c>
      <c r="M28" t="s">
        <v>69</v>
      </c>
      <c r="N28" t="s">
        <v>53</v>
      </c>
      <c r="O28">
        <v>1</v>
      </c>
      <c r="P28">
        <v>2</v>
      </c>
    </row>
    <row r="29" spans="1:16" x14ac:dyDescent="0.25">
      <c r="A29" t="s">
        <v>54</v>
      </c>
      <c r="B29">
        <v>9.3966974000000009E-3</v>
      </c>
      <c r="C29">
        <v>2.8036470000000001E-2</v>
      </c>
      <c r="D29">
        <v>-5.6899019000000002E-2</v>
      </c>
      <c r="E29">
        <v>7.5692414999999999E-2</v>
      </c>
      <c r="F29">
        <v>8</v>
      </c>
      <c r="G29">
        <v>-5.4888817999999999E-2</v>
      </c>
      <c r="H29">
        <v>5.3985458E-2</v>
      </c>
      <c r="I29">
        <v>-0.18254413999999999</v>
      </c>
      <c r="J29">
        <v>7.2766504999999995E-2</v>
      </c>
      <c r="K29">
        <v>8</v>
      </c>
      <c r="L29" t="s">
        <v>79</v>
      </c>
      <c r="M29" t="s">
        <v>69</v>
      </c>
      <c r="N29" t="s">
        <v>56</v>
      </c>
      <c r="O29">
        <v>1</v>
      </c>
      <c r="P29">
        <v>2</v>
      </c>
    </row>
    <row r="30" spans="1:16" x14ac:dyDescent="0.25">
      <c r="A30" t="s">
        <v>57</v>
      </c>
      <c r="B30">
        <v>-2.9094510000000001E-2</v>
      </c>
      <c r="C30">
        <v>1.4055834E-2</v>
      </c>
      <c r="D30">
        <v>-5.7220168000000002E-2</v>
      </c>
      <c r="E30">
        <v>-9.6884987000000003E-4</v>
      </c>
      <c r="F30">
        <v>60</v>
      </c>
      <c r="G30">
        <v>3.4710198999999997E-2</v>
      </c>
      <c r="H30">
        <v>1.8419851000000001E-2</v>
      </c>
      <c r="I30">
        <v>-2.1478357000000001E-3</v>
      </c>
      <c r="J30">
        <v>7.1568235999999993E-2</v>
      </c>
      <c r="K30">
        <v>60</v>
      </c>
      <c r="L30" t="s">
        <v>80</v>
      </c>
      <c r="M30" t="s">
        <v>69</v>
      </c>
      <c r="N30" t="s">
        <v>59</v>
      </c>
      <c r="O30">
        <v>1</v>
      </c>
      <c r="P30">
        <v>2</v>
      </c>
    </row>
    <row r="31" spans="1:16" x14ac:dyDescent="0.25">
      <c r="A31" t="s">
        <v>60</v>
      </c>
      <c r="B31">
        <v>1.0241204E-2</v>
      </c>
      <c r="C31">
        <v>9.5027895000000004E-4</v>
      </c>
      <c r="D31">
        <v>7.2169922999999999E-3</v>
      </c>
      <c r="E31">
        <v>1.3265416E-2</v>
      </c>
      <c r="F31">
        <v>4</v>
      </c>
      <c r="G31">
        <v>8.0854828E-3</v>
      </c>
      <c r="H31">
        <v>2.8283486999999999E-3</v>
      </c>
      <c r="I31">
        <v>-9.1558513999999999E-4</v>
      </c>
      <c r="J31">
        <v>1.7086550999999998E-2</v>
      </c>
      <c r="K31">
        <v>4</v>
      </c>
      <c r="L31" t="s">
        <v>81</v>
      </c>
      <c r="M31" t="s">
        <v>69</v>
      </c>
      <c r="N31" t="s">
        <v>62</v>
      </c>
      <c r="O31">
        <v>1</v>
      </c>
      <c r="P31">
        <v>2</v>
      </c>
    </row>
    <row r="32" spans="1:16" x14ac:dyDescent="0.25">
      <c r="A32" t="s">
        <v>63</v>
      </c>
      <c r="B32">
        <v>0</v>
      </c>
      <c r="C32">
        <v>0</v>
      </c>
      <c r="D32">
        <v>0</v>
      </c>
      <c r="E32">
        <v>0</v>
      </c>
      <c r="F32">
        <v>2</v>
      </c>
      <c r="G32">
        <v>0</v>
      </c>
      <c r="H32">
        <v>0</v>
      </c>
      <c r="I32">
        <v>0</v>
      </c>
      <c r="J32">
        <v>0</v>
      </c>
      <c r="K32">
        <v>2</v>
      </c>
      <c r="L32" t="s">
        <v>82</v>
      </c>
      <c r="M32" t="s">
        <v>69</v>
      </c>
      <c r="N32" t="s">
        <v>65</v>
      </c>
      <c r="O32">
        <v>1</v>
      </c>
      <c r="P32">
        <v>2</v>
      </c>
    </row>
    <row r="33" spans="1:16" x14ac:dyDescent="0.25">
      <c r="A33" t="s">
        <v>66</v>
      </c>
      <c r="B33">
        <v>0.41512032999999998</v>
      </c>
      <c r="C33">
        <v>1.6948771000000001E-2</v>
      </c>
      <c r="D33">
        <v>0.38137794000000003</v>
      </c>
      <c r="E33">
        <v>0.44886276000000003</v>
      </c>
      <c r="F33">
        <v>79</v>
      </c>
      <c r="G33">
        <v>0.29119172999999998</v>
      </c>
      <c r="H33">
        <v>3.3341408000000003E-2</v>
      </c>
      <c r="I33">
        <v>0.22481407</v>
      </c>
      <c r="J33">
        <v>0.35756937</v>
      </c>
      <c r="K33">
        <v>79</v>
      </c>
      <c r="L33" t="s">
        <v>83</v>
      </c>
      <c r="M33" t="s">
        <v>69</v>
      </c>
      <c r="N33" t="s">
        <v>68</v>
      </c>
      <c r="O33">
        <v>1</v>
      </c>
      <c r="P33">
        <v>2</v>
      </c>
    </row>
    <row r="34" spans="1:16" x14ac:dyDescent="0.25">
      <c r="A34" t="s">
        <v>25</v>
      </c>
      <c r="B34">
        <v>9.8648704999999993E-3</v>
      </c>
      <c r="C34">
        <v>2.8909494E-3</v>
      </c>
      <c r="D34">
        <v>4.1620019000000001E-3</v>
      </c>
      <c r="E34">
        <v>1.5567737999999999E-2</v>
      </c>
      <c r="F34">
        <v>189</v>
      </c>
      <c r="G34">
        <v>2.0365841999999999E-2</v>
      </c>
      <c r="H34">
        <v>9.9232998000000003E-3</v>
      </c>
      <c r="I34">
        <v>7.9051801E-4</v>
      </c>
      <c r="J34">
        <v>3.9941166E-2</v>
      </c>
      <c r="K34">
        <v>189</v>
      </c>
      <c r="L34" t="s">
        <v>84</v>
      </c>
      <c r="M34" t="s">
        <v>84</v>
      </c>
      <c r="N34" t="s">
        <v>25</v>
      </c>
      <c r="O34">
        <v>0</v>
      </c>
      <c r="P34">
        <v>3</v>
      </c>
    </row>
    <row r="35" spans="1:16" x14ac:dyDescent="0.25">
      <c r="A35" t="s">
        <v>27</v>
      </c>
      <c r="B35">
        <v>4.2266175E-3</v>
      </c>
      <c r="C35">
        <v>4.2240825000000003E-3</v>
      </c>
      <c r="D35">
        <v>-9.2162974000000002E-3</v>
      </c>
      <c r="E35">
        <v>1.7669532000000002E-2</v>
      </c>
      <c r="F35">
        <v>4</v>
      </c>
      <c r="G35">
        <v>-1.1288585E-2</v>
      </c>
      <c r="H35">
        <v>1.6878719E-2</v>
      </c>
      <c r="I35">
        <v>-6.5004199999999998E-2</v>
      </c>
      <c r="J35">
        <v>4.2427028999999998E-2</v>
      </c>
      <c r="K35">
        <v>4</v>
      </c>
      <c r="L35" t="s">
        <v>85</v>
      </c>
      <c r="M35" t="s">
        <v>84</v>
      </c>
      <c r="N35" t="s">
        <v>29</v>
      </c>
      <c r="O35">
        <v>0</v>
      </c>
      <c r="P35">
        <v>3</v>
      </c>
    </row>
    <row r="36" spans="1:16" x14ac:dyDescent="0.25">
      <c r="A36" t="s">
        <v>30</v>
      </c>
      <c r="B36">
        <v>1.2734507000000001E-2</v>
      </c>
      <c r="C36">
        <v>1.2184413999999999E-2</v>
      </c>
      <c r="D36">
        <v>-1.7079680999999999E-2</v>
      </c>
      <c r="E36">
        <v>4.2548693999999998E-2</v>
      </c>
      <c r="F36">
        <v>7</v>
      </c>
      <c r="G36">
        <v>3.3922393000000002E-2</v>
      </c>
      <c r="H36">
        <v>3.4612428000000001E-2</v>
      </c>
      <c r="I36">
        <v>-5.0771162000000002E-2</v>
      </c>
      <c r="J36">
        <v>0.11861596000000001</v>
      </c>
      <c r="K36">
        <v>7</v>
      </c>
      <c r="L36" t="s">
        <v>86</v>
      </c>
      <c r="M36" t="s">
        <v>84</v>
      </c>
      <c r="N36" t="s">
        <v>32</v>
      </c>
      <c r="O36">
        <v>0</v>
      </c>
      <c r="P36">
        <v>3</v>
      </c>
    </row>
    <row r="37" spans="1:16" x14ac:dyDescent="0.25">
      <c r="A37" t="s">
        <v>33</v>
      </c>
      <c r="B37">
        <v>-0.14539467</v>
      </c>
      <c r="C37">
        <v>3.7762917999999999E-2</v>
      </c>
      <c r="D37">
        <v>-0.25024133999999998</v>
      </c>
      <c r="E37">
        <v>-4.0547992999999997E-2</v>
      </c>
      <c r="F37">
        <v>5</v>
      </c>
      <c r="G37">
        <v>-0.33088793999999999</v>
      </c>
      <c r="H37">
        <v>0.10926199</v>
      </c>
      <c r="I37">
        <v>-0.63424784000000001</v>
      </c>
      <c r="J37">
        <v>-2.7528018000000001E-2</v>
      </c>
      <c r="K37">
        <v>5</v>
      </c>
      <c r="L37" t="s">
        <v>87</v>
      </c>
      <c r="M37" t="s">
        <v>84</v>
      </c>
      <c r="N37" t="s">
        <v>35</v>
      </c>
      <c r="O37">
        <v>0</v>
      </c>
      <c r="P37">
        <v>3</v>
      </c>
    </row>
    <row r="38" spans="1:16" x14ac:dyDescent="0.25">
      <c r="A38" t="s">
        <v>36</v>
      </c>
      <c r="B38">
        <v>1.3258862E-2</v>
      </c>
      <c r="C38">
        <v>4.6190340000000002E-3</v>
      </c>
      <c r="D38">
        <v>3.7972000000000001E-3</v>
      </c>
      <c r="E38">
        <v>2.2720524999999998E-2</v>
      </c>
      <c r="F38">
        <v>29</v>
      </c>
      <c r="G38">
        <v>3.7095148000000001E-2</v>
      </c>
      <c r="H38">
        <v>1.3046696999999999E-2</v>
      </c>
      <c r="I38">
        <v>1.0370202E-2</v>
      </c>
      <c r="J38">
        <v>6.3820093999999994E-2</v>
      </c>
      <c r="K38">
        <v>29</v>
      </c>
      <c r="L38" t="s">
        <v>88</v>
      </c>
      <c r="M38" t="s">
        <v>84</v>
      </c>
      <c r="N38" t="s">
        <v>38</v>
      </c>
      <c r="O38">
        <v>0</v>
      </c>
      <c r="P38">
        <v>3</v>
      </c>
    </row>
    <row r="39" spans="1:16" x14ac:dyDescent="0.25">
      <c r="A39" t="s">
        <v>39</v>
      </c>
      <c r="B39">
        <v>7.6524386999999999E-3</v>
      </c>
      <c r="C39">
        <v>3.8244689E-3</v>
      </c>
      <c r="D39">
        <v>2.0829628000000001E-5</v>
      </c>
      <c r="E39">
        <v>1.5284047E-2</v>
      </c>
      <c r="F39">
        <v>69</v>
      </c>
      <c r="G39">
        <v>-7.6978085999999998E-3</v>
      </c>
      <c r="H39">
        <v>7.7668764E-3</v>
      </c>
      <c r="I39">
        <v>-2.3196369000000001E-2</v>
      </c>
      <c r="J39">
        <v>7.8007518000000001E-3</v>
      </c>
      <c r="K39">
        <v>69</v>
      </c>
      <c r="L39" t="s">
        <v>89</v>
      </c>
      <c r="M39" t="s">
        <v>84</v>
      </c>
      <c r="N39" t="s">
        <v>41</v>
      </c>
      <c r="O39">
        <v>0</v>
      </c>
      <c r="P39">
        <v>3</v>
      </c>
    </row>
    <row r="40" spans="1:16" x14ac:dyDescent="0.25">
      <c r="A40" t="s">
        <v>42</v>
      </c>
      <c r="B40">
        <v>2.3577622999999999E-2</v>
      </c>
      <c r="C40">
        <v>5.8644135000000003E-3</v>
      </c>
      <c r="D40">
        <v>1.1750906E-2</v>
      </c>
      <c r="E40">
        <v>3.5404339E-2</v>
      </c>
      <c r="F40">
        <v>44</v>
      </c>
      <c r="G40">
        <v>-1.5349085E-2</v>
      </c>
      <c r="H40">
        <v>1.8826727000000001E-2</v>
      </c>
      <c r="I40">
        <v>-5.3316797999999999E-2</v>
      </c>
      <c r="J40">
        <v>2.2618626999999999E-2</v>
      </c>
      <c r="K40">
        <v>44</v>
      </c>
      <c r="L40" t="s">
        <v>90</v>
      </c>
      <c r="M40" t="s">
        <v>84</v>
      </c>
      <c r="N40" t="s">
        <v>44</v>
      </c>
      <c r="O40">
        <v>0</v>
      </c>
      <c r="P40">
        <v>3</v>
      </c>
    </row>
    <row r="41" spans="1:16" x14ac:dyDescent="0.25">
      <c r="A41" t="s">
        <v>45</v>
      </c>
      <c r="B41">
        <v>0.13260748999999999</v>
      </c>
      <c r="C41">
        <v>4.1474450000000003E-2</v>
      </c>
      <c r="D41">
        <v>4.4685575999999998E-2</v>
      </c>
      <c r="E41">
        <v>0.22052938999999999</v>
      </c>
      <c r="F41">
        <v>17</v>
      </c>
      <c r="G41">
        <v>0.23663815999999999</v>
      </c>
      <c r="H41">
        <v>3.9425608000000001E-2</v>
      </c>
      <c r="I41">
        <v>0.15305962000000001</v>
      </c>
      <c r="J41">
        <v>0.32021672000000001</v>
      </c>
      <c r="K41">
        <v>17</v>
      </c>
      <c r="L41" t="s">
        <v>91</v>
      </c>
      <c r="M41" t="s">
        <v>84</v>
      </c>
      <c r="N41" t="s">
        <v>47</v>
      </c>
      <c r="O41">
        <v>0</v>
      </c>
      <c r="P41">
        <v>3</v>
      </c>
    </row>
    <row r="42" spans="1:16" x14ac:dyDescent="0.25">
      <c r="A42" t="s">
        <v>48</v>
      </c>
      <c r="B42">
        <v>7.3280515999999997E-3</v>
      </c>
      <c r="C42">
        <v>1.5902882E-2</v>
      </c>
      <c r="D42">
        <v>-2.9344061000000001E-2</v>
      </c>
      <c r="E42">
        <v>4.4000164000000001E-2</v>
      </c>
      <c r="F42">
        <v>9</v>
      </c>
      <c r="G42">
        <v>0.13869970000000001</v>
      </c>
      <c r="H42">
        <v>1.9222843999999999E-2</v>
      </c>
      <c r="I42">
        <v>9.4371735999999998E-2</v>
      </c>
      <c r="J42">
        <v>0.18302764999999999</v>
      </c>
      <c r="K42">
        <v>9</v>
      </c>
      <c r="L42" t="s">
        <v>92</v>
      </c>
      <c r="M42" t="s">
        <v>84</v>
      </c>
      <c r="N42" t="s">
        <v>50</v>
      </c>
      <c r="O42">
        <v>0</v>
      </c>
      <c r="P42">
        <v>3</v>
      </c>
    </row>
    <row r="43" spans="1:16" x14ac:dyDescent="0.25">
      <c r="A43" t="s">
        <v>51</v>
      </c>
      <c r="B43">
        <v>2.4991821000000001E-2</v>
      </c>
      <c r="C43">
        <v>4.3985066000000001E-3</v>
      </c>
      <c r="D43">
        <v>1.6132773999999999E-2</v>
      </c>
      <c r="E43">
        <v>3.3850867E-2</v>
      </c>
      <c r="F43">
        <v>46</v>
      </c>
      <c r="G43">
        <v>3.4637055999999999E-2</v>
      </c>
      <c r="H43">
        <v>1.3106357000000001E-2</v>
      </c>
      <c r="I43">
        <v>8.2394956000000005E-3</v>
      </c>
      <c r="J43">
        <v>6.1034612000000002E-2</v>
      </c>
      <c r="K43">
        <v>46</v>
      </c>
      <c r="L43" t="s">
        <v>93</v>
      </c>
      <c r="M43" t="s">
        <v>84</v>
      </c>
      <c r="N43" t="s">
        <v>53</v>
      </c>
      <c r="O43">
        <v>1</v>
      </c>
      <c r="P43">
        <v>3</v>
      </c>
    </row>
    <row r="44" spans="1:16" x14ac:dyDescent="0.25">
      <c r="A44" t="s">
        <v>54</v>
      </c>
      <c r="B44">
        <v>-3.1456749999999999E-2</v>
      </c>
      <c r="C44">
        <v>3.7710103000000001E-3</v>
      </c>
      <c r="D44">
        <v>-3.8992512999999999E-2</v>
      </c>
      <c r="E44">
        <v>-2.3920987000000001E-2</v>
      </c>
      <c r="F44">
        <v>64</v>
      </c>
      <c r="G44">
        <v>-2.1074682000000001E-2</v>
      </c>
      <c r="H44">
        <v>9.0234614999999997E-3</v>
      </c>
      <c r="I44">
        <v>-3.9106630000000003E-2</v>
      </c>
      <c r="J44">
        <v>-3.0427344999999998E-3</v>
      </c>
      <c r="K44">
        <v>64</v>
      </c>
      <c r="L44" t="s">
        <v>94</v>
      </c>
      <c r="M44" t="s">
        <v>84</v>
      </c>
      <c r="N44" t="s">
        <v>56</v>
      </c>
      <c r="O44">
        <v>1</v>
      </c>
      <c r="P44">
        <v>3</v>
      </c>
    </row>
    <row r="45" spans="1:16" x14ac:dyDescent="0.25">
      <c r="A45" t="s">
        <v>57</v>
      </c>
      <c r="B45">
        <v>2.3201804999999999E-2</v>
      </c>
      <c r="C45">
        <v>1.9934291000000002E-3</v>
      </c>
      <c r="D45">
        <v>1.9191542999999998E-2</v>
      </c>
      <c r="E45">
        <v>2.7212067E-2</v>
      </c>
      <c r="F45">
        <v>48</v>
      </c>
      <c r="G45">
        <v>2.3351420000000001E-2</v>
      </c>
      <c r="H45">
        <v>9.3066160999999998E-3</v>
      </c>
      <c r="I45">
        <v>4.6289228E-3</v>
      </c>
      <c r="J45">
        <v>4.2073917000000002E-2</v>
      </c>
      <c r="K45">
        <v>48</v>
      </c>
      <c r="L45" t="s">
        <v>95</v>
      </c>
      <c r="M45" t="s">
        <v>84</v>
      </c>
      <c r="N45" t="s">
        <v>59</v>
      </c>
      <c r="O45">
        <v>1</v>
      </c>
      <c r="P45">
        <v>3</v>
      </c>
    </row>
    <row r="46" spans="1:16" x14ac:dyDescent="0.25">
      <c r="A46" t="s">
        <v>60</v>
      </c>
      <c r="B46">
        <v>4.2266175E-3</v>
      </c>
      <c r="C46">
        <v>4.2240825000000003E-3</v>
      </c>
      <c r="D46">
        <v>-9.2162974000000002E-3</v>
      </c>
      <c r="E46">
        <v>1.7669532000000002E-2</v>
      </c>
      <c r="F46">
        <v>4</v>
      </c>
      <c r="G46">
        <v>-1.1288585E-2</v>
      </c>
      <c r="H46">
        <v>1.6878719E-2</v>
      </c>
      <c r="I46">
        <v>-6.5004199999999998E-2</v>
      </c>
      <c r="J46">
        <v>4.2427028999999998E-2</v>
      </c>
      <c r="K46">
        <v>4</v>
      </c>
      <c r="L46" t="s">
        <v>96</v>
      </c>
      <c r="M46" t="s">
        <v>84</v>
      </c>
      <c r="N46" t="s">
        <v>62</v>
      </c>
      <c r="O46">
        <v>1</v>
      </c>
      <c r="P46">
        <v>3</v>
      </c>
    </row>
    <row r="47" spans="1:16" x14ac:dyDescent="0.25">
      <c r="A47" t="s">
        <v>63</v>
      </c>
      <c r="B47">
        <v>-0.47758581999999999</v>
      </c>
      <c r="C47">
        <v>0.19762249000000001</v>
      </c>
      <c r="D47">
        <v>-2.9886176999999998</v>
      </c>
      <c r="E47">
        <v>2.0334460999999999</v>
      </c>
      <c r="F47">
        <v>2</v>
      </c>
      <c r="G47">
        <v>-0.51792537999999999</v>
      </c>
      <c r="H47">
        <v>0.20169761999999999</v>
      </c>
      <c r="I47">
        <v>-3.0807365999999998</v>
      </c>
      <c r="J47">
        <v>2.0448859000000001</v>
      </c>
      <c r="K47">
        <v>2</v>
      </c>
      <c r="L47" t="s">
        <v>97</v>
      </c>
      <c r="M47" t="s">
        <v>84</v>
      </c>
      <c r="N47" t="s">
        <v>65</v>
      </c>
      <c r="O47">
        <v>1</v>
      </c>
      <c r="P47">
        <v>3</v>
      </c>
    </row>
    <row r="48" spans="1:16" x14ac:dyDescent="0.25">
      <c r="A48" t="s">
        <v>66</v>
      </c>
      <c r="B48">
        <v>0.31342988999999999</v>
      </c>
      <c r="C48">
        <v>2.5062359999999999E-2</v>
      </c>
      <c r="D48">
        <v>0.26170373000000002</v>
      </c>
      <c r="E48">
        <v>0.36515605000000001</v>
      </c>
      <c r="F48">
        <v>25</v>
      </c>
      <c r="G48">
        <v>0.14259024000000001</v>
      </c>
      <c r="H48">
        <v>4.9297544999999998E-2</v>
      </c>
      <c r="I48">
        <v>4.0845111000000003E-2</v>
      </c>
      <c r="J48">
        <v>0.24433537</v>
      </c>
      <c r="K48">
        <v>25</v>
      </c>
      <c r="L48" t="s">
        <v>98</v>
      </c>
      <c r="M48" t="s">
        <v>84</v>
      </c>
      <c r="N48" t="s">
        <v>68</v>
      </c>
      <c r="O48">
        <v>1</v>
      </c>
      <c r="P48">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2B381-E358-4645-A4CD-029EBCD40A69}">
  <dimension ref="A1:R93"/>
  <sheetViews>
    <sheetView workbookViewId="0">
      <selection activeCell="A12" sqref="A12"/>
    </sheetView>
  </sheetViews>
  <sheetFormatPr defaultRowHeight="15" x14ac:dyDescent="0.25"/>
  <cols>
    <col min="1" max="1" width="72.7109375" style="1" bestFit="1" customWidth="1"/>
    <col min="2" max="4" width="12" style="1" bestFit="1" customWidth="1"/>
    <col min="5" max="5" width="25" style="1" bestFit="1" customWidth="1"/>
    <col min="6" max="8" width="12.5703125" style="1" bestFit="1" customWidth="1"/>
    <col min="9" max="9" width="25" style="1" bestFit="1" customWidth="1"/>
    <col min="11" max="11" width="9.140625" style="6"/>
    <col min="12" max="12" width="30.7109375" style="6" customWidth="1"/>
    <col min="13" max="18" width="9.140625" style="6"/>
  </cols>
  <sheetData>
    <row r="1" spans="1:18" ht="84.75" customHeight="1" x14ac:dyDescent="0.25">
      <c r="A1" s="16" t="s">
        <v>1122</v>
      </c>
      <c r="B1" s="16"/>
      <c r="C1" s="16"/>
      <c r="D1" s="16"/>
      <c r="E1" s="16"/>
      <c r="F1" s="16"/>
      <c r="G1" s="16"/>
      <c r="H1" s="16"/>
      <c r="I1" s="16"/>
      <c r="K1" s="24" t="s">
        <v>1157</v>
      </c>
      <c r="L1" s="24"/>
      <c r="M1" s="24"/>
      <c r="N1" s="24"/>
      <c r="O1" s="24"/>
      <c r="P1" s="24"/>
      <c r="Q1" s="24"/>
      <c r="R1" s="24"/>
    </row>
    <row r="2" spans="1:18" x14ac:dyDescent="0.25">
      <c r="A2" s="1" t="str">
        <f>""</f>
        <v/>
      </c>
      <c r="B2" s="1">
        <v>1</v>
      </c>
      <c r="C2" s="1">
        <v>2</v>
      </c>
      <c r="D2" s="1">
        <v>3</v>
      </c>
      <c r="E2" s="1">
        <v>4</v>
      </c>
      <c r="F2" s="1">
        <v>5</v>
      </c>
      <c r="G2" s="1">
        <v>6</v>
      </c>
      <c r="H2" s="1">
        <v>7</v>
      </c>
      <c r="I2" s="1">
        <v>8</v>
      </c>
      <c r="K2" s="25">
        <v>1</v>
      </c>
      <c r="L2" s="25">
        <v>2</v>
      </c>
      <c r="M2" s="25">
        <v>3</v>
      </c>
      <c r="N2" s="25">
        <v>4</v>
      </c>
      <c r="O2" s="25">
        <v>5</v>
      </c>
      <c r="P2" s="25">
        <v>6</v>
      </c>
      <c r="Q2" s="25">
        <v>7</v>
      </c>
      <c r="R2" s="25">
        <v>8</v>
      </c>
    </row>
    <row r="3" spans="1:18" x14ac:dyDescent="0.25">
      <c r="E3" s="1" t="s">
        <v>1083</v>
      </c>
      <c r="I3" s="1" t="s">
        <v>1083</v>
      </c>
    </row>
    <row r="4" spans="1:18" x14ac:dyDescent="0.25">
      <c r="A4" s="1" t="s">
        <v>110</v>
      </c>
      <c r="B4" t="str">
        <f>"-1.212"</f>
        <v>-1.212</v>
      </c>
      <c r="C4" t="str">
        <f>"-1.405"</f>
        <v>-1.405</v>
      </c>
      <c r="D4" t="str">
        <f>"-0.523"</f>
        <v>-0.523</v>
      </c>
      <c r="E4" t="str">
        <f>""</f>
        <v/>
      </c>
      <c r="F4" t="str">
        <f>""</f>
        <v/>
      </c>
      <c r="G4" t="str">
        <f>""</f>
        <v/>
      </c>
      <c r="H4" t="str">
        <f>""</f>
        <v/>
      </c>
      <c r="I4" t="str">
        <f>""</f>
        <v/>
      </c>
      <c r="K4" s="6">
        <f>(EXP(2*B4)-1)/(EXP(2*B4)+1)</f>
        <v>-0.83727842091538218</v>
      </c>
      <c r="L4" s="6">
        <f>(EXP(2*C4)-1)/(EXP(2*C4)+1)</f>
        <v>-0.886427638382423</v>
      </c>
      <c r="M4" s="6">
        <f>(EXP(2*D4)-1)/(EXP(2*D4)+1)</f>
        <v>-0.48001209987438598</v>
      </c>
    </row>
    <row r="5" spans="1:18" x14ac:dyDescent="0.25">
      <c r="A5" s="1" t="str">
        <f>""</f>
        <v/>
      </c>
      <c r="B5" t="str">
        <f>"(-53.408)"</f>
        <v>(-53.408)</v>
      </c>
      <c r="C5" t="str">
        <f>"(-65.191)"</f>
        <v>(-65.191)</v>
      </c>
      <c r="D5" t="str">
        <f>"(-22.225)"</f>
        <v>(-22.225)</v>
      </c>
      <c r="E5" t="str">
        <f>""</f>
        <v/>
      </c>
      <c r="F5" t="str">
        <f>""</f>
        <v/>
      </c>
      <c r="G5" t="str">
        <f>""</f>
        <v/>
      </c>
      <c r="H5" t="str">
        <f>""</f>
        <v/>
      </c>
      <c r="I5" t="str">
        <f>""</f>
        <v/>
      </c>
    </row>
    <row r="6" spans="1:18" x14ac:dyDescent="0.25">
      <c r="A6" s="1" t="str">
        <f>""</f>
        <v/>
      </c>
      <c r="B6" t="str">
        <f>"-1.256 -1.168"</f>
        <v>-1.256 -1.168</v>
      </c>
      <c r="C6" t="str">
        <f>"-1.448 -1.363"</f>
        <v>-1.448 -1.363</v>
      </c>
      <c r="D6" t="str">
        <f>"-0.569 -0.477"</f>
        <v>-0.569 -0.477</v>
      </c>
      <c r="E6" t="str">
        <f>" "</f>
        <v xml:space="preserve"> </v>
      </c>
      <c r="F6" t="str">
        <f>" "</f>
        <v xml:space="preserve"> </v>
      </c>
      <c r="G6" t="str">
        <f>" "</f>
        <v xml:space="preserve"> </v>
      </c>
      <c r="H6" t="str">
        <f>" "</f>
        <v xml:space="preserve"> </v>
      </c>
      <c r="I6" t="str">
        <f>" "</f>
        <v xml:space="preserve"> </v>
      </c>
    </row>
    <row r="7" spans="1:18" x14ac:dyDescent="0.25">
      <c r="A7" s="1" t="str">
        <f>""</f>
        <v/>
      </c>
      <c r="B7" t="str">
        <f>"(0.0000)"</f>
        <v>(0.0000)</v>
      </c>
      <c r="C7" t="str">
        <f>"(0.0000)"</f>
        <v>(0.0000)</v>
      </c>
      <c r="D7" t="str">
        <f>"(0.0000)"</f>
        <v>(0.0000)</v>
      </c>
      <c r="E7" t="str">
        <f>""</f>
        <v/>
      </c>
      <c r="F7" t="str">
        <f>""</f>
        <v/>
      </c>
      <c r="G7" t="str">
        <f>""</f>
        <v/>
      </c>
      <c r="H7" t="str">
        <f>""</f>
        <v/>
      </c>
      <c r="I7" t="str">
        <f>""</f>
        <v/>
      </c>
    </row>
    <row r="8" spans="1:18" x14ac:dyDescent="0.25">
      <c r="A8" s="1" t="s">
        <v>111</v>
      </c>
      <c r="B8" t="str">
        <f>"-1.371"</f>
        <v>-1.371</v>
      </c>
      <c r="C8" t="str">
        <f>"-1.437"</f>
        <v>-1.437</v>
      </c>
      <c r="D8" t="str">
        <f>"-0.517"</f>
        <v>-0.517</v>
      </c>
      <c r="E8" t="str">
        <f>"-0.096"</f>
        <v>-0.096</v>
      </c>
      <c r="F8" t="str">
        <f>""</f>
        <v/>
      </c>
      <c r="G8" t="str">
        <f>""</f>
        <v/>
      </c>
      <c r="H8" t="str">
        <f>""</f>
        <v/>
      </c>
      <c r="I8" t="str">
        <f>""</f>
        <v/>
      </c>
      <c r="K8" s="6">
        <f>(EXP(2*B8)-1)/(EXP(2*B8)+1)</f>
        <v>-0.87891989324400588</v>
      </c>
      <c r="L8" s="6">
        <f>(EXP(2*C8)-1)/(EXP(2*C8)+1)</f>
        <v>-0.89309219240809179</v>
      </c>
      <c r="M8" s="6">
        <f>(EXP(2*D8)-1)/(EXP(2*D8)+1)</f>
        <v>-0.47538128806594748</v>
      </c>
      <c r="N8" s="6">
        <f>(EXP(2*E8)-1)/(EXP(2*E8)+1)</f>
        <v>-9.5706171123254996E-2</v>
      </c>
    </row>
    <row r="9" spans="1:18" x14ac:dyDescent="0.25">
      <c r="A9" s="1" t="str">
        <f>""</f>
        <v/>
      </c>
      <c r="B9" t="str">
        <f>"(-62.641)"</f>
        <v>(-62.641)</v>
      </c>
      <c r="C9" t="str">
        <f>"(-66.159)"</f>
        <v>(-66.159)</v>
      </c>
      <c r="D9" t="str">
        <f>"(-20.259)"</f>
        <v>(-20.259)</v>
      </c>
      <c r="E9" t="str">
        <f>"(-15.690)"</f>
        <v>(-15.690)</v>
      </c>
      <c r="F9" t="str">
        <f>""</f>
        <v/>
      </c>
      <c r="G9" t="str">
        <f>""</f>
        <v/>
      </c>
      <c r="H9" t="str">
        <f>""</f>
        <v/>
      </c>
      <c r="I9" t="str">
        <f>""</f>
        <v/>
      </c>
    </row>
    <row r="10" spans="1:18" x14ac:dyDescent="0.25">
      <c r="A10" s="1" t="str">
        <f>""</f>
        <v/>
      </c>
      <c r="B10" t="str">
        <f>"-1.413 -1.328"</f>
        <v>-1.413 -1.328</v>
      </c>
      <c r="C10" t="str">
        <f>"-1.480 -1.395"</f>
        <v>-1.480 -1.395</v>
      </c>
      <c r="D10" t="str">
        <f>"-0.567 -0.467"</f>
        <v>-0.567 -0.467</v>
      </c>
      <c r="E10" t="str">
        <f>"-0.108 -0.084"</f>
        <v>-0.108 -0.084</v>
      </c>
      <c r="F10" t="str">
        <f>" "</f>
        <v xml:space="preserve"> </v>
      </c>
      <c r="G10" t="str">
        <f>" "</f>
        <v xml:space="preserve"> </v>
      </c>
      <c r="H10" t="str">
        <f>" "</f>
        <v xml:space="preserve"> </v>
      </c>
      <c r="I10" t="str">
        <f>" "</f>
        <v xml:space="preserve"> </v>
      </c>
    </row>
    <row r="11" spans="1:18" x14ac:dyDescent="0.25">
      <c r="A11" s="1" t="str">
        <f>""</f>
        <v/>
      </c>
      <c r="B11" t="str">
        <f>"(0.0000)"</f>
        <v>(0.0000)</v>
      </c>
      <c r="C11" t="str">
        <f>"(0.0000)"</f>
        <v>(0.0000)</v>
      </c>
      <c r="D11" t="str">
        <f>"(0.0000)"</f>
        <v>(0.0000)</v>
      </c>
      <c r="E11" t="str">
        <f>"(0.0000)"</f>
        <v>(0.0000)</v>
      </c>
      <c r="F11" t="str">
        <f>""</f>
        <v/>
      </c>
      <c r="G11" t="str">
        <f>""</f>
        <v/>
      </c>
      <c r="H11" t="str">
        <f>""</f>
        <v/>
      </c>
      <c r="I11" t="str">
        <f>""</f>
        <v/>
      </c>
    </row>
    <row r="12" spans="1:18" x14ac:dyDescent="0.25">
      <c r="A12" s="1" t="s">
        <v>1121</v>
      </c>
      <c r="B12" t="str">
        <f>""</f>
        <v/>
      </c>
      <c r="C12" t="str">
        <f>""</f>
        <v/>
      </c>
      <c r="D12" t="str">
        <f>""</f>
        <v/>
      </c>
      <c r="E12" t="str">
        <f>""</f>
        <v/>
      </c>
      <c r="F12" t="str">
        <f>"-0.019"</f>
        <v>-0.019</v>
      </c>
      <c r="G12" t="str">
        <f>"-0.021"</f>
        <v>-0.021</v>
      </c>
      <c r="H12" t="str">
        <f>"-0.008"</f>
        <v>-0.008</v>
      </c>
      <c r="I12" t="str">
        <f>"-0.005"</f>
        <v>-0.005</v>
      </c>
      <c r="O12" s="6">
        <f>(EXP(2*F12)-1)/(EXP(2*F12)+1)</f>
        <v>-1.8997713996764972E-2</v>
      </c>
      <c r="P12" s="6">
        <f>(EXP(2*G12)-1)/(EXP(2*G12)+1)</f>
        <v>-2.0996913544449641E-2</v>
      </c>
      <c r="Q12" s="6">
        <f>(EXP(2*H12)-1)/(EXP(2*H12)+1)</f>
        <v>-7.9998293377022758E-3</v>
      </c>
      <c r="R12" s="6">
        <f>(EXP(2*I12)-1)/(EXP(2*I12)+1)</f>
        <v>-4.9999583337499692E-3</v>
      </c>
    </row>
    <row r="13" spans="1:18" x14ac:dyDescent="0.25">
      <c r="A13" s="1" t="str">
        <f>""</f>
        <v/>
      </c>
      <c r="B13" t="str">
        <f>""</f>
        <v/>
      </c>
      <c r="C13" t="str">
        <f>""</f>
        <v/>
      </c>
      <c r="D13" t="str">
        <f>""</f>
        <v/>
      </c>
      <c r="E13" t="str">
        <f>""</f>
        <v/>
      </c>
      <c r="F13" t="str">
        <f>"(-67.709)"</f>
        <v>(-67.709)</v>
      </c>
      <c r="G13" t="str">
        <f>"(-73.086)"</f>
        <v>(-73.086)</v>
      </c>
      <c r="H13" t="str">
        <f>"(-22.568)"</f>
        <v>(-22.568)</v>
      </c>
      <c r="I13" t="str">
        <f>"(-24.278)"</f>
        <v>(-24.278)</v>
      </c>
    </row>
    <row r="14" spans="1:18" x14ac:dyDescent="0.25">
      <c r="A14" s="1" t="str">
        <f>""</f>
        <v/>
      </c>
      <c r="B14" t="str">
        <f>" "</f>
        <v xml:space="preserve"> </v>
      </c>
      <c r="C14" t="str">
        <f>" "</f>
        <v xml:space="preserve"> </v>
      </c>
      <c r="D14" t="str">
        <f>" "</f>
        <v xml:space="preserve"> </v>
      </c>
      <c r="E14" t="str">
        <f>" "</f>
        <v xml:space="preserve"> </v>
      </c>
      <c r="F14" t="str">
        <f>"-0.020 -0.019"</f>
        <v>-0.020 -0.019</v>
      </c>
      <c r="G14" t="str">
        <f>"-0.021 -0.020"</f>
        <v>-0.021 -0.020</v>
      </c>
      <c r="H14" t="str">
        <f>"-0.009 -0.007"</f>
        <v>-0.009 -0.007</v>
      </c>
      <c r="I14" t="str">
        <f>"-0.005 -0.004"</f>
        <v>-0.005 -0.004</v>
      </c>
    </row>
    <row r="15" spans="1:18" x14ac:dyDescent="0.25">
      <c r="A15" s="1" t="str">
        <f>""</f>
        <v/>
      </c>
      <c r="B15" t="str">
        <f>""</f>
        <v/>
      </c>
      <c r="C15" t="str">
        <f>""</f>
        <v/>
      </c>
      <c r="D15" t="str">
        <f>""</f>
        <v/>
      </c>
      <c r="E15" t="str">
        <f>""</f>
        <v/>
      </c>
      <c r="F15" t="str">
        <f>"(0.0000)"</f>
        <v>(0.0000)</v>
      </c>
      <c r="G15" t="str">
        <f>"(0.0000)"</f>
        <v>(0.0000)</v>
      </c>
      <c r="H15" t="str">
        <f>"(0.0000)"</f>
        <v>(0.0000)</v>
      </c>
      <c r="I15" t="str">
        <f>"(0.0000)"</f>
        <v>(0.0000)</v>
      </c>
    </row>
    <row r="16" spans="1:18" x14ac:dyDescent="0.25">
      <c r="A16" s="1" t="str">
        <f>"domain==driver behavior"</f>
        <v>domain==driver behavior</v>
      </c>
      <c r="B16" t="str">
        <f>""</f>
        <v/>
      </c>
      <c r="C16" t="str">
        <f>"-0.252"</f>
        <v>-0.252</v>
      </c>
      <c r="D16" t="str">
        <f>"-0.145"</f>
        <v>-0.145</v>
      </c>
      <c r="E16" t="str">
        <f>"0.040"</f>
        <v>0.040</v>
      </c>
      <c r="F16" t="str">
        <f>""</f>
        <v/>
      </c>
      <c r="G16" t="str">
        <f>"0.147"</f>
        <v>0.147</v>
      </c>
      <c r="H16" t="str">
        <f>"0.001"</f>
        <v>0.001</v>
      </c>
      <c r="I16" t="str">
        <f>"0.090"</f>
        <v>0.090</v>
      </c>
    </row>
    <row r="17" spans="1:9" x14ac:dyDescent="0.25">
      <c r="A17" s="1" t="str">
        <f>""</f>
        <v/>
      </c>
      <c r="B17" t="str">
        <f>""</f>
        <v/>
      </c>
      <c r="C17" t="str">
        <f>"(-1.487)"</f>
        <v>(-1.487)</v>
      </c>
      <c r="D17" t="str">
        <f>"(-1.074)"</f>
        <v>(-1.074)</v>
      </c>
      <c r="E17" t="str">
        <f>"(0.587)"</f>
        <v>(0.587)</v>
      </c>
      <c r="F17" t="str">
        <f>""</f>
        <v/>
      </c>
      <c r="G17" t="str">
        <f>"(0.872)"</f>
        <v>(0.872)</v>
      </c>
      <c r="H17" t="str">
        <f>"(0.008)"</f>
        <v>(0.008)</v>
      </c>
      <c r="I17" t="str">
        <f>"(1.338)"</f>
        <v>(1.338)</v>
      </c>
    </row>
    <row r="18" spans="1:9" x14ac:dyDescent="0.25">
      <c r="A18" s="1" t="str">
        <f>""</f>
        <v/>
      </c>
      <c r="B18" t="str">
        <f>" "</f>
        <v xml:space="preserve"> </v>
      </c>
      <c r="C18" t="str">
        <f>"-0.584 0.080"</f>
        <v>-0.584 0.080</v>
      </c>
      <c r="D18" t="str">
        <f>"-0.409 0.120"</f>
        <v>-0.409 0.120</v>
      </c>
      <c r="E18" t="str">
        <f>"-0.093 0.172"</f>
        <v>-0.093 0.172</v>
      </c>
      <c r="F18" t="str">
        <f>" "</f>
        <v xml:space="preserve"> </v>
      </c>
      <c r="G18" t="str">
        <f>"-0.183 0.476"</f>
        <v>-0.183 0.476</v>
      </c>
      <c r="H18" t="str">
        <f>"-0.265 0.267"</f>
        <v>-0.265 0.267</v>
      </c>
      <c r="I18" t="str">
        <f>"-0.042 0.222"</f>
        <v>-0.042 0.222</v>
      </c>
    </row>
    <row r="19" spans="1:9" x14ac:dyDescent="0.25">
      <c r="A19" s="1" t="str">
        <f>""</f>
        <v/>
      </c>
      <c r="B19" t="str">
        <f>""</f>
        <v/>
      </c>
      <c r="C19" t="str">
        <f>"(0.1370)"</f>
        <v>(0.1370)</v>
      </c>
      <c r="D19" t="str">
        <f>"(0.2830)"</f>
        <v>(0.2830)</v>
      </c>
      <c r="E19" t="str">
        <f>"(0.5571)"</f>
        <v>(0.5571)</v>
      </c>
      <c r="F19" t="str">
        <f>""</f>
        <v/>
      </c>
      <c r="G19" t="str">
        <f>"(0.3829)"</f>
        <v>(0.3829)</v>
      </c>
      <c r="H19" t="str">
        <f>"(0.9934)"</f>
        <v>(0.9934)</v>
      </c>
      <c r="I19" t="str">
        <f>"(0.1808)"</f>
        <v>(0.1808)</v>
      </c>
    </row>
    <row r="20" spans="1:9" x14ac:dyDescent="0.25">
      <c r="A20" s="1" t="str">
        <f>"domain==education"</f>
        <v>domain==education</v>
      </c>
      <c r="B20" t="str">
        <f>""</f>
        <v/>
      </c>
      <c r="C20" t="str">
        <f>"-0.882"</f>
        <v>-0.882</v>
      </c>
      <c r="D20" t="str">
        <f>"-0.369"</f>
        <v>-0.369</v>
      </c>
      <c r="E20" t="str">
        <f>"0.053"</f>
        <v>0.053</v>
      </c>
      <c r="F20" t="str">
        <f>""</f>
        <v/>
      </c>
      <c r="G20" t="str">
        <f>"-0.714"</f>
        <v>-0.714</v>
      </c>
      <c r="H20" t="str">
        <f>"-0.207"</f>
        <v>-0.207</v>
      </c>
      <c r="I20" t="str">
        <f>"-0.117"</f>
        <v>-0.117</v>
      </c>
    </row>
    <row r="21" spans="1:9" x14ac:dyDescent="0.25">
      <c r="A21" s="1" t="str">
        <f>""</f>
        <v/>
      </c>
      <c r="B21" t="str">
        <f>""</f>
        <v/>
      </c>
      <c r="C21" t="str">
        <f>"(-22.575)"</f>
        <v>(-22.575)</v>
      </c>
      <c r="D21" t="str">
        <f>"(-6.781)"</f>
        <v>(-6.781)</v>
      </c>
      <c r="E21" t="str">
        <f>"(1.080)"</f>
        <v>(1.080)</v>
      </c>
      <c r="F21" t="str">
        <f>""</f>
        <v/>
      </c>
      <c r="G21" t="str">
        <f>"(-18.583)"</f>
        <v>(-18.583)</v>
      </c>
      <c r="H21" t="str">
        <f>"(-3.851)"</f>
        <v>(-3.851)</v>
      </c>
      <c r="I21" t="str">
        <f>"(-6.978)"</f>
        <v>(-6.978)</v>
      </c>
    </row>
    <row r="22" spans="1:9" x14ac:dyDescent="0.25">
      <c r="A22" s="1" t="str">
        <f>""</f>
        <v/>
      </c>
      <c r="B22" t="str">
        <f>" "</f>
        <v xml:space="preserve"> </v>
      </c>
      <c r="C22" t="str">
        <f>"-0.959 -0.805"</f>
        <v>-0.959 -0.805</v>
      </c>
      <c r="D22" t="str">
        <f>"-0.475 -0.262"</f>
        <v>-0.475 -0.262</v>
      </c>
      <c r="E22" t="str">
        <f>"-0.043 0.149"</f>
        <v>-0.043 0.149</v>
      </c>
      <c r="F22" t="str">
        <f>" "</f>
        <v xml:space="preserve"> </v>
      </c>
      <c r="G22" t="str">
        <f>"-0.789 -0.639"</f>
        <v>-0.789 -0.639</v>
      </c>
      <c r="H22" t="str">
        <f>"-0.312 -0.102"</f>
        <v>-0.312 -0.102</v>
      </c>
      <c r="I22" t="str">
        <f>"-0.150 -0.084"</f>
        <v>-0.150 -0.084</v>
      </c>
    </row>
    <row r="23" spans="1:9" x14ac:dyDescent="0.25">
      <c r="A23" s="1" t="str">
        <f>""</f>
        <v/>
      </c>
      <c r="B23" t="str">
        <f>""</f>
        <v/>
      </c>
      <c r="C23" t="str">
        <f>"(0.0000)"</f>
        <v>(0.0000)</v>
      </c>
      <c r="D23" t="str">
        <f>"(0.0000)"</f>
        <v>(0.0000)</v>
      </c>
      <c r="E23" t="str">
        <f>"(0.2802)"</f>
        <v>(0.2802)</v>
      </c>
      <c r="F23" t="str">
        <f>""</f>
        <v/>
      </c>
      <c r="G23" t="str">
        <f>"(0.0000)"</f>
        <v>(0.0000)</v>
      </c>
      <c r="H23" t="str">
        <f>"(0.0001)"</f>
        <v>(0.0001)</v>
      </c>
      <c r="I23" t="str">
        <f>"(0.0000)"</f>
        <v>(0.0000)</v>
      </c>
    </row>
    <row r="24" spans="1:9" x14ac:dyDescent="0.25">
      <c r="A24" s="1" t="str">
        <f>"domain==financial market"</f>
        <v>domain==financial market</v>
      </c>
      <c r="B24" t="str">
        <f>""</f>
        <v/>
      </c>
      <c r="C24" t="str">
        <f>"-0.208"</f>
        <v>-0.208</v>
      </c>
      <c r="D24" t="str">
        <f>"-0.087"</f>
        <v>-0.087</v>
      </c>
      <c r="E24" t="str">
        <f>"0.108"</f>
        <v>0.108</v>
      </c>
      <c r="F24" t="str">
        <f>""</f>
        <v/>
      </c>
      <c r="G24" t="str">
        <f>"-0.095"</f>
        <v>-0.095</v>
      </c>
      <c r="H24" t="str">
        <f>"0.011"</f>
        <v>0.011</v>
      </c>
      <c r="I24" t="str">
        <f>"0.130"</f>
        <v>0.130</v>
      </c>
    </row>
    <row r="25" spans="1:9" x14ac:dyDescent="0.25">
      <c r="A25" s="1" t="str">
        <f>""</f>
        <v/>
      </c>
      <c r="B25" t="str">
        <f>""</f>
        <v/>
      </c>
      <c r="C25" t="str">
        <f>"(-4.099)"</f>
        <v>(-4.099)</v>
      </c>
      <c r="D25" t="str">
        <f>"(-2.151)"</f>
        <v>(-2.151)</v>
      </c>
      <c r="E25" t="str">
        <f>"(7.171)"</f>
        <v>(7.171)</v>
      </c>
      <c r="F25" t="str">
        <f>""</f>
        <v/>
      </c>
      <c r="G25" t="str">
        <f>"(-1.872)"</f>
        <v>(-1.872)</v>
      </c>
      <c r="H25" t="str">
        <f>"(0.276)"</f>
        <v>(0.276)</v>
      </c>
      <c r="I25" t="str">
        <f>"(8.781)"</f>
        <v>(8.781)</v>
      </c>
    </row>
    <row r="26" spans="1:9" x14ac:dyDescent="0.25">
      <c r="A26" s="1" t="str">
        <f>""</f>
        <v/>
      </c>
      <c r="B26" t="str">
        <f>" "</f>
        <v xml:space="preserve"> </v>
      </c>
      <c r="C26" t="str">
        <f>"-0.308 -0.109"</f>
        <v>-0.308 -0.109</v>
      </c>
      <c r="D26" t="str">
        <f>"-0.167 -0.008"</f>
        <v>-0.167 -0.008</v>
      </c>
      <c r="E26" t="str">
        <f>"0.078 0.137"</f>
        <v>0.078 0.137</v>
      </c>
      <c r="F26" t="str">
        <f>" "</f>
        <v xml:space="preserve"> </v>
      </c>
      <c r="G26" t="str">
        <f>"-0.194 0.004"</f>
        <v>-0.194 0.004</v>
      </c>
      <c r="H26" t="str">
        <f>"-0.069 0.091"</f>
        <v>-0.069 0.091</v>
      </c>
      <c r="I26" t="str">
        <f>"0.101 0.159"</f>
        <v>0.101 0.159</v>
      </c>
    </row>
    <row r="27" spans="1:9" x14ac:dyDescent="0.25">
      <c r="A27" s="1" t="str">
        <f>""</f>
        <v/>
      </c>
      <c r="B27" t="str">
        <f>""</f>
        <v/>
      </c>
      <c r="C27" t="str">
        <f>"(0.0000)"</f>
        <v>(0.0000)</v>
      </c>
      <c r="D27" t="str">
        <f>"(0.0314)"</f>
        <v>(0.0314)</v>
      </c>
      <c r="E27" t="str">
        <f>"(0.0000)"</f>
        <v>(0.0000)</v>
      </c>
      <c r="F27" t="str">
        <f>""</f>
        <v/>
      </c>
      <c r="G27" t="str">
        <f>"(0.0612)"</f>
        <v>(0.0612)</v>
      </c>
      <c r="H27" t="str">
        <f>"(0.7829)"</f>
        <v>(0.7829)</v>
      </c>
      <c r="I27" t="str">
        <f>"(0.0000)"</f>
        <v>(0.0000)</v>
      </c>
    </row>
    <row r="28" spans="1:9" x14ac:dyDescent="0.25">
      <c r="A28" s="1" t="str">
        <f>"domain==government services"</f>
        <v>domain==government services</v>
      </c>
      <c r="B28" t="str">
        <f>""</f>
        <v/>
      </c>
      <c r="C28" t="str">
        <f>"-0.502"</f>
        <v>-0.502</v>
      </c>
      <c r="D28" t="str">
        <f>"-0.080"</f>
        <v>-0.080</v>
      </c>
      <c r="E28" t="str">
        <f>"-0.001"</f>
        <v>-0.001</v>
      </c>
      <c r="F28" t="str">
        <f>""</f>
        <v/>
      </c>
      <c r="G28" t="str">
        <f>"-0.127"</f>
        <v>-0.127</v>
      </c>
      <c r="H28" t="str">
        <f>"-0.011"</f>
        <v>-0.011</v>
      </c>
      <c r="I28" t="str">
        <f>"0.003"</f>
        <v>0.003</v>
      </c>
    </row>
    <row r="29" spans="1:9" x14ac:dyDescent="0.25">
      <c r="A29" s="1" t="str">
        <f>""</f>
        <v/>
      </c>
      <c r="B29" t="str">
        <f>""</f>
        <v/>
      </c>
      <c r="C29" t="str">
        <f>"(-4.101)"</f>
        <v>(-4.101)</v>
      </c>
      <c r="D29" t="str">
        <f>"(-0.826)"</f>
        <v>(-0.826)</v>
      </c>
      <c r="E29" t="str">
        <f>"(-0.014)"</f>
        <v>(-0.014)</v>
      </c>
      <c r="F29" t="str">
        <f>""</f>
        <v/>
      </c>
      <c r="G29" t="str">
        <f>"(-1.046)"</f>
        <v>(-1.046)</v>
      </c>
      <c r="H29" t="str">
        <f>"(-0.117)"</f>
        <v>(-0.117)</v>
      </c>
      <c r="I29" t="str">
        <f>"(0.094)"</f>
        <v>(0.094)</v>
      </c>
    </row>
    <row r="30" spans="1:9" x14ac:dyDescent="0.25">
      <c r="A30" s="1" t="str">
        <f>""</f>
        <v/>
      </c>
      <c r="B30" t="str">
        <f>" "</f>
        <v xml:space="preserve"> </v>
      </c>
      <c r="C30" t="str">
        <f>"-0.741 -0.262"</f>
        <v>-0.741 -0.262</v>
      </c>
      <c r="D30" t="str">
        <f>"-0.270 0.110"</f>
        <v>-0.270 0.110</v>
      </c>
      <c r="E30" t="str">
        <f>"-0.074 0.073"</f>
        <v>-0.074 0.073</v>
      </c>
      <c r="F30" t="str">
        <f>" "</f>
        <v xml:space="preserve"> </v>
      </c>
      <c r="G30" t="str">
        <f>"-0.364 0.111"</f>
        <v>-0.364 0.111</v>
      </c>
      <c r="H30" t="str">
        <f>"-0.202 0.179"</f>
        <v>-0.202 0.179</v>
      </c>
      <c r="I30" t="str">
        <f>"-0.068 0.075"</f>
        <v>-0.068 0.075</v>
      </c>
    </row>
    <row r="31" spans="1:9" x14ac:dyDescent="0.25">
      <c r="A31" s="1" t="str">
        <f>""</f>
        <v/>
      </c>
      <c r="B31" t="str">
        <f>""</f>
        <v/>
      </c>
      <c r="C31" t="str">
        <f>"(0.0000)"</f>
        <v>(0.0000)</v>
      </c>
      <c r="D31" t="str">
        <f>"(0.4089)"</f>
        <v>(0.4089)</v>
      </c>
      <c r="E31" t="str">
        <f>"(0.9888)"</f>
        <v>(0.9888)</v>
      </c>
      <c r="F31" t="str">
        <f>""</f>
        <v/>
      </c>
      <c r="G31" t="str">
        <f>"(0.2958)"</f>
        <v>(0.2958)</v>
      </c>
      <c r="H31" t="str">
        <f>"(0.9072)"</f>
        <v>(0.9072)</v>
      </c>
      <c r="I31" t="str">
        <f>"(0.9255)"</f>
        <v>(0.9255)</v>
      </c>
    </row>
    <row r="32" spans="1:9" x14ac:dyDescent="0.25">
      <c r="A32" s="1" t="str">
        <f>"domain==healthcare"</f>
        <v>domain==healthcare</v>
      </c>
      <c r="B32" t="str">
        <f>""</f>
        <v/>
      </c>
      <c r="C32" t="str">
        <f>"-0.804"</f>
        <v>-0.804</v>
      </c>
      <c r="D32" t="str">
        <f>"-1.343"</f>
        <v>-1.343</v>
      </c>
      <c r="E32" t="str">
        <f>"0.000"</f>
        <v>0.000</v>
      </c>
      <c r="F32" t="str">
        <f>""</f>
        <v/>
      </c>
      <c r="G32" t="str">
        <f>"-0.967"</f>
        <v>-0.967</v>
      </c>
      <c r="H32" t="str">
        <f>"-1.406"</f>
        <v>-1.406</v>
      </c>
      <c r="I32" t="str">
        <f>"0.000"</f>
        <v>0.000</v>
      </c>
    </row>
    <row r="33" spans="1:9" x14ac:dyDescent="0.25">
      <c r="A33" s="1" t="str">
        <f>""</f>
        <v/>
      </c>
      <c r="B33" t="str">
        <f>""</f>
        <v/>
      </c>
      <c r="C33" t="str">
        <f>"(-7.061)"</f>
        <v>(-7.061)</v>
      </c>
      <c r="D33" t="str">
        <f>"(-15.566)"</f>
        <v>(-15.566)</v>
      </c>
      <c r="E33" t="str">
        <f>"(.)"</f>
        <v>(.)</v>
      </c>
      <c r="F33" t="str">
        <f>""</f>
        <v/>
      </c>
      <c r="G33" t="str">
        <f>"(-8.549)"</f>
        <v>(-8.549)</v>
      </c>
      <c r="H33" t="str">
        <f>"(-16.175)"</f>
        <v>(-16.175)</v>
      </c>
      <c r="I33" t="str">
        <f>"(.)"</f>
        <v>(.)</v>
      </c>
    </row>
    <row r="34" spans="1:9" x14ac:dyDescent="0.25">
      <c r="A34" s="1" t="str">
        <f>""</f>
        <v/>
      </c>
      <c r="B34" t="str">
        <f>" "</f>
        <v xml:space="preserve"> </v>
      </c>
      <c r="C34" t="str">
        <f>"-1.027 -0.581"</f>
        <v>-1.027 -0.581</v>
      </c>
      <c r="D34" t="str">
        <f>"-1.512 -1.174"</f>
        <v>-1.512 -1.174</v>
      </c>
      <c r="E34" t="str">
        <f>"0.000 0.000"</f>
        <v>0.000 0.000</v>
      </c>
      <c r="F34" t="str">
        <f>" "</f>
        <v xml:space="preserve"> </v>
      </c>
      <c r="G34" t="str">
        <f>"-1.189 -0.745"</f>
        <v>-1.189 -0.745</v>
      </c>
      <c r="H34" t="str">
        <f>"-1.576 -1.235"</f>
        <v>-1.576 -1.235</v>
      </c>
      <c r="I34" t="str">
        <f>"0.000 0.000"</f>
        <v>0.000 0.000</v>
      </c>
    </row>
    <row r="35" spans="1:9" x14ac:dyDescent="0.25">
      <c r="A35" s="1" t="str">
        <f>""</f>
        <v/>
      </c>
      <c r="B35" t="str">
        <f>""</f>
        <v/>
      </c>
      <c r="C35" t="str">
        <f>"(0.0000)"</f>
        <v>(0.0000)</v>
      </c>
      <c r="D35" t="str">
        <f>"(0.0000)"</f>
        <v>(0.0000)</v>
      </c>
      <c r="E35" t="str">
        <f>"(.)"</f>
        <v>(.)</v>
      </c>
      <c r="F35" t="str">
        <f>""</f>
        <v/>
      </c>
      <c r="G35" t="str">
        <f>"(0.0000)"</f>
        <v>(0.0000)</v>
      </c>
      <c r="H35" t="str">
        <f>"(0.0000)"</f>
        <v>(0.0000)</v>
      </c>
      <c r="I35" t="str">
        <f>"(.)"</f>
        <v>(.)</v>
      </c>
    </row>
    <row r="36" spans="1:9" x14ac:dyDescent="0.25">
      <c r="A36" s="1" t="str">
        <f>"domain==higher education"</f>
        <v>domain==higher education</v>
      </c>
      <c r="B36" t="str">
        <f>""</f>
        <v/>
      </c>
      <c r="C36" t="str">
        <f>"-0.279"</f>
        <v>-0.279</v>
      </c>
      <c r="D36" t="str">
        <f>"-0.565"</f>
        <v>-0.565</v>
      </c>
      <c r="E36" t="str">
        <f>"-0.294"</f>
        <v>-0.294</v>
      </c>
      <c r="F36" t="str">
        <f>""</f>
        <v/>
      </c>
      <c r="G36" t="str">
        <f>"0.011"</f>
        <v>0.011</v>
      </c>
      <c r="H36" t="str">
        <f>"-0.432"</f>
        <v>-0.432</v>
      </c>
      <c r="I36" t="str">
        <f>"-0.259"</f>
        <v>-0.259</v>
      </c>
    </row>
    <row r="37" spans="1:9" x14ac:dyDescent="0.25">
      <c r="A37" s="1" t="str">
        <f>""</f>
        <v/>
      </c>
      <c r="B37" t="str">
        <f>""</f>
        <v/>
      </c>
      <c r="C37" t="str">
        <f>"(-7.465)"</f>
        <v>(-7.465)</v>
      </c>
      <c r="D37" t="str">
        <f>"(-19.229)"</f>
        <v>(-19.229)</v>
      </c>
      <c r="E37" t="str">
        <f>"(-19.606)"</f>
        <v>(-19.606)</v>
      </c>
      <c r="F37" t="str">
        <f>""</f>
        <v/>
      </c>
      <c r="G37" t="str">
        <f>"(0.310)"</f>
        <v>(0.310)</v>
      </c>
      <c r="H37" t="str">
        <f>"(-14.201)"</f>
        <v>(-14.201)</v>
      </c>
      <c r="I37" t="str">
        <f>"(-17.566)"</f>
        <v>(-17.566)</v>
      </c>
    </row>
    <row r="38" spans="1:9" x14ac:dyDescent="0.25">
      <c r="A38" s="1" t="str">
        <f>""</f>
        <v/>
      </c>
      <c r="B38" t="str">
        <f>" "</f>
        <v xml:space="preserve"> </v>
      </c>
      <c r="C38" t="str">
        <f>"-0.353 -0.206"</f>
        <v>-0.353 -0.206</v>
      </c>
      <c r="D38" t="str">
        <f>"-0.623 -0.508"</f>
        <v>-0.623 -0.508</v>
      </c>
      <c r="E38" t="str">
        <f>"-0.323 -0.265"</f>
        <v>-0.323 -0.265</v>
      </c>
      <c r="F38" t="str">
        <f>" "</f>
        <v xml:space="preserve"> </v>
      </c>
      <c r="G38" t="str">
        <f>"-0.061 0.084"</f>
        <v>-0.061 0.084</v>
      </c>
      <c r="H38" t="str">
        <f>"-0.492 -0.372"</f>
        <v>-0.492 -0.372</v>
      </c>
      <c r="I38" t="str">
        <f>"-0.288 -0.230"</f>
        <v>-0.288 -0.230</v>
      </c>
    </row>
    <row r="39" spans="1:9" x14ac:dyDescent="0.25">
      <c r="A39" s="1" t="str">
        <f>""</f>
        <v/>
      </c>
      <c r="B39" t="str">
        <f>""</f>
        <v/>
      </c>
      <c r="C39" t="str">
        <f>"(0.0000)"</f>
        <v>(0.0000)</v>
      </c>
      <c r="D39" t="str">
        <f>"(0.0000)"</f>
        <v>(0.0000)</v>
      </c>
      <c r="E39" t="str">
        <f>"(0.0000)"</f>
        <v>(0.0000)</v>
      </c>
      <c r="F39" t="str">
        <f>""</f>
        <v/>
      </c>
      <c r="G39" t="str">
        <f>"(0.7565)"</f>
        <v>(0.7565)</v>
      </c>
      <c r="H39" t="str">
        <f>"(0.0000)"</f>
        <v>(0.0000)</v>
      </c>
      <c r="I39" t="str">
        <f>"(0.0000)"</f>
        <v>(0.0000)</v>
      </c>
    </row>
    <row r="40" spans="1:9" x14ac:dyDescent="0.25">
      <c r="A40" s="1" t="str">
        <f>"domain==housing market"</f>
        <v>domain==housing market</v>
      </c>
      <c r="B40" t="str">
        <f>""</f>
        <v/>
      </c>
      <c r="C40" t="str">
        <f>"-0.321"</f>
        <v>-0.321</v>
      </c>
      <c r="D40" t="str">
        <f>"-0.259"</f>
        <v>-0.259</v>
      </c>
      <c r="E40" t="str">
        <f>"0.070"</f>
        <v>0.070</v>
      </c>
      <c r="F40" t="str">
        <f>""</f>
        <v/>
      </c>
      <c r="G40" t="str">
        <f>"-0.245"</f>
        <v>-0.245</v>
      </c>
      <c r="H40" t="str">
        <f>"-0.204"</f>
        <v>-0.204</v>
      </c>
      <c r="I40" t="str">
        <f>"0.087"</f>
        <v>0.087</v>
      </c>
    </row>
    <row r="41" spans="1:9" x14ac:dyDescent="0.25">
      <c r="A41" s="1" t="str">
        <f>""</f>
        <v/>
      </c>
      <c r="B41" t="str">
        <f>""</f>
        <v/>
      </c>
      <c r="C41" t="str">
        <f>"(-14.033)"</f>
        <v>(-14.033)</v>
      </c>
      <c r="D41" t="str">
        <f>"(-14.143)"</f>
        <v>(-14.143)</v>
      </c>
      <c r="E41" t="str">
        <f>"(8.521)"</f>
        <v>(8.521)</v>
      </c>
      <c r="F41" t="str">
        <f>""</f>
        <v/>
      </c>
      <c r="G41" t="str">
        <f>"(-10.767)"</f>
        <v>(-10.767)</v>
      </c>
      <c r="H41" t="str">
        <f>"(-11.066)"</f>
        <v>(-11.066)</v>
      </c>
      <c r="I41" t="str">
        <f>"(10.916)"</f>
        <v>(10.916)</v>
      </c>
    </row>
    <row r="42" spans="1:9" x14ac:dyDescent="0.25">
      <c r="A42" s="1" t="str">
        <f>""</f>
        <v/>
      </c>
      <c r="B42" t="str">
        <f>" "</f>
        <v xml:space="preserve"> </v>
      </c>
      <c r="C42" t="str">
        <f>"-0.365 -0.276"</f>
        <v>-0.365 -0.276</v>
      </c>
      <c r="D42" t="str">
        <f>"-0.295 -0.223"</f>
        <v>-0.295 -0.223</v>
      </c>
      <c r="E42" t="str">
        <f>"0.054 0.086"</f>
        <v>0.054 0.086</v>
      </c>
      <c r="F42" t="str">
        <f>" "</f>
        <v xml:space="preserve"> </v>
      </c>
      <c r="G42" t="str">
        <f>"-0.289 -0.200"</f>
        <v>-0.289 -0.200</v>
      </c>
      <c r="H42" t="str">
        <f>"-0.240 -0.168"</f>
        <v>-0.240 -0.168</v>
      </c>
      <c r="I42" t="str">
        <f>"0.071 0.103"</f>
        <v>0.071 0.103</v>
      </c>
    </row>
    <row r="43" spans="1:9" x14ac:dyDescent="0.25">
      <c r="A43" s="1" t="str">
        <f>""</f>
        <v/>
      </c>
      <c r="B43" t="str">
        <f>""</f>
        <v/>
      </c>
      <c r="C43" t="str">
        <f>"(0.0000)"</f>
        <v>(0.0000)</v>
      </c>
      <c r="D43" t="str">
        <f>"(0.0000)"</f>
        <v>(0.0000)</v>
      </c>
      <c r="E43" t="str">
        <f>"(0.0000)"</f>
        <v>(0.0000)</v>
      </c>
      <c r="F43" t="str">
        <f>""</f>
        <v/>
      </c>
      <c r="G43" t="str">
        <f>"(0.0000)"</f>
        <v>(0.0000)</v>
      </c>
      <c r="H43" t="str">
        <f>"(0.0000)"</f>
        <v>(0.0000)</v>
      </c>
      <c r="I43" t="str">
        <f>"(0.0000)"</f>
        <v>(0.0000)</v>
      </c>
    </row>
    <row r="44" spans="1:9" x14ac:dyDescent="0.25">
      <c r="A44" s="1" t="str">
        <f>"domain==law enforcement"</f>
        <v>domain==law enforcement</v>
      </c>
      <c r="B44" t="str">
        <f>""</f>
        <v/>
      </c>
      <c r="C44" t="str">
        <f>"-0.331"</f>
        <v>-0.331</v>
      </c>
      <c r="D44" t="str">
        <f>"-0.153"</f>
        <v>-0.153</v>
      </c>
      <c r="E44" t="str">
        <f>"0.114"</f>
        <v>0.114</v>
      </c>
      <c r="F44" t="str">
        <f>""</f>
        <v/>
      </c>
      <c r="G44" t="str">
        <f>"-0.047"</f>
        <v>-0.047</v>
      </c>
      <c r="H44" t="str">
        <f>"-0.002"</f>
        <v>-0.002</v>
      </c>
      <c r="I44" t="str">
        <f>"0.140"</f>
        <v>0.140</v>
      </c>
    </row>
    <row r="45" spans="1:9" x14ac:dyDescent="0.25">
      <c r="A45" s="1" t="str">
        <f>""</f>
        <v/>
      </c>
      <c r="B45" t="str">
        <f>""</f>
        <v/>
      </c>
      <c r="C45" t="str">
        <f>"(-13.624)"</f>
        <v>(-13.624)</v>
      </c>
      <c r="D45" t="str">
        <f>"(-4.183)"</f>
        <v>(-4.183)</v>
      </c>
      <c r="E45" t="str">
        <f>"(8.726)"</f>
        <v>(8.726)</v>
      </c>
      <c r="F45" t="str">
        <f>""</f>
        <v/>
      </c>
      <c r="G45" t="str">
        <f>"(-1.971)"</f>
        <v>(-1.971)</v>
      </c>
      <c r="H45" t="str">
        <f>"(-0.056)"</f>
        <v>(-0.056)</v>
      </c>
      <c r="I45" t="str">
        <f>"(10.947)"</f>
        <v>(10.947)</v>
      </c>
    </row>
    <row r="46" spans="1:9" x14ac:dyDescent="0.25">
      <c r="A46" s="1" t="str">
        <f>""</f>
        <v/>
      </c>
      <c r="B46" t="str">
        <f>" "</f>
        <v xml:space="preserve"> </v>
      </c>
      <c r="C46" t="str">
        <f>"-0.379 -0.284"</f>
        <v>-0.379 -0.284</v>
      </c>
      <c r="D46" t="str">
        <f>"-0.225 -0.082"</f>
        <v>-0.225 -0.082</v>
      </c>
      <c r="E46" t="str">
        <f>"0.088 0.140"</f>
        <v>0.088 0.140</v>
      </c>
      <c r="F46" t="str">
        <f>" "</f>
        <v xml:space="preserve"> </v>
      </c>
      <c r="G46" t="str">
        <f>"-0.094 -0.000"</f>
        <v>-0.094 -0.000</v>
      </c>
      <c r="H46" t="str">
        <f>"-0.074 0.070"</f>
        <v>-0.074 0.070</v>
      </c>
      <c r="I46" t="str">
        <f>"0.115 0.165"</f>
        <v>0.115 0.165</v>
      </c>
    </row>
    <row r="47" spans="1:9" x14ac:dyDescent="0.25">
      <c r="A47" s="1" t="str">
        <f>""</f>
        <v/>
      </c>
      <c r="B47" t="str">
        <f>""</f>
        <v/>
      </c>
      <c r="C47" t="str">
        <f>"(0.0000)"</f>
        <v>(0.0000)</v>
      </c>
      <c r="D47" t="str">
        <f>"(0.0000)"</f>
        <v>(0.0000)</v>
      </c>
      <c r="E47" t="str">
        <f>"(0.0000)"</f>
        <v>(0.0000)</v>
      </c>
      <c r="F47" t="str">
        <f>""</f>
        <v/>
      </c>
      <c r="G47" t="str">
        <f>"(0.0487)"</f>
        <v>(0.0487)</v>
      </c>
      <c r="H47" t="str">
        <f>"(0.9555)"</f>
        <v>(0.9555)</v>
      </c>
      <c r="I47" t="str">
        <f>"(0.0000)"</f>
        <v>(0.0000)</v>
      </c>
    </row>
    <row r="48" spans="1:9" x14ac:dyDescent="0.25">
      <c r="A48" s="1" t="str">
        <f>"domain==mate selection"</f>
        <v>domain==mate selection</v>
      </c>
      <c r="B48" t="str">
        <f>""</f>
        <v/>
      </c>
      <c r="C48" t="str">
        <f>"0.191"</f>
        <v>0.191</v>
      </c>
      <c r="D48" t="str">
        <f>"0.095"</f>
        <v>0.095</v>
      </c>
      <c r="E48" t="str">
        <f>"0.306"</f>
        <v>0.306</v>
      </c>
      <c r="F48" t="str">
        <f>""</f>
        <v/>
      </c>
      <c r="G48" t="str">
        <f>"0.115"</f>
        <v>0.115</v>
      </c>
      <c r="H48" t="str">
        <f>"0.107"</f>
        <v>0.107</v>
      </c>
      <c r="I48" t="str">
        <f>"0.336"</f>
        <v>0.336</v>
      </c>
    </row>
    <row r="49" spans="1:9" x14ac:dyDescent="0.25">
      <c r="A49" s="1" t="str">
        <f>""</f>
        <v/>
      </c>
      <c r="B49" t="str">
        <f>""</f>
        <v/>
      </c>
      <c r="C49" t="str">
        <f>"(7.353)"</f>
        <v>(7.353)</v>
      </c>
      <c r="D49" t="str">
        <f>"(3.852)"</f>
        <v>(3.852)</v>
      </c>
      <c r="E49" t="str">
        <f>"(28.740)"</f>
        <v>(28.740)</v>
      </c>
      <c r="F49" t="str">
        <f>""</f>
        <v/>
      </c>
      <c r="G49" t="str">
        <f>"(4.518)"</f>
        <v>(4.518)</v>
      </c>
      <c r="H49" t="str">
        <f>"(4.316)"</f>
        <v>(4.316)</v>
      </c>
      <c r="I49" t="str">
        <f>"(32.710)"</f>
        <v>(32.710)</v>
      </c>
    </row>
    <row r="50" spans="1:9" x14ac:dyDescent="0.25">
      <c r="A50" s="1" t="str">
        <f>""</f>
        <v/>
      </c>
      <c r="B50" t="str">
        <f>" "</f>
        <v xml:space="preserve"> </v>
      </c>
      <c r="C50" t="str">
        <f>"0.140 0.242"</f>
        <v>0.140 0.242</v>
      </c>
      <c r="D50" t="str">
        <f>"0.047 0.144"</f>
        <v>0.047 0.144</v>
      </c>
      <c r="E50" t="str">
        <f>"0.285 0.327"</f>
        <v>0.285 0.327</v>
      </c>
      <c r="F50" t="str">
        <f>" "</f>
        <v xml:space="preserve"> </v>
      </c>
      <c r="G50" t="str">
        <f>"0.065 0.165"</f>
        <v>0.065 0.165</v>
      </c>
      <c r="H50" t="str">
        <f>"0.058 0.156"</f>
        <v>0.058 0.156</v>
      </c>
      <c r="I50" t="str">
        <f>"0.316 0.356"</f>
        <v>0.316 0.356</v>
      </c>
    </row>
    <row r="51" spans="1:9" x14ac:dyDescent="0.25">
      <c r="A51" s="1" t="str">
        <f>""</f>
        <v/>
      </c>
      <c r="B51" t="str">
        <f>""</f>
        <v/>
      </c>
      <c r="C51" t="str">
        <f>"(0.0000)"</f>
        <v>(0.0000)</v>
      </c>
      <c r="D51" t="str">
        <f>"(0.0001)"</f>
        <v>(0.0001)</v>
      </c>
      <c r="E51" t="str">
        <f>"(0.0000)"</f>
        <v>(0.0000)</v>
      </c>
      <c r="F51" t="str">
        <f>""</f>
        <v/>
      </c>
      <c r="G51" t="str">
        <f>"(0.0000)"</f>
        <v>(0.0000)</v>
      </c>
      <c r="H51" t="str">
        <f>"(0.0000)"</f>
        <v>(0.0000)</v>
      </c>
      <c r="I51" t="str">
        <f>"(0.0000)"</f>
        <v>(0.0000)</v>
      </c>
    </row>
    <row r="52" spans="1:9" x14ac:dyDescent="0.25">
      <c r="A52" s="1" t="str">
        <f>"domain==retail"</f>
        <v>domain==retail</v>
      </c>
      <c r="B52" t="str">
        <f>""</f>
        <v/>
      </c>
      <c r="C52" t="str">
        <f>"-0.664"</f>
        <v>-0.664</v>
      </c>
      <c r="D52" t="str">
        <f>"-0.180"</f>
        <v>-0.180</v>
      </c>
      <c r="E52" t="str">
        <f>"0.183"</f>
        <v>0.183</v>
      </c>
      <c r="F52" t="str">
        <f>""</f>
        <v/>
      </c>
      <c r="G52" t="str">
        <f>"-0.386"</f>
        <v>-0.386</v>
      </c>
      <c r="H52" t="str">
        <f>"-0.060"</f>
        <v>-0.060</v>
      </c>
      <c r="I52" t="str">
        <f>"0.198"</f>
        <v>0.198</v>
      </c>
    </row>
    <row r="53" spans="1:9" x14ac:dyDescent="0.25">
      <c r="A53" s="1" t="str">
        <f>""</f>
        <v/>
      </c>
      <c r="B53" t="str">
        <f>""</f>
        <v/>
      </c>
      <c r="C53" t="str">
        <f>"(-10.626)"</f>
        <v>(-10.626)</v>
      </c>
      <c r="D53" t="str">
        <f>"(-3.657)"</f>
        <v>(-3.657)</v>
      </c>
      <c r="E53" t="str">
        <f>"(5.920)"</f>
        <v>(5.920)</v>
      </c>
      <c r="F53" t="str">
        <f>""</f>
        <v/>
      </c>
      <c r="G53" t="str">
        <f>"(-6.249)"</f>
        <v>(-6.249)</v>
      </c>
      <c r="H53" t="str">
        <f>"(-1.226)"</f>
        <v>(-1.226)</v>
      </c>
      <c r="I53" t="str">
        <f>"(6.487)"</f>
        <v>(6.487)</v>
      </c>
    </row>
    <row r="54" spans="1:9" x14ac:dyDescent="0.25">
      <c r="A54" s="1" t="str">
        <f>""</f>
        <v/>
      </c>
      <c r="B54" t="str">
        <f>" "</f>
        <v xml:space="preserve"> </v>
      </c>
      <c r="C54" t="str">
        <f>"-0.787 -0.542"</f>
        <v>-0.787 -0.542</v>
      </c>
      <c r="D54" t="str">
        <f>"-0.277 -0.084"</f>
        <v>-0.277 -0.084</v>
      </c>
      <c r="E54" t="str">
        <f>"0.123 0.244"</f>
        <v>0.123 0.244</v>
      </c>
      <c r="F54" t="str">
        <f>" "</f>
        <v xml:space="preserve"> </v>
      </c>
      <c r="G54" t="str">
        <f>"-0.507 -0.265"</f>
        <v>-0.507 -0.265</v>
      </c>
      <c r="H54" t="str">
        <f>"-0.156 0.036"</f>
        <v>-0.156 0.036</v>
      </c>
      <c r="I54" t="str">
        <f>"0.138 0.258"</f>
        <v>0.138 0.258</v>
      </c>
    </row>
    <row r="55" spans="1:9" x14ac:dyDescent="0.25">
      <c r="A55" s="1" t="str">
        <f>""</f>
        <v/>
      </c>
      <c r="B55" t="str">
        <f>""</f>
        <v/>
      </c>
      <c r="C55" t="str">
        <f>"(0.0000)"</f>
        <v>(0.0000)</v>
      </c>
      <c r="D55" t="str">
        <f>"(0.0003)"</f>
        <v>(0.0003)</v>
      </c>
      <c r="E55" t="str">
        <f>"(0.0000)"</f>
        <v>(0.0000)</v>
      </c>
      <c r="F55" t="str">
        <f>""</f>
        <v/>
      </c>
      <c r="G55" t="str">
        <f>"(0.0000)"</f>
        <v>(0.0000)</v>
      </c>
      <c r="H55" t="str">
        <f>"(0.2202)"</f>
        <v>(0.2202)</v>
      </c>
      <c r="I55" t="str">
        <f>"(0.0000)"</f>
        <v>(0.0000)</v>
      </c>
    </row>
    <row r="56" spans="1:9" x14ac:dyDescent="0.25">
      <c r="A56" s="1" t="str">
        <f>"domain==transportation"</f>
        <v>domain==transportation</v>
      </c>
      <c r="B56" t="str">
        <f>""</f>
        <v/>
      </c>
      <c r="C56" t="str">
        <f>"-0.222"</f>
        <v>-0.222</v>
      </c>
      <c r="D56" t="str">
        <f>"-0.115"</f>
        <v>-0.115</v>
      </c>
      <c r="E56" t="str">
        <f>"0.070"</f>
        <v>0.070</v>
      </c>
      <c r="F56" t="str">
        <f>""</f>
        <v/>
      </c>
      <c r="G56" t="str">
        <f>"0.156"</f>
        <v>0.156</v>
      </c>
      <c r="H56" t="str">
        <f>"0.023"</f>
        <v>0.023</v>
      </c>
      <c r="I56" t="str">
        <f>"0.115"</f>
        <v>0.115</v>
      </c>
    </row>
    <row r="57" spans="1:9" x14ac:dyDescent="0.25">
      <c r="A57" s="1" t="str">
        <f>""</f>
        <v/>
      </c>
      <c r="B57" t="str">
        <f>""</f>
        <v/>
      </c>
      <c r="C57" t="str">
        <f>"(-1.376)"</f>
        <v>(-1.376)</v>
      </c>
      <c r="D57" t="str">
        <f>"(-0.922)"</f>
        <v>(-0.922)</v>
      </c>
      <c r="E57" t="str">
        <f>"(1.577)"</f>
        <v>(1.577)</v>
      </c>
      <c r="F57" t="str">
        <f>""</f>
        <v/>
      </c>
      <c r="G57" t="str">
        <f>"(0.973)"</f>
        <v>(0.973)</v>
      </c>
      <c r="H57" t="str">
        <f>"(0.182)"</f>
        <v>(0.182)</v>
      </c>
      <c r="I57" t="str">
        <f>"(2.647)"</f>
        <v>(2.647)</v>
      </c>
    </row>
    <row r="58" spans="1:9" x14ac:dyDescent="0.25">
      <c r="A58" s="1" t="str">
        <f>""</f>
        <v/>
      </c>
      <c r="B58" t="str">
        <f>" "</f>
        <v xml:space="preserve"> </v>
      </c>
      <c r="C58" t="str">
        <f>"-0.538 0.094"</f>
        <v>-0.538 0.094</v>
      </c>
      <c r="D58" t="str">
        <f>"-0.359 0.129"</f>
        <v>-0.359 0.129</v>
      </c>
      <c r="E58" t="str">
        <f>"-0.017 0.156"</f>
        <v>-0.017 0.156</v>
      </c>
      <c r="F58" t="str">
        <f>" "</f>
        <v xml:space="preserve"> </v>
      </c>
      <c r="G58" t="str">
        <f>"-0.158 0.469"</f>
        <v>-0.158 0.469</v>
      </c>
      <c r="H58" t="str">
        <f>"-0.223 0.269"</f>
        <v>-0.223 0.269</v>
      </c>
      <c r="I58" t="str">
        <f>"0.030 0.200"</f>
        <v>0.030 0.200</v>
      </c>
    </row>
    <row r="59" spans="1:9" x14ac:dyDescent="0.25">
      <c r="A59" s="1" t="str">
        <f>""</f>
        <v/>
      </c>
      <c r="B59" t="str">
        <f>""</f>
        <v/>
      </c>
      <c r="C59" t="str">
        <f>"(0.1689)"</f>
        <v>(0.1689)</v>
      </c>
      <c r="D59" t="str">
        <f>"(0.3565)"</f>
        <v>(0.3565)</v>
      </c>
      <c r="E59" t="str">
        <f>"(0.1149)"</f>
        <v>(0.1149)</v>
      </c>
      <c r="F59" t="str">
        <f>""</f>
        <v/>
      </c>
      <c r="G59" t="str">
        <f>"(0.3307)"</f>
        <v>(0.3307)</v>
      </c>
      <c r="H59" t="str">
        <f>"(0.8555)"</f>
        <v>(0.8555)</v>
      </c>
      <c r="I59" t="str">
        <f>"(0.0081)"</f>
        <v>(0.0081)</v>
      </c>
    </row>
    <row r="60" spans="1:9" x14ac:dyDescent="0.25">
      <c r="A60" s="1" t="str">
        <f>"domain==voting"</f>
        <v>domain==voting</v>
      </c>
      <c r="B60" t="str">
        <f>""</f>
        <v/>
      </c>
      <c r="C60" t="str">
        <f>"-0.451"</f>
        <v>-0.451</v>
      </c>
      <c r="D60" t="str">
        <f>"-0.504"</f>
        <v>-0.504</v>
      </c>
      <c r="E60" t="str">
        <f>"0.070"</f>
        <v>0.070</v>
      </c>
      <c r="F60" t="str">
        <f>""</f>
        <v/>
      </c>
      <c r="G60" t="str">
        <f>"-0.325"</f>
        <v>-0.325</v>
      </c>
      <c r="H60" t="str">
        <f>"-0.428"</f>
        <v>-0.428</v>
      </c>
      <c r="I60" t="str">
        <f>"0.106"</f>
        <v>0.106</v>
      </c>
    </row>
    <row r="61" spans="1:9" x14ac:dyDescent="0.25">
      <c r="A61" s="1" t="str">
        <f>""</f>
        <v/>
      </c>
      <c r="B61" t="str">
        <f>""</f>
        <v/>
      </c>
      <c r="C61" t="str">
        <f>"(-13.872)"</f>
        <v>(-13.872)</v>
      </c>
      <c r="D61" t="str">
        <f>"(-17.408)"</f>
        <v>(-17.408)</v>
      </c>
      <c r="E61" t="str">
        <f>"(4.662)"</f>
        <v>(4.662)</v>
      </c>
      <c r="F61" t="str">
        <f>""</f>
        <v/>
      </c>
      <c r="G61" t="str">
        <f>"(-10.083)"</f>
        <v>(-10.083)</v>
      </c>
      <c r="H61" t="str">
        <f>"(-14.611)"</f>
        <v>(-14.611)</v>
      </c>
      <c r="I61" t="str">
        <f>"(7.245)"</f>
        <v>(7.245)</v>
      </c>
    </row>
    <row r="62" spans="1:9" x14ac:dyDescent="0.25">
      <c r="A62" s="1" t="str">
        <f>""</f>
        <v/>
      </c>
      <c r="B62" t="str">
        <f>" "</f>
        <v xml:space="preserve"> </v>
      </c>
      <c r="C62" t="str">
        <f>"-0.515 -0.387"</f>
        <v>-0.515 -0.387</v>
      </c>
      <c r="D62" t="str">
        <f>"-0.561 -0.448"</f>
        <v>-0.561 -0.448</v>
      </c>
      <c r="E62" t="str">
        <f>"0.041 0.100"</f>
        <v>0.041 0.100</v>
      </c>
      <c r="F62" t="str">
        <f>" "</f>
        <v xml:space="preserve"> </v>
      </c>
      <c r="G62" t="str">
        <f>"-0.389 -0.262"</f>
        <v>-0.389 -0.262</v>
      </c>
      <c r="H62" t="str">
        <f>"-0.486 -0.371"</f>
        <v>-0.486 -0.371</v>
      </c>
      <c r="I62" t="str">
        <f>"0.077 0.134"</f>
        <v>0.077 0.134</v>
      </c>
    </row>
    <row r="63" spans="1:9" x14ac:dyDescent="0.25">
      <c r="A63" s="1" t="str">
        <f>""</f>
        <v/>
      </c>
      <c r="B63" t="str">
        <f>""</f>
        <v/>
      </c>
      <c r="C63" t="str">
        <f>"(0.0000)"</f>
        <v>(0.0000)</v>
      </c>
      <c r="D63" t="str">
        <f>"(0.0000)"</f>
        <v>(0.0000)</v>
      </c>
      <c r="E63" t="str">
        <f>"(0.0000)"</f>
        <v>(0.0000)</v>
      </c>
      <c r="F63" t="str">
        <f>""</f>
        <v/>
      </c>
      <c r="G63" t="str">
        <f>"(0.0000)"</f>
        <v>(0.0000)</v>
      </c>
      <c r="H63" t="str">
        <f>"(0.0000)"</f>
        <v>(0.0000)</v>
      </c>
      <c r="I63" t="str">
        <f>"(0.0000)"</f>
        <v>(0.0000)</v>
      </c>
    </row>
    <row r="64" spans="1:9" x14ac:dyDescent="0.25">
      <c r="A64" s="1" t="str">
        <f>"Uses stereotypical Black names to indicate race"</f>
        <v>Uses stereotypical Black names to indicate race</v>
      </c>
      <c r="B64" t="str">
        <f>""</f>
        <v/>
      </c>
      <c r="C64" t="str">
        <f>""</f>
        <v/>
      </c>
      <c r="D64" t="str">
        <f>"-0.070"</f>
        <v>-0.070</v>
      </c>
      <c r="E64" t="str">
        <f>"0.076"</f>
        <v>0.076</v>
      </c>
      <c r="F64" t="str">
        <f>""</f>
        <v/>
      </c>
      <c r="G64" t="str">
        <f>""</f>
        <v/>
      </c>
      <c r="H64" t="str">
        <f>"0.049"</f>
        <v>0.049</v>
      </c>
      <c r="I64" t="str">
        <f>"0.113"</f>
        <v>0.113</v>
      </c>
    </row>
    <row r="65" spans="1:9" x14ac:dyDescent="0.25">
      <c r="A65" s="1" t="str">
        <f>""</f>
        <v/>
      </c>
      <c r="B65" t="str">
        <f>""</f>
        <v/>
      </c>
      <c r="C65" t="str">
        <f>""</f>
        <v/>
      </c>
      <c r="D65" t="str">
        <f>"(-1.922)"</f>
        <v>(-1.922)</v>
      </c>
      <c r="E65" t="str">
        <f>"(5.422)"</f>
        <v>(5.422)</v>
      </c>
      <c r="F65" t="str">
        <f>""</f>
        <v/>
      </c>
      <c r="G65" t="str">
        <f>""</f>
        <v/>
      </c>
      <c r="H65" t="str">
        <f>"(1.341)"</f>
        <v>(1.341)</v>
      </c>
      <c r="I65" t="str">
        <f>"(8.101)"</f>
        <v>(8.101)</v>
      </c>
    </row>
    <row r="66" spans="1:9" x14ac:dyDescent="0.25">
      <c r="A66" s="1" t="str">
        <f>""</f>
        <v/>
      </c>
      <c r="B66" t="str">
        <f>" "</f>
        <v xml:space="preserve"> </v>
      </c>
      <c r="C66" t="str">
        <f>" "</f>
        <v xml:space="preserve"> </v>
      </c>
      <c r="D66" t="str">
        <f>"-0.141 0.001"</f>
        <v>-0.141 0.001</v>
      </c>
      <c r="E66" t="str">
        <f>"0.049 0.103"</f>
        <v>0.049 0.103</v>
      </c>
      <c r="F66" t="str">
        <f>" "</f>
        <v xml:space="preserve"> </v>
      </c>
      <c r="G66" t="str">
        <f>" "</f>
        <v xml:space="preserve"> </v>
      </c>
      <c r="H66" t="str">
        <f>"-0.023 0.120"</f>
        <v>-0.023 0.120</v>
      </c>
      <c r="I66" t="str">
        <f>"0.085 0.140"</f>
        <v>0.085 0.140</v>
      </c>
    </row>
    <row r="67" spans="1:9" x14ac:dyDescent="0.25">
      <c r="A67" s="1" t="str">
        <f>""</f>
        <v/>
      </c>
      <c r="B67" t="str">
        <f>""</f>
        <v/>
      </c>
      <c r="C67" t="str">
        <f>""</f>
        <v/>
      </c>
      <c r="D67" t="str">
        <f>"(0.0546)"</f>
        <v>(0.0546)</v>
      </c>
      <c r="E67" t="str">
        <f>"(0.0000)"</f>
        <v>(0.0000)</v>
      </c>
      <c r="F67" t="str">
        <f>""</f>
        <v/>
      </c>
      <c r="G67" t="str">
        <f>""</f>
        <v/>
      </c>
      <c r="H67" t="str">
        <f>"(0.1801)"</f>
        <v>(0.1801)</v>
      </c>
      <c r="I67" t="str">
        <f>"(0.0000)"</f>
        <v>(0.0000)</v>
      </c>
    </row>
    <row r="68" spans="1:9" x14ac:dyDescent="0.25">
      <c r="A68" s="1" t="str">
        <f>"Uses experimental audit or similar method"</f>
        <v>Uses experimental audit or similar method</v>
      </c>
      <c r="B68" t="str">
        <f>""</f>
        <v/>
      </c>
      <c r="C68" t="str">
        <f>""</f>
        <v/>
      </c>
      <c r="D68" t="str">
        <f>"-0.273"</f>
        <v>-0.273</v>
      </c>
      <c r="E68" t="str">
        <f>"-0.152"</f>
        <v>-0.152</v>
      </c>
      <c r="F68" t="str">
        <f>""</f>
        <v/>
      </c>
      <c r="G68" t="str">
        <f>""</f>
        <v/>
      </c>
      <c r="H68" t="str">
        <f>"-0.211"</f>
        <v>-0.211</v>
      </c>
      <c r="I68" t="str">
        <f>"-0.118"</f>
        <v>-0.118</v>
      </c>
    </row>
    <row r="69" spans="1:9" x14ac:dyDescent="0.25">
      <c r="A69" s="1" t="str">
        <f>""</f>
        <v/>
      </c>
      <c r="B69" t="str">
        <f>""</f>
        <v/>
      </c>
      <c r="C69" t="str">
        <f>""</f>
        <v/>
      </c>
      <c r="D69" t="str">
        <f>"(-8.350)"</f>
        <v>(-8.350)</v>
      </c>
      <c r="E69" t="str">
        <f>"(-11.048)"</f>
        <v>(-11.048)</v>
      </c>
      <c r="F69" t="str">
        <f>""</f>
        <v/>
      </c>
      <c r="G69" t="str">
        <f>""</f>
        <v/>
      </c>
      <c r="H69" t="str">
        <f>"(-6.532)"</f>
        <v>(-6.532)</v>
      </c>
      <c r="I69" t="str">
        <f>"(-8.935)"</f>
        <v>(-8.935)</v>
      </c>
    </row>
    <row r="70" spans="1:9" x14ac:dyDescent="0.25">
      <c r="A70" s="1" t="str">
        <f>""</f>
        <v/>
      </c>
      <c r="B70" t="str">
        <f>" "</f>
        <v xml:space="preserve"> </v>
      </c>
      <c r="C70" t="str">
        <f>" "</f>
        <v xml:space="preserve"> </v>
      </c>
      <c r="D70" t="str">
        <f>"-0.337 -0.209"</f>
        <v>-0.337 -0.209</v>
      </c>
      <c r="E70" t="str">
        <f>"-0.179 -0.125"</f>
        <v>-0.179 -0.125</v>
      </c>
      <c r="F70" t="str">
        <f>" "</f>
        <v xml:space="preserve"> </v>
      </c>
      <c r="G70" t="str">
        <f>" "</f>
        <v xml:space="preserve"> </v>
      </c>
      <c r="H70" t="str">
        <f>"-0.275 -0.148"</f>
        <v>-0.275 -0.148</v>
      </c>
      <c r="I70" t="str">
        <f>"-0.144 -0.092"</f>
        <v>-0.144 -0.092</v>
      </c>
    </row>
    <row r="71" spans="1:9" x14ac:dyDescent="0.25">
      <c r="A71" s="1" t="str">
        <f>""</f>
        <v/>
      </c>
      <c r="B71" t="str">
        <f>""</f>
        <v/>
      </c>
      <c r="C71" t="str">
        <f>""</f>
        <v/>
      </c>
      <c r="D71" t="str">
        <f>"(0.0000)"</f>
        <v>(0.0000)</v>
      </c>
      <c r="E71" t="str">
        <f>"(0.0000)"</f>
        <v>(0.0000)</v>
      </c>
      <c r="F71" t="str">
        <f>""</f>
        <v/>
      </c>
      <c r="G71" t="str">
        <f>""</f>
        <v/>
      </c>
      <c r="H71" t="str">
        <f>"(0.0000)"</f>
        <v>(0.0000)</v>
      </c>
      <c r="I71" t="str">
        <f>"(0.0000)"</f>
        <v>(0.0000)</v>
      </c>
    </row>
    <row r="72" spans="1:9" x14ac:dyDescent="0.25">
      <c r="A72" s="1" t="str">
        <f>"Adjusts for decision-level variables"</f>
        <v>Adjusts for decision-level variables</v>
      </c>
      <c r="B72" t="str">
        <f>""</f>
        <v/>
      </c>
      <c r="C72" t="str">
        <f>""</f>
        <v/>
      </c>
      <c r="D72" t="str">
        <f>"-0.268"</f>
        <v>-0.268</v>
      </c>
      <c r="E72" t="str">
        <f>"-0.186"</f>
        <v>-0.186</v>
      </c>
      <c r="F72" t="str">
        <f>""</f>
        <v/>
      </c>
      <c r="G72" t="str">
        <f>""</f>
        <v/>
      </c>
      <c r="H72" t="str">
        <f>"-0.280"</f>
        <v>-0.280</v>
      </c>
      <c r="I72" t="str">
        <f>"-0.163"</f>
        <v>-0.163</v>
      </c>
    </row>
    <row r="73" spans="1:9" x14ac:dyDescent="0.25">
      <c r="A73" s="1" t="str">
        <f>""</f>
        <v/>
      </c>
      <c r="B73" t="str">
        <f>""</f>
        <v/>
      </c>
      <c r="C73" t="str">
        <f>""</f>
        <v/>
      </c>
      <c r="D73" t="str">
        <f>"(-12.321)"</f>
        <v>(-12.321)</v>
      </c>
      <c r="E73" t="str">
        <f>"(-20.239)"</f>
        <v>(-20.239)</v>
      </c>
      <c r="F73" t="str">
        <f>""</f>
        <v/>
      </c>
      <c r="G73" t="str">
        <f>""</f>
        <v/>
      </c>
      <c r="H73" t="str">
        <f>"(-13.176)"</f>
        <v>(-13.176)</v>
      </c>
      <c r="I73" t="str">
        <f>"(-18.592)"</f>
        <v>(-18.592)</v>
      </c>
    </row>
    <row r="74" spans="1:9" x14ac:dyDescent="0.25">
      <c r="A74" s="1" t="str">
        <f>""</f>
        <v/>
      </c>
      <c r="B74" t="str">
        <f>" "</f>
        <v xml:space="preserve"> </v>
      </c>
      <c r="C74" t="str">
        <f>" "</f>
        <v xml:space="preserve"> </v>
      </c>
      <c r="D74" t="str">
        <f>"-0.311 -0.226"</f>
        <v>-0.311 -0.226</v>
      </c>
      <c r="E74" t="str">
        <f>"-0.204 -0.168"</f>
        <v>-0.204 -0.168</v>
      </c>
      <c r="F74" t="str">
        <f>" "</f>
        <v xml:space="preserve"> </v>
      </c>
      <c r="G74" t="str">
        <f>" "</f>
        <v xml:space="preserve"> </v>
      </c>
      <c r="H74" t="str">
        <f>"-0.322 -0.238"</f>
        <v>-0.322 -0.238</v>
      </c>
      <c r="I74" t="str">
        <f>"-0.180 -0.146"</f>
        <v>-0.180 -0.146</v>
      </c>
    </row>
    <row r="75" spans="1:9" x14ac:dyDescent="0.25">
      <c r="A75" s="1" t="str">
        <f>""</f>
        <v/>
      </c>
      <c r="B75" t="str">
        <f>""</f>
        <v/>
      </c>
      <c r="C75" t="str">
        <f>""</f>
        <v/>
      </c>
      <c r="D75" t="str">
        <f>"(0.0000)"</f>
        <v>(0.0000)</v>
      </c>
      <c r="E75" t="str">
        <f>"(0.0000)"</f>
        <v>(0.0000)</v>
      </c>
      <c r="F75" t="str">
        <f>""</f>
        <v/>
      </c>
      <c r="G75" t="str">
        <f>""</f>
        <v/>
      </c>
      <c r="H75" t="str">
        <f>"(0.0000)"</f>
        <v>(0.0000)</v>
      </c>
      <c r="I75" t="str">
        <f>"(0.0000)"</f>
        <v>(0.0000)</v>
      </c>
    </row>
    <row r="76" spans="1:9" x14ac:dyDescent="0.25">
      <c r="A76" s="1" t="str">
        <f>"Uses observed disparity to indicate discrimination"</f>
        <v>Uses observed disparity to indicate discrimination</v>
      </c>
      <c r="B76" t="str">
        <f>""</f>
        <v/>
      </c>
      <c r="C76" t="str">
        <f>""</f>
        <v/>
      </c>
      <c r="D76" t="str">
        <f>"-0.126"</f>
        <v>-0.126</v>
      </c>
      <c r="E76" t="str">
        <f>"-0.206"</f>
        <v>-0.206</v>
      </c>
      <c r="F76" t="str">
        <f>""</f>
        <v/>
      </c>
      <c r="G76" t="str">
        <f>""</f>
        <v/>
      </c>
      <c r="H76" t="str">
        <f>"-0.215"</f>
        <v>-0.215</v>
      </c>
      <c r="I76" t="str">
        <f>""</f>
        <v/>
      </c>
    </row>
    <row r="77" spans="1:9" x14ac:dyDescent="0.25">
      <c r="A77" s="1" t="str">
        <f>""</f>
        <v/>
      </c>
      <c r="B77" t="str">
        <f>""</f>
        <v/>
      </c>
      <c r="C77" t="str">
        <f>""</f>
        <v/>
      </c>
      <c r="D77" t="str">
        <f>"(-2.287)"</f>
        <v>(-2.287)</v>
      </c>
      <c r="E77" t="str">
        <f>"(-4.307)"</f>
        <v>(-4.307)</v>
      </c>
      <c r="F77" t="str">
        <f>""</f>
        <v/>
      </c>
      <c r="G77" t="str">
        <f>""</f>
        <v/>
      </c>
      <c r="H77" t="str">
        <f>"(-3.903)"</f>
        <v>(-3.903)</v>
      </c>
      <c r="I77" t="str">
        <f>""</f>
        <v/>
      </c>
    </row>
    <row r="78" spans="1:9" x14ac:dyDescent="0.25">
      <c r="A78" s="1" t="str">
        <f>""</f>
        <v/>
      </c>
      <c r="B78" t="str">
        <f>" "</f>
        <v xml:space="preserve"> </v>
      </c>
      <c r="C78" t="str">
        <f>" "</f>
        <v xml:space="preserve"> </v>
      </c>
      <c r="D78" t="str">
        <f>"-0.234 -0.018"</f>
        <v>-0.234 -0.018</v>
      </c>
      <c r="E78" t="str">
        <f>"-0.300 -0.113"</f>
        <v>-0.300 -0.113</v>
      </c>
      <c r="F78" t="str">
        <f>" "</f>
        <v xml:space="preserve"> </v>
      </c>
      <c r="G78" t="str">
        <f>" "</f>
        <v xml:space="preserve"> </v>
      </c>
      <c r="H78" t="str">
        <f>"-0.324 -0.107"</f>
        <v>-0.324 -0.107</v>
      </c>
      <c r="I78" t="str">
        <f>" "</f>
        <v xml:space="preserve"> </v>
      </c>
    </row>
    <row r="79" spans="1:9" x14ac:dyDescent="0.25">
      <c r="A79" s="1" t="str">
        <f>""</f>
        <v/>
      </c>
      <c r="B79" t="str">
        <f>""</f>
        <v/>
      </c>
      <c r="C79" t="str">
        <f>""</f>
        <v/>
      </c>
      <c r="D79" t="str">
        <f>"(0.0222)"</f>
        <v>(0.0222)</v>
      </c>
      <c r="E79" t="str">
        <f>"(0.0000)"</f>
        <v>(0.0000)</v>
      </c>
      <c r="F79" t="str">
        <f>""</f>
        <v/>
      </c>
      <c r="G79" t="str">
        <f>""</f>
        <v/>
      </c>
      <c r="H79" t="str">
        <f>"(0.0001)"</f>
        <v>(0.0001)</v>
      </c>
      <c r="I79" t="str">
        <f>""</f>
        <v/>
      </c>
    </row>
    <row r="80" spans="1:9" x14ac:dyDescent="0.25">
      <c r="A80" s="1" t="str">
        <f>"Uses intitutional policies to measure discrimination"</f>
        <v>Uses intitutional policies to measure discrimination</v>
      </c>
      <c r="B80" t="str">
        <f>""</f>
        <v/>
      </c>
      <c r="C80" t="str">
        <f>""</f>
        <v/>
      </c>
      <c r="D80" t="str">
        <f>"1.294"</f>
        <v>1.294</v>
      </c>
      <c r="E80" t="str">
        <f>"0.029"</f>
        <v>0.029</v>
      </c>
      <c r="F80" t="str">
        <f>""</f>
        <v/>
      </c>
      <c r="G80" t="str">
        <f>""</f>
        <v/>
      </c>
      <c r="H80" t="str">
        <f>"1.305"</f>
        <v>1.305</v>
      </c>
      <c r="I80" t="str">
        <f>"-0.059"</f>
        <v>-0.059</v>
      </c>
    </row>
    <row r="81" spans="1:9" x14ac:dyDescent="0.25">
      <c r="A81" s="1" t="str">
        <f>""</f>
        <v/>
      </c>
      <c r="B81" t="str">
        <f>""</f>
        <v/>
      </c>
      <c r="C81" t="str">
        <f>""</f>
        <v/>
      </c>
      <c r="D81" t="str">
        <f>"(48.765)"</f>
        <v>(48.765)</v>
      </c>
      <c r="E81" t="str">
        <f>"(0.775)"</f>
        <v>(0.775)</v>
      </c>
      <c r="F81" t="str">
        <f>""</f>
        <v/>
      </c>
      <c r="G81" t="str">
        <f>""</f>
        <v/>
      </c>
      <c r="H81" t="str">
        <f>"(49.750)"</f>
        <v>(49.750)</v>
      </c>
      <c r="I81" t="str">
        <f>"(-1.625)"</f>
        <v>(-1.625)</v>
      </c>
    </row>
    <row r="82" spans="1:9" x14ac:dyDescent="0.25">
      <c r="A82" s="1" t="str">
        <f>""</f>
        <v/>
      </c>
      <c r="B82" t="str">
        <f>" "</f>
        <v xml:space="preserve"> </v>
      </c>
      <c r="C82" t="str">
        <f>" "</f>
        <v xml:space="preserve"> </v>
      </c>
      <c r="D82" t="str">
        <f>"1.242 1.346"</f>
        <v>1.242 1.346</v>
      </c>
      <c r="E82" t="str">
        <f>"-0.044 0.102"</f>
        <v>-0.044 0.102</v>
      </c>
      <c r="F82" t="str">
        <f>" "</f>
        <v xml:space="preserve"> </v>
      </c>
      <c r="G82" t="str">
        <f>" "</f>
        <v xml:space="preserve"> </v>
      </c>
      <c r="H82" t="str">
        <f>"1.254 1.356"</f>
        <v>1.254 1.356</v>
      </c>
      <c r="I82" t="str">
        <f>"-0.131 0.012"</f>
        <v>-0.131 0.012</v>
      </c>
    </row>
    <row r="83" spans="1:9" x14ac:dyDescent="0.25">
      <c r="A83" s="1" t="str">
        <f>""</f>
        <v/>
      </c>
      <c r="B83" t="str">
        <f>""</f>
        <v/>
      </c>
      <c r="C83" t="str">
        <f>""</f>
        <v/>
      </c>
      <c r="D83" t="str">
        <f>"(0.0000)"</f>
        <v>(0.0000)</v>
      </c>
      <c r="E83" t="str">
        <f>"(0.4382)"</f>
        <v>(0.4382)</v>
      </c>
      <c r="F83" t="str">
        <f>""</f>
        <v/>
      </c>
      <c r="G83" t="str">
        <f>""</f>
        <v/>
      </c>
      <c r="H83" t="str">
        <f>"(0.0000)"</f>
        <v>(0.0000)</v>
      </c>
      <c r="I83" t="str">
        <f>"(0.1041)"</f>
        <v>(0.1041)</v>
      </c>
    </row>
    <row r="84" spans="1:9" x14ac:dyDescent="0.25">
      <c r="A84" s="1" t="str">
        <f>"Uses success rate differences to indicate discrimination"</f>
        <v>Uses success rate differences to indicate discrimination</v>
      </c>
      <c r="B84" t="str">
        <f>""</f>
        <v/>
      </c>
      <c r="C84" t="str">
        <f>""</f>
        <v/>
      </c>
      <c r="D84" t="str">
        <f>"-0.299"</f>
        <v>-0.299</v>
      </c>
      <c r="E84" t="str">
        <f>"-0.247"</f>
        <v>-0.247</v>
      </c>
      <c r="F84" t="str">
        <f>""</f>
        <v/>
      </c>
      <c r="G84" t="str">
        <f>""</f>
        <v/>
      </c>
      <c r="H84" t="str">
        <f>"-0.287"</f>
        <v>-0.287</v>
      </c>
      <c r="I84" t="str">
        <f>"-0.206"</f>
        <v>-0.206</v>
      </c>
    </row>
    <row r="85" spans="1:9" x14ac:dyDescent="0.25">
      <c r="A85" s="1" t="str">
        <f>""</f>
        <v/>
      </c>
      <c r="B85" t="str">
        <f>""</f>
        <v/>
      </c>
      <c r="C85" t="str">
        <f>""</f>
        <v/>
      </c>
      <c r="D85" t="str">
        <f>"(-7.339)"</f>
        <v>(-7.339)</v>
      </c>
      <c r="E85" t="str">
        <f>"(-16.806)"</f>
        <v>(-16.806)</v>
      </c>
      <c r="F85" t="str">
        <f>""</f>
        <v/>
      </c>
      <c r="G85" t="str">
        <f>""</f>
        <v/>
      </c>
      <c r="H85" t="str">
        <f>"(-7.070)"</f>
        <v>(-7.070)</v>
      </c>
      <c r="I85" t="str">
        <f>"(-14.328)"</f>
        <v>(-14.328)</v>
      </c>
    </row>
    <row r="86" spans="1:9" x14ac:dyDescent="0.25">
      <c r="A86" s="1" t="str">
        <f>""</f>
        <v/>
      </c>
      <c r="B86" t="str">
        <f>" "</f>
        <v xml:space="preserve"> </v>
      </c>
      <c r="C86" t="str">
        <f>" "</f>
        <v xml:space="preserve"> </v>
      </c>
      <c r="D86" t="str">
        <f>"-0.378 -0.219"</f>
        <v>-0.378 -0.219</v>
      </c>
      <c r="E86" t="str">
        <f>"-0.276 -0.219"</f>
        <v>-0.276 -0.219</v>
      </c>
      <c r="F86" t="str">
        <f>" "</f>
        <v xml:space="preserve"> </v>
      </c>
      <c r="G86" t="str">
        <f>" "</f>
        <v xml:space="preserve"> </v>
      </c>
      <c r="H86" t="str">
        <f>"-0.366 -0.207"</f>
        <v>-0.366 -0.207</v>
      </c>
      <c r="I86" t="str">
        <f>"-0.235 -0.178"</f>
        <v>-0.235 -0.178</v>
      </c>
    </row>
    <row r="87" spans="1:9" x14ac:dyDescent="0.25">
      <c r="A87" s="1" t="str">
        <f>""</f>
        <v/>
      </c>
      <c r="B87" t="str">
        <f>""</f>
        <v/>
      </c>
      <c r="C87" t="str">
        <f>""</f>
        <v/>
      </c>
      <c r="D87" t="str">
        <f>"(0.0000)"</f>
        <v>(0.0000)</v>
      </c>
      <c r="E87" t="str">
        <f>"(0.0000)"</f>
        <v>(0.0000)</v>
      </c>
      <c r="F87" t="str">
        <f>""</f>
        <v/>
      </c>
      <c r="G87" t="str">
        <f>""</f>
        <v/>
      </c>
      <c r="H87" t="str">
        <f>"(0.0000)"</f>
        <v>(0.0000)</v>
      </c>
      <c r="I87" t="str">
        <f>"(0.0000)"</f>
        <v>(0.0000)</v>
      </c>
    </row>
    <row r="88" spans="1:9" x14ac:dyDescent="0.25">
      <c r="A88" s="1" t="str">
        <f>"Constant"</f>
        <v>Constant</v>
      </c>
      <c r="B88" t="str">
        <f>"1.396"</f>
        <v>1.396</v>
      </c>
      <c r="C88" t="str">
        <f>"1.687"</f>
        <v>1.687</v>
      </c>
      <c r="D88" t="str">
        <f>"0.933"</f>
        <v>0.933</v>
      </c>
      <c r="E88" t="str">
        <f>"0.206"</f>
        <v>0.206</v>
      </c>
      <c r="F88" t="str">
        <f>"38.964"</f>
        <v>38.964</v>
      </c>
      <c r="G88" t="str">
        <f>"41.847"</f>
        <v>41.847</v>
      </c>
      <c r="H88" t="str">
        <f>"16.507"</f>
        <v>16.507</v>
      </c>
      <c r="I88" t="str">
        <f>"9.803"</f>
        <v>9.803</v>
      </c>
    </row>
    <row r="89" spans="1:9" x14ac:dyDescent="0.25">
      <c r="A89" s="1" t="str">
        <f>""</f>
        <v/>
      </c>
      <c r="B89" t="str">
        <f>"(80.467)"</f>
        <v>(80.467)</v>
      </c>
      <c r="C89" t="str">
        <f>"(89.158)"</f>
        <v>(89.158)</v>
      </c>
      <c r="D89" t="str">
        <f>"(39.823)"</f>
        <v>(39.823)</v>
      </c>
      <c r="E89" t="str">
        <f>"(21.514)"</f>
        <v>(21.514)</v>
      </c>
      <c r="F89" t="str">
        <f>"(68.428)"</f>
        <v>(68.428)</v>
      </c>
      <c r="G89" t="str">
        <f>"(74.346)"</f>
        <v>(74.346)</v>
      </c>
      <c r="H89" t="str">
        <f>"(23.429)"</f>
        <v>(23.429)</v>
      </c>
      <c r="I89" t="str">
        <f>"(24.845)"</f>
        <v>(24.845)</v>
      </c>
    </row>
    <row r="90" spans="1:9" x14ac:dyDescent="0.25">
      <c r="A90" s="1" t="str">
        <f>""</f>
        <v/>
      </c>
      <c r="B90" t="str">
        <f>"1.362 1.430"</f>
        <v>1.362 1.430</v>
      </c>
      <c r="C90" t="str">
        <f>"1.650 1.724"</f>
        <v>1.650 1.724</v>
      </c>
      <c r="D90" t="str">
        <f>"0.887 0.979"</f>
        <v>0.887 0.979</v>
      </c>
      <c r="E90" t="str">
        <f>"0.188 0.225"</f>
        <v>0.188 0.225</v>
      </c>
      <c r="F90" t="str">
        <f>"37.848 40.080"</f>
        <v>37.848 40.080</v>
      </c>
      <c r="G90" t="str">
        <f>"40.744 42.950"</f>
        <v>40.744 42.950</v>
      </c>
      <c r="H90" t="str">
        <f>"15.126 17.888"</f>
        <v>15.126 17.888</v>
      </c>
      <c r="I90" t="str">
        <f>"9.030 10.576"</f>
        <v>9.030 10.576</v>
      </c>
    </row>
    <row r="91" spans="1:9" x14ac:dyDescent="0.25">
      <c r="A91" s="1" t="str">
        <f>""</f>
        <v/>
      </c>
      <c r="B91" t="str">
        <f t="shared" ref="B91:I91" si="0">"(0.0000)"</f>
        <v>(0.0000)</v>
      </c>
      <c r="C91" t="str">
        <f t="shared" si="0"/>
        <v>(0.0000)</v>
      </c>
      <c r="D91" t="str">
        <f t="shared" si="0"/>
        <v>(0.0000)</v>
      </c>
      <c r="E91" t="str">
        <f t="shared" si="0"/>
        <v>(0.0000)</v>
      </c>
      <c r="F91" t="str">
        <f t="shared" si="0"/>
        <v>(0.0000)</v>
      </c>
      <c r="G91" t="str">
        <f t="shared" si="0"/>
        <v>(0.0000)</v>
      </c>
      <c r="H91" t="str">
        <f t="shared" si="0"/>
        <v>(0.0000)</v>
      </c>
      <c r="I91" t="str">
        <f t="shared" si="0"/>
        <v>(0.0000)</v>
      </c>
    </row>
    <row r="92" spans="1:9" x14ac:dyDescent="0.25">
      <c r="A92" s="1" t="str">
        <f>"Sample Size"</f>
        <v>Sample Size</v>
      </c>
      <c r="B92" t="str">
        <f>"467.000"</f>
        <v>467.000</v>
      </c>
      <c r="C92" t="str">
        <f>"467.000"</f>
        <v>467.000</v>
      </c>
      <c r="D92" t="str">
        <f>"467.000"</f>
        <v>467.000</v>
      </c>
      <c r="E92" t="str">
        <f>"349.000"</f>
        <v>349.000</v>
      </c>
      <c r="F92" t="str">
        <f>"467.000"</f>
        <v>467.000</v>
      </c>
      <c r="G92" t="str">
        <f>"467.000"</f>
        <v>467.000</v>
      </c>
      <c r="H92" t="str">
        <f>"467.000"</f>
        <v>467.000</v>
      </c>
      <c r="I92" t="str">
        <f>"349.000"</f>
        <v>349.000</v>
      </c>
    </row>
    <row r="93" spans="1:9" x14ac:dyDescent="0.25">
      <c r="A93" s="1" t="str">
        <f>"rows correspond to beta values; t-statistics; 95% confidence intervals; p-values."</f>
        <v>rows correspond to beta values; t-statistics; 95% confidence intervals; p-values.</v>
      </c>
    </row>
  </sheetData>
  <mergeCells count="2">
    <mergeCell ref="A1:I1"/>
    <mergeCell ref="K1:R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3DF7B-0730-4D8A-96A6-58D305EC37E1}">
  <dimension ref="A1:R94"/>
  <sheetViews>
    <sheetView workbookViewId="0">
      <selection activeCell="A11" sqref="A11"/>
    </sheetView>
  </sheetViews>
  <sheetFormatPr defaultRowHeight="15" x14ac:dyDescent="0.25"/>
  <cols>
    <col min="1" max="1" width="72.7109375" style="1" bestFit="1" customWidth="1"/>
    <col min="2" max="4" width="12" style="1" bestFit="1" customWidth="1"/>
    <col min="5" max="5" width="25" style="1" bestFit="1" customWidth="1"/>
    <col min="6" max="8" width="12.5703125" style="1" bestFit="1" customWidth="1"/>
    <col min="9" max="9" width="25" style="1" bestFit="1" customWidth="1"/>
  </cols>
  <sheetData>
    <row r="1" spans="1:18" x14ac:dyDescent="0.25">
      <c r="A1" s="16" t="s">
        <v>1123</v>
      </c>
      <c r="B1" s="16"/>
      <c r="C1" s="16"/>
      <c r="D1" s="16"/>
      <c r="E1" s="16"/>
      <c r="F1" s="16"/>
      <c r="G1" s="16"/>
      <c r="H1" s="16"/>
      <c r="I1" s="16"/>
      <c r="K1" s="24" t="s">
        <v>1157</v>
      </c>
      <c r="L1" s="24"/>
      <c r="M1" s="24"/>
      <c r="N1" s="24"/>
      <c r="O1" s="24"/>
      <c r="P1" s="24"/>
      <c r="Q1" s="24"/>
      <c r="R1" s="24"/>
    </row>
    <row r="2" spans="1:18" x14ac:dyDescent="0.25">
      <c r="A2" s="1" t="str">
        <f>""</f>
        <v/>
      </c>
      <c r="B2" s="1">
        <v>1</v>
      </c>
      <c r="C2" s="1">
        <v>2</v>
      </c>
      <c r="D2" s="1">
        <v>3</v>
      </c>
      <c r="E2" s="1">
        <v>4</v>
      </c>
      <c r="F2" s="1">
        <v>5</v>
      </c>
      <c r="G2" s="1">
        <v>6</v>
      </c>
      <c r="H2" s="1">
        <v>7</v>
      </c>
      <c r="I2" s="1">
        <v>8</v>
      </c>
      <c r="K2" s="25">
        <v>1</v>
      </c>
      <c r="L2" s="25">
        <v>2</v>
      </c>
      <c r="M2" s="25">
        <v>3</v>
      </c>
      <c r="N2" s="25">
        <v>4</v>
      </c>
      <c r="O2" s="25">
        <v>5</v>
      </c>
      <c r="P2" s="25">
        <v>6</v>
      </c>
      <c r="Q2" s="25">
        <v>7</v>
      </c>
      <c r="R2" s="25">
        <v>8</v>
      </c>
    </row>
    <row r="3" spans="1:18" x14ac:dyDescent="0.25">
      <c r="E3" s="1" t="s">
        <v>99</v>
      </c>
      <c r="I3" s="1" t="s">
        <v>99</v>
      </c>
      <c r="K3" s="6"/>
      <c r="L3" s="6"/>
      <c r="M3" s="6"/>
      <c r="N3" s="6"/>
      <c r="O3" s="6"/>
      <c r="P3" s="6"/>
      <c r="Q3" s="6"/>
      <c r="R3" s="6"/>
    </row>
    <row r="4" spans="1:18" x14ac:dyDescent="0.25">
      <c r="A4" t="str">
        <f>"Post civil-rights era"</f>
        <v>Post civil-rights era</v>
      </c>
      <c r="B4" t="str">
        <f>"-1.159"</f>
        <v>-1.159</v>
      </c>
      <c r="C4" t="str">
        <f>"-1.368"</f>
        <v>-1.368</v>
      </c>
      <c r="D4" t="str">
        <f>"-0.621"</f>
        <v>-0.621</v>
      </c>
      <c r="E4" t="str">
        <f>""</f>
        <v/>
      </c>
      <c r="F4" t="str">
        <f>""</f>
        <v/>
      </c>
      <c r="G4" t="str">
        <f>""</f>
        <v/>
      </c>
      <c r="H4" t="str">
        <f>""</f>
        <v/>
      </c>
      <c r="I4" t="str">
        <f>""</f>
        <v/>
      </c>
      <c r="K4" s="6">
        <f>(EXP(2*B4)-1)/(EXP(2*B4)+1)</f>
        <v>-0.82071372013698696</v>
      </c>
      <c r="L4" s="6">
        <f>(EXP(2*C4)-1)/(EXP(2*C4)+1)</f>
        <v>-0.87823559149386654</v>
      </c>
      <c r="M4" s="6">
        <f>(EXP(2*D4)-1)/(EXP(2*D4)+1)</f>
        <v>-0.55182390268660098</v>
      </c>
      <c r="N4" s="6"/>
      <c r="O4" s="6"/>
      <c r="P4" s="6"/>
      <c r="Q4" s="6"/>
      <c r="R4" s="6"/>
    </row>
    <row r="5" spans="1:18" x14ac:dyDescent="0.25">
      <c r="A5" t="str">
        <f>""</f>
        <v/>
      </c>
      <c r="B5" t="str">
        <f>"(-16.114)"</f>
        <v>(-16.114)</v>
      </c>
      <c r="C5" t="str">
        <f>"(-19.346)"</f>
        <v>(-19.346)</v>
      </c>
      <c r="D5" t="str">
        <f>"(-7.290)"</f>
        <v>(-7.290)</v>
      </c>
      <c r="E5" t="str">
        <f>""</f>
        <v/>
      </c>
      <c r="F5" t="str">
        <f>""</f>
        <v/>
      </c>
      <c r="G5" t="str">
        <f>""</f>
        <v/>
      </c>
      <c r="H5" t="str">
        <f>""</f>
        <v/>
      </c>
      <c r="I5" t="str">
        <f>""</f>
        <v/>
      </c>
      <c r="K5" s="6"/>
      <c r="L5" s="6"/>
      <c r="M5" s="6"/>
      <c r="N5" s="6"/>
      <c r="O5" s="6"/>
      <c r="P5" s="6"/>
      <c r="Q5" s="6"/>
      <c r="R5" s="6"/>
    </row>
    <row r="6" spans="1:18" x14ac:dyDescent="0.25">
      <c r="A6" t="str">
        <f>""</f>
        <v/>
      </c>
      <c r="B6" t="str">
        <f>"-1.300 -1.018"</f>
        <v>-1.300 -1.018</v>
      </c>
      <c r="C6" t="str">
        <f>"-1.506 -1.229"</f>
        <v>-1.506 -1.229</v>
      </c>
      <c r="D6" t="str">
        <f>"-0.788 -0.454"</f>
        <v>-0.788 -0.454</v>
      </c>
      <c r="E6" t="str">
        <f>" "</f>
        <v xml:space="preserve"> </v>
      </c>
      <c r="F6" t="str">
        <f>" "</f>
        <v xml:space="preserve"> </v>
      </c>
      <c r="G6" t="str">
        <f>" "</f>
        <v xml:space="preserve"> </v>
      </c>
      <c r="H6" t="str">
        <f>" "</f>
        <v xml:space="preserve"> </v>
      </c>
      <c r="I6" t="str">
        <f>" "</f>
        <v xml:space="preserve"> </v>
      </c>
      <c r="K6" s="6"/>
      <c r="L6" s="6"/>
      <c r="M6" s="6"/>
      <c r="N6" s="6"/>
      <c r="O6" s="6"/>
      <c r="P6" s="6"/>
      <c r="Q6" s="6"/>
      <c r="R6" s="6"/>
    </row>
    <row r="7" spans="1:18" x14ac:dyDescent="0.25">
      <c r="A7" t="str">
        <f>""</f>
        <v/>
      </c>
      <c r="B7" t="str">
        <f>"(0.0000)"</f>
        <v>(0.0000)</v>
      </c>
      <c r="C7" t="str">
        <f>"(0.0000)"</f>
        <v>(0.0000)</v>
      </c>
      <c r="D7" t="str">
        <f>"(0.0000)"</f>
        <v>(0.0000)</v>
      </c>
      <c r="E7" t="str">
        <f>""</f>
        <v/>
      </c>
      <c r="F7" t="str">
        <f>""</f>
        <v/>
      </c>
      <c r="G7" t="str">
        <f>""</f>
        <v/>
      </c>
      <c r="H7" t="str">
        <f>""</f>
        <v/>
      </c>
      <c r="I7" t="str">
        <f>""</f>
        <v/>
      </c>
      <c r="K7" s="6"/>
      <c r="L7" s="6"/>
      <c r="M7" s="6"/>
      <c r="N7" s="6"/>
      <c r="O7" s="6"/>
      <c r="P7" s="6"/>
      <c r="Q7" s="6"/>
      <c r="R7" s="6"/>
    </row>
    <row r="8" spans="1:18" x14ac:dyDescent="0.25">
      <c r="A8" t="str">
        <f>"21st century"</f>
        <v>21st century</v>
      </c>
      <c r="B8" t="str">
        <f>"-1.311"</f>
        <v>-1.311</v>
      </c>
      <c r="C8" t="str">
        <f>"-1.401"</f>
        <v>-1.401</v>
      </c>
      <c r="D8" t="str">
        <f>"-0.623"</f>
        <v>-0.623</v>
      </c>
      <c r="E8" t="str">
        <f>"-0.138"</f>
        <v>-0.138</v>
      </c>
      <c r="F8" t="str">
        <f>""</f>
        <v/>
      </c>
      <c r="G8" t="str">
        <f>""</f>
        <v/>
      </c>
      <c r="H8" t="str">
        <f>""</f>
        <v/>
      </c>
      <c r="I8" t="str">
        <f>""</f>
        <v/>
      </c>
      <c r="K8" s="6">
        <f>(EXP(2*B8)-1)/(EXP(2*B8)+1)</f>
        <v>-0.86452822227551684</v>
      </c>
      <c r="L8" s="6">
        <f>(EXP(2*C8)-1)/(EXP(2*C8)+1)</f>
        <v>-0.8855676093877094</v>
      </c>
      <c r="M8" s="6">
        <f>(EXP(2*D8)-1)/(EXP(2*D8)+1)</f>
        <v>-0.55321334813643364</v>
      </c>
      <c r="N8" s="6">
        <f>(EXP(2*E8)-1)/(EXP(2*E8)+1)</f>
        <v>-0.13713059815540996</v>
      </c>
      <c r="O8" s="6"/>
      <c r="P8" s="6"/>
      <c r="Q8" s="6"/>
      <c r="R8" s="6"/>
    </row>
    <row r="9" spans="1:18" x14ac:dyDescent="0.25">
      <c r="A9" t="str">
        <f>""</f>
        <v/>
      </c>
      <c r="B9" t="str">
        <f>"(-18.842)"</f>
        <v>(-18.842)</v>
      </c>
      <c r="C9" t="str">
        <f>"(-19.612)"</f>
        <v>(-19.612)</v>
      </c>
      <c r="D9" t="str">
        <f>"(-6.857)"</f>
        <v>(-6.857)</v>
      </c>
      <c r="E9" t="str">
        <f>"(-7.269)"</f>
        <v>(-7.269)</v>
      </c>
      <c r="F9" t="str">
        <f>""</f>
        <v/>
      </c>
      <c r="G9" t="str">
        <f>""</f>
        <v/>
      </c>
      <c r="H9" t="str">
        <f>""</f>
        <v/>
      </c>
      <c r="I9" t="str">
        <f>""</f>
        <v/>
      </c>
      <c r="K9" s="6"/>
      <c r="L9" s="6"/>
      <c r="M9" s="6"/>
      <c r="N9" s="6"/>
      <c r="O9" s="6"/>
      <c r="P9" s="6"/>
      <c r="Q9" s="6"/>
      <c r="R9" s="6"/>
    </row>
    <row r="10" spans="1:18" x14ac:dyDescent="0.25">
      <c r="A10" t="str">
        <f>""</f>
        <v/>
      </c>
      <c r="B10" t="str">
        <f>"-1.447 -1.174"</f>
        <v>-1.447 -1.174</v>
      </c>
      <c r="C10" t="str">
        <f>"-1.541 -1.261"</f>
        <v>-1.541 -1.261</v>
      </c>
      <c r="D10" t="str">
        <f>"-0.801 -0.445"</f>
        <v>-0.801 -0.445</v>
      </c>
      <c r="E10" t="str">
        <f>"-0.175 -0.101"</f>
        <v>-0.175 -0.101</v>
      </c>
      <c r="F10" t="str">
        <f>" "</f>
        <v xml:space="preserve"> </v>
      </c>
      <c r="G10" t="str">
        <f>" "</f>
        <v xml:space="preserve"> </v>
      </c>
      <c r="H10" t="str">
        <f>" "</f>
        <v xml:space="preserve"> </v>
      </c>
      <c r="I10" t="str">
        <f>" "</f>
        <v xml:space="preserve"> </v>
      </c>
      <c r="K10" s="6"/>
      <c r="L10" s="6"/>
      <c r="M10" s="6"/>
      <c r="N10" s="6"/>
      <c r="O10" s="6"/>
      <c r="P10" s="6"/>
      <c r="Q10" s="6"/>
      <c r="R10" s="6"/>
    </row>
    <row r="11" spans="1:18" x14ac:dyDescent="0.25">
      <c r="A11" t="str">
        <f>""</f>
        <v/>
      </c>
      <c r="B11" t="str">
        <f>"(0.0000)"</f>
        <v>(0.0000)</v>
      </c>
      <c r="C11" t="str">
        <f>"(0.0000)"</f>
        <v>(0.0000)</v>
      </c>
      <c r="D11" t="str">
        <f>"(0.0000)"</f>
        <v>(0.0000)</v>
      </c>
      <c r="E11" t="str">
        <f>"(0.0000)"</f>
        <v>(0.0000)</v>
      </c>
      <c r="F11" t="str">
        <f>""</f>
        <v/>
      </c>
      <c r="G11" t="str">
        <f>""</f>
        <v/>
      </c>
      <c r="H11" t="str">
        <f>""</f>
        <v/>
      </c>
      <c r="I11" t="str">
        <f>""</f>
        <v/>
      </c>
      <c r="K11" s="6"/>
      <c r="L11" s="6"/>
      <c r="M11" s="6"/>
      <c r="N11" s="6"/>
      <c r="O11" s="6"/>
      <c r="P11" s="6"/>
      <c r="Q11" s="6"/>
      <c r="R11" s="6"/>
    </row>
    <row r="12" spans="1:18" x14ac:dyDescent="0.25">
      <c r="A12" s="9" t="s">
        <v>1121</v>
      </c>
      <c r="B12" t="str">
        <f>""</f>
        <v/>
      </c>
      <c r="C12" t="str">
        <f>""</f>
        <v/>
      </c>
      <c r="D12" t="str">
        <f>""</f>
        <v/>
      </c>
      <c r="E12" t="str">
        <f>""</f>
        <v/>
      </c>
      <c r="F12" t="str">
        <f>"-0.019"</f>
        <v>-0.019</v>
      </c>
      <c r="G12" t="str">
        <f>"-0.020"</f>
        <v>-0.020</v>
      </c>
      <c r="H12" t="str">
        <f>"-0.010"</f>
        <v>-0.010</v>
      </c>
      <c r="I12" t="str">
        <f>"-0.006"</f>
        <v>-0.006</v>
      </c>
      <c r="K12" s="6"/>
      <c r="L12" s="6"/>
      <c r="M12" s="6"/>
      <c r="N12" s="6"/>
      <c r="O12" s="6">
        <f>(EXP(2*F12)-1)/(EXP(2*F12)+1)</f>
        <v>-1.8997713996764972E-2</v>
      </c>
      <c r="P12" s="6">
        <f>(EXP(2*G12)-1)/(EXP(2*G12)+1)</f>
        <v>-1.9997333759930951E-2</v>
      </c>
      <c r="Q12" s="6">
        <f>(EXP(2*H12)-1)/(EXP(2*H12)+1)</f>
        <v>-9.9996666799994846E-3</v>
      </c>
      <c r="R12" s="6">
        <f>(EXP(2*I12)-1)/(EXP(2*I12)+1)</f>
        <v>-5.9999280010367964E-3</v>
      </c>
    </row>
    <row r="13" spans="1:18" x14ac:dyDescent="0.25">
      <c r="A13" t="str">
        <f>""</f>
        <v/>
      </c>
      <c r="B13" t="str">
        <f>""</f>
        <v/>
      </c>
      <c r="C13" t="str">
        <f>""</f>
        <v/>
      </c>
      <c r="D13" t="str">
        <f>""</f>
        <v/>
      </c>
      <c r="E13" t="str">
        <f>""</f>
        <v/>
      </c>
      <c r="F13" t="str">
        <f>"(-21.071)"</f>
        <v>(-21.071)</v>
      </c>
      <c r="G13" t="str">
        <f>"(-21.479)"</f>
        <v>(-21.479)</v>
      </c>
      <c r="H13" t="str">
        <f>"(-7.878)"</f>
        <v>(-7.878)</v>
      </c>
      <c r="I13" t="str">
        <f>"(-10.603)"</f>
        <v>(-10.603)</v>
      </c>
    </row>
    <row r="14" spans="1:18" x14ac:dyDescent="0.25">
      <c r="A14" t="str">
        <f>""</f>
        <v/>
      </c>
      <c r="B14" t="str">
        <f>" "</f>
        <v xml:space="preserve"> </v>
      </c>
      <c r="C14" t="str">
        <f>" "</f>
        <v xml:space="preserve"> </v>
      </c>
      <c r="D14" t="str">
        <f>" "</f>
        <v xml:space="preserve"> </v>
      </c>
      <c r="E14" t="str">
        <f>" "</f>
        <v xml:space="preserve"> </v>
      </c>
      <c r="F14" t="str">
        <f>"-0.021 -0.017"</f>
        <v>-0.021 -0.017</v>
      </c>
      <c r="G14" t="str">
        <f>"-0.022 -0.019"</f>
        <v>-0.022 -0.019</v>
      </c>
      <c r="H14" t="str">
        <f>"-0.012 -0.007"</f>
        <v>-0.012 -0.007</v>
      </c>
      <c r="I14" t="str">
        <f>"-0.007 -0.005"</f>
        <v>-0.007 -0.005</v>
      </c>
    </row>
    <row r="15" spans="1:18" x14ac:dyDescent="0.25">
      <c r="A15" t="str">
        <f>""</f>
        <v/>
      </c>
      <c r="B15" t="str">
        <f>""</f>
        <v/>
      </c>
      <c r="C15" t="str">
        <f>""</f>
        <v/>
      </c>
      <c r="D15" t="str">
        <f>""</f>
        <v/>
      </c>
      <c r="E15" t="str">
        <f>""</f>
        <v/>
      </c>
      <c r="F15" t="str">
        <f>"(0.0000)"</f>
        <v>(0.0000)</v>
      </c>
      <c r="G15" t="str">
        <f>"(0.0000)"</f>
        <v>(0.0000)</v>
      </c>
      <c r="H15" t="str">
        <f>"(0.0000)"</f>
        <v>(0.0000)</v>
      </c>
      <c r="I15" t="str">
        <f>"(0.0000)"</f>
        <v>(0.0000)</v>
      </c>
    </row>
    <row r="16" spans="1:18" x14ac:dyDescent="0.25">
      <c r="A16" t="str">
        <f>"domain==driver behavior"</f>
        <v>domain==driver behavior</v>
      </c>
      <c r="B16" t="str">
        <f>""</f>
        <v/>
      </c>
      <c r="C16" t="str">
        <f>"-0.224"</f>
        <v>-0.224</v>
      </c>
      <c r="D16" t="str">
        <f>"-0.111"</f>
        <v>-0.111</v>
      </c>
      <c r="E16" t="str">
        <f>"0.078"</f>
        <v>0.078</v>
      </c>
      <c r="F16" t="str">
        <f>""</f>
        <v/>
      </c>
      <c r="G16" t="str">
        <f>"0.168"</f>
        <v>0.168</v>
      </c>
      <c r="H16" t="str">
        <f>"0.058"</f>
        <v>0.058</v>
      </c>
      <c r="I16" t="str">
        <f>"0.132"</f>
        <v>0.132</v>
      </c>
    </row>
    <row r="17" spans="1:9" x14ac:dyDescent="0.25">
      <c r="A17" t="str">
        <f>""</f>
        <v/>
      </c>
      <c r="B17" t="str">
        <f>""</f>
        <v/>
      </c>
      <c r="C17" t="str">
        <f>"(-0.414)"</f>
        <v>(-0.414)</v>
      </c>
      <c r="D17" t="str">
        <f>"(-0.234)"</f>
        <v>(-0.234)</v>
      </c>
      <c r="E17" t="str">
        <f>"(0.544)"</f>
        <v>(0.544)</v>
      </c>
      <c r="F17" t="str">
        <f>""</f>
        <v/>
      </c>
      <c r="G17" t="str">
        <f>"(0.307)"</f>
        <v>(0.307)</v>
      </c>
      <c r="H17" t="str">
        <f>"(0.124)"</f>
        <v>(0.124)</v>
      </c>
      <c r="I17" t="str">
        <f>"(0.986)"</f>
        <v>(0.986)</v>
      </c>
    </row>
    <row r="18" spans="1:9" x14ac:dyDescent="0.25">
      <c r="A18" t="str">
        <f>""</f>
        <v/>
      </c>
      <c r="B18" t="str">
        <f>" "</f>
        <v xml:space="preserve"> </v>
      </c>
      <c r="C18" t="str">
        <f>"-1.288 0.839"</f>
        <v>-1.288 0.839</v>
      </c>
      <c r="D18" t="str">
        <f>"-1.041 0.818"</f>
        <v>-1.041 0.818</v>
      </c>
      <c r="E18" t="str">
        <f>"-0.203 0.359"</f>
        <v>-0.203 0.359</v>
      </c>
      <c r="F18" t="str">
        <f>" "</f>
        <v xml:space="preserve"> </v>
      </c>
      <c r="G18" t="str">
        <f>"-0.902 1.238"</f>
        <v>-0.902 1.238</v>
      </c>
      <c r="H18" t="str">
        <f>"-0.867 0.984"</f>
        <v>-0.867 0.984</v>
      </c>
      <c r="I18" t="str">
        <f>"-0.130 0.395"</f>
        <v>-0.130 0.395</v>
      </c>
    </row>
    <row r="19" spans="1:9" x14ac:dyDescent="0.25">
      <c r="A19" t="str">
        <f>""</f>
        <v/>
      </c>
      <c r="B19" t="str">
        <f>""</f>
        <v/>
      </c>
      <c r="C19" t="str">
        <f>"(0.6792)"</f>
        <v>(0.6792)</v>
      </c>
      <c r="D19" t="str">
        <f>"(0.8147)"</f>
        <v>(0.8147)</v>
      </c>
      <c r="E19" t="str">
        <f>"(0.5864)"</f>
        <v>(0.5864)</v>
      </c>
      <c r="F19" t="str">
        <f>""</f>
        <v/>
      </c>
      <c r="G19" t="str">
        <f>"(0.7585)"</f>
        <v>(0.7585)</v>
      </c>
      <c r="H19" t="str">
        <f>"(0.9016)"</f>
        <v>(0.9016)</v>
      </c>
      <c r="I19" t="str">
        <f>"(0.3240)"</f>
        <v>(0.3240)</v>
      </c>
    </row>
    <row r="20" spans="1:9" x14ac:dyDescent="0.25">
      <c r="A20" t="str">
        <f>"domain==education"</f>
        <v>domain==education</v>
      </c>
      <c r="B20" t="str">
        <f>""</f>
        <v/>
      </c>
      <c r="C20" t="str">
        <f>"-0.808"</f>
        <v>-0.808</v>
      </c>
      <c r="D20" t="str">
        <f>"-0.396"</f>
        <v>-0.396</v>
      </c>
      <c r="E20" t="str">
        <f>"0.077"</f>
        <v>0.077</v>
      </c>
      <c r="F20" t="str">
        <f>""</f>
        <v/>
      </c>
      <c r="G20" t="str">
        <f>"-0.639"</f>
        <v>-0.639</v>
      </c>
      <c r="H20" t="str">
        <f>"-0.216"</f>
        <v>-0.216</v>
      </c>
      <c r="I20" t="str">
        <f>"0.089"</f>
        <v>0.089</v>
      </c>
    </row>
    <row r="21" spans="1:9" x14ac:dyDescent="0.25">
      <c r="A21" t="str">
        <f>""</f>
        <v/>
      </c>
      <c r="B21" t="str">
        <f>""</f>
        <v/>
      </c>
      <c r="C21" t="str">
        <f>"(-6.432)"</f>
        <v>(-6.432)</v>
      </c>
      <c r="D21" t="str">
        <f>"(-1.961)"</f>
        <v>(-1.961)</v>
      </c>
      <c r="E21" t="str">
        <f>"(0.514)"</f>
        <v>(0.514)</v>
      </c>
      <c r="F21" t="str">
        <f>""</f>
        <v/>
      </c>
      <c r="G21" t="str">
        <f>"(-5.110)"</f>
        <v>(-5.110)</v>
      </c>
      <c r="H21" t="str">
        <f>"(-1.095)"</f>
        <v>(-1.095)</v>
      </c>
      <c r="I21" t="str">
        <f>"(1.629)"</f>
        <v>(1.629)</v>
      </c>
    </row>
    <row r="22" spans="1:9" x14ac:dyDescent="0.25">
      <c r="A22" t="str">
        <f>""</f>
        <v/>
      </c>
      <c r="B22" t="str">
        <f>" "</f>
        <v xml:space="preserve"> </v>
      </c>
      <c r="C22" t="str">
        <f>"-1.054 -0.562"</f>
        <v>-1.054 -0.562</v>
      </c>
      <c r="D22" t="str">
        <f>"-0.792 -0.000"</f>
        <v>-0.792 -0.000</v>
      </c>
      <c r="E22" t="str">
        <f>"-0.217 0.371"</f>
        <v>-0.217 0.371</v>
      </c>
      <c r="F22" t="str">
        <f>" "</f>
        <v xml:space="preserve"> </v>
      </c>
      <c r="G22" t="str">
        <f>"-0.884 -0.394"</f>
        <v>-0.884 -0.394</v>
      </c>
      <c r="H22" t="str">
        <f>"-0.602 0.171"</f>
        <v>-0.602 0.171</v>
      </c>
      <c r="I22" t="str">
        <f>"-0.018 0.196"</f>
        <v>-0.018 0.196</v>
      </c>
    </row>
    <row r="23" spans="1:9" x14ac:dyDescent="0.25">
      <c r="A23" t="str">
        <f>""</f>
        <v/>
      </c>
      <c r="B23" t="str">
        <f>""</f>
        <v/>
      </c>
      <c r="C23" t="str">
        <f>"(0.0000)"</f>
        <v>(0.0000)</v>
      </c>
      <c r="D23" t="str">
        <f>"(0.0499)"</f>
        <v>(0.0499)</v>
      </c>
      <c r="E23" t="str">
        <f>"(0.6075)"</f>
        <v>(0.6075)</v>
      </c>
      <c r="F23" t="str">
        <f>""</f>
        <v/>
      </c>
      <c r="G23" t="str">
        <f>"(0.0000)"</f>
        <v>(0.0000)</v>
      </c>
      <c r="H23" t="str">
        <f>"(0.2737)"</f>
        <v>(0.2737)</v>
      </c>
      <c r="I23" t="str">
        <f>"(0.1032)"</f>
        <v>(0.1032)</v>
      </c>
    </row>
    <row r="24" spans="1:9" x14ac:dyDescent="0.25">
      <c r="A24" t="str">
        <f>"domain==financial market"</f>
        <v>domain==financial market</v>
      </c>
      <c r="B24" t="str">
        <f>""</f>
        <v/>
      </c>
      <c r="C24" t="str">
        <f>"-0.181"</f>
        <v>-0.181</v>
      </c>
      <c r="D24" t="str">
        <f>"-0.068"</f>
        <v>-0.068</v>
      </c>
      <c r="E24" t="str">
        <f>"0.151"</f>
        <v>0.151</v>
      </c>
      <c r="F24" t="str">
        <f>""</f>
        <v/>
      </c>
      <c r="G24" t="str">
        <f>"-0.069"</f>
        <v>-0.069</v>
      </c>
      <c r="H24" t="str">
        <f>"0.053"</f>
        <v>0.053</v>
      </c>
      <c r="I24" t="str">
        <f>"0.175"</f>
        <v>0.175</v>
      </c>
    </row>
    <row r="25" spans="1:9" x14ac:dyDescent="0.25">
      <c r="A25" t="str">
        <f>""</f>
        <v/>
      </c>
      <c r="B25" t="str">
        <f>""</f>
        <v/>
      </c>
      <c r="C25" t="str">
        <f>"(-1.067)"</f>
        <v>(-1.067)</v>
      </c>
      <c r="D25" t="str">
        <f>"(-0.441)"</f>
        <v>(-0.441)</v>
      </c>
      <c r="E25" t="str">
        <f>"(3.219)"</f>
        <v>(3.219)</v>
      </c>
      <c r="F25" t="str">
        <f>""</f>
        <v/>
      </c>
      <c r="G25" t="str">
        <f>"(-0.400)"</f>
        <v>(-0.400)</v>
      </c>
      <c r="H25" t="str">
        <f>"(0.351)"</f>
        <v>(0.351)</v>
      </c>
      <c r="I25" t="str">
        <f>"(3.990)"</f>
        <v>(3.990)</v>
      </c>
    </row>
    <row r="26" spans="1:9" x14ac:dyDescent="0.25">
      <c r="A26" t="str">
        <f>""</f>
        <v/>
      </c>
      <c r="B26" t="str">
        <f>" "</f>
        <v xml:space="preserve"> </v>
      </c>
      <c r="C26" t="str">
        <f>"-0.515 0.152"</f>
        <v>-0.515 0.152</v>
      </c>
      <c r="D26" t="str">
        <f>"-0.368 0.233"</f>
        <v>-0.368 0.233</v>
      </c>
      <c r="E26" t="str">
        <f>"0.059 0.243"</f>
        <v>0.059 0.243</v>
      </c>
      <c r="F26" t="str">
        <f>" "</f>
        <v xml:space="preserve"> </v>
      </c>
      <c r="G26" t="str">
        <f>"-0.405 0.267"</f>
        <v>-0.405 0.267</v>
      </c>
      <c r="H26" t="str">
        <f>"-0.245 0.352"</f>
        <v>-0.245 0.352</v>
      </c>
      <c r="I26" t="str">
        <f>"0.089 0.261"</f>
        <v>0.089 0.261</v>
      </c>
    </row>
    <row r="27" spans="1:9" x14ac:dyDescent="0.25">
      <c r="A27" t="str">
        <f>""</f>
        <v/>
      </c>
      <c r="B27" t="str">
        <f>""</f>
        <v/>
      </c>
      <c r="C27" t="str">
        <f>"(0.2862)"</f>
        <v>(0.2862)</v>
      </c>
      <c r="D27" t="str">
        <f>"(0.6591)"</f>
        <v>(0.6591)</v>
      </c>
      <c r="E27" t="str">
        <f>"(0.0013)"</f>
        <v>(0.0013)</v>
      </c>
      <c r="F27" t="str">
        <f>""</f>
        <v/>
      </c>
      <c r="G27" t="str">
        <f>"(0.6889)"</f>
        <v>(0.6889)</v>
      </c>
      <c r="H27" t="str">
        <f>"(0.7257)"</f>
        <v>(0.7257)</v>
      </c>
      <c r="I27" t="str">
        <f>"(0.0001)"</f>
        <v>(0.0001)</v>
      </c>
    </row>
    <row r="28" spans="1:9" x14ac:dyDescent="0.25">
      <c r="A28" t="str">
        <f>"domain==government services"</f>
        <v>domain==government services</v>
      </c>
      <c r="B28" t="str">
        <f>""</f>
        <v/>
      </c>
      <c r="C28" t="str">
        <f>"-0.514"</f>
        <v>-0.514</v>
      </c>
      <c r="D28" t="str">
        <f>"-0.119"</f>
        <v>-0.119</v>
      </c>
      <c r="E28" t="str">
        <f>"0.016"</f>
        <v>0.016</v>
      </c>
      <c r="F28" t="str">
        <f>""</f>
        <v/>
      </c>
      <c r="G28" t="str">
        <f>"-0.147"</f>
        <v>-0.147</v>
      </c>
      <c r="H28" t="str">
        <f>"-0.021"</f>
        <v>-0.021</v>
      </c>
      <c r="I28" t="str">
        <f>"0.017"</f>
        <v>0.017</v>
      </c>
    </row>
    <row r="29" spans="1:9" x14ac:dyDescent="0.25">
      <c r="A29" t="str">
        <f>""</f>
        <v/>
      </c>
      <c r="B29" t="str">
        <f>""</f>
        <v/>
      </c>
      <c r="C29" t="str">
        <f>"(-1.338)"</f>
        <v>(-1.338)</v>
      </c>
      <c r="D29" t="str">
        <f>"(-0.356)"</f>
        <v>(-0.356)</v>
      </c>
      <c r="E29" t="str">
        <f>"(0.111)"</f>
        <v>(0.111)</v>
      </c>
      <c r="F29" t="str">
        <f>""</f>
        <v/>
      </c>
      <c r="G29" t="str">
        <f>"(-0.381)"</f>
        <v>(-0.381)</v>
      </c>
      <c r="H29" t="str">
        <f>"(-0.064)"</f>
        <v>(-0.064)</v>
      </c>
      <c r="I29" t="str">
        <f>"(0.129)"</f>
        <v>(0.129)</v>
      </c>
    </row>
    <row r="30" spans="1:9" x14ac:dyDescent="0.25">
      <c r="A30" t="str">
        <f>""</f>
        <v/>
      </c>
      <c r="B30" t="str">
        <f>" "</f>
        <v xml:space="preserve"> </v>
      </c>
      <c r="C30" t="str">
        <f>"-1.268 0.239"</f>
        <v>-1.268 0.239</v>
      </c>
      <c r="D30" t="str">
        <f>"-0.773 0.536"</f>
        <v>-0.773 0.536</v>
      </c>
      <c r="E30" t="str">
        <f>"-0.264 0.295"</f>
        <v>-0.264 0.295</v>
      </c>
      <c r="F30" t="str">
        <f>" "</f>
        <v xml:space="preserve"> </v>
      </c>
      <c r="G30" t="str">
        <f>"-0.905 0.610"</f>
        <v>-0.905 0.610</v>
      </c>
      <c r="H30" t="str">
        <f>"-0.671 0.629"</f>
        <v>-0.671 0.629</v>
      </c>
      <c r="I30" t="str">
        <f>"-0.244 0.278"</f>
        <v>-0.244 0.278</v>
      </c>
    </row>
    <row r="31" spans="1:9" x14ac:dyDescent="0.25">
      <c r="A31" t="str">
        <f>""</f>
        <v/>
      </c>
      <c r="B31" t="str">
        <f>""</f>
        <v/>
      </c>
      <c r="C31" t="str">
        <f>"(0.1810)"</f>
        <v>(0.1810)</v>
      </c>
      <c r="D31" t="str">
        <f>"(0.7222)"</f>
        <v>(0.7222)</v>
      </c>
      <c r="E31" t="str">
        <f>"(0.9116)"</f>
        <v>(0.9116)</v>
      </c>
      <c r="F31" t="str">
        <f>""</f>
        <v/>
      </c>
      <c r="G31" t="str">
        <f>"(0.7035)"</f>
        <v>(0.7035)</v>
      </c>
      <c r="H31" t="str">
        <f>"(0.9492)"</f>
        <v>(0.9492)</v>
      </c>
      <c r="I31" t="str">
        <f>"(0.8977)"</f>
        <v>(0.8977)</v>
      </c>
    </row>
    <row r="32" spans="1:9" x14ac:dyDescent="0.25">
      <c r="A32" t="str">
        <f>"domain==healthcare"</f>
        <v>domain==healthcare</v>
      </c>
      <c r="B32" t="str">
        <f>""</f>
        <v/>
      </c>
      <c r="C32" t="str">
        <f>"-0.740"</f>
        <v>-0.740</v>
      </c>
      <c r="D32" t="str">
        <f>"-1.185"</f>
        <v>-1.185</v>
      </c>
      <c r="E32" t="str">
        <f>"0.000"</f>
        <v>0.000</v>
      </c>
      <c r="F32" t="str">
        <f>""</f>
        <v/>
      </c>
      <c r="G32" t="str">
        <f>"-0.908"</f>
        <v>-0.908</v>
      </c>
      <c r="H32" t="str">
        <f>"-1.269"</f>
        <v>-1.269</v>
      </c>
      <c r="I32" t="str">
        <f>"0.000"</f>
        <v>0.000</v>
      </c>
    </row>
    <row r="33" spans="1:9" x14ac:dyDescent="0.25">
      <c r="A33" t="str">
        <f>""</f>
        <v/>
      </c>
      <c r="B33" t="str">
        <f>""</f>
        <v/>
      </c>
      <c r="C33" t="str">
        <f>"(-1.915)"</f>
        <v>(-1.915)</v>
      </c>
      <c r="D33" t="str">
        <f>"(-3.547)"</f>
        <v>(-3.547)</v>
      </c>
      <c r="E33" t="str">
        <f>"(.)"</f>
        <v>(.)</v>
      </c>
      <c r="F33" t="str">
        <f>""</f>
        <v/>
      </c>
      <c r="G33" t="str">
        <f>"(-2.329)"</f>
        <v>(-2.329)</v>
      </c>
      <c r="H33" t="str">
        <f>"(-3.812)"</f>
        <v>(-3.812)</v>
      </c>
      <c r="I33" t="str">
        <f>"(.)"</f>
        <v>(.)</v>
      </c>
    </row>
    <row r="34" spans="1:9" x14ac:dyDescent="0.25">
      <c r="A34" t="str">
        <f>""</f>
        <v/>
      </c>
      <c r="B34" t="str">
        <f>" "</f>
        <v xml:space="preserve"> </v>
      </c>
      <c r="C34" t="str">
        <f>"-1.498 0.017"</f>
        <v>-1.498 0.017</v>
      </c>
      <c r="D34" t="str">
        <f>"-1.840 -0.530"</f>
        <v>-1.840 -0.530</v>
      </c>
      <c r="E34" t="str">
        <f>"0.000 0.000"</f>
        <v>0.000 0.000</v>
      </c>
      <c r="F34" t="str">
        <f>" "</f>
        <v xml:space="preserve"> </v>
      </c>
      <c r="G34" t="str">
        <f>"-1.673 -0.144"</f>
        <v>-1.673 -0.144</v>
      </c>
      <c r="H34" t="str">
        <f>"-1.921 -0.616"</f>
        <v>-1.921 -0.616</v>
      </c>
      <c r="I34" t="str">
        <f>"0.000 0.000"</f>
        <v>0.000 0.000</v>
      </c>
    </row>
    <row r="35" spans="1:9" x14ac:dyDescent="0.25">
      <c r="A35" t="str">
        <f>""</f>
        <v/>
      </c>
      <c r="B35" t="str">
        <f>""</f>
        <v/>
      </c>
      <c r="C35" t="str">
        <f>"(0.0555)"</f>
        <v>(0.0555)</v>
      </c>
      <c r="D35" t="str">
        <f>"(0.0004)"</f>
        <v>(0.0004)</v>
      </c>
      <c r="E35" t="str">
        <f>"(.)"</f>
        <v>(.)</v>
      </c>
      <c r="F35" t="str">
        <f>""</f>
        <v/>
      </c>
      <c r="G35" t="str">
        <f>"(0.0199)"</f>
        <v>(0.0199)</v>
      </c>
      <c r="H35" t="str">
        <f>"(0.0001)"</f>
        <v>(0.0001)</v>
      </c>
      <c r="I35" t="str">
        <f>"(.)"</f>
        <v>(.)</v>
      </c>
    </row>
    <row r="36" spans="1:9" x14ac:dyDescent="0.25">
      <c r="A36" t="str">
        <f>"domain==higher education"</f>
        <v>domain==higher education</v>
      </c>
      <c r="B36" t="str">
        <f>""</f>
        <v/>
      </c>
      <c r="C36" t="str">
        <f>"-0.262"</f>
        <v>-0.262</v>
      </c>
      <c r="D36" t="str">
        <f>"-0.556"</f>
        <v>-0.556</v>
      </c>
      <c r="E36" t="str">
        <f>"-0.236"</f>
        <v>-0.236</v>
      </c>
      <c r="F36" t="str">
        <f>""</f>
        <v/>
      </c>
      <c r="G36" t="str">
        <f>"0.029"</f>
        <v>0.029</v>
      </c>
      <c r="H36" t="str">
        <f>"-0.386"</f>
        <v>-0.386</v>
      </c>
      <c r="I36" t="str">
        <f>"-0.188"</f>
        <v>-0.188</v>
      </c>
    </row>
    <row r="37" spans="1:9" x14ac:dyDescent="0.25">
      <c r="A37" t="str">
        <f>""</f>
        <v/>
      </c>
      <c r="B37" t="str">
        <f>""</f>
        <v/>
      </c>
      <c r="C37" t="str">
        <f>"(-2.116)"</f>
        <v>(-2.116)</v>
      </c>
      <c r="D37" t="str">
        <f>"(-5.014)"</f>
        <v>(-5.014)</v>
      </c>
      <c r="E37" t="str">
        <f>"(-4.596)"</f>
        <v>(-4.596)</v>
      </c>
      <c r="F37" t="str">
        <f>""</f>
        <v/>
      </c>
      <c r="G37" t="str">
        <f>"(0.234)"</f>
        <v>(0.234)</v>
      </c>
      <c r="H37" t="str">
        <f>"(-3.390)"</f>
        <v>(-3.390)</v>
      </c>
      <c r="I37" t="str">
        <f>"(-3.905)"</f>
        <v>(-3.905)</v>
      </c>
    </row>
    <row r="38" spans="1:9" x14ac:dyDescent="0.25">
      <c r="A38" t="str">
        <f>""</f>
        <v/>
      </c>
      <c r="B38" t="str">
        <f>" "</f>
        <v xml:space="preserve"> </v>
      </c>
      <c r="C38" t="str">
        <f>"-0.505 -0.019"</f>
        <v>-0.505 -0.019</v>
      </c>
      <c r="D38" t="str">
        <f>"-0.773 -0.339"</f>
        <v>-0.773 -0.339</v>
      </c>
      <c r="E38" t="str">
        <f>"-0.337 -0.135"</f>
        <v>-0.337 -0.135</v>
      </c>
      <c r="F38" t="str">
        <f>" "</f>
        <v xml:space="preserve"> </v>
      </c>
      <c r="G38" t="str">
        <f>"-0.214 0.272"</f>
        <v>-0.214 0.272</v>
      </c>
      <c r="H38" t="str">
        <f>"-0.609 -0.163"</f>
        <v>-0.609 -0.163</v>
      </c>
      <c r="I38" t="str">
        <f>"-0.283 -0.094"</f>
        <v>-0.283 -0.094</v>
      </c>
    </row>
    <row r="39" spans="1:9" x14ac:dyDescent="0.25">
      <c r="A39" t="str">
        <f>""</f>
        <v/>
      </c>
      <c r="B39" t="str">
        <f>""</f>
        <v/>
      </c>
      <c r="C39" t="str">
        <f>"(0.0343)"</f>
        <v>(0.0343)</v>
      </c>
      <c r="D39" t="str">
        <f>"(0.0000)"</f>
        <v>(0.0000)</v>
      </c>
      <c r="E39" t="str">
        <f>"(0.0000)"</f>
        <v>(0.0000)</v>
      </c>
      <c r="F39" t="str">
        <f>""</f>
        <v/>
      </c>
      <c r="G39" t="str">
        <f>"(0.8153)"</f>
        <v>(0.8153)</v>
      </c>
      <c r="H39" t="str">
        <f>"(0.0007)"</f>
        <v>(0.0007)</v>
      </c>
      <c r="I39" t="str">
        <f>"(0.0001)"</f>
        <v>(0.0001)</v>
      </c>
    </row>
    <row r="40" spans="1:9" x14ac:dyDescent="0.25">
      <c r="A40" t="str">
        <f>"domain==housing market"</f>
        <v>domain==housing market</v>
      </c>
      <c r="B40" t="str">
        <f>""</f>
        <v/>
      </c>
      <c r="C40" t="str">
        <f>"-0.286"</f>
        <v>-0.286</v>
      </c>
      <c r="D40" t="str">
        <f>"-0.221"</f>
        <v>-0.221</v>
      </c>
      <c r="E40" t="str">
        <f>"0.164"</f>
        <v>0.164</v>
      </c>
      <c r="F40" t="str">
        <f>""</f>
        <v/>
      </c>
      <c r="G40" t="str">
        <f>"-0.212"</f>
        <v>-0.212</v>
      </c>
      <c r="H40" t="str">
        <f>"-0.157"</f>
        <v>-0.157</v>
      </c>
      <c r="I40" t="str">
        <f>"0.169"</f>
        <v>0.169</v>
      </c>
    </row>
    <row r="41" spans="1:9" x14ac:dyDescent="0.25">
      <c r="A41" t="str">
        <f>""</f>
        <v/>
      </c>
      <c r="B41" t="str">
        <f>""</f>
        <v/>
      </c>
      <c r="C41" t="str">
        <f>"(-3.763)"</f>
        <v>(-3.763)</v>
      </c>
      <c r="D41" t="str">
        <f>"(-3.244)"</f>
        <v>(-3.244)</v>
      </c>
      <c r="E41" t="str">
        <f>"(6.811)"</f>
        <v>(6.811)</v>
      </c>
      <c r="F41" t="str">
        <f>""</f>
        <v/>
      </c>
      <c r="G41" t="str">
        <f>"(-2.758)"</f>
        <v>(-2.758)</v>
      </c>
      <c r="H41" t="str">
        <f>"(-2.331)"</f>
        <v>(-2.331)</v>
      </c>
      <c r="I41" t="str">
        <f>"(7.581)"</f>
        <v>(7.581)</v>
      </c>
    </row>
    <row r="42" spans="1:9" x14ac:dyDescent="0.25">
      <c r="A42" t="str">
        <f>""</f>
        <v/>
      </c>
      <c r="B42" t="str">
        <f>" "</f>
        <v xml:space="preserve"> </v>
      </c>
      <c r="C42" t="str">
        <f>"-0.436 -0.137"</f>
        <v>-0.436 -0.137</v>
      </c>
      <c r="D42" t="str">
        <f>"-0.354 -0.087"</f>
        <v>-0.354 -0.087</v>
      </c>
      <c r="E42" t="str">
        <f>"0.117 0.211"</f>
        <v>0.117 0.211</v>
      </c>
      <c r="F42" t="str">
        <f>" "</f>
        <v xml:space="preserve"> </v>
      </c>
      <c r="G42" t="str">
        <f>"-0.362 -0.061"</f>
        <v>-0.362 -0.061</v>
      </c>
      <c r="H42" t="str">
        <f>"-0.289 -0.025"</f>
        <v>-0.289 -0.025</v>
      </c>
      <c r="I42" t="str">
        <f>"0.126 0.213"</f>
        <v>0.126 0.213</v>
      </c>
    </row>
    <row r="43" spans="1:9" x14ac:dyDescent="0.25">
      <c r="A43" t="str">
        <f>""</f>
        <v/>
      </c>
      <c r="B43" t="str">
        <f>""</f>
        <v/>
      </c>
      <c r="C43" t="str">
        <f>"(0.0002)"</f>
        <v>(0.0002)</v>
      </c>
      <c r="D43" t="str">
        <f>"(0.0012)"</f>
        <v>(0.0012)</v>
      </c>
      <c r="E43" t="str">
        <f>"(0.0000)"</f>
        <v>(0.0000)</v>
      </c>
      <c r="F43" t="str">
        <f>""</f>
        <v/>
      </c>
      <c r="G43" t="str">
        <f>"(0.0058)"</f>
        <v>(0.0058)</v>
      </c>
      <c r="H43" t="str">
        <f>"(0.0197)"</f>
        <v>(0.0197)</v>
      </c>
      <c r="I43" t="str">
        <f>"(0.0000)"</f>
        <v>(0.0000)</v>
      </c>
    </row>
    <row r="44" spans="1:9" x14ac:dyDescent="0.25">
      <c r="A44" t="str">
        <f>"domain==law enforcement"</f>
        <v>domain==law enforcement</v>
      </c>
      <c r="B44" t="str">
        <f>""</f>
        <v/>
      </c>
      <c r="C44" t="str">
        <f>"-0.302"</f>
        <v>-0.302</v>
      </c>
      <c r="D44" t="str">
        <f>"-0.142"</f>
        <v>-0.142</v>
      </c>
      <c r="E44" t="str">
        <f>"0.171"</f>
        <v>0.171</v>
      </c>
      <c r="F44" t="str">
        <f>""</f>
        <v/>
      </c>
      <c r="G44" t="str">
        <f>"-0.024"</f>
        <v>-0.024</v>
      </c>
      <c r="H44" t="str">
        <f>"0.042"</f>
        <v>0.042</v>
      </c>
      <c r="I44" t="str">
        <f>"0.197"</f>
        <v>0.197</v>
      </c>
    </row>
    <row r="45" spans="1:9" x14ac:dyDescent="0.25">
      <c r="A45" t="str">
        <f>""</f>
        <v/>
      </c>
      <c r="B45" t="str">
        <f>""</f>
        <v/>
      </c>
      <c r="C45" t="str">
        <f>"(-3.734)"</f>
        <v>(-3.734)</v>
      </c>
      <c r="D45" t="str">
        <f>"(-1.010)"</f>
        <v>(-1.010)</v>
      </c>
      <c r="E45" t="str">
        <f>"(3.779)"</f>
        <v>(3.779)</v>
      </c>
      <c r="F45" t="str">
        <f>""</f>
        <v/>
      </c>
      <c r="G45" t="str">
        <f>"(-0.299)"</f>
        <v>(-0.299)</v>
      </c>
      <c r="H45" t="str">
        <f>"(0.305)"</f>
        <v>(0.305)</v>
      </c>
      <c r="I45" t="str">
        <f>"(4.668)"</f>
        <v>(4.668)</v>
      </c>
    </row>
    <row r="46" spans="1:9" x14ac:dyDescent="0.25">
      <c r="A46" t="str">
        <f>""</f>
        <v/>
      </c>
      <c r="B46" t="str">
        <f>" "</f>
        <v xml:space="preserve"> </v>
      </c>
      <c r="C46" t="str">
        <f>"-0.461 -0.144"</f>
        <v>-0.461 -0.144</v>
      </c>
      <c r="D46" t="str">
        <f>"-0.417 0.134"</f>
        <v>-0.417 0.134</v>
      </c>
      <c r="E46" t="str">
        <f>"0.082 0.260"</f>
        <v>0.082 0.260</v>
      </c>
      <c r="F46" t="str">
        <f>" "</f>
        <v xml:space="preserve"> </v>
      </c>
      <c r="G46" t="str">
        <f>"-0.182 0.134"</f>
        <v>-0.182 0.134</v>
      </c>
      <c r="H46" t="str">
        <f>"-0.229 0.313"</f>
        <v>-0.229 0.313</v>
      </c>
      <c r="I46" t="str">
        <f>"0.114 0.280"</f>
        <v>0.114 0.280</v>
      </c>
    </row>
    <row r="47" spans="1:9" x14ac:dyDescent="0.25">
      <c r="A47" t="str">
        <f>""</f>
        <v/>
      </c>
      <c r="B47" t="str">
        <f>""</f>
        <v/>
      </c>
      <c r="C47" t="str">
        <f>"(0.0002)"</f>
        <v>(0.0002)</v>
      </c>
      <c r="D47" t="str">
        <f>"(0.3127)"</f>
        <v>(0.3127)</v>
      </c>
      <c r="E47" t="str">
        <f>"(0.0002)"</f>
        <v>(0.0002)</v>
      </c>
      <c r="F47" t="str">
        <f>""</f>
        <v/>
      </c>
      <c r="G47" t="str">
        <f>"(0.7650)"</f>
        <v>(0.7650)</v>
      </c>
      <c r="H47" t="str">
        <f>"(0.7603)"</f>
        <v>(0.7603)</v>
      </c>
      <c r="I47" t="str">
        <f>"(0.0000)"</f>
        <v>(0.0000)</v>
      </c>
    </row>
    <row r="48" spans="1:9" x14ac:dyDescent="0.25">
      <c r="A48" t="str">
        <f>"domain==mate selection"</f>
        <v>domain==mate selection</v>
      </c>
      <c r="B48" t="str">
        <f>""</f>
        <v/>
      </c>
      <c r="C48" t="str">
        <f>"0.217"</f>
        <v>0.217</v>
      </c>
      <c r="D48" t="str">
        <f>"0.135"</f>
        <v>0.135</v>
      </c>
      <c r="E48" t="str">
        <f>"0.510"</f>
        <v>0.510</v>
      </c>
      <c r="F48" t="str">
        <f>""</f>
        <v/>
      </c>
      <c r="G48" t="str">
        <f>"0.145"</f>
        <v>0.145</v>
      </c>
      <c r="H48" t="str">
        <f>"0.147"</f>
        <v>0.147</v>
      </c>
      <c r="I48" t="str">
        <f>"0.513"</f>
        <v>0.513</v>
      </c>
    </row>
    <row r="49" spans="1:9" x14ac:dyDescent="0.25">
      <c r="A49" t="str">
        <f>""</f>
        <v/>
      </c>
      <c r="B49" t="str">
        <f>""</f>
        <v/>
      </c>
      <c r="C49" t="str">
        <f>"(2.505)"</f>
        <v>(2.505)</v>
      </c>
      <c r="D49" t="str">
        <f>"(1.516)"</f>
        <v>(1.516)</v>
      </c>
      <c r="E49" t="str">
        <f>"(17.154)"</f>
        <v>(17.154)</v>
      </c>
      <c r="F49" t="str">
        <f>""</f>
        <v/>
      </c>
      <c r="G49" t="str">
        <f>"(1.686)"</f>
        <v>(1.686)</v>
      </c>
      <c r="H49" t="str">
        <f>"(1.672)"</f>
        <v>(1.672)</v>
      </c>
      <c r="I49" t="str">
        <f>"(18.762)"</f>
        <v>(18.762)</v>
      </c>
    </row>
    <row r="50" spans="1:9" x14ac:dyDescent="0.25">
      <c r="A50" t="str">
        <f>""</f>
        <v/>
      </c>
      <c r="B50" t="str">
        <f>" "</f>
        <v xml:space="preserve"> </v>
      </c>
      <c r="C50" t="str">
        <f>"0.047 0.387"</f>
        <v>0.047 0.387</v>
      </c>
      <c r="D50" t="str">
        <f>"-0.039 0.309"</f>
        <v>-0.039 0.309</v>
      </c>
      <c r="E50" t="str">
        <f>"0.452 0.569"</f>
        <v>0.452 0.569</v>
      </c>
      <c r="F50" t="str">
        <f>" "</f>
        <v xml:space="preserve"> </v>
      </c>
      <c r="G50" t="str">
        <f>"-0.024 0.314"</f>
        <v>-0.024 0.314</v>
      </c>
      <c r="H50" t="str">
        <f>"-0.025 0.320"</f>
        <v>-0.025 0.320</v>
      </c>
      <c r="I50" t="str">
        <f>"0.459 0.566"</f>
        <v>0.459 0.566</v>
      </c>
    </row>
    <row r="51" spans="1:9" x14ac:dyDescent="0.25">
      <c r="A51" t="str">
        <f>""</f>
        <v/>
      </c>
      <c r="B51" t="str">
        <f>""</f>
        <v/>
      </c>
      <c r="C51" t="str">
        <f>"(0.0123)"</f>
        <v>(0.0123)</v>
      </c>
      <c r="D51" t="str">
        <f>"(0.1296)"</f>
        <v>(0.1296)</v>
      </c>
      <c r="E51" t="str">
        <f>"(0.0000)"</f>
        <v>(0.0000)</v>
      </c>
      <c r="F51" t="str">
        <f>""</f>
        <v/>
      </c>
      <c r="G51" t="str">
        <f>"(0.0919)"</f>
        <v>(0.0919)</v>
      </c>
      <c r="H51" t="str">
        <f>"(0.0945)"</f>
        <v>(0.0945)</v>
      </c>
      <c r="I51" t="str">
        <f>"(0.0000)"</f>
        <v>(0.0000)</v>
      </c>
    </row>
    <row r="52" spans="1:9" x14ac:dyDescent="0.25">
      <c r="A52" t="str">
        <f>"domain==retail"</f>
        <v>domain==retail</v>
      </c>
      <c r="B52" t="str">
        <f>""</f>
        <v/>
      </c>
      <c r="C52" t="str">
        <f>"-0.596"</f>
        <v>-0.596</v>
      </c>
      <c r="D52" t="str">
        <f>"-0.183"</f>
        <v>-0.183</v>
      </c>
      <c r="E52" t="str">
        <f>"0.282"</f>
        <v>0.282</v>
      </c>
      <c r="F52" t="str">
        <f>""</f>
        <v/>
      </c>
      <c r="G52" t="str">
        <f>"-0.333"</f>
        <v>-0.333</v>
      </c>
      <c r="H52" t="str">
        <f>"-0.054"</f>
        <v>-0.054</v>
      </c>
      <c r="I52" t="str">
        <f>"0.302"</f>
        <v>0.302</v>
      </c>
    </row>
    <row r="53" spans="1:9" x14ac:dyDescent="0.25">
      <c r="A53" t="str">
        <f>""</f>
        <v/>
      </c>
      <c r="B53" t="str">
        <f>""</f>
        <v/>
      </c>
      <c r="C53" t="str">
        <f>"(-2.847)"</f>
        <v>(-2.847)</v>
      </c>
      <c r="D53" t="str">
        <f>"(-0.985)"</f>
        <v>(-0.985)</v>
      </c>
      <c r="E53" t="str">
        <f>"(3.360)"</f>
        <v>(3.360)</v>
      </c>
      <c r="F53" t="str">
        <f>""</f>
        <v/>
      </c>
      <c r="G53" t="str">
        <f>"(-1.585)"</f>
        <v>(-1.585)</v>
      </c>
      <c r="H53" t="str">
        <f>"(-0.294)"</f>
        <v>(-0.294)</v>
      </c>
      <c r="I53" t="str">
        <f>"(3.855)"</f>
        <v>(3.855)</v>
      </c>
    </row>
    <row r="54" spans="1:9" x14ac:dyDescent="0.25">
      <c r="A54" t="str">
        <f>""</f>
        <v/>
      </c>
      <c r="B54" t="str">
        <f>" "</f>
        <v xml:space="preserve"> </v>
      </c>
      <c r="C54" t="str">
        <f>"-1.007 -0.186"</f>
        <v>-1.007 -0.186</v>
      </c>
      <c r="D54" t="str">
        <f>"-0.546 0.181"</f>
        <v>-0.546 0.181</v>
      </c>
      <c r="E54" t="str">
        <f>"0.117 0.446"</f>
        <v>0.117 0.446</v>
      </c>
      <c r="F54" t="str">
        <f>" "</f>
        <v xml:space="preserve"> </v>
      </c>
      <c r="G54" t="str">
        <f>"-0.744 0.079"</f>
        <v>-0.744 0.079</v>
      </c>
      <c r="H54" t="str">
        <f>"-0.411 0.304"</f>
        <v>-0.411 0.304</v>
      </c>
      <c r="I54" t="str">
        <f>"0.148 0.455"</f>
        <v>0.148 0.455</v>
      </c>
    </row>
    <row r="55" spans="1:9" x14ac:dyDescent="0.25">
      <c r="A55" t="str">
        <f>""</f>
        <v/>
      </c>
      <c r="B55" t="str">
        <f>""</f>
        <v/>
      </c>
      <c r="C55" t="str">
        <f>"(0.0044)"</f>
        <v>(0.0044)</v>
      </c>
      <c r="D55" t="str">
        <f>"(0.3246)"</f>
        <v>(0.3246)</v>
      </c>
      <c r="E55" t="str">
        <f>"(0.0008)"</f>
        <v>(0.0008)</v>
      </c>
      <c r="F55" t="str">
        <f>""</f>
        <v/>
      </c>
      <c r="G55" t="str">
        <f>"(0.1131)"</f>
        <v>(0.1131)</v>
      </c>
      <c r="H55" t="str">
        <f>"(0.7688)"</f>
        <v>(0.7688)</v>
      </c>
      <c r="I55" t="str">
        <f>"(0.0001)"</f>
        <v>(0.0001)</v>
      </c>
    </row>
    <row r="56" spans="1:9" x14ac:dyDescent="0.25">
      <c r="A56" t="str">
        <f>"domain==transportation"</f>
        <v>domain==transportation</v>
      </c>
      <c r="B56" t="str">
        <f>""</f>
        <v/>
      </c>
      <c r="C56" t="str">
        <f>"-0.195"</f>
        <v>-0.195</v>
      </c>
      <c r="D56" t="str">
        <f>"-0.081"</f>
        <v>-0.081</v>
      </c>
      <c r="E56" t="str">
        <f>"0.108"</f>
        <v>0.108</v>
      </c>
      <c r="F56" t="str">
        <f>""</f>
        <v/>
      </c>
      <c r="G56" t="str">
        <f>"0.177"</f>
        <v>0.177</v>
      </c>
      <c r="H56" t="str">
        <f>"0.078"</f>
        <v>0.078</v>
      </c>
      <c r="I56" t="str">
        <f>"0.156"</f>
        <v>0.156</v>
      </c>
    </row>
    <row r="57" spans="1:9" x14ac:dyDescent="0.25">
      <c r="A57" t="str">
        <f>""</f>
        <v/>
      </c>
      <c r="B57" t="str">
        <f>""</f>
        <v/>
      </c>
      <c r="C57" t="str">
        <f>"(-0.359)"</f>
        <v>(-0.359)</v>
      </c>
      <c r="D57" t="str">
        <f>"(-0.172)"</f>
        <v>(-0.172)</v>
      </c>
      <c r="E57" t="str">
        <f>"(0.752)"</f>
        <v>(0.752)</v>
      </c>
      <c r="F57" t="str">
        <f>""</f>
        <v/>
      </c>
      <c r="G57" t="str">
        <f>"(0.325)"</f>
        <v>(0.325)</v>
      </c>
      <c r="H57" t="str">
        <f>"(0.166)"</f>
        <v>(0.166)</v>
      </c>
      <c r="I57" t="str">
        <f>"(1.163)"</f>
        <v>(1.163)</v>
      </c>
    </row>
    <row r="58" spans="1:9" x14ac:dyDescent="0.25">
      <c r="A58" t="str">
        <f>""</f>
        <v/>
      </c>
      <c r="B58" t="str">
        <f>" "</f>
        <v xml:space="preserve"> </v>
      </c>
      <c r="C58" t="str">
        <f>"-1.258 0.869"</f>
        <v>-1.258 0.869</v>
      </c>
      <c r="D58" t="str">
        <f>"-1.011 0.848"</f>
        <v>-1.011 0.848</v>
      </c>
      <c r="E58" t="str">
        <f>"-0.173 0.389"</f>
        <v>-0.173 0.389</v>
      </c>
      <c r="F58" t="str">
        <f>" "</f>
        <v xml:space="preserve"> </v>
      </c>
      <c r="G58" t="str">
        <f>"-0.893 1.247"</f>
        <v>-0.893 1.247</v>
      </c>
      <c r="H58" t="str">
        <f>"-0.847 1.003"</f>
        <v>-0.847 1.003</v>
      </c>
      <c r="I58" t="str">
        <f>"-0.107 0.418"</f>
        <v>-0.107 0.418</v>
      </c>
    </row>
    <row r="59" spans="1:9" x14ac:dyDescent="0.25">
      <c r="A59" t="str">
        <f>""</f>
        <v/>
      </c>
      <c r="B59" t="str">
        <f>""</f>
        <v/>
      </c>
      <c r="C59" t="str">
        <f>"(0.7199)"</f>
        <v>(0.7199)</v>
      </c>
      <c r="D59" t="str">
        <f>"(0.8638)"</f>
        <v>(0.8638)</v>
      </c>
      <c r="E59" t="str">
        <f>"(0.4521)"</f>
        <v>(0.4521)</v>
      </c>
      <c r="F59" t="str">
        <f>""</f>
        <v/>
      </c>
      <c r="G59" t="str">
        <f>"(0.7454)"</f>
        <v>(0.7454)</v>
      </c>
      <c r="H59" t="str">
        <f>"(0.8684)"</f>
        <v>(0.8684)</v>
      </c>
      <c r="I59" t="str">
        <f>"(0.2446)"</f>
        <v>(0.2446)</v>
      </c>
    </row>
    <row r="60" spans="1:9" x14ac:dyDescent="0.25">
      <c r="A60" t="str">
        <f>"domain==voting"</f>
        <v>domain==voting</v>
      </c>
      <c r="B60" t="str">
        <f>""</f>
        <v/>
      </c>
      <c r="C60" t="str">
        <f>"-0.545"</f>
        <v>-0.545</v>
      </c>
      <c r="D60" t="str">
        <f>"-0.723"</f>
        <v>-0.723</v>
      </c>
      <c r="E60" t="str">
        <f>"0.306"</f>
        <v>0.306</v>
      </c>
      <c r="F60" t="str">
        <f>""</f>
        <v/>
      </c>
      <c r="G60" t="str">
        <f>"-0.411"</f>
        <v>-0.411</v>
      </c>
      <c r="H60" t="str">
        <f>"-0.632"</f>
        <v>-0.632</v>
      </c>
      <c r="I60" t="str">
        <f>"0.304"</f>
        <v>0.304</v>
      </c>
    </row>
    <row r="61" spans="1:9" x14ac:dyDescent="0.25">
      <c r="A61" t="str">
        <f>""</f>
        <v/>
      </c>
      <c r="B61" t="str">
        <f>""</f>
        <v/>
      </c>
      <c r="C61" t="str">
        <f>"(-5.418)"</f>
        <v>(-5.418)</v>
      </c>
      <c r="D61" t="str">
        <f>"(-7.657)"</f>
        <v>(-7.657)</v>
      </c>
      <c r="E61" t="str">
        <f>"(7.586)"</f>
        <v>(7.586)</v>
      </c>
      <c r="F61" t="str">
        <f>""</f>
        <v/>
      </c>
      <c r="G61" t="str">
        <f>"(-4.080)"</f>
        <v>(-4.080)</v>
      </c>
      <c r="H61" t="str">
        <f>"(-6.662)"</f>
        <v>(-6.662)</v>
      </c>
      <c r="I61" t="str">
        <f>"(8.218)"</f>
        <v>(8.218)</v>
      </c>
    </row>
    <row r="62" spans="1:9" x14ac:dyDescent="0.25">
      <c r="A62" t="str">
        <f>""</f>
        <v/>
      </c>
      <c r="B62" t="str">
        <f>" "</f>
        <v xml:space="preserve"> </v>
      </c>
      <c r="C62" t="str">
        <f>"-0.742 -0.348"</f>
        <v>-0.742 -0.348</v>
      </c>
      <c r="D62" t="str">
        <f>"-0.908 -0.538"</f>
        <v>-0.908 -0.538</v>
      </c>
      <c r="E62" t="str">
        <f>"0.227 0.385"</f>
        <v>0.227 0.385</v>
      </c>
      <c r="F62" t="str">
        <f>" "</f>
        <v xml:space="preserve"> </v>
      </c>
      <c r="G62" t="str">
        <f>"-0.609 -0.214"</f>
        <v>-0.609 -0.214</v>
      </c>
      <c r="H62" t="str">
        <f>"-0.818 -0.446"</f>
        <v>-0.818 -0.446</v>
      </c>
      <c r="I62" t="str">
        <f>"0.232 0.377"</f>
        <v>0.232 0.377</v>
      </c>
    </row>
    <row r="63" spans="1:9" x14ac:dyDescent="0.25">
      <c r="A63" t="str">
        <f>""</f>
        <v/>
      </c>
      <c r="B63" t="str">
        <f>""</f>
        <v/>
      </c>
      <c r="C63" t="str">
        <f>"(0.0000)"</f>
        <v>(0.0000)</v>
      </c>
      <c r="D63" t="str">
        <f>"(0.0000)"</f>
        <v>(0.0000)</v>
      </c>
      <c r="E63" t="str">
        <f>"(0.0000)"</f>
        <v>(0.0000)</v>
      </c>
      <c r="F63" t="str">
        <f>""</f>
        <v/>
      </c>
      <c r="G63" t="str">
        <f>"(0.0000)"</f>
        <v>(0.0000)</v>
      </c>
      <c r="H63" t="str">
        <f>"(0.0000)"</f>
        <v>(0.0000)</v>
      </c>
      <c r="I63" t="str">
        <f>"(0.0000)"</f>
        <v>(0.0000)</v>
      </c>
    </row>
    <row r="64" spans="1:9" x14ac:dyDescent="0.25">
      <c r="A64" t="str">
        <f>"Uses stereotypical Black names to indicate race"</f>
        <v>Uses stereotypical Black names to indicate race</v>
      </c>
      <c r="B64" t="str">
        <f>""</f>
        <v/>
      </c>
      <c r="C64" t="str">
        <f>""</f>
        <v/>
      </c>
      <c r="D64" t="str">
        <f>"-0.044"</f>
        <v>-0.044</v>
      </c>
      <c r="E64" t="str">
        <f>"0.098"</f>
        <v>0.098</v>
      </c>
      <c r="F64" t="str">
        <f>""</f>
        <v/>
      </c>
      <c r="G64" t="str">
        <f>""</f>
        <v/>
      </c>
      <c r="H64" t="str">
        <f>"0.094"</f>
        <v>0.094</v>
      </c>
      <c r="I64" t="str">
        <f>"0.139"</f>
        <v>0.139</v>
      </c>
    </row>
    <row r="65" spans="1:9" x14ac:dyDescent="0.25">
      <c r="A65" t="str">
        <f>""</f>
        <v/>
      </c>
      <c r="B65" t="str">
        <f>""</f>
        <v/>
      </c>
      <c r="C65" t="str">
        <f>""</f>
        <v/>
      </c>
      <c r="D65" t="str">
        <f>"(-0.328)"</f>
        <v>(-0.328)</v>
      </c>
      <c r="E65" t="str">
        <f>"(2.376)"</f>
        <v>(2.376)</v>
      </c>
      <c r="F65" t="str">
        <f>""</f>
        <v/>
      </c>
      <c r="G65" t="str">
        <f>""</f>
        <v/>
      </c>
      <c r="H65" t="str">
        <f>"(0.715)"</f>
        <v>(0.715)</v>
      </c>
      <c r="I65" t="str">
        <f>"(3.566)"</f>
        <v>(3.566)</v>
      </c>
    </row>
    <row r="66" spans="1:9" x14ac:dyDescent="0.25">
      <c r="A66" t="str">
        <f>""</f>
        <v/>
      </c>
      <c r="B66" t="str">
        <f>" "</f>
        <v xml:space="preserve"> </v>
      </c>
      <c r="C66" t="str">
        <f>" "</f>
        <v xml:space="preserve"> </v>
      </c>
      <c r="D66" t="str">
        <f>"-0.304 0.217"</f>
        <v>-0.304 0.217</v>
      </c>
      <c r="E66" t="str">
        <f>"0.017 0.179"</f>
        <v>0.017 0.179</v>
      </c>
      <c r="F66" t="str">
        <f>" "</f>
        <v xml:space="preserve"> </v>
      </c>
      <c r="G66" t="str">
        <f>" "</f>
        <v xml:space="preserve"> </v>
      </c>
      <c r="H66" t="str">
        <f>"-0.164 0.353"</f>
        <v>-0.164 0.353</v>
      </c>
      <c r="I66" t="str">
        <f>"0.062 0.215"</f>
        <v>0.062 0.215</v>
      </c>
    </row>
    <row r="67" spans="1:9" x14ac:dyDescent="0.25">
      <c r="A67" t="str">
        <f>""</f>
        <v/>
      </c>
      <c r="B67" t="str">
        <f>""</f>
        <v/>
      </c>
      <c r="C67" t="str">
        <f>""</f>
        <v/>
      </c>
      <c r="D67" t="str">
        <f>"(0.7430)"</f>
        <v>(0.7430)</v>
      </c>
      <c r="E67" t="str">
        <f>"(0.0175)"</f>
        <v>(0.0175)</v>
      </c>
      <c r="F67" t="str">
        <f>""</f>
        <v/>
      </c>
      <c r="G67" t="str">
        <f>""</f>
        <v/>
      </c>
      <c r="H67" t="str">
        <f>"(0.4744)"</f>
        <v>(0.4744)</v>
      </c>
      <c r="I67" t="str">
        <f>"(0.0004)"</f>
        <v>(0.0004)</v>
      </c>
    </row>
    <row r="68" spans="1:9" x14ac:dyDescent="0.25">
      <c r="A68" t="str">
        <f>"Uses experimental audit or similar method"</f>
        <v>Uses experimental audit or similar method</v>
      </c>
      <c r="B68" t="str">
        <f>""</f>
        <v/>
      </c>
      <c r="C68" t="str">
        <f>""</f>
        <v/>
      </c>
      <c r="D68" t="str">
        <f>"-0.257"</f>
        <v>-0.257</v>
      </c>
      <c r="E68" t="str">
        <f>"0.068"</f>
        <v>0.068</v>
      </c>
      <c r="F68" t="str">
        <f>""</f>
        <v/>
      </c>
      <c r="G68" t="str">
        <f>""</f>
        <v/>
      </c>
      <c r="H68" t="str">
        <f>"-0.179"</f>
        <v>-0.179</v>
      </c>
      <c r="I68" t="str">
        <f>"0.069"</f>
        <v>0.069</v>
      </c>
    </row>
    <row r="69" spans="1:9" x14ac:dyDescent="0.25">
      <c r="A69" t="str">
        <f>""</f>
        <v/>
      </c>
      <c r="B69" t="str">
        <f>""</f>
        <v/>
      </c>
      <c r="C69" t="str">
        <f>""</f>
        <v/>
      </c>
      <c r="D69" t="str">
        <f>"(-2.224)"</f>
        <v>(-2.224)</v>
      </c>
      <c r="E69" t="str">
        <f>"(1.757)"</f>
        <v>(1.757)</v>
      </c>
      <c r="F69" t="str">
        <f>""</f>
        <v/>
      </c>
      <c r="G69" t="str">
        <f>""</f>
        <v/>
      </c>
      <c r="H69" t="str">
        <f>"(-1.582)"</f>
        <v>(-1.582)</v>
      </c>
      <c r="I69" t="str">
        <f>"(1.969)"</f>
        <v>(1.969)</v>
      </c>
    </row>
    <row r="70" spans="1:9" x14ac:dyDescent="0.25">
      <c r="A70" t="str">
        <f>""</f>
        <v/>
      </c>
      <c r="B70" t="str">
        <f>" "</f>
        <v xml:space="preserve"> </v>
      </c>
      <c r="C70" t="str">
        <f>" "</f>
        <v xml:space="preserve"> </v>
      </c>
      <c r="D70" t="str">
        <f>"-0.483 -0.030"</f>
        <v>-0.483 -0.030</v>
      </c>
      <c r="E70" t="str">
        <f>"-0.008 0.143"</f>
        <v>-0.008 0.143</v>
      </c>
      <c r="F70" t="str">
        <f>" "</f>
        <v xml:space="preserve"> </v>
      </c>
      <c r="G70" t="str">
        <f>" "</f>
        <v xml:space="preserve"> </v>
      </c>
      <c r="H70" t="str">
        <f>"-0.401 0.043"</f>
        <v>-0.401 0.043</v>
      </c>
      <c r="I70" t="str">
        <f>"0.000 0.137"</f>
        <v>0.000 0.137</v>
      </c>
    </row>
    <row r="71" spans="1:9" x14ac:dyDescent="0.25">
      <c r="A71" t="str">
        <f>""</f>
        <v/>
      </c>
      <c r="B71" t="str">
        <f>""</f>
        <v/>
      </c>
      <c r="C71" t="str">
        <f>""</f>
        <v/>
      </c>
      <c r="D71" t="str">
        <f>"(0.0261)"</f>
        <v>(0.0261)</v>
      </c>
      <c r="E71" t="str">
        <f>"(0.0788)"</f>
        <v>(0.0788)</v>
      </c>
      <c r="F71" t="str">
        <f>""</f>
        <v/>
      </c>
      <c r="G71" t="str">
        <f>""</f>
        <v/>
      </c>
      <c r="H71" t="str">
        <f>"(0.1136)"</f>
        <v>(0.1136)</v>
      </c>
      <c r="I71" t="str">
        <f>"(0.0490)"</f>
        <v>(0.0490)</v>
      </c>
    </row>
    <row r="72" spans="1:9" x14ac:dyDescent="0.25">
      <c r="A72" t="str">
        <f>"Adjusts for decision-level variables"</f>
        <v>Adjusts for decision-level variables</v>
      </c>
      <c r="B72" t="str">
        <f>""</f>
        <v/>
      </c>
      <c r="C72" t="str">
        <f>""</f>
        <v/>
      </c>
      <c r="D72" t="str">
        <f>"-0.241"</f>
        <v>-0.241</v>
      </c>
      <c r="E72" t="str">
        <f>"0.011"</f>
        <v>0.011</v>
      </c>
      <c r="F72" t="str">
        <f>""</f>
        <v/>
      </c>
      <c r="G72" t="str">
        <f>""</f>
        <v/>
      </c>
      <c r="H72" t="str">
        <f>"-0.262"</f>
        <v>-0.262</v>
      </c>
      <c r="I72" t="str">
        <f>"0.003"</f>
        <v>0.003</v>
      </c>
    </row>
    <row r="73" spans="1:9" x14ac:dyDescent="0.25">
      <c r="A73" t="str">
        <f>""</f>
        <v/>
      </c>
      <c r="B73" t="str">
        <f>""</f>
        <v/>
      </c>
      <c r="C73" t="str">
        <f>""</f>
        <v/>
      </c>
      <c r="D73" t="str">
        <f>"(-3.148)"</f>
        <v>(-3.148)</v>
      </c>
      <c r="E73" t="str">
        <f>"(0.439)"</f>
        <v>(0.439)</v>
      </c>
      <c r="F73" t="str">
        <f>""</f>
        <v/>
      </c>
      <c r="G73" t="str">
        <f>""</f>
        <v/>
      </c>
      <c r="H73" t="str">
        <f>"(-3.519)"</f>
        <v>(-3.519)</v>
      </c>
      <c r="I73" t="str">
        <f>"(0.114)"</f>
        <v>(0.114)</v>
      </c>
    </row>
    <row r="74" spans="1:9" x14ac:dyDescent="0.25">
      <c r="A74" t="str">
        <f>""</f>
        <v/>
      </c>
      <c r="B74" t="str">
        <f>" "</f>
        <v xml:space="preserve"> </v>
      </c>
      <c r="C74" t="str">
        <f>" "</f>
        <v xml:space="preserve"> </v>
      </c>
      <c r="D74" t="str">
        <f>"-0.392 -0.091"</f>
        <v>-0.392 -0.091</v>
      </c>
      <c r="E74" t="str">
        <f>"-0.040 0.062"</f>
        <v>-0.040 0.062</v>
      </c>
      <c r="F74" t="str">
        <f>" "</f>
        <v xml:space="preserve"> </v>
      </c>
      <c r="G74" t="str">
        <f>" "</f>
        <v xml:space="preserve"> </v>
      </c>
      <c r="H74" t="str">
        <f>"-0.407 -0.116"</f>
        <v>-0.407 -0.116</v>
      </c>
      <c r="I74" t="str">
        <f>"-0.044 0.049"</f>
        <v>-0.044 0.049</v>
      </c>
    </row>
    <row r="75" spans="1:9" x14ac:dyDescent="0.25">
      <c r="A75" t="str">
        <f>""</f>
        <v/>
      </c>
      <c r="B75" t="str">
        <f>""</f>
        <v/>
      </c>
      <c r="C75" t="str">
        <f>""</f>
        <v/>
      </c>
      <c r="D75" t="str">
        <f>"(0.0016)"</f>
        <v>(0.0016)</v>
      </c>
      <c r="E75" t="str">
        <f>"(0.6607)"</f>
        <v>(0.6607)</v>
      </c>
      <c r="F75" t="str">
        <f>""</f>
        <v/>
      </c>
      <c r="G75" t="str">
        <f>""</f>
        <v/>
      </c>
      <c r="H75" t="str">
        <f>"(0.0004)"</f>
        <v>(0.0004)</v>
      </c>
      <c r="I75" t="str">
        <f>"(0.9090)"</f>
        <v>(0.9090)</v>
      </c>
    </row>
    <row r="76" spans="1:9" x14ac:dyDescent="0.25">
      <c r="A76" t="str">
        <f>"Uses observed disparity to indicate discrimination"</f>
        <v>Uses observed disparity to indicate discrimination</v>
      </c>
      <c r="B76" t="str">
        <f>""</f>
        <v/>
      </c>
      <c r="C76" t="str">
        <f>""</f>
        <v/>
      </c>
      <c r="D76" t="str">
        <f>"-0.025"</f>
        <v>-0.025</v>
      </c>
      <c r="E76" t="str">
        <f>"0.009"</f>
        <v>0.009</v>
      </c>
      <c r="F76" t="str">
        <f>""</f>
        <v/>
      </c>
      <c r="G76" t="str">
        <f>""</f>
        <v/>
      </c>
      <c r="H76" t="str">
        <f>"-0.128"</f>
        <v>-0.128</v>
      </c>
      <c r="I76" t="str">
        <f>""</f>
        <v/>
      </c>
    </row>
    <row r="77" spans="1:9" x14ac:dyDescent="0.25">
      <c r="A77" t="str">
        <f>""</f>
        <v/>
      </c>
      <c r="B77" t="str">
        <f>""</f>
        <v/>
      </c>
      <c r="C77" t="str">
        <f>""</f>
        <v/>
      </c>
      <c r="D77" t="str">
        <f>"(-0.122)"</f>
        <v>(-0.122)</v>
      </c>
      <c r="E77" t="str">
        <f>"(0.065)"</f>
        <v>(0.065)</v>
      </c>
      <c r="F77" t="str">
        <f>""</f>
        <v/>
      </c>
      <c r="G77" t="str">
        <f>""</f>
        <v/>
      </c>
      <c r="H77" t="str">
        <f>"(-0.633)"</f>
        <v>(-0.633)</v>
      </c>
      <c r="I77" t="str">
        <f>""</f>
        <v/>
      </c>
    </row>
    <row r="78" spans="1:9" x14ac:dyDescent="0.25">
      <c r="A78" t="str">
        <f>""</f>
        <v/>
      </c>
      <c r="B78" t="str">
        <f>" "</f>
        <v xml:space="preserve"> </v>
      </c>
      <c r="C78" t="str">
        <f>" "</f>
        <v xml:space="preserve"> </v>
      </c>
      <c r="D78" t="str">
        <f>"-0.425 0.375"</f>
        <v>-0.425 0.375</v>
      </c>
      <c r="E78" t="str">
        <f>"-0.269 0.287"</f>
        <v>-0.269 0.287</v>
      </c>
      <c r="F78" t="str">
        <f>" "</f>
        <v xml:space="preserve"> </v>
      </c>
      <c r="G78" t="str">
        <f>" "</f>
        <v xml:space="preserve"> </v>
      </c>
      <c r="H78" t="str">
        <f>"-0.525 0.269"</f>
        <v>-0.525 0.269</v>
      </c>
      <c r="I78" t="str">
        <f>" "</f>
        <v xml:space="preserve"> </v>
      </c>
    </row>
    <row r="79" spans="1:9" x14ac:dyDescent="0.25">
      <c r="A79" t="str">
        <f>""</f>
        <v/>
      </c>
      <c r="B79" t="str">
        <f>""</f>
        <v/>
      </c>
      <c r="C79" t="str">
        <f>""</f>
        <v/>
      </c>
      <c r="D79" t="str">
        <f>"(0.9030)"</f>
        <v>(0.9030)</v>
      </c>
      <c r="E79" t="str">
        <f>"(0.9478)"</f>
        <v>(0.9478)</v>
      </c>
      <c r="F79" t="str">
        <f>""</f>
        <v/>
      </c>
      <c r="G79" t="str">
        <f>""</f>
        <v/>
      </c>
      <c r="H79" t="str">
        <f>"(0.5267)"</f>
        <v>(0.5267)</v>
      </c>
      <c r="I79" t="str">
        <f>""</f>
        <v/>
      </c>
    </row>
    <row r="80" spans="1:9" x14ac:dyDescent="0.25">
      <c r="A80" t="str">
        <f>"Uses intitutional policies to measure discrimination"</f>
        <v>Uses intitutional policies to measure discrimination</v>
      </c>
      <c r="B80" t="str">
        <f>""</f>
        <v/>
      </c>
      <c r="C80" t="str">
        <f>""</f>
        <v/>
      </c>
      <c r="D80" t="str">
        <f>"1.080"</f>
        <v>1.080</v>
      </c>
      <c r="E80" t="str">
        <f>"-0.130"</f>
        <v>-0.130</v>
      </c>
      <c r="F80" t="str">
        <f>""</f>
        <v/>
      </c>
      <c r="G80" t="str">
        <f>""</f>
        <v/>
      </c>
      <c r="H80" t="str">
        <f>"1.078"</f>
        <v>1.078</v>
      </c>
      <c r="I80" t="str">
        <f>"-0.180"</f>
        <v>-0.180</v>
      </c>
    </row>
    <row r="81" spans="1:9" x14ac:dyDescent="0.25">
      <c r="A81" t="str">
        <f>""</f>
        <v/>
      </c>
      <c r="B81" t="str">
        <f>""</f>
        <v/>
      </c>
      <c r="C81" t="str">
        <f>""</f>
        <v/>
      </c>
      <c r="D81" t="str">
        <f>"(11.389)"</f>
        <v>(11.389)</v>
      </c>
      <c r="E81" t="str">
        <f>"(-1.594)"</f>
        <v>(-1.594)</v>
      </c>
      <c r="F81" t="str">
        <f>""</f>
        <v/>
      </c>
      <c r="G81" t="str">
        <f>""</f>
        <v/>
      </c>
      <c r="H81" t="str">
        <f>"(11.606)"</f>
        <v>(11.606)</v>
      </c>
      <c r="I81" t="str">
        <f>"(-2.367)"</f>
        <v>(-2.367)</v>
      </c>
    </row>
    <row r="82" spans="1:9" x14ac:dyDescent="0.25">
      <c r="A82" t="str">
        <f>""</f>
        <v/>
      </c>
      <c r="B82" t="str">
        <f>" "</f>
        <v xml:space="preserve"> </v>
      </c>
      <c r="C82" t="str">
        <f>" "</f>
        <v xml:space="preserve"> </v>
      </c>
      <c r="D82" t="str">
        <f>"0.894 1.266"</f>
        <v>0.894 1.266</v>
      </c>
      <c r="E82" t="str">
        <f>"-0.290 0.030"</f>
        <v>-0.290 0.030</v>
      </c>
      <c r="F82" t="str">
        <f>" "</f>
        <v xml:space="preserve"> </v>
      </c>
      <c r="G82" t="str">
        <f>" "</f>
        <v xml:space="preserve"> </v>
      </c>
      <c r="H82" t="str">
        <f>"0.896 1.260"</f>
        <v>0.896 1.260</v>
      </c>
      <c r="I82" t="str">
        <f>"-0.328 -0.031"</f>
        <v>-0.328 -0.031</v>
      </c>
    </row>
    <row r="83" spans="1:9" x14ac:dyDescent="0.25">
      <c r="A83" t="str">
        <f>""</f>
        <v/>
      </c>
      <c r="B83" t="str">
        <f>""</f>
        <v/>
      </c>
      <c r="C83" t="str">
        <f>""</f>
        <v/>
      </c>
      <c r="D83" t="str">
        <f>"(0.0000)"</f>
        <v>(0.0000)</v>
      </c>
      <c r="E83" t="str">
        <f>"(0.1109)"</f>
        <v>(0.1109)</v>
      </c>
      <c r="F83" t="str">
        <f>""</f>
        <v/>
      </c>
      <c r="G83" t="str">
        <f>""</f>
        <v/>
      </c>
      <c r="H83" t="str">
        <f>"(0.0000)"</f>
        <v>(0.0000)</v>
      </c>
      <c r="I83" t="str">
        <f>"(0.0179)"</f>
        <v>(0.0179)</v>
      </c>
    </row>
    <row r="84" spans="1:9" x14ac:dyDescent="0.25">
      <c r="A84" t="str">
        <f>"Uses success rate differences to indicate discrimination"</f>
        <v>Uses success rate differences to indicate discrimination</v>
      </c>
      <c r="B84" t="str">
        <f>""</f>
        <v/>
      </c>
      <c r="C84" t="str">
        <f>""</f>
        <v/>
      </c>
      <c r="D84" t="str">
        <f>"-0.265"</f>
        <v>-0.265</v>
      </c>
      <c r="E84" t="str">
        <f>"-0.053"</f>
        <v>-0.053</v>
      </c>
      <c r="F84" t="str">
        <f>""</f>
        <v/>
      </c>
      <c r="G84" t="str">
        <f>""</f>
        <v/>
      </c>
      <c r="H84" t="str">
        <f>"-0.259"</f>
        <v>-0.259</v>
      </c>
      <c r="I84" t="str">
        <f>"-0.044"</f>
        <v>-0.044</v>
      </c>
    </row>
    <row r="85" spans="1:9" x14ac:dyDescent="0.25">
      <c r="A85" t="str">
        <f>""</f>
        <v/>
      </c>
      <c r="B85" t="str">
        <f>""</f>
        <v/>
      </c>
      <c r="C85" t="str">
        <f>""</f>
        <v/>
      </c>
      <c r="D85" t="str">
        <f>"(-1.737)"</f>
        <v>(-1.737)</v>
      </c>
      <c r="E85" t="str">
        <f>"(-1.068)"</f>
        <v>(-1.068)</v>
      </c>
      <c r="F85" t="str">
        <f>""</f>
        <v/>
      </c>
      <c r="G85" t="str">
        <f>""</f>
        <v/>
      </c>
      <c r="H85" t="str">
        <f>"(-1.715)"</f>
        <v>(-1.715)</v>
      </c>
      <c r="I85" t="str">
        <f>"(-0.963)"</f>
        <v>(-0.963)</v>
      </c>
    </row>
    <row r="86" spans="1:9" x14ac:dyDescent="0.25">
      <c r="A86" t="str">
        <f>""</f>
        <v/>
      </c>
      <c r="B86" t="str">
        <f>" "</f>
        <v xml:space="preserve"> </v>
      </c>
      <c r="C86" t="str">
        <f>" "</f>
        <v xml:space="preserve"> </v>
      </c>
      <c r="D86" t="str">
        <f>"-0.564 0.034"</f>
        <v>-0.564 0.034</v>
      </c>
      <c r="E86" t="str">
        <f>"-0.149 0.044"</f>
        <v>-0.149 0.044</v>
      </c>
      <c r="F86" t="str">
        <f>" "</f>
        <v xml:space="preserve"> </v>
      </c>
      <c r="G86" t="str">
        <f>" "</f>
        <v xml:space="preserve"> </v>
      </c>
      <c r="H86" t="str">
        <f>"-0.554 0.037"</f>
        <v>-0.554 0.037</v>
      </c>
      <c r="I86" t="str">
        <f>"-0.134 0.046"</f>
        <v>-0.134 0.046</v>
      </c>
    </row>
    <row r="87" spans="1:9" x14ac:dyDescent="0.25">
      <c r="A87" t="str">
        <f>""</f>
        <v/>
      </c>
      <c r="B87" t="str">
        <f>""</f>
        <v/>
      </c>
      <c r="C87" t="str">
        <f>""</f>
        <v/>
      </c>
      <c r="D87" t="str">
        <f>"(0.0824)"</f>
        <v>(0.0824)</v>
      </c>
      <c r="E87" t="str">
        <f>"(0.2853)"</f>
        <v>(0.2853)</v>
      </c>
      <c r="F87" t="str">
        <f>""</f>
        <v/>
      </c>
      <c r="G87" t="str">
        <f>""</f>
        <v/>
      </c>
      <c r="H87" t="str">
        <f>"(0.0863)"</f>
        <v>(0.0863)</v>
      </c>
      <c r="I87" t="str">
        <f>"(0.3357)"</f>
        <v>(0.3357)</v>
      </c>
    </row>
    <row r="88" spans="1:9" x14ac:dyDescent="0.25">
      <c r="A88" t="str">
        <f>"Constant"</f>
        <v>Constant</v>
      </c>
      <c r="B88" t="str">
        <f>"1.331"</f>
        <v>1.331</v>
      </c>
      <c r="C88" t="str">
        <f>"1.624"</f>
        <v>1.624</v>
      </c>
      <c r="D88" t="str">
        <f>"0.989"</f>
        <v>0.989</v>
      </c>
      <c r="E88" t="str">
        <f>"-0.009"</f>
        <v>-0.009</v>
      </c>
      <c r="F88" t="str">
        <f>"37.676"</f>
        <v>37.676</v>
      </c>
      <c r="G88" t="str">
        <f>"41.040"</f>
        <v>41.040</v>
      </c>
      <c r="H88" t="str">
        <f>"20.181"</f>
        <v>20.181</v>
      </c>
      <c r="I88" t="str">
        <f>"12.105"</f>
        <v>12.105</v>
      </c>
    </row>
    <row r="89" spans="1:9" x14ac:dyDescent="0.25">
      <c r="A89" t="str">
        <f>""</f>
        <v/>
      </c>
      <c r="B89" t="str">
        <f>"(24.383)"</f>
        <v>(24.383)</v>
      </c>
      <c r="C89" t="str">
        <f>"(25.899)"</f>
        <v>(25.899)</v>
      </c>
      <c r="D89" t="str">
        <f>"(11.717)"</f>
        <v>(11.717)</v>
      </c>
      <c r="E89" t="str">
        <f>"(-0.383)"</f>
        <v>(-0.383)</v>
      </c>
      <c r="F89" t="str">
        <f>"(21.297)"</f>
        <v>(21.297)</v>
      </c>
      <c r="G89" t="str">
        <f>"(21.822)"</f>
        <v>(21.822)</v>
      </c>
      <c r="H89" t="str">
        <f>"(8.108)"</f>
        <v>(8.108)</v>
      </c>
      <c r="I89" t="str">
        <f>"(10.596)"</f>
        <v>(10.596)</v>
      </c>
    </row>
    <row r="90" spans="1:9" x14ac:dyDescent="0.25">
      <c r="A90" t="str">
        <f>""</f>
        <v/>
      </c>
      <c r="B90" t="str">
        <f>"1.224 1.438"</f>
        <v>1.224 1.438</v>
      </c>
      <c r="C90" t="str">
        <f>"1.501 1.746"</f>
        <v>1.501 1.746</v>
      </c>
      <c r="D90" t="str">
        <f>"0.823 1.154"</f>
        <v>0.823 1.154</v>
      </c>
      <c r="E90" t="str">
        <f>"-0.057 0.038"</f>
        <v>-0.057 0.038</v>
      </c>
      <c r="F90" t="str">
        <f>"34.209 41.144"</f>
        <v>34.209 41.144</v>
      </c>
      <c r="G90" t="str">
        <f>"37.354 44.726"</f>
        <v>37.354 44.726</v>
      </c>
      <c r="H90" t="str">
        <f>"15.303 25.059"</f>
        <v>15.303 25.059</v>
      </c>
      <c r="I90" t="str">
        <f>"9.866 14.345"</f>
        <v>9.866 14.345</v>
      </c>
    </row>
    <row r="91" spans="1:9" x14ac:dyDescent="0.25">
      <c r="A91" t="str">
        <f>""</f>
        <v/>
      </c>
      <c r="B91" t="str">
        <f>"(0.0000)"</f>
        <v>(0.0000)</v>
      </c>
      <c r="C91" t="str">
        <f>"(0.0000)"</f>
        <v>(0.0000)</v>
      </c>
      <c r="D91" t="str">
        <f>"(0.0000)"</f>
        <v>(0.0000)</v>
      </c>
      <c r="E91" t="str">
        <f>"(0.7018)"</f>
        <v>(0.7018)</v>
      </c>
      <c r="F91" t="str">
        <f>"(0.0000)"</f>
        <v>(0.0000)</v>
      </c>
      <c r="G91" t="str">
        <f>"(0.0000)"</f>
        <v>(0.0000)</v>
      </c>
      <c r="H91" t="str">
        <f>"(0.0000)"</f>
        <v>(0.0000)</v>
      </c>
      <c r="I91" t="str">
        <f>"(0.0000)"</f>
        <v>(0.0000)</v>
      </c>
    </row>
    <row r="92" spans="1:9" x14ac:dyDescent="0.25">
      <c r="A92" t="str">
        <f>"Sample Size"</f>
        <v>Sample Size</v>
      </c>
      <c r="B92" t="str">
        <f>"467.000"</f>
        <v>467.000</v>
      </c>
      <c r="C92" t="str">
        <f>"467.000"</f>
        <v>467.000</v>
      </c>
      <c r="D92" t="str">
        <f>"467.000"</f>
        <v>467.000</v>
      </c>
      <c r="E92" t="str">
        <f>"349.000"</f>
        <v>349.000</v>
      </c>
      <c r="F92" t="str">
        <f>"467.000"</f>
        <v>467.000</v>
      </c>
      <c r="G92" t="str">
        <f>"467.000"</f>
        <v>467.000</v>
      </c>
      <c r="H92" t="str">
        <f>"467.000"</f>
        <v>467.000</v>
      </c>
      <c r="I92" t="str">
        <f>"349.000"</f>
        <v>349.000</v>
      </c>
    </row>
    <row r="93" spans="1:9" x14ac:dyDescent="0.25">
      <c r="A93" t="str">
        <f>"k number of parameters"</f>
        <v>k number of parameters</v>
      </c>
      <c r="B93" t="str">
        <f>""</f>
        <v/>
      </c>
      <c r="C93" t="str">
        <f>""</f>
        <v/>
      </c>
      <c r="D93" t="str">
        <f>""</f>
        <v/>
      </c>
      <c r="E93" t="str">
        <f>""</f>
        <v/>
      </c>
      <c r="F93" t="str">
        <f>""</f>
        <v/>
      </c>
      <c r="G93" t="str">
        <f>""</f>
        <v/>
      </c>
      <c r="H93" t="str">
        <f>""</f>
        <v/>
      </c>
      <c r="I93" t="str">
        <f>""</f>
        <v/>
      </c>
    </row>
    <row r="94" spans="1:9" x14ac:dyDescent="0.25">
      <c r="A94" t="str">
        <f>"rows correspond to beta values; t-statistics; 95% confidence intervals; p-values."</f>
        <v>rows correspond to beta values; t-statistics; 95% confidence intervals; p-values.</v>
      </c>
      <c r="B94"/>
      <c r="C94"/>
      <c r="D94"/>
      <c r="E94"/>
      <c r="F94"/>
      <c r="G94"/>
      <c r="H94"/>
      <c r="I94"/>
    </row>
  </sheetData>
  <mergeCells count="2">
    <mergeCell ref="A1:I1"/>
    <mergeCell ref="K1:R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19B8-E6A5-4AB0-91D6-CA223965976F}">
  <dimension ref="A1:R38"/>
  <sheetViews>
    <sheetView workbookViewId="0">
      <selection activeCell="G9" sqref="G9"/>
    </sheetView>
  </sheetViews>
  <sheetFormatPr defaultRowHeight="15" x14ac:dyDescent="0.25"/>
  <cols>
    <col min="1" max="1" width="27" customWidth="1"/>
    <col min="2" max="2" width="18.42578125" customWidth="1"/>
  </cols>
  <sheetData>
    <row r="1" spans="1:18" x14ac:dyDescent="0.25">
      <c r="A1" s="16" t="s">
        <v>1124</v>
      </c>
      <c r="B1" s="16"/>
      <c r="C1" s="16"/>
      <c r="D1" s="16"/>
      <c r="E1" s="16"/>
      <c r="F1" s="16"/>
      <c r="G1" s="16"/>
      <c r="H1" s="16"/>
      <c r="I1" s="16"/>
      <c r="K1" s="24" t="s">
        <v>1157</v>
      </c>
      <c r="L1" s="24"/>
      <c r="M1" s="24"/>
      <c r="N1" s="24"/>
      <c r="O1" s="24"/>
      <c r="P1" s="24"/>
      <c r="Q1" s="24"/>
      <c r="R1" s="24"/>
    </row>
    <row r="2" spans="1:18" x14ac:dyDescent="0.25">
      <c r="A2" t="str">
        <f>""</f>
        <v/>
      </c>
      <c r="B2" t="str">
        <f>"(1)"</f>
        <v>(1)</v>
      </c>
      <c r="C2" t="str">
        <f>"(2)"</f>
        <v>(2)</v>
      </c>
      <c r="D2" t="str">
        <f>"(3)"</f>
        <v>(3)</v>
      </c>
      <c r="E2" t="str">
        <f>"(4)"</f>
        <v>(4)</v>
      </c>
      <c r="F2" t="str">
        <f>"(5)"</f>
        <v>(5)</v>
      </c>
      <c r="G2" t="str">
        <f>"(6)"</f>
        <v>(6)</v>
      </c>
      <c r="H2" t="str">
        <f>"(7)"</f>
        <v>(7)</v>
      </c>
      <c r="I2" t="str">
        <f>"(8)"</f>
        <v>(8)</v>
      </c>
      <c r="K2" s="25">
        <v>1</v>
      </c>
      <c r="L2" s="25">
        <v>2</v>
      </c>
      <c r="M2" s="25">
        <v>3</v>
      </c>
      <c r="N2" s="25">
        <v>4</v>
      </c>
      <c r="O2" s="25">
        <v>5</v>
      </c>
      <c r="P2" s="25">
        <v>6</v>
      </c>
      <c r="Q2" s="25">
        <v>7</v>
      </c>
      <c r="R2" s="25">
        <v>8</v>
      </c>
    </row>
    <row r="3" spans="1:18" x14ac:dyDescent="0.25">
      <c r="A3" t="str">
        <f>""</f>
        <v/>
      </c>
      <c r="B3" t="s">
        <v>102</v>
      </c>
      <c r="C3" t="s">
        <v>30</v>
      </c>
      <c r="D3" t="s">
        <v>33</v>
      </c>
      <c r="E3" t="s">
        <v>36</v>
      </c>
      <c r="F3" t="s">
        <v>42</v>
      </c>
      <c r="G3" t="s">
        <v>39</v>
      </c>
      <c r="H3" t="s">
        <v>45</v>
      </c>
      <c r="I3" t="s">
        <v>48</v>
      </c>
      <c r="K3" s="6">
        <f>(EXP(2*B4)-1)/(EXP(2*B4)+1)</f>
        <v>-0.33282337786078292</v>
      </c>
      <c r="L3" s="6">
        <f>(EXP(2*C4)-1)/(EXP(2*C4)+1)</f>
        <v>1.6998362522625467E-2</v>
      </c>
      <c r="M3" s="6">
        <f>(EXP(2*D4)-1)/(EXP(2*D4)+1)</f>
        <v>-0.95386532179808947</v>
      </c>
      <c r="N3" s="6">
        <f t="shared" ref="N3:R3" si="0">(EXP(2*E4)-1)/(EXP(2*E4)+1)</f>
        <v>-0.49676344321412846</v>
      </c>
      <c r="O3" s="6">
        <f t="shared" si="0"/>
        <v>-0.61752834369070508</v>
      </c>
      <c r="P3" s="6">
        <f t="shared" si="0"/>
        <v>5.999928001036812E-3</v>
      </c>
      <c r="Q3" s="6">
        <f t="shared" si="0"/>
        <v>-0.89938652151995968</v>
      </c>
      <c r="R3" s="6">
        <f t="shared" si="0"/>
        <v>-0.28489366912715985</v>
      </c>
    </row>
    <row r="4" spans="1:18" x14ac:dyDescent="0.25">
      <c r="A4" t="str">
        <f>"Post civil-rights era"</f>
        <v>Post civil-rights era</v>
      </c>
      <c r="B4" t="str">
        <f>"-0.346"</f>
        <v>-0.346</v>
      </c>
      <c r="C4" t="str">
        <f>"0.017"</f>
        <v>0.017</v>
      </c>
      <c r="D4" t="str">
        <f>"-1.873"</f>
        <v>-1.873</v>
      </c>
      <c r="E4" t="str">
        <f>"-0.545"</f>
        <v>-0.545</v>
      </c>
      <c r="F4" t="str">
        <f>"-0.721"</f>
        <v>-0.721</v>
      </c>
      <c r="G4" t="str">
        <f>"0.006"</f>
        <v>0.006</v>
      </c>
      <c r="H4" t="str">
        <f>"-1.469"</f>
        <v>-1.469</v>
      </c>
      <c r="I4" t="str">
        <f>"-0.293"</f>
        <v>-0.293</v>
      </c>
      <c r="K4" s="6"/>
      <c r="L4" s="6"/>
      <c r="M4" s="6"/>
      <c r="N4" s="6"/>
      <c r="O4" s="6"/>
      <c r="P4" s="6"/>
      <c r="Q4" s="6"/>
      <c r="R4" s="6"/>
    </row>
    <row r="5" spans="1:18" x14ac:dyDescent="0.25">
      <c r="A5" t="str">
        <f>""</f>
        <v/>
      </c>
      <c r="B5" t="str">
        <f>"(-5.801)"</f>
        <v>(-5.801)</v>
      </c>
      <c r="C5" t="str">
        <f>"(0.722)"</f>
        <v>(0.722)</v>
      </c>
      <c r="D5" t="str">
        <f>"(-12.685)"</f>
        <v>(-12.685)</v>
      </c>
      <c r="E5" t="str">
        <f>"(-9.122)"</f>
        <v>(-9.122)</v>
      </c>
      <c r="F5" t="str">
        <f>"(-3.490)"</f>
        <v>(-3.490)</v>
      </c>
      <c r="G5" t="str">
        <f>"(0.526)"</f>
        <v>(0.526)</v>
      </c>
      <c r="H5" t="str">
        <f>"(-10.664)"</f>
        <v>(-10.664)</v>
      </c>
      <c r="I5" t="str">
        <f>"(-7.891)"</f>
        <v>(-7.891)</v>
      </c>
      <c r="K5" s="6"/>
      <c r="L5" s="6"/>
      <c r="M5" s="6"/>
      <c r="N5" s="6"/>
      <c r="O5" s="6"/>
      <c r="P5" s="6"/>
      <c r="Q5" s="6"/>
      <c r="R5" s="6"/>
    </row>
    <row r="6" spans="1:18" x14ac:dyDescent="0.25">
      <c r="A6" t="str">
        <f>""</f>
        <v/>
      </c>
      <c r="B6" t="str">
        <f>"-0.463 -0.229"</f>
        <v>-0.463 -0.229</v>
      </c>
      <c r="C6" t="str">
        <f>"-0.029 0.063"</f>
        <v>-0.029 0.063</v>
      </c>
      <c r="D6" t="str">
        <f>"-2.163 -1.584"</f>
        <v>-2.163 -1.584</v>
      </c>
      <c r="E6" t="str">
        <f>"-0.662 -0.428"</f>
        <v>-0.662 -0.428</v>
      </c>
      <c r="F6" t="str">
        <f>"-1.126 -0.316"</f>
        <v>-1.126 -0.316</v>
      </c>
      <c r="G6" t="str">
        <f>"-0.018 0.031"</f>
        <v>-0.018 0.031</v>
      </c>
      <c r="H6" t="str">
        <f>"-1.739 -1.199"</f>
        <v>-1.739 -1.199</v>
      </c>
      <c r="I6" t="str">
        <f>"-0.365 -0.220"</f>
        <v>-0.365 -0.220</v>
      </c>
      <c r="K6" s="6"/>
      <c r="L6" s="6"/>
      <c r="M6" s="6"/>
      <c r="N6" s="6"/>
      <c r="O6" s="6"/>
      <c r="P6" s="6"/>
      <c r="Q6" s="6"/>
      <c r="R6" s="6"/>
    </row>
    <row r="7" spans="1:18" x14ac:dyDescent="0.25">
      <c r="A7" t="str">
        <f>""</f>
        <v/>
      </c>
      <c r="B7" t="str">
        <f>"(0.0000)"</f>
        <v>(0.0000)</v>
      </c>
      <c r="C7" t="str">
        <f>"(0.4701)"</f>
        <v>(0.4701)</v>
      </c>
      <c r="D7" t="str">
        <f>"(0.0000)"</f>
        <v>(0.0000)</v>
      </c>
      <c r="E7" t="str">
        <f>"(0.0000)"</f>
        <v>(0.0000)</v>
      </c>
      <c r="F7" t="str">
        <f>"(0.0005)"</f>
        <v>(0.0005)</v>
      </c>
      <c r="G7" t="str">
        <f>"(0.5986)"</f>
        <v>(0.5986)</v>
      </c>
      <c r="H7" t="str">
        <f>"(0.0000)"</f>
        <v>(0.0000)</v>
      </c>
      <c r="I7" t="str">
        <f>"(0.0000)"</f>
        <v>(0.0000)</v>
      </c>
      <c r="K7" s="6">
        <f>(EXP(2*B8)-1)/(EXP(2*B8)+1)</f>
        <v>-0.35224109566852202</v>
      </c>
      <c r="L7" s="6">
        <f t="shared" ref="L7:R7" si="1">(EXP(2*C8)-1)/(EXP(2*C8)+1)</f>
        <v>0</v>
      </c>
      <c r="M7" s="6">
        <f t="shared" si="1"/>
        <v>-0.95368469555696711</v>
      </c>
      <c r="N7" s="6">
        <f t="shared" si="1"/>
        <v>-0.51167779818959414</v>
      </c>
      <c r="O7" s="6">
        <f t="shared" si="1"/>
        <v>-0.63871483524591188</v>
      </c>
      <c r="P7" s="6">
        <f t="shared" si="1"/>
        <v>-2.9999910000323938E-3</v>
      </c>
      <c r="Q7" s="6">
        <f t="shared" si="1"/>
        <v>-0.93088753942744706</v>
      </c>
      <c r="R7" s="6">
        <f t="shared" si="1"/>
        <v>-0.45183212856799521</v>
      </c>
    </row>
    <row r="8" spans="1:18" x14ac:dyDescent="0.25">
      <c r="A8" t="str">
        <f>"21st century"</f>
        <v>21st century</v>
      </c>
      <c r="B8" t="str">
        <f>"-0.368"</f>
        <v>-0.368</v>
      </c>
      <c r="C8" t="str">
        <f>"0.000"</f>
        <v>0.000</v>
      </c>
      <c r="D8" t="str">
        <f>"-1.871"</f>
        <v>-1.871</v>
      </c>
      <c r="E8" t="str">
        <f>"-0.565"</f>
        <v>-0.565</v>
      </c>
      <c r="F8" t="str">
        <f>"-0.756"</f>
        <v>-0.756</v>
      </c>
      <c r="G8" t="str">
        <f>"-0.003"</f>
        <v>-0.003</v>
      </c>
      <c r="H8" t="str">
        <f>"-1.665"</f>
        <v>-1.665</v>
      </c>
      <c r="I8" t="str">
        <f>"-0.487"</f>
        <v>-0.487</v>
      </c>
    </row>
    <row r="9" spans="1:18" x14ac:dyDescent="0.25">
      <c r="A9" t="str">
        <f>""</f>
        <v/>
      </c>
      <c r="B9" t="str">
        <f>"(-6.809)"</f>
        <v>(-6.809)</v>
      </c>
      <c r="C9" t="str">
        <f>"(.)"</f>
        <v>(.)</v>
      </c>
      <c r="D9" t="str">
        <f>"(-13.125)"</f>
        <v>(-13.125)</v>
      </c>
      <c r="E9" t="str">
        <f>"(-6.852)"</f>
        <v>(-6.852)</v>
      </c>
      <c r="F9" t="str">
        <f>"(-3.326)"</f>
        <v>(-3.326)</v>
      </c>
      <c r="G9" t="str">
        <f>"(-0.321)"</f>
        <v>(-0.321)</v>
      </c>
      <c r="H9" t="str">
        <f>"(-11.724)"</f>
        <v>(-11.724)</v>
      </c>
      <c r="I9" t="str">
        <f>"(-12.852)"</f>
        <v>(-12.852)</v>
      </c>
    </row>
    <row r="10" spans="1:18" x14ac:dyDescent="0.25">
      <c r="A10" t="str">
        <f>""</f>
        <v/>
      </c>
      <c r="B10" t="str">
        <f>"-0.474 -0.262"</f>
        <v>-0.474 -0.262</v>
      </c>
      <c r="C10" t="str">
        <f>"0.000 0.000"</f>
        <v>0.000 0.000</v>
      </c>
      <c r="D10" t="str">
        <f>"-2.150 -1.591"</f>
        <v>-2.150 -1.591</v>
      </c>
      <c r="E10" t="str">
        <f>"-0.726 -0.403"</f>
        <v>-0.726 -0.403</v>
      </c>
      <c r="F10" t="str">
        <f>"-1.202 -0.311"</f>
        <v>-1.202 -0.311</v>
      </c>
      <c r="G10" t="str">
        <f>"-0.022 0.016"</f>
        <v>-0.022 0.016</v>
      </c>
      <c r="H10" t="str">
        <f>"-1.943 -1.387"</f>
        <v>-1.943 -1.387</v>
      </c>
      <c r="I10" t="str">
        <f>"-0.562 -0.413"</f>
        <v>-0.562 -0.413</v>
      </c>
    </row>
    <row r="11" spans="1:18" x14ac:dyDescent="0.25">
      <c r="A11" t="str">
        <f>""</f>
        <v/>
      </c>
      <c r="B11" t="str">
        <f>"(0.0000)"</f>
        <v>(0.0000)</v>
      </c>
      <c r="C11" t="str">
        <f>"(.)"</f>
        <v>(.)</v>
      </c>
      <c r="D11" t="str">
        <f>"(0.0000)"</f>
        <v>(0.0000)</v>
      </c>
      <c r="E11" t="str">
        <f>"(0.0000)"</f>
        <v>(0.0000)</v>
      </c>
      <c r="F11" t="str">
        <f>"(0.0009)"</f>
        <v>(0.0009)</v>
      </c>
      <c r="G11" t="str">
        <f>"(0.7483)"</f>
        <v>(0.7483)</v>
      </c>
      <c r="H11" t="str">
        <f>"(0.0000)"</f>
        <v>(0.0000)</v>
      </c>
      <c r="I11" t="str">
        <f>"(0.0000)"</f>
        <v>(0.0000)</v>
      </c>
    </row>
    <row r="12" spans="1:18" x14ac:dyDescent="0.25">
      <c r="A12" t="str">
        <f>"Uses stereotypical Black names to indicate race"</f>
        <v>Uses stereotypical Black names to indicate race</v>
      </c>
      <c r="B12" t="str">
        <f>"0.000"</f>
        <v>0.000</v>
      </c>
      <c r="C12" t="str">
        <f>"0.000"</f>
        <v>0.000</v>
      </c>
      <c r="D12" t="str">
        <f>"0.000"</f>
        <v>0.000</v>
      </c>
      <c r="E12" t="str">
        <f>"0.097"</f>
        <v>0.097</v>
      </c>
      <c r="F12" t="str">
        <f>"0.035"</f>
        <v>0.035</v>
      </c>
      <c r="G12" t="str">
        <f>"0.000"</f>
        <v>0.000</v>
      </c>
      <c r="H12" t="str">
        <f>"0.000"</f>
        <v>0.000</v>
      </c>
      <c r="I12" t="str">
        <f>"0.000"</f>
        <v>0.000</v>
      </c>
    </row>
    <row r="13" spans="1:18" x14ac:dyDescent="0.25">
      <c r="A13" t="str">
        <f>""</f>
        <v/>
      </c>
      <c r="B13" t="str">
        <f>"(.)"</f>
        <v>(.)</v>
      </c>
      <c r="C13" t="str">
        <f>"(.)"</f>
        <v>(.)</v>
      </c>
      <c r="D13" t="str">
        <f>"(.)"</f>
        <v>(.)</v>
      </c>
      <c r="E13" t="str">
        <f>"(0.968)"</f>
        <v>(0.968)</v>
      </c>
      <c r="F13" t="str">
        <f>"(0.181)"</f>
        <v>(0.181)</v>
      </c>
      <c r="G13" t="str">
        <f>"(.)"</f>
        <v>(.)</v>
      </c>
      <c r="H13" t="str">
        <f>"(.)"</f>
        <v>(.)</v>
      </c>
      <c r="I13" t="str">
        <f>"(.)"</f>
        <v>(.)</v>
      </c>
    </row>
    <row r="14" spans="1:18" x14ac:dyDescent="0.25">
      <c r="A14" t="str">
        <f>""</f>
        <v/>
      </c>
      <c r="B14" t="str">
        <f>"0.000 0.000"</f>
        <v>0.000 0.000</v>
      </c>
      <c r="C14" t="str">
        <f>"0.000 0.000"</f>
        <v>0.000 0.000</v>
      </c>
      <c r="D14" t="str">
        <f>"0.000 0.000"</f>
        <v>0.000 0.000</v>
      </c>
      <c r="E14" t="str">
        <f>"-0.099 0.293"</f>
        <v>-0.099 0.293</v>
      </c>
      <c r="F14" t="str">
        <f>"-0.342 0.412"</f>
        <v>-0.342 0.412</v>
      </c>
      <c r="G14" t="str">
        <f>"0.000 0.000"</f>
        <v>0.000 0.000</v>
      </c>
      <c r="H14" t="str">
        <f>"0.000 0.000"</f>
        <v>0.000 0.000</v>
      </c>
      <c r="I14" t="str">
        <f>"0.000 0.000"</f>
        <v>0.000 0.000</v>
      </c>
    </row>
    <row r="15" spans="1:18" x14ac:dyDescent="0.25">
      <c r="A15" t="str">
        <f>""</f>
        <v/>
      </c>
      <c r="B15" t="str">
        <f>"(.)"</f>
        <v>(.)</v>
      </c>
      <c r="C15" t="str">
        <f>"(.)"</f>
        <v>(.)</v>
      </c>
      <c r="D15" t="str">
        <f>"(.)"</f>
        <v>(.)</v>
      </c>
      <c r="E15" t="str">
        <f>"(0.3329)"</f>
        <v>(0.3329)</v>
      </c>
      <c r="F15" t="str">
        <f>"(0.8567)"</f>
        <v>(0.8567)</v>
      </c>
      <c r="G15" t="str">
        <f>"(.)"</f>
        <v>(.)</v>
      </c>
      <c r="H15" t="str">
        <f>"(.)"</f>
        <v>(.)</v>
      </c>
      <c r="I15" t="str">
        <f>"(.)"</f>
        <v>(.)</v>
      </c>
    </row>
    <row r="16" spans="1:18" x14ac:dyDescent="0.25">
      <c r="A16" t="str">
        <f>"Uses experimental audit or similar method"</f>
        <v>Uses experimental audit or similar method</v>
      </c>
      <c r="B16" t="str">
        <f>"0.000"</f>
        <v>0.000</v>
      </c>
      <c r="C16" t="str">
        <f>"0.000"</f>
        <v>0.000</v>
      </c>
      <c r="D16" t="str">
        <f>"0.000"</f>
        <v>0.000</v>
      </c>
      <c r="E16" t="str">
        <f>"-0.215"</f>
        <v>-0.215</v>
      </c>
      <c r="F16" t="str">
        <f>"0.262"</f>
        <v>0.262</v>
      </c>
      <c r="G16" t="str">
        <f>"0.000"</f>
        <v>0.000</v>
      </c>
      <c r="H16" t="str">
        <f>"0.000"</f>
        <v>0.000</v>
      </c>
      <c r="I16" t="str">
        <f>"0.000"</f>
        <v>0.000</v>
      </c>
    </row>
    <row r="17" spans="1:9" x14ac:dyDescent="0.25">
      <c r="A17" t="str">
        <f>""</f>
        <v/>
      </c>
      <c r="B17" t="str">
        <f>"(.)"</f>
        <v>(.)</v>
      </c>
      <c r="C17" t="str">
        <f>"(.)"</f>
        <v>(.)</v>
      </c>
      <c r="D17" t="str">
        <f>"(.)"</f>
        <v>(.)</v>
      </c>
      <c r="E17" t="str">
        <f>"(-2.529)"</f>
        <v>(-2.529)</v>
      </c>
      <c r="F17" t="str">
        <f>"(1.434)"</f>
        <v>(1.434)</v>
      </c>
      <c r="G17" t="str">
        <f>"(.)"</f>
        <v>(.)</v>
      </c>
      <c r="H17" t="str">
        <f>"(.)"</f>
        <v>(.)</v>
      </c>
      <c r="I17" t="str">
        <f>"(.)"</f>
        <v>(.)</v>
      </c>
    </row>
    <row r="18" spans="1:9" x14ac:dyDescent="0.25">
      <c r="A18" t="str">
        <f>""</f>
        <v/>
      </c>
      <c r="B18" t="str">
        <f>"0.000 0.000"</f>
        <v>0.000 0.000</v>
      </c>
      <c r="C18" t="str">
        <f>"0.000 0.000"</f>
        <v>0.000 0.000</v>
      </c>
      <c r="D18" t="str">
        <f>"0.000 0.000"</f>
        <v>0.000 0.000</v>
      </c>
      <c r="E18" t="str">
        <f>"-0.382 -0.048"</f>
        <v>-0.382 -0.048</v>
      </c>
      <c r="F18" t="str">
        <f>"-0.096 0.620"</f>
        <v>-0.096 0.620</v>
      </c>
      <c r="G18" t="str">
        <f>"0.000 0.000"</f>
        <v>0.000 0.000</v>
      </c>
      <c r="H18" t="str">
        <f>"0.000 0.000"</f>
        <v>0.000 0.000</v>
      </c>
      <c r="I18" t="str">
        <f>"0.000 0.000"</f>
        <v>0.000 0.000</v>
      </c>
    </row>
    <row r="19" spans="1:9" x14ac:dyDescent="0.25">
      <c r="A19" t="str">
        <f>""</f>
        <v/>
      </c>
      <c r="B19" t="str">
        <f>"(.)"</f>
        <v>(.)</v>
      </c>
      <c r="C19" t="str">
        <f>"(.)"</f>
        <v>(.)</v>
      </c>
      <c r="D19" t="str">
        <f>"(.)"</f>
        <v>(.)</v>
      </c>
      <c r="E19" t="str">
        <f>"(0.0114)"</f>
        <v>(0.0114)</v>
      </c>
      <c r="F19" t="str">
        <f>"(0.1516)"</f>
        <v>(0.1516)</v>
      </c>
      <c r="G19" t="str">
        <f>"(.)"</f>
        <v>(.)</v>
      </c>
      <c r="H19" t="str">
        <f>"(.)"</f>
        <v>(.)</v>
      </c>
      <c r="I19" t="str">
        <f>"(.)"</f>
        <v>(.)</v>
      </c>
    </row>
    <row r="20" spans="1:9" x14ac:dyDescent="0.25">
      <c r="A20" t="str">
        <f>"Adjusts for decision-level variables"</f>
        <v>Adjusts for decision-level variables</v>
      </c>
      <c r="B20" t="str">
        <f>"0.000"</f>
        <v>0.000</v>
      </c>
      <c r="C20" t="str">
        <f>"0.163"</f>
        <v>0.163</v>
      </c>
      <c r="D20" t="str">
        <f>"0.345"</f>
        <v>0.345</v>
      </c>
      <c r="E20" t="str">
        <f>"-0.236"</f>
        <v>-0.236</v>
      </c>
      <c r="F20" t="str">
        <f>"0.291"</f>
        <v>0.291</v>
      </c>
      <c r="G20" t="str">
        <f>"0.048"</f>
        <v>0.048</v>
      </c>
      <c r="H20" t="str">
        <f>"-0.313"</f>
        <v>-0.313</v>
      </c>
      <c r="I20" t="str">
        <f>"0.000"</f>
        <v>0.000</v>
      </c>
    </row>
    <row r="21" spans="1:9" x14ac:dyDescent="0.25">
      <c r="A21" t="str">
        <f>""</f>
        <v/>
      </c>
      <c r="B21" t="str">
        <f>"(.)"</f>
        <v>(.)</v>
      </c>
      <c r="C21" t="str">
        <f>"(6.584)"</f>
        <v>(6.584)</v>
      </c>
      <c r="D21" t="str">
        <f>"(2.256)"</f>
        <v>(2.256)</v>
      </c>
      <c r="E21" t="str">
        <f>"(-4.110)"</f>
        <v>(-4.110)</v>
      </c>
      <c r="F21" t="str">
        <f>"(2.028)"</f>
        <v>(2.028)</v>
      </c>
      <c r="G21" t="str">
        <f>"(7.341)"</f>
        <v>(7.341)</v>
      </c>
      <c r="H21" t="str">
        <f>"(-4.497)"</f>
        <v>(-4.497)</v>
      </c>
      <c r="I21" t="str">
        <f>"(.)"</f>
        <v>(.)</v>
      </c>
    </row>
    <row r="22" spans="1:9" x14ac:dyDescent="0.25">
      <c r="A22" t="str">
        <f>""</f>
        <v/>
      </c>
      <c r="B22" t="str">
        <f>"0.000 0.000"</f>
        <v>0.000 0.000</v>
      </c>
      <c r="C22" t="str">
        <f>"0.115 0.212"</f>
        <v>0.115 0.212</v>
      </c>
      <c r="D22" t="str">
        <f>"0.045 0.645"</f>
        <v>0.045 0.645</v>
      </c>
      <c r="E22" t="str">
        <f>"-0.348 -0.123"</f>
        <v>-0.348 -0.123</v>
      </c>
      <c r="F22" t="str">
        <f>"0.010 0.573"</f>
        <v>0.010 0.573</v>
      </c>
      <c r="G22" t="str">
        <f>"0.035 0.060"</f>
        <v>0.035 0.060</v>
      </c>
      <c r="H22" t="str">
        <f>"-0.450 -0.177"</f>
        <v>-0.450 -0.177</v>
      </c>
      <c r="I22" t="str">
        <f>"0.000 0.000"</f>
        <v>0.000 0.000</v>
      </c>
    </row>
    <row r="23" spans="1:9" x14ac:dyDescent="0.25">
      <c r="A23" t="str">
        <f>""</f>
        <v/>
      </c>
      <c r="B23" t="str">
        <f>"(.)"</f>
        <v>(.)</v>
      </c>
      <c r="C23" t="str">
        <f>"(0.0000)"</f>
        <v>(0.0000)</v>
      </c>
      <c r="D23" t="str">
        <f>"(0.0241)"</f>
        <v>(0.0241)</v>
      </c>
      <c r="E23" t="str">
        <f>"(0.0000)"</f>
        <v>(0.0000)</v>
      </c>
      <c r="F23" t="str">
        <f>"(0.0426)"</f>
        <v>(0.0426)</v>
      </c>
      <c r="G23" t="str">
        <f>"(0.0000)"</f>
        <v>(0.0000)</v>
      </c>
      <c r="H23" t="str">
        <f>"(0.0000)"</f>
        <v>(0.0000)</v>
      </c>
      <c r="I23" t="str">
        <f>"(.)"</f>
        <v>(.)</v>
      </c>
    </row>
    <row r="24" spans="1:9" x14ac:dyDescent="0.25">
      <c r="A24" t="str">
        <f>"Uses observed disparity to indicate discrimination"</f>
        <v>Uses observed disparity to indicate discrimination</v>
      </c>
      <c r="B24" t="str">
        <f>"-0.157"</f>
        <v>-0.157</v>
      </c>
      <c r="C24" t="str">
        <f>"0.000"</f>
        <v>0.000</v>
      </c>
      <c r="D24" t="str">
        <f>"0.000"</f>
        <v>0.000</v>
      </c>
      <c r="E24" t="str">
        <f>"0.000"</f>
        <v>0.000</v>
      </c>
      <c r="F24" t="str">
        <f>"0.306"</f>
        <v>0.306</v>
      </c>
      <c r="G24" t="str">
        <f>"0.000"</f>
        <v>0.000</v>
      </c>
      <c r="H24" t="str">
        <f>"0.000"</f>
        <v>0.000</v>
      </c>
      <c r="I24" t="str">
        <f>"0.000"</f>
        <v>0.000</v>
      </c>
    </row>
    <row r="25" spans="1:9" x14ac:dyDescent="0.25">
      <c r="A25" t="str">
        <f>""</f>
        <v/>
      </c>
      <c r="B25" t="str">
        <f>"(-2.754)"</f>
        <v>(-2.754)</v>
      </c>
      <c r="C25" t="str">
        <f>"(.)"</f>
        <v>(.)</v>
      </c>
      <c r="D25" t="str">
        <f>"(.)"</f>
        <v>(.)</v>
      </c>
      <c r="E25" t="str">
        <f>"(.)"</f>
        <v>(.)</v>
      </c>
      <c r="F25" t="str">
        <f>"(0.778)"</f>
        <v>(0.778)</v>
      </c>
      <c r="G25" t="str">
        <f>"(.)"</f>
        <v>(.)</v>
      </c>
      <c r="H25" t="str">
        <f>"(.)"</f>
        <v>(.)</v>
      </c>
      <c r="I25" t="str">
        <f>"(.)"</f>
        <v>(.)</v>
      </c>
    </row>
    <row r="26" spans="1:9" x14ac:dyDescent="0.25">
      <c r="A26" t="str">
        <f>""</f>
        <v/>
      </c>
      <c r="B26" t="str">
        <f>"-0.269 -0.045"</f>
        <v>-0.269 -0.045</v>
      </c>
      <c r="C26" t="str">
        <f>"0.000 0.000"</f>
        <v>0.000 0.000</v>
      </c>
      <c r="D26" t="str">
        <f>"0.000 0.000"</f>
        <v>0.000 0.000</v>
      </c>
      <c r="E26" t="str">
        <f>"0.000 0.000"</f>
        <v>0.000 0.000</v>
      </c>
      <c r="F26" t="str">
        <f>"-0.465 1.078"</f>
        <v>-0.465 1.078</v>
      </c>
      <c r="G26" t="str">
        <f>"0.000 0.000"</f>
        <v>0.000 0.000</v>
      </c>
      <c r="H26" t="str">
        <f>"0.000 0.000"</f>
        <v>0.000 0.000</v>
      </c>
      <c r="I26" t="str">
        <f>"0.000 0.000"</f>
        <v>0.000 0.000</v>
      </c>
    </row>
    <row r="27" spans="1:9" x14ac:dyDescent="0.25">
      <c r="A27" t="str">
        <f>""</f>
        <v/>
      </c>
      <c r="B27" t="str">
        <f>"(0.0059)"</f>
        <v>(0.0059)</v>
      </c>
      <c r="C27" t="str">
        <f>"(.)"</f>
        <v>(.)</v>
      </c>
      <c r="D27" t="str">
        <f>"(.)"</f>
        <v>(.)</v>
      </c>
      <c r="E27" t="str">
        <f>"(.)"</f>
        <v>(.)</v>
      </c>
      <c r="F27" t="str">
        <f>"(0.4367)"</f>
        <v>(0.4367)</v>
      </c>
      <c r="G27" t="str">
        <f>"(.)"</f>
        <v>(.)</v>
      </c>
      <c r="H27" t="str">
        <f>"(.)"</f>
        <v>(.)</v>
      </c>
      <c r="I27" t="str">
        <f>"(.)"</f>
        <v>(.)</v>
      </c>
    </row>
    <row r="28" spans="1:9" x14ac:dyDescent="0.25">
      <c r="A28" t="str">
        <f>"Uses intitutional policies to measure discrimination"</f>
        <v>Uses intitutional policies to measure discrimination</v>
      </c>
      <c r="B28" t="str">
        <f>"0.000"</f>
        <v>0.000</v>
      </c>
      <c r="C28" t="str">
        <f>"0.000"</f>
        <v>0.000</v>
      </c>
      <c r="D28" t="str">
        <f>"0.495"</f>
        <v>0.495</v>
      </c>
      <c r="E28" t="str">
        <f>"0.091"</f>
        <v>0.091</v>
      </c>
      <c r="F28" t="str">
        <f>"2.228"</f>
        <v>2.228</v>
      </c>
      <c r="G28" t="str">
        <f>"0.000"</f>
        <v>0.000</v>
      </c>
      <c r="H28" t="str">
        <f>"0.000"</f>
        <v>0.000</v>
      </c>
      <c r="I28" t="str">
        <f>"-0.282"</f>
        <v>-0.282</v>
      </c>
    </row>
    <row r="29" spans="1:9" x14ac:dyDescent="0.25">
      <c r="A29" t="str">
        <f>""</f>
        <v/>
      </c>
      <c r="B29" t="str">
        <f>"(.)"</f>
        <v>(.)</v>
      </c>
      <c r="C29" t="str">
        <f>"(.)"</f>
        <v>(.)</v>
      </c>
      <c r="D29" t="str">
        <f>"(3.399)"</f>
        <v>(3.399)</v>
      </c>
      <c r="E29" t="str">
        <f>"(1.323)"</f>
        <v>(1.323)</v>
      </c>
      <c r="F29" t="str">
        <f>"(11.285)"</f>
        <v>(11.285)</v>
      </c>
      <c r="G29" t="str">
        <f>"(.)"</f>
        <v>(.)</v>
      </c>
      <c r="H29" t="str">
        <f>"(.)"</f>
        <v>(.)</v>
      </c>
      <c r="I29" t="str">
        <f>"(-5.194)"</f>
        <v>(-5.194)</v>
      </c>
    </row>
    <row r="30" spans="1:9" x14ac:dyDescent="0.25">
      <c r="A30" t="str">
        <f>""</f>
        <v/>
      </c>
      <c r="B30" t="str">
        <f>"0.000 0.000"</f>
        <v>0.000 0.000</v>
      </c>
      <c r="C30" t="str">
        <f>"0.000 0.000"</f>
        <v>0.000 0.000</v>
      </c>
      <c r="D30" t="str">
        <f>"0.210 0.781"</f>
        <v>0.210 0.781</v>
      </c>
      <c r="E30" t="str">
        <f>"-0.044 0.225"</f>
        <v>-0.044 0.225</v>
      </c>
      <c r="F30" t="str">
        <f>"1.841 2.615"</f>
        <v>1.841 2.615</v>
      </c>
      <c r="G30" t="str">
        <f>"0.000 0.000"</f>
        <v>0.000 0.000</v>
      </c>
      <c r="H30" t="str">
        <f>"0.000 0.000"</f>
        <v>0.000 0.000</v>
      </c>
      <c r="I30" t="str">
        <f>"-0.388 -0.175"</f>
        <v>-0.388 -0.175</v>
      </c>
    </row>
    <row r="31" spans="1:9" x14ac:dyDescent="0.25">
      <c r="A31" t="str">
        <f>""</f>
        <v/>
      </c>
      <c r="B31" t="str">
        <f>"(.)"</f>
        <v>(.)</v>
      </c>
      <c r="C31" t="str">
        <f>"(.)"</f>
        <v>(.)</v>
      </c>
      <c r="D31" t="str">
        <f>"(0.0007)"</f>
        <v>(0.0007)</v>
      </c>
      <c r="E31" t="str">
        <f>"(0.1859)"</f>
        <v>(0.1859)</v>
      </c>
      <c r="F31" t="str">
        <f>"(0.0000)"</f>
        <v>(0.0000)</v>
      </c>
      <c r="G31" t="str">
        <f>"(.)"</f>
        <v>(.)</v>
      </c>
      <c r="H31" t="str">
        <f>"(.)"</f>
        <v>(.)</v>
      </c>
      <c r="I31" t="str">
        <f>"(0.0000)"</f>
        <v>(0.0000)</v>
      </c>
    </row>
    <row r="32" spans="1:9" x14ac:dyDescent="0.25">
      <c r="A32" t="str">
        <f>"Constant"</f>
        <v>Constant</v>
      </c>
      <c r="B32" t="str">
        <f>"0.514"</f>
        <v>0.514</v>
      </c>
      <c r="C32" t="str">
        <f>"-0.087"</f>
        <v>-0.087</v>
      </c>
      <c r="D32" t="str">
        <f>"1.237"</f>
        <v>1.237</v>
      </c>
      <c r="E32" t="str">
        <f>"0.820"</f>
        <v>0.820</v>
      </c>
      <c r="F32" t="str">
        <f>"0.484"</f>
        <v>0.484</v>
      </c>
      <c r="G32" t="str">
        <f>"-0.010"</f>
        <v>-0.010</v>
      </c>
      <c r="H32" t="str">
        <f>"2.023"</f>
        <v>2.023</v>
      </c>
      <c r="I32" t="str">
        <f>"0.622"</f>
        <v>0.622</v>
      </c>
    </row>
    <row r="33" spans="1:9" x14ac:dyDescent="0.25">
      <c r="A33" t="str">
        <f>""</f>
        <v/>
      </c>
      <c r="B33" t="str">
        <f>"(10.849)"</f>
        <v>(10.849)</v>
      </c>
      <c r="C33" t="str">
        <f>"(-4.183)"</f>
        <v>(-4.183)</v>
      </c>
      <c r="D33" t="str">
        <f>"(8.461)"</f>
        <v>(8.461)</v>
      </c>
      <c r="E33" t="str">
        <f>"(17.093)"</f>
        <v>(17.093)</v>
      </c>
      <c r="F33" t="str">
        <f>"(2.753)"</f>
        <v>(2.753)</v>
      </c>
      <c r="G33" t="str">
        <f>"(-1.057)"</f>
        <v>(-1.057)</v>
      </c>
      <c r="H33" t="str">
        <f>"(14.879)"</f>
        <v>(14.879)</v>
      </c>
      <c r="I33" t="str">
        <f>"(19.721)"</f>
        <v>(19.721)</v>
      </c>
    </row>
    <row r="34" spans="1:9" x14ac:dyDescent="0.25">
      <c r="A34" t="str">
        <f>""</f>
        <v/>
      </c>
      <c r="B34" t="str">
        <f>"0.421 0.607"</f>
        <v>0.421 0.607</v>
      </c>
      <c r="C34" t="str">
        <f>"-0.128 -0.046"</f>
        <v>-0.128 -0.046</v>
      </c>
      <c r="D34" t="str">
        <f>"0.950 1.523"</f>
        <v>0.950 1.523</v>
      </c>
      <c r="E34" t="str">
        <f>"0.726 0.914"</f>
        <v>0.726 0.914</v>
      </c>
      <c r="F34" t="str">
        <f>"0.139 0.828"</f>
        <v>0.139 0.828</v>
      </c>
      <c r="G34" t="str">
        <f>"-0.028 0.009"</f>
        <v>-0.028 0.009</v>
      </c>
      <c r="H34" t="str">
        <f>"1.757 2.290"</f>
        <v>1.757 2.290</v>
      </c>
      <c r="I34" t="str">
        <f>"0.560 0.684"</f>
        <v>0.560 0.684</v>
      </c>
    </row>
    <row r="35" spans="1:9" x14ac:dyDescent="0.25">
      <c r="A35" t="str">
        <f>""</f>
        <v/>
      </c>
      <c r="B35" t="str">
        <f>"(0.0000)"</f>
        <v>(0.0000)</v>
      </c>
      <c r="C35" t="str">
        <f>"(0.0000)"</f>
        <v>(0.0000)</v>
      </c>
      <c r="D35" t="str">
        <f>"(0.0000)"</f>
        <v>(0.0000)</v>
      </c>
      <c r="E35" t="str">
        <f>"(0.0000)"</f>
        <v>(0.0000)</v>
      </c>
      <c r="F35" t="str">
        <f>"(0.0059)"</f>
        <v>(0.0059)</v>
      </c>
      <c r="G35" t="str">
        <f>"(0.2904)"</f>
        <v>(0.2904)</v>
      </c>
      <c r="H35" t="str">
        <f>"(0.0000)"</f>
        <v>(0.0000)</v>
      </c>
      <c r="I35" t="str">
        <f>"(0.0000)"</f>
        <v>(0.0000)</v>
      </c>
    </row>
    <row r="36" spans="1:9" x14ac:dyDescent="0.25">
      <c r="A36" t="str">
        <f>"Sample Size"</f>
        <v>Sample Size</v>
      </c>
      <c r="B36" t="str">
        <f>"22.000"</f>
        <v>22.000</v>
      </c>
      <c r="C36" t="str">
        <f>"11.000"</f>
        <v>11.000</v>
      </c>
      <c r="D36" t="str">
        <f>"22.000"</f>
        <v>22.000</v>
      </c>
      <c r="E36" t="str">
        <f>"76.000"</f>
        <v>76.000</v>
      </c>
      <c r="F36" t="str">
        <f>"150.000"</f>
        <v>150.000</v>
      </c>
      <c r="G36" t="str">
        <f>"81.000"</f>
        <v>81.000</v>
      </c>
      <c r="H36" t="str">
        <f>"56.000"</f>
        <v>56.000</v>
      </c>
      <c r="I36" t="str">
        <f>"36.000"</f>
        <v>36.000</v>
      </c>
    </row>
    <row r="37" spans="1:9" x14ac:dyDescent="0.25">
      <c r="A37" t="str">
        <f>"k number of parameters"</f>
        <v>k number of parameters</v>
      </c>
      <c r="B37" t="str">
        <f>""</f>
        <v/>
      </c>
      <c r="C37" t="str">
        <f>""</f>
        <v/>
      </c>
      <c r="D37" t="str">
        <f>""</f>
        <v/>
      </c>
      <c r="E37" t="str">
        <f>""</f>
        <v/>
      </c>
      <c r="F37" t="str">
        <f>""</f>
        <v/>
      </c>
      <c r="G37" t="str">
        <f>""</f>
        <v/>
      </c>
      <c r="H37" t="str">
        <f>""</f>
        <v/>
      </c>
      <c r="I37" t="str">
        <f>""</f>
        <v/>
      </c>
    </row>
    <row r="38" spans="1:9" x14ac:dyDescent="0.25">
      <c r="A38" t="str">
        <f>"rows correspond to beta values; t-statistics; 95% confidence intervals; p-values."</f>
        <v>rows correspond to beta values; t-statistics; 95% confidence intervals; p-values.</v>
      </c>
    </row>
  </sheetData>
  <mergeCells count="2">
    <mergeCell ref="A1:I1"/>
    <mergeCell ref="K1:R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BF5D5-DBE8-4F9E-8FD1-AF19C72A54DA}">
  <dimension ref="A1:P70"/>
  <sheetViews>
    <sheetView workbookViewId="0">
      <selection activeCell="C10" sqref="C10"/>
    </sheetView>
  </sheetViews>
  <sheetFormatPr defaultRowHeight="15" x14ac:dyDescent="0.25"/>
  <cols>
    <col min="1" max="1" width="38" customWidth="1"/>
    <col min="2" max="2" width="11.28515625" bestFit="1" customWidth="1"/>
    <col min="3" max="3" width="15.140625" bestFit="1" customWidth="1"/>
    <col min="4" max="4" width="17.42578125" bestFit="1" customWidth="1"/>
    <col min="5" max="5" width="12" bestFit="1" customWidth="1"/>
    <col min="6" max="6" width="12.28515625" bestFit="1" customWidth="1"/>
    <col min="7" max="7" width="12" bestFit="1" customWidth="1"/>
  </cols>
  <sheetData>
    <row r="1" spans="1:16" ht="15" customHeight="1" x14ac:dyDescent="0.25">
      <c r="A1" s="16" t="s">
        <v>1125</v>
      </c>
      <c r="B1" s="17"/>
      <c r="C1" s="17"/>
      <c r="D1" s="17"/>
      <c r="E1" s="17"/>
      <c r="F1" s="17"/>
      <c r="G1" s="17"/>
      <c r="H1" s="2"/>
      <c r="I1" s="2"/>
      <c r="K1" s="24" t="s">
        <v>1157</v>
      </c>
      <c r="L1" s="24"/>
      <c r="M1" s="24"/>
      <c r="N1" s="24"/>
      <c r="O1" s="24"/>
      <c r="P1" s="24"/>
    </row>
    <row r="2" spans="1:16" x14ac:dyDescent="0.25">
      <c r="A2" t="str">
        <f>""</f>
        <v/>
      </c>
      <c r="B2" t="str">
        <f>"(1)"</f>
        <v>(1)</v>
      </c>
      <c r="C2" t="str">
        <f>"(2)"</f>
        <v>(2)</v>
      </c>
      <c r="D2" t="str">
        <f>"(3)"</f>
        <v>(3)</v>
      </c>
      <c r="E2" t="str">
        <f>"(4)"</f>
        <v>(4)</v>
      </c>
      <c r="F2" t="str">
        <f>"(5)"</f>
        <v>(5)</v>
      </c>
      <c r="G2" t="str">
        <f>"(6)"</f>
        <v>(6)</v>
      </c>
      <c r="K2" s="25">
        <v>1</v>
      </c>
      <c r="L2" s="25">
        <v>2</v>
      </c>
      <c r="M2" s="25">
        <v>3</v>
      </c>
      <c r="N2" s="25">
        <v>4</v>
      </c>
      <c r="O2" s="25">
        <v>5</v>
      </c>
      <c r="P2" s="25">
        <v>6</v>
      </c>
    </row>
    <row r="3" spans="1:16" x14ac:dyDescent="0.25">
      <c r="A3" t="str">
        <f>""</f>
        <v/>
      </c>
      <c r="B3" t="s">
        <v>51</v>
      </c>
      <c r="C3" t="s">
        <v>57</v>
      </c>
      <c r="D3" t="s">
        <v>100</v>
      </c>
      <c r="E3" t="s">
        <v>63</v>
      </c>
      <c r="F3" t="s">
        <v>101</v>
      </c>
      <c r="G3" t="s">
        <v>54</v>
      </c>
    </row>
    <row r="4" spans="1:16" x14ac:dyDescent="0.25">
      <c r="A4" t="str">
        <f>"Post civil-rights era"</f>
        <v>Post civil-rights era</v>
      </c>
      <c r="B4" t="str">
        <f>"-0.272"</f>
        <v>-0.272</v>
      </c>
      <c r="C4" t="str">
        <f>"-0.004"</f>
        <v>-0.004</v>
      </c>
      <c r="D4" t="str">
        <f>"-0.423"</f>
        <v>-0.423</v>
      </c>
      <c r="E4" t="str">
        <f>"-1.071"</f>
        <v>-1.071</v>
      </c>
      <c r="F4" t="str">
        <f>"-0.621"</f>
        <v>-0.621</v>
      </c>
      <c r="G4" t="str">
        <f>"0.006"</f>
        <v>0.006</v>
      </c>
      <c r="K4" s="6">
        <f>(EXP(2*B4)-1)/(EXP(2*B4)+1)</f>
        <v>-0.26548485618910989</v>
      </c>
      <c r="L4" s="6">
        <f>(EXP(2*C4)-1)/(EXP(2*C4)+1)</f>
        <v>-3.9999786668031851E-3</v>
      </c>
      <c r="M4" s="6">
        <f>(EXP(2*D4)-1)/(EXP(2*D4)+1)</f>
        <v>-0.39945475718409978</v>
      </c>
      <c r="N4" s="6">
        <f>(EXP(2*E4)-1)/(EXP(2*E4)+1)</f>
        <v>-0.78983767461453847</v>
      </c>
      <c r="O4" s="6">
        <f>(EXP(2*F4)-1)/(EXP(2*F4)+1)</f>
        <v>-0.55182390268660098</v>
      </c>
      <c r="P4" s="6">
        <f>(EXP(2*G4)-1)/(EXP(2*G4)+1)</f>
        <v>5.999928001036812E-3</v>
      </c>
    </row>
    <row r="5" spans="1:16" x14ac:dyDescent="0.25">
      <c r="A5" t="str">
        <f>""</f>
        <v/>
      </c>
      <c r="B5" t="str">
        <f>"(-1.441)"</f>
        <v>(-1.441)</v>
      </c>
      <c r="C5" t="str">
        <f>"(-0.172)"</f>
        <v>(-0.172)</v>
      </c>
      <c r="D5" t="str">
        <f>"(-9.170)"</f>
        <v>(-9.170)</v>
      </c>
      <c r="E5" t="str">
        <f>"(-1.954)"</f>
        <v>(-1.954)</v>
      </c>
      <c r="F5" t="str">
        <f>"(-11.593)"</f>
        <v>(-11.593)</v>
      </c>
      <c r="G5" t="str">
        <f>"(0.265)"</f>
        <v>(0.265)</v>
      </c>
      <c r="K5" s="6"/>
      <c r="L5" s="6"/>
      <c r="M5" s="6"/>
      <c r="N5" s="6"/>
      <c r="O5" s="6"/>
      <c r="P5" s="6"/>
    </row>
    <row r="6" spans="1:16" x14ac:dyDescent="0.25">
      <c r="A6" t="str">
        <f>""</f>
        <v/>
      </c>
      <c r="B6" t="str">
        <f>"-0.642 0.098"</f>
        <v>-0.642 0.098</v>
      </c>
      <c r="C6" t="str">
        <f>"-0.048 0.040"</f>
        <v>-0.048 0.040</v>
      </c>
      <c r="D6" t="str">
        <f>"-0.513 -0.333"</f>
        <v>-0.513 -0.333</v>
      </c>
      <c r="E6" t="str">
        <f>"-2.145 0.004"</f>
        <v>-2.145 0.004</v>
      </c>
      <c r="F6" t="str">
        <f>"-0.726 -0.516"</f>
        <v>-0.726 -0.516</v>
      </c>
      <c r="G6" t="str">
        <f>"-0.036 0.047"</f>
        <v>-0.036 0.047</v>
      </c>
      <c r="K6" s="6"/>
      <c r="L6" s="6"/>
      <c r="M6" s="6"/>
      <c r="N6" s="6"/>
      <c r="O6" s="6"/>
      <c r="P6" s="6"/>
    </row>
    <row r="7" spans="1:16" x14ac:dyDescent="0.25">
      <c r="A7" t="str">
        <f>""</f>
        <v/>
      </c>
      <c r="B7" t="str">
        <f>"(0.1495)"</f>
        <v>(0.1495)</v>
      </c>
      <c r="C7" t="str">
        <f>"(0.8633)"</f>
        <v>(0.8633)</v>
      </c>
      <c r="D7" t="str">
        <f>"(0.0000)"</f>
        <v>(0.0000)</v>
      </c>
      <c r="E7" t="str">
        <f>"(0.0508)"</f>
        <v>(0.0508)</v>
      </c>
      <c r="F7" t="str">
        <f>"(0.0000)"</f>
        <v>(0.0000)</v>
      </c>
      <c r="G7" t="str">
        <f>"(0.7911)"</f>
        <v>(0.7911)</v>
      </c>
      <c r="K7" s="6"/>
      <c r="L7" s="6"/>
      <c r="M7" s="6"/>
      <c r="N7" s="6"/>
      <c r="O7" s="6"/>
      <c r="P7" s="6"/>
    </row>
    <row r="8" spans="1:16" x14ac:dyDescent="0.25">
      <c r="A8" t="str">
        <f>"21st century"</f>
        <v>21st century</v>
      </c>
      <c r="B8" t="str">
        <f>"-0.333"</f>
        <v>-0.333</v>
      </c>
      <c r="C8" t="str">
        <f>"0.037"</f>
        <v>0.037</v>
      </c>
      <c r="D8" t="str">
        <f>"-0.378"</f>
        <v>-0.378</v>
      </c>
      <c r="E8" t="str">
        <f>"-2.326"</f>
        <v>-2.326</v>
      </c>
      <c r="F8" t="str">
        <f>"-0.781"</f>
        <v>-0.781</v>
      </c>
      <c r="G8" t="str">
        <f>"-0.009"</f>
        <v>-0.009</v>
      </c>
      <c r="K8" s="6">
        <f>(EXP(2*B8)-1)/(EXP(2*B8)+1)</f>
        <v>-0.32121382898853551</v>
      </c>
      <c r="L8" s="6">
        <f>(EXP(2*C8)-1)/(EXP(2*C8)+1)</f>
        <v>3.6983124907407128E-2</v>
      </c>
      <c r="M8" s="6">
        <f>(EXP(2*D8)-1)/(EXP(2*D8)+1)</f>
        <v>-0.36096932243320357</v>
      </c>
      <c r="N8" s="6">
        <f>(EXP(2*E8)-1)/(EXP(2*E8)+1)</f>
        <v>-0.9810954014168044</v>
      </c>
      <c r="O8" s="6">
        <f>(EXP(2*F8)-1)/(EXP(2*F8)+1)</f>
        <v>-0.65328030533462533</v>
      </c>
      <c r="P8" s="6">
        <f>(EXP(2*G8)-1)/(EXP(2*G8)+1)</f>
        <v>-8.9997570078729165E-3</v>
      </c>
    </row>
    <row r="9" spans="1:16" x14ac:dyDescent="0.25">
      <c r="A9" t="str">
        <f>""</f>
        <v/>
      </c>
      <c r="B9" t="str">
        <f>"(-1.769)"</f>
        <v>(-1.769)</v>
      </c>
      <c r="C9" t="str">
        <f>"(1.675)"</f>
        <v>(1.675)</v>
      </c>
      <c r="D9" t="str">
        <f>"(-8.265)"</f>
        <v>(-8.265)</v>
      </c>
      <c r="E9" t="str">
        <f>"(-4.030)"</f>
        <v>(-4.030)</v>
      </c>
      <c r="F9" t="str">
        <f>"(-11.738)"</f>
        <v>(-11.738)</v>
      </c>
      <c r="G9" t="str">
        <f>"(-0.521)"</f>
        <v>(-0.521)</v>
      </c>
    </row>
    <row r="10" spans="1:16" x14ac:dyDescent="0.25">
      <c r="A10" t="str">
        <f>""</f>
        <v/>
      </c>
      <c r="B10" t="str">
        <f>"-0.702 0.036"</f>
        <v>-0.702 0.036</v>
      </c>
      <c r="C10" t="str">
        <f>"-0.006 0.080"</f>
        <v>-0.006 0.080</v>
      </c>
      <c r="D10" t="str">
        <f>"-0.467 -0.288"</f>
        <v>-0.467 -0.288</v>
      </c>
      <c r="E10" t="str">
        <f>"-3.457 -1.195"</f>
        <v>-3.457 -1.195</v>
      </c>
      <c r="F10" t="str">
        <f>"-0.911 -0.650"</f>
        <v>-0.911 -0.650</v>
      </c>
      <c r="G10" t="str">
        <f>"-0.043 0.025"</f>
        <v>-0.043 0.025</v>
      </c>
    </row>
    <row r="11" spans="1:16" x14ac:dyDescent="0.25">
      <c r="A11" t="str">
        <f>""</f>
        <v/>
      </c>
      <c r="B11" t="str">
        <f>"(0.0768)"</f>
        <v>(0.0768)</v>
      </c>
      <c r="C11" t="str">
        <f>"(0.0939)"</f>
        <v>(0.0939)</v>
      </c>
      <c r="D11" t="str">
        <f>"(0.0000)"</f>
        <v>(0.0000)</v>
      </c>
      <c r="E11" t="str">
        <f>"(0.0001)"</f>
        <v>(0.0001)</v>
      </c>
      <c r="F11" t="str">
        <f>"(0.0000)"</f>
        <v>(0.0000)</v>
      </c>
      <c r="G11" t="str">
        <f>"(0.6027)"</f>
        <v>(0.6027)</v>
      </c>
    </row>
    <row r="12" spans="1:16" x14ac:dyDescent="0.25">
      <c r="A12" t="str">
        <f>"Uses stereotypical Black names to indicate race"</f>
        <v>Uses stereotypical Black names to indicate race</v>
      </c>
      <c r="B12" t="str">
        <f>"0.057"</f>
        <v>0.057</v>
      </c>
      <c r="C12" t="str">
        <f>"0.000"</f>
        <v>0.000</v>
      </c>
      <c r="D12" t="str">
        <f>"0.000"</f>
        <v>0.000</v>
      </c>
      <c r="E12" t="str">
        <f>"0.000"</f>
        <v>0.000</v>
      </c>
      <c r="F12" t="str">
        <f>"0.000"</f>
        <v>0.000</v>
      </c>
      <c r="G12" t="str">
        <f>"0.000"</f>
        <v>0.000</v>
      </c>
    </row>
    <row r="13" spans="1:16" x14ac:dyDescent="0.25">
      <c r="A13" t="str">
        <f>""</f>
        <v/>
      </c>
      <c r="B13" t="str">
        <f>"(3.791)"</f>
        <v>(3.791)</v>
      </c>
      <c r="C13" t="str">
        <f>"(.)"</f>
        <v>(.)</v>
      </c>
      <c r="D13" t="str">
        <f>"(.)"</f>
        <v>(.)</v>
      </c>
      <c r="E13" t="str">
        <f>"(.)"</f>
        <v>(.)</v>
      </c>
      <c r="F13" t="str">
        <f>"(.)"</f>
        <v>(.)</v>
      </c>
      <c r="G13" t="str">
        <f>"(.)"</f>
        <v>(.)</v>
      </c>
    </row>
    <row r="14" spans="1:16" x14ac:dyDescent="0.25">
      <c r="A14" t="str">
        <f>""</f>
        <v/>
      </c>
      <c r="B14" t="str">
        <f>"0.027 0.086"</f>
        <v>0.027 0.086</v>
      </c>
      <c r="C14" t="str">
        <f>"0.000 0.000"</f>
        <v>0.000 0.000</v>
      </c>
      <c r="D14" t="str">
        <f>"0.000 0.000"</f>
        <v>0.000 0.000</v>
      </c>
      <c r="E14" t="str">
        <f>"0.000 0.000"</f>
        <v>0.000 0.000</v>
      </c>
      <c r="F14" t="str">
        <f>"0.000 0.000"</f>
        <v>0.000 0.000</v>
      </c>
      <c r="G14" t="str">
        <f>"0.000 0.000"</f>
        <v>0.000 0.000</v>
      </c>
    </row>
    <row r="15" spans="1:16" x14ac:dyDescent="0.25">
      <c r="A15" t="str">
        <f>""</f>
        <v/>
      </c>
      <c r="B15" t="str">
        <f>"(0.0002)"</f>
        <v>(0.0002)</v>
      </c>
      <c r="C15" t="str">
        <f>"(.)"</f>
        <v>(.)</v>
      </c>
      <c r="D15" t="str">
        <f>"(.)"</f>
        <v>(.)</v>
      </c>
      <c r="E15" t="str">
        <f>"(.)"</f>
        <v>(.)</v>
      </c>
      <c r="F15" t="str">
        <f>"(.)"</f>
        <v>(.)</v>
      </c>
      <c r="G15" t="str">
        <f>"(.)"</f>
        <v>(.)</v>
      </c>
    </row>
    <row r="16" spans="1:16" x14ac:dyDescent="0.25">
      <c r="A16" t="str">
        <f>"domain==driver behavior"</f>
        <v>domain==driver behavior</v>
      </c>
      <c r="B16" t="str">
        <f>"0.019"</f>
        <v>0.019</v>
      </c>
      <c r="C16" t="str">
        <f>"0.000"</f>
        <v>0.000</v>
      </c>
      <c r="D16" t="str">
        <f>"0.000"</f>
        <v>0.000</v>
      </c>
      <c r="E16" t="str">
        <f>"0.000"</f>
        <v>0.000</v>
      </c>
      <c r="F16" t="str">
        <f>"0.000"</f>
        <v>0.000</v>
      </c>
      <c r="G16" t="str">
        <f>"0.000"</f>
        <v>0.000</v>
      </c>
    </row>
    <row r="17" spans="1:7" x14ac:dyDescent="0.25">
      <c r="A17" t="str">
        <f>""</f>
        <v/>
      </c>
      <c r="B17" t="str">
        <f>"(0.288)"</f>
        <v>(0.288)</v>
      </c>
      <c r="C17" t="str">
        <f>"(.)"</f>
        <v>(.)</v>
      </c>
      <c r="D17" t="str">
        <f>"(.)"</f>
        <v>(.)</v>
      </c>
      <c r="E17" t="str">
        <f>"(.)"</f>
        <v>(.)</v>
      </c>
      <c r="F17" t="str">
        <f>"(.)"</f>
        <v>(.)</v>
      </c>
      <c r="G17" t="str">
        <f>"(.)"</f>
        <v>(.)</v>
      </c>
    </row>
    <row r="18" spans="1:7" x14ac:dyDescent="0.25">
      <c r="A18" t="str">
        <f>""</f>
        <v/>
      </c>
      <c r="B18" t="str">
        <f>"-0.108 0.145"</f>
        <v>-0.108 0.145</v>
      </c>
      <c r="C18" t="str">
        <f>"0.000 0.000"</f>
        <v>0.000 0.000</v>
      </c>
      <c r="D18" t="str">
        <f>"0.000 0.000"</f>
        <v>0.000 0.000</v>
      </c>
      <c r="E18" t="str">
        <f>"0.000 0.000"</f>
        <v>0.000 0.000</v>
      </c>
      <c r="F18" t="str">
        <f>"0.000 0.000"</f>
        <v>0.000 0.000</v>
      </c>
      <c r="G18" t="str">
        <f>"0.000 0.000"</f>
        <v>0.000 0.000</v>
      </c>
    </row>
    <row r="19" spans="1:7" x14ac:dyDescent="0.25">
      <c r="A19" t="str">
        <f>""</f>
        <v/>
      </c>
      <c r="B19" t="str">
        <f>"(0.7737)"</f>
        <v>(0.7737)</v>
      </c>
      <c r="C19" t="str">
        <f>"(.)"</f>
        <v>(.)</v>
      </c>
      <c r="D19" t="str">
        <f>"(.)"</f>
        <v>(.)</v>
      </c>
      <c r="E19" t="str">
        <f>"(.)"</f>
        <v>(.)</v>
      </c>
      <c r="F19" t="str">
        <f>"(.)"</f>
        <v>(.)</v>
      </c>
      <c r="G19" t="str">
        <f>"(.)"</f>
        <v>(.)</v>
      </c>
    </row>
    <row r="20" spans="1:7" x14ac:dyDescent="0.25">
      <c r="A20" t="str">
        <f>"domain==education"</f>
        <v>domain==education</v>
      </c>
      <c r="B20" t="str">
        <f>"0.000"</f>
        <v>0.000</v>
      </c>
      <c r="C20" t="str">
        <f>"0.000"</f>
        <v>0.000</v>
      </c>
      <c r="D20" t="str">
        <f>"-0.290"</f>
        <v>-0.290</v>
      </c>
      <c r="E20" t="str">
        <f>"0.000"</f>
        <v>0.000</v>
      </c>
      <c r="F20" t="str">
        <f>"0.043"</f>
        <v>0.043</v>
      </c>
      <c r="G20" t="str">
        <f>"0.000"</f>
        <v>0.000</v>
      </c>
    </row>
    <row r="21" spans="1:7" x14ac:dyDescent="0.25">
      <c r="A21" t="str">
        <f>""</f>
        <v/>
      </c>
      <c r="B21" t="str">
        <f>"(.)"</f>
        <v>(.)</v>
      </c>
      <c r="C21" t="str">
        <f>"(.)"</f>
        <v>(.)</v>
      </c>
      <c r="D21" t="str">
        <f>"(-4.859)"</f>
        <v>(-4.859)</v>
      </c>
      <c r="E21" t="str">
        <f>"(.)"</f>
        <v>(.)</v>
      </c>
      <c r="F21" t="str">
        <f>"(0.359)"</f>
        <v>(0.359)</v>
      </c>
      <c r="G21" t="str">
        <f>"(.)"</f>
        <v>(.)</v>
      </c>
    </row>
    <row r="22" spans="1:7" x14ac:dyDescent="0.25">
      <c r="A22" t="str">
        <f>""</f>
        <v/>
      </c>
      <c r="B22" t="str">
        <f>"0.000 0.000"</f>
        <v>0.000 0.000</v>
      </c>
      <c r="C22" t="str">
        <f>"0.000 0.000"</f>
        <v>0.000 0.000</v>
      </c>
      <c r="D22" t="str">
        <f>"-0.408 -0.173"</f>
        <v>-0.408 -0.173</v>
      </c>
      <c r="E22" t="str">
        <f>"0.000 0.000"</f>
        <v>0.000 0.000</v>
      </c>
      <c r="F22" t="str">
        <f>"-0.192 0.278"</f>
        <v>-0.192 0.278</v>
      </c>
      <c r="G22" t="str">
        <f>"0.000 0.000"</f>
        <v>0.000 0.000</v>
      </c>
    </row>
    <row r="23" spans="1:7" x14ac:dyDescent="0.25">
      <c r="A23" t="str">
        <f>""</f>
        <v/>
      </c>
      <c r="B23" t="str">
        <f>"(.)"</f>
        <v>(.)</v>
      </c>
      <c r="C23" t="str">
        <f>"(.)"</f>
        <v>(.)</v>
      </c>
      <c r="D23" t="str">
        <f>"(0.0000)"</f>
        <v>(0.0000)</v>
      </c>
      <c r="E23" t="str">
        <f>"(.)"</f>
        <v>(.)</v>
      </c>
      <c r="F23" t="str">
        <f>"(0.7195)"</f>
        <v>(0.7195)</v>
      </c>
      <c r="G23" t="str">
        <f>"(.)"</f>
        <v>(.)</v>
      </c>
    </row>
    <row r="24" spans="1:7" x14ac:dyDescent="0.25">
      <c r="A24" t="str">
        <f>"domain==financial market"</f>
        <v>domain==financial market</v>
      </c>
      <c r="B24" t="str">
        <f>"0.000"</f>
        <v>0.000</v>
      </c>
      <c r="C24" t="str">
        <f>"0.035"</f>
        <v>0.035</v>
      </c>
      <c r="D24" t="str">
        <f>"0.000"</f>
        <v>0.000</v>
      </c>
      <c r="E24" t="str">
        <f>"0.000"</f>
        <v>0.000</v>
      </c>
      <c r="F24" t="str">
        <f>"0.000"</f>
        <v>0.000</v>
      </c>
      <c r="G24" t="str">
        <f>"-0.074"</f>
        <v>-0.074</v>
      </c>
    </row>
    <row r="25" spans="1:7" x14ac:dyDescent="0.25">
      <c r="A25" t="str">
        <f>""</f>
        <v/>
      </c>
      <c r="B25" t="str">
        <f>"(.)"</f>
        <v>(.)</v>
      </c>
      <c r="C25" t="str">
        <f>"(3.608)"</f>
        <v>(3.608)</v>
      </c>
      <c r="D25" t="str">
        <f>"(.)"</f>
        <v>(.)</v>
      </c>
      <c r="E25" t="str">
        <f>"(.)"</f>
        <v>(.)</v>
      </c>
      <c r="F25" t="str">
        <f>"(.)"</f>
        <v>(.)</v>
      </c>
      <c r="G25" t="str">
        <f>"(-2.997)"</f>
        <v>(-2.997)</v>
      </c>
    </row>
    <row r="26" spans="1:7" x14ac:dyDescent="0.25">
      <c r="A26" t="str">
        <f>""</f>
        <v/>
      </c>
      <c r="B26" t="str">
        <f>"0.000 0.000"</f>
        <v>0.000 0.000</v>
      </c>
      <c r="C26" t="str">
        <f>"0.016 0.054"</f>
        <v>0.016 0.054</v>
      </c>
      <c r="D26" t="str">
        <f>"0.000 0.000"</f>
        <v>0.000 0.000</v>
      </c>
      <c r="E26" t="str">
        <f>"0.000 0.000"</f>
        <v>0.000 0.000</v>
      </c>
      <c r="F26" t="str">
        <f>"0.000 0.000"</f>
        <v>0.000 0.000</v>
      </c>
      <c r="G26" t="str">
        <f>"-0.122 -0.025"</f>
        <v>-0.122 -0.025</v>
      </c>
    </row>
    <row r="27" spans="1:7" x14ac:dyDescent="0.25">
      <c r="A27" t="str">
        <f>""</f>
        <v/>
      </c>
      <c r="B27" t="str">
        <f>"(.)"</f>
        <v>(.)</v>
      </c>
      <c r="C27" t="str">
        <f>"(0.0003)"</f>
        <v>(0.0003)</v>
      </c>
      <c r="D27" t="str">
        <f>"(.)"</f>
        <v>(.)</v>
      </c>
      <c r="E27" t="str">
        <f>"(.)"</f>
        <v>(.)</v>
      </c>
      <c r="F27" t="str">
        <f>"(.)"</f>
        <v>(.)</v>
      </c>
      <c r="G27" t="str">
        <f>"(0.0027)"</f>
        <v>(0.0027)</v>
      </c>
    </row>
    <row r="28" spans="1:7" x14ac:dyDescent="0.25">
      <c r="A28" t="str">
        <f>"domain==government services"</f>
        <v>domain==government services</v>
      </c>
      <c r="B28" t="str">
        <f>"-0.002"</f>
        <v>-0.002</v>
      </c>
      <c r="C28" t="str">
        <f>"0.000"</f>
        <v>0.000</v>
      </c>
      <c r="D28" t="str">
        <f>"0.000"</f>
        <v>0.000</v>
      </c>
      <c r="E28" t="str">
        <f>"0.000"</f>
        <v>0.000</v>
      </c>
      <c r="F28" t="str">
        <f>"0.336"</f>
        <v>0.336</v>
      </c>
      <c r="G28" t="str">
        <f>"0.000"</f>
        <v>0.000</v>
      </c>
    </row>
    <row r="29" spans="1:7" x14ac:dyDescent="0.25">
      <c r="A29" t="str">
        <f>""</f>
        <v/>
      </c>
      <c r="B29" t="str">
        <f>"(-0.084)"</f>
        <v>(-0.084)</v>
      </c>
      <c r="C29" t="str">
        <f>"(.)"</f>
        <v>(.)</v>
      </c>
      <c r="D29" t="str">
        <f>"(.)"</f>
        <v>(.)</v>
      </c>
      <c r="E29" t="str">
        <f>"(.)"</f>
        <v>(.)</v>
      </c>
      <c r="F29" t="str">
        <f>"(1.414)"</f>
        <v>(1.414)</v>
      </c>
      <c r="G29" t="str">
        <f>"(.)"</f>
        <v>(.)</v>
      </c>
    </row>
    <row r="30" spans="1:7" x14ac:dyDescent="0.25">
      <c r="A30" t="str">
        <f>""</f>
        <v/>
      </c>
      <c r="B30" t="str">
        <f>"-0.060 0.055"</f>
        <v>-0.060 0.055</v>
      </c>
      <c r="C30" t="str">
        <f>"0.000 0.000"</f>
        <v>0.000 0.000</v>
      </c>
      <c r="D30" t="str">
        <f>"0.000 0.000"</f>
        <v>0.000 0.000</v>
      </c>
      <c r="E30" t="str">
        <f>"0.000 0.000"</f>
        <v>0.000 0.000</v>
      </c>
      <c r="F30" t="str">
        <f>"-0.130 0.801"</f>
        <v>-0.130 0.801</v>
      </c>
      <c r="G30" t="str">
        <f>"0.000 0.000"</f>
        <v>0.000 0.000</v>
      </c>
    </row>
    <row r="31" spans="1:7" x14ac:dyDescent="0.25">
      <c r="A31" t="str">
        <f>""</f>
        <v/>
      </c>
      <c r="B31" t="str">
        <f>"(0.9333)"</f>
        <v>(0.9333)</v>
      </c>
      <c r="C31" t="str">
        <f>"(.)"</f>
        <v>(.)</v>
      </c>
      <c r="D31" t="str">
        <f>"(.)"</f>
        <v>(.)</v>
      </c>
      <c r="E31" t="str">
        <f>"(.)"</f>
        <v>(.)</v>
      </c>
      <c r="F31" t="str">
        <f>"(0.1575)"</f>
        <v>(0.1575)</v>
      </c>
      <c r="G31" t="str">
        <f>"(.)"</f>
        <v>(.)</v>
      </c>
    </row>
    <row r="32" spans="1:7" x14ac:dyDescent="0.25">
      <c r="A32" t="str">
        <f>"domain==healthcare"</f>
        <v>domain==healthcare</v>
      </c>
      <c r="B32" t="str">
        <f>"0.000"</f>
        <v>0.000</v>
      </c>
      <c r="C32" t="str">
        <f>"0.000"</f>
        <v>0.000</v>
      </c>
      <c r="D32" t="str">
        <f>"0.000"</f>
        <v>0.000</v>
      </c>
      <c r="E32" t="str">
        <f>"-1.827"</f>
        <v>-1.827</v>
      </c>
      <c r="F32" t="str">
        <f>"0.000"</f>
        <v>0.000</v>
      </c>
      <c r="G32" t="str">
        <f>"0.000"</f>
        <v>0.000</v>
      </c>
    </row>
    <row r="33" spans="1:7" x14ac:dyDescent="0.25">
      <c r="A33" t="str">
        <f>""</f>
        <v/>
      </c>
      <c r="B33" t="str">
        <f>"(.)"</f>
        <v>(.)</v>
      </c>
      <c r="C33" t="str">
        <f>"(.)"</f>
        <v>(.)</v>
      </c>
      <c r="D33" t="str">
        <f>"(.)"</f>
        <v>(.)</v>
      </c>
      <c r="E33" t="str">
        <f>"(-3.425)"</f>
        <v>(-3.425)</v>
      </c>
      <c r="F33" t="str">
        <f>"(.)"</f>
        <v>(.)</v>
      </c>
      <c r="G33" t="str">
        <f>"(.)"</f>
        <v>(.)</v>
      </c>
    </row>
    <row r="34" spans="1:7" x14ac:dyDescent="0.25">
      <c r="A34" t="str">
        <f>""</f>
        <v/>
      </c>
      <c r="B34" t="str">
        <f>"0.000 0.000"</f>
        <v>0.000 0.000</v>
      </c>
      <c r="C34" t="str">
        <f>"0.000 0.000"</f>
        <v>0.000 0.000</v>
      </c>
      <c r="D34" t="str">
        <f>"0.000 0.000"</f>
        <v>0.000 0.000</v>
      </c>
      <c r="E34" t="str">
        <f>"-2.873 -0.782"</f>
        <v>-2.873 -0.782</v>
      </c>
      <c r="F34" t="str">
        <f>"0.000 0.000"</f>
        <v>0.000 0.000</v>
      </c>
      <c r="G34" t="str">
        <f>"0.000 0.000"</f>
        <v>0.000 0.000</v>
      </c>
    </row>
    <row r="35" spans="1:7" x14ac:dyDescent="0.25">
      <c r="A35" t="str">
        <f>""</f>
        <v/>
      </c>
      <c r="B35" t="str">
        <f>"(.)"</f>
        <v>(.)</v>
      </c>
      <c r="C35" t="str">
        <f>"(.)"</f>
        <v>(.)</v>
      </c>
      <c r="D35" t="str">
        <f>"(.)"</f>
        <v>(.)</v>
      </c>
      <c r="E35" t="str">
        <f>"(0.0006)"</f>
        <v>(0.0006)</v>
      </c>
      <c r="F35" t="str">
        <f>"(.)"</f>
        <v>(.)</v>
      </c>
      <c r="G35" t="str">
        <f>"(.)"</f>
        <v>(.)</v>
      </c>
    </row>
    <row r="36" spans="1:7" x14ac:dyDescent="0.25">
      <c r="A36" t="str">
        <f>"domain==higher education"</f>
        <v>domain==higher education</v>
      </c>
      <c r="B36" t="str">
        <f>"0.000"</f>
        <v>0.000</v>
      </c>
      <c r="C36" t="str">
        <f>"-0.336"</f>
        <v>-0.336</v>
      </c>
      <c r="D36" t="str">
        <f>"0.000"</f>
        <v>0.000</v>
      </c>
      <c r="E36" t="str">
        <f>"-0.999"</f>
        <v>-0.999</v>
      </c>
      <c r="F36" t="str">
        <f>"0.356"</f>
        <v>0.356</v>
      </c>
      <c r="G36" t="str">
        <f>"-0.408"</f>
        <v>-0.408</v>
      </c>
    </row>
    <row r="37" spans="1:7" x14ac:dyDescent="0.25">
      <c r="A37" t="str">
        <f>""</f>
        <v/>
      </c>
      <c r="B37" t="str">
        <f>"(.)"</f>
        <v>(.)</v>
      </c>
      <c r="C37" t="str">
        <f>"(-43.678)"</f>
        <v>(-43.678)</v>
      </c>
      <c r="D37" t="str">
        <f>"(.)"</f>
        <v>(.)</v>
      </c>
      <c r="E37" t="str">
        <f>"(-3.866)"</f>
        <v>(-3.866)</v>
      </c>
      <c r="F37" t="str">
        <f>"(1.659)"</f>
        <v>(1.659)</v>
      </c>
      <c r="G37" t="str">
        <f>"(-17.783)"</f>
        <v>(-17.783)</v>
      </c>
    </row>
    <row r="38" spans="1:7" x14ac:dyDescent="0.25">
      <c r="A38" t="str">
        <f>""</f>
        <v/>
      </c>
      <c r="B38" t="str">
        <f>"0.000 0.000"</f>
        <v>0.000 0.000</v>
      </c>
      <c r="C38" t="str">
        <f>"-0.352 -0.321"</f>
        <v>-0.352 -0.321</v>
      </c>
      <c r="D38" t="str">
        <f>"0.000 0.000"</f>
        <v>0.000 0.000</v>
      </c>
      <c r="E38" t="str">
        <f>"-1.506 -0.493"</f>
        <v>-1.506 -0.493</v>
      </c>
      <c r="F38" t="str">
        <f>"-0.065 0.777"</f>
        <v>-0.065 0.777</v>
      </c>
      <c r="G38" t="str">
        <f>"-0.453 -0.363"</f>
        <v>-0.453 -0.363</v>
      </c>
    </row>
    <row r="39" spans="1:7" x14ac:dyDescent="0.25">
      <c r="A39" t="str">
        <f>""</f>
        <v/>
      </c>
      <c r="B39" t="str">
        <f>"(.)"</f>
        <v>(.)</v>
      </c>
      <c r="C39" t="str">
        <f>"(0.0000)"</f>
        <v>(0.0000)</v>
      </c>
      <c r="D39" t="str">
        <f>"(.)"</f>
        <v>(.)</v>
      </c>
      <c r="E39" t="str">
        <f>"(0.0001)"</f>
        <v>(0.0001)</v>
      </c>
      <c r="F39" t="str">
        <f>"(0.0971)"</f>
        <v>(0.0971)</v>
      </c>
      <c r="G39" t="str">
        <f>"(0.0000)"</f>
        <v>(0.0000)</v>
      </c>
    </row>
    <row r="40" spans="1:7" x14ac:dyDescent="0.25">
      <c r="A40" t="str">
        <f>"domain==housing market"</f>
        <v>domain==housing market</v>
      </c>
      <c r="B40" t="str">
        <f>"0.055"</f>
        <v>0.055</v>
      </c>
      <c r="C40" t="str">
        <f>"-0.022"</f>
        <v>-0.022</v>
      </c>
      <c r="D40" t="str">
        <f>"0.000"</f>
        <v>0.000</v>
      </c>
      <c r="E40" t="str">
        <f>"-1.801"</f>
        <v>-1.801</v>
      </c>
      <c r="F40" t="str">
        <f>"0.423"</f>
        <v>0.423</v>
      </c>
      <c r="G40" t="str">
        <f>"0.000"</f>
        <v>0.000</v>
      </c>
    </row>
    <row r="41" spans="1:7" x14ac:dyDescent="0.25">
      <c r="A41" t="str">
        <f>""</f>
        <v/>
      </c>
      <c r="B41" t="str">
        <f>"(3.649)"</f>
        <v>(3.649)</v>
      </c>
      <c r="C41" t="str">
        <f>"(-3.659)"</f>
        <v>(-3.659)</v>
      </c>
      <c r="D41" t="str">
        <f>"(.)"</f>
        <v>(.)</v>
      </c>
      <c r="E41" t="str">
        <f>"(-6.566)"</f>
        <v>(-6.566)</v>
      </c>
      <c r="F41" t="str">
        <f>"(7.120)"</f>
        <v>(7.120)</v>
      </c>
      <c r="G41" t="str">
        <f>"(.)"</f>
        <v>(.)</v>
      </c>
    </row>
    <row r="42" spans="1:7" x14ac:dyDescent="0.25">
      <c r="A42" t="str">
        <f>""</f>
        <v/>
      </c>
      <c r="B42" t="str">
        <f>"0.025 0.084"</f>
        <v>0.025 0.084</v>
      </c>
      <c r="C42" t="str">
        <f>"-0.033 -0.010"</f>
        <v>-0.033 -0.010</v>
      </c>
      <c r="D42" t="str">
        <f>"0.000 0.000"</f>
        <v>0.000 0.000</v>
      </c>
      <c r="E42" t="str">
        <f>"-2.338 -1.263"</f>
        <v>-2.338 -1.263</v>
      </c>
      <c r="F42" t="str">
        <f>"0.306 0.539"</f>
        <v>0.306 0.539</v>
      </c>
      <c r="G42" t="str">
        <f>"0.000 0.000"</f>
        <v>0.000 0.000</v>
      </c>
    </row>
    <row r="43" spans="1:7" x14ac:dyDescent="0.25">
      <c r="A43" t="str">
        <f>""</f>
        <v/>
      </c>
      <c r="B43" t="str">
        <f>"(0.0003)"</f>
        <v>(0.0003)</v>
      </c>
      <c r="C43" t="str">
        <f>"(0.0003)"</f>
        <v>(0.0003)</v>
      </c>
      <c r="D43" t="str">
        <f>"(.)"</f>
        <v>(.)</v>
      </c>
      <c r="E43" t="str">
        <f>"(0.0000)"</f>
        <v>(0.0000)</v>
      </c>
      <c r="F43" t="str">
        <f>"(0.0000)"</f>
        <v>(0.0000)</v>
      </c>
      <c r="G43" t="str">
        <f>"(.)"</f>
        <v>(.)</v>
      </c>
    </row>
    <row r="44" spans="1:7" x14ac:dyDescent="0.25">
      <c r="A44" t="str">
        <f>"domain==law enforcement"</f>
        <v>domain==law enforcement</v>
      </c>
      <c r="B44" t="str">
        <f>"0.000"</f>
        <v>0.000</v>
      </c>
      <c r="C44" t="str">
        <f>"-0.003"</f>
        <v>-0.003</v>
      </c>
      <c r="D44" t="str">
        <f>"0.000"</f>
        <v>0.000</v>
      </c>
      <c r="E44" t="str">
        <f>"0.000"</f>
        <v>0.000</v>
      </c>
      <c r="F44" t="str">
        <f>"0.000"</f>
        <v>0.000</v>
      </c>
      <c r="G44" t="str">
        <f>""</f>
        <v/>
      </c>
    </row>
    <row r="45" spans="1:7" x14ac:dyDescent="0.25">
      <c r="A45" t="str">
        <f>""</f>
        <v/>
      </c>
      <c r="B45" t="str">
        <f>"(.)"</f>
        <v>(.)</v>
      </c>
      <c r="C45" t="str">
        <f>"(-0.435)"</f>
        <v>(-0.435)</v>
      </c>
      <c r="D45" t="str">
        <f>"(.)"</f>
        <v>(.)</v>
      </c>
      <c r="E45" t="str">
        <f>"(.)"</f>
        <v>(.)</v>
      </c>
      <c r="F45" t="str">
        <f>"(.)"</f>
        <v>(.)</v>
      </c>
      <c r="G45" t="str">
        <f>""</f>
        <v/>
      </c>
    </row>
    <row r="46" spans="1:7" x14ac:dyDescent="0.25">
      <c r="A46" t="str">
        <f>""</f>
        <v/>
      </c>
      <c r="B46" t="str">
        <f>"0.000 0.000"</f>
        <v>0.000 0.000</v>
      </c>
      <c r="C46" t="str">
        <f>"-0.018 0.011"</f>
        <v>-0.018 0.011</v>
      </c>
      <c r="D46" t="str">
        <f>"0.000 0.000"</f>
        <v>0.000 0.000</v>
      </c>
      <c r="E46" t="str">
        <f>"0.000 0.000"</f>
        <v>0.000 0.000</v>
      </c>
      <c r="F46" t="str">
        <f>"0.000 0.000"</f>
        <v>0.000 0.000</v>
      </c>
      <c r="G46" t="str">
        <f>" "</f>
        <v xml:space="preserve"> </v>
      </c>
    </row>
    <row r="47" spans="1:7" x14ac:dyDescent="0.25">
      <c r="A47" t="str">
        <f>""</f>
        <v/>
      </c>
      <c r="B47" t="str">
        <f>"(.)"</f>
        <v>(.)</v>
      </c>
      <c r="C47" t="str">
        <f>"(0.6635)"</f>
        <v>(0.6635)</v>
      </c>
      <c r="D47" t="str">
        <f>"(.)"</f>
        <v>(.)</v>
      </c>
      <c r="E47" t="str">
        <f>"(.)"</f>
        <v>(.)</v>
      </c>
      <c r="F47" t="str">
        <f>"(.)"</f>
        <v>(.)</v>
      </c>
      <c r="G47" t="str">
        <f>""</f>
        <v/>
      </c>
    </row>
    <row r="48" spans="1:7" x14ac:dyDescent="0.25">
      <c r="A48" t="str">
        <f>"domain==mate selection"</f>
        <v>domain==mate selection</v>
      </c>
      <c r="B48" t="str">
        <f>"0.000"</f>
        <v>0.000</v>
      </c>
      <c r="C48" t="str">
        <f>"-0.013"</f>
        <v>-0.013</v>
      </c>
      <c r="D48" t="str">
        <f>"0.000"</f>
        <v>0.000</v>
      </c>
      <c r="E48" t="str">
        <f>"0.000"</f>
        <v>0.000</v>
      </c>
      <c r="F48" t="str">
        <f>"0.737"</f>
        <v>0.737</v>
      </c>
      <c r="G48" t="str">
        <f>"0.000"</f>
        <v>0.000</v>
      </c>
    </row>
    <row r="49" spans="1:7" x14ac:dyDescent="0.25">
      <c r="A49" t="str">
        <f>""</f>
        <v/>
      </c>
      <c r="B49" t="str">
        <f>"(.)"</f>
        <v>(.)</v>
      </c>
      <c r="C49" t="str">
        <f>"(-1.410)"</f>
        <v>(-1.410)</v>
      </c>
      <c r="D49" t="str">
        <f>"(.)"</f>
        <v>(.)</v>
      </c>
      <c r="E49" t="str">
        <f>"(.)"</f>
        <v>(.)</v>
      </c>
      <c r="F49" t="str">
        <f>"(13.535)"</f>
        <v>(13.535)</v>
      </c>
      <c r="G49" t="str">
        <f>"(.)"</f>
        <v>(.)</v>
      </c>
    </row>
    <row r="50" spans="1:7" x14ac:dyDescent="0.25">
      <c r="A50" t="str">
        <f>""</f>
        <v/>
      </c>
      <c r="B50" t="str">
        <f>"0.000 0.000"</f>
        <v>0.000 0.000</v>
      </c>
      <c r="C50" t="str">
        <f>"-0.031 0.005"</f>
        <v>-0.031 0.005</v>
      </c>
      <c r="D50" t="str">
        <f>"0.000 0.000"</f>
        <v>0.000 0.000</v>
      </c>
      <c r="E50" t="str">
        <f>"0.000 0.000"</f>
        <v>0.000 0.000</v>
      </c>
      <c r="F50" t="str">
        <f>"0.630 0.843"</f>
        <v>0.630 0.843</v>
      </c>
      <c r="G50" t="str">
        <f>"0.000 0.000"</f>
        <v>0.000 0.000</v>
      </c>
    </row>
    <row r="51" spans="1:7" x14ac:dyDescent="0.25">
      <c r="A51" t="str">
        <f>""</f>
        <v/>
      </c>
      <c r="B51" t="str">
        <f>"(.)"</f>
        <v>(.)</v>
      </c>
      <c r="C51" t="str">
        <f>"(0.1586)"</f>
        <v>(0.1586)</v>
      </c>
      <c r="D51" t="str">
        <f>"(.)"</f>
        <v>(.)</v>
      </c>
      <c r="E51" t="str">
        <f>"(.)"</f>
        <v>(.)</v>
      </c>
      <c r="F51" t="str">
        <f>"(0.0000)"</f>
        <v>(0.0000)</v>
      </c>
      <c r="G51" t="str">
        <f>"(.)"</f>
        <v>(.)</v>
      </c>
    </row>
    <row r="52" spans="1:7" x14ac:dyDescent="0.25">
      <c r="A52" t="str">
        <f>"domain==retail"</f>
        <v>domain==retail</v>
      </c>
      <c r="B52" t="str">
        <f>"0.075"</f>
        <v>0.075</v>
      </c>
      <c r="C52" t="str">
        <f>"0.570"</f>
        <v>0.570</v>
      </c>
      <c r="D52" t="str">
        <f>"0.000"</f>
        <v>0.000</v>
      </c>
      <c r="E52" t="str">
        <f>"0.000"</f>
        <v>0.000</v>
      </c>
      <c r="F52" t="str">
        <f>"0.136"</f>
        <v>0.136</v>
      </c>
      <c r="G52" t="str">
        <f>"0.000"</f>
        <v>0.000</v>
      </c>
    </row>
    <row r="53" spans="1:7" x14ac:dyDescent="0.25">
      <c r="A53" t="str">
        <f>""</f>
        <v/>
      </c>
      <c r="B53" t="str">
        <f>"(2.354)"</f>
        <v>(2.354)</v>
      </c>
      <c r="C53" t="str">
        <f>"(9.613)"</f>
        <v>(9.613)</v>
      </c>
      <c r="D53" t="str">
        <f>"(.)"</f>
        <v>(.)</v>
      </c>
      <c r="E53" t="str">
        <f>"(.)"</f>
        <v>(.)</v>
      </c>
      <c r="F53" t="str">
        <f>"(1.157)"</f>
        <v>(1.157)</v>
      </c>
      <c r="G53" t="str">
        <f>"(.)"</f>
        <v>(.)</v>
      </c>
    </row>
    <row r="54" spans="1:7" x14ac:dyDescent="0.25">
      <c r="A54" t="str">
        <f>""</f>
        <v/>
      </c>
      <c r="B54" t="str">
        <f>"0.013 0.138"</f>
        <v>0.013 0.138</v>
      </c>
      <c r="C54" t="str">
        <f>"0.453 0.686"</f>
        <v>0.453 0.686</v>
      </c>
      <c r="D54" t="str">
        <f>"0.000 0.000"</f>
        <v>0.000 0.000</v>
      </c>
      <c r="E54" t="str">
        <f>"0.000 0.000"</f>
        <v>0.000 0.000</v>
      </c>
      <c r="F54" t="str">
        <f>"-0.094 0.367"</f>
        <v>-0.094 0.367</v>
      </c>
      <c r="G54" t="str">
        <f>"0.000 0.000"</f>
        <v>0.000 0.000</v>
      </c>
    </row>
    <row r="55" spans="1:7" x14ac:dyDescent="0.25">
      <c r="A55" t="str">
        <f>""</f>
        <v/>
      </c>
      <c r="B55" t="str">
        <f>"(0.0186)"</f>
        <v>(0.0186)</v>
      </c>
      <c r="C55" t="str">
        <f>"(0.0000)"</f>
        <v>(0.0000)</v>
      </c>
      <c r="D55" t="str">
        <f>"(.)"</f>
        <v>(.)</v>
      </c>
      <c r="E55" t="str">
        <f>"(.)"</f>
        <v>(.)</v>
      </c>
      <c r="F55" t="str">
        <f>"(0.2471)"</f>
        <v>(0.2471)</v>
      </c>
      <c r="G55" t="str">
        <f>"(.)"</f>
        <v>(.)</v>
      </c>
    </row>
    <row r="56" spans="1:7" x14ac:dyDescent="0.25">
      <c r="A56" t="str">
        <f>"domain==transportation"</f>
        <v>domain==transportation</v>
      </c>
      <c r="B56" t="str">
        <f>"0.048"</f>
        <v>0.048</v>
      </c>
      <c r="C56" t="str">
        <f>"0.000"</f>
        <v>0.000</v>
      </c>
      <c r="D56" t="str">
        <f>"0.000"</f>
        <v>0.000</v>
      </c>
      <c r="E56" t="str">
        <f>"0.000"</f>
        <v>0.000</v>
      </c>
      <c r="F56" t="str">
        <f>"0.000"</f>
        <v>0.000</v>
      </c>
      <c r="G56" t="str">
        <f>"0.000"</f>
        <v>0.000</v>
      </c>
    </row>
    <row r="57" spans="1:7" x14ac:dyDescent="0.25">
      <c r="A57" t="str">
        <f>""</f>
        <v/>
      </c>
      <c r="B57" t="str">
        <f>"(1.243)"</f>
        <v>(1.243)</v>
      </c>
      <c r="C57" t="str">
        <f>"(.)"</f>
        <v>(.)</v>
      </c>
      <c r="D57" t="str">
        <f>"(.)"</f>
        <v>(.)</v>
      </c>
      <c r="E57" t="str">
        <f>"(.)"</f>
        <v>(.)</v>
      </c>
      <c r="F57" t="str">
        <f>"(.)"</f>
        <v>(.)</v>
      </c>
      <c r="G57" t="str">
        <f>"(.)"</f>
        <v>(.)</v>
      </c>
    </row>
    <row r="58" spans="1:7" x14ac:dyDescent="0.25">
      <c r="A58" t="str">
        <f>""</f>
        <v/>
      </c>
      <c r="B58" t="str">
        <f>"-0.028 0.125"</f>
        <v>-0.028 0.125</v>
      </c>
      <c r="C58" t="str">
        <f>"0.000 0.000"</f>
        <v>0.000 0.000</v>
      </c>
      <c r="D58" t="str">
        <f>"0.000 0.000"</f>
        <v>0.000 0.000</v>
      </c>
      <c r="E58" t="str">
        <f>"0.000 0.000"</f>
        <v>0.000 0.000</v>
      </c>
      <c r="F58" t="str">
        <f>"0.000 0.000"</f>
        <v>0.000 0.000</v>
      </c>
      <c r="G58" t="str">
        <f>"0.000 0.000"</f>
        <v>0.000 0.000</v>
      </c>
    </row>
    <row r="59" spans="1:7" x14ac:dyDescent="0.25">
      <c r="A59" t="str">
        <f>""</f>
        <v/>
      </c>
      <c r="B59" t="str">
        <f>"(0.2140)"</f>
        <v>(0.2140)</v>
      </c>
      <c r="C59" t="str">
        <f>"(.)"</f>
        <v>(.)</v>
      </c>
      <c r="D59" t="str">
        <f>"(.)"</f>
        <v>(.)</v>
      </c>
      <c r="E59" t="str">
        <f>"(.)"</f>
        <v>(.)</v>
      </c>
      <c r="F59" t="str">
        <f>"(.)"</f>
        <v>(.)</v>
      </c>
      <c r="G59" t="str">
        <f>"(.)"</f>
        <v>(.)</v>
      </c>
    </row>
    <row r="60" spans="1:7" x14ac:dyDescent="0.25">
      <c r="A60" t="str">
        <f>"domain==voting"</f>
        <v>domain==voting</v>
      </c>
      <c r="B60" t="str">
        <f>"0.000"</f>
        <v>0.000</v>
      </c>
      <c r="C60" t="str">
        <f>"0.000"</f>
        <v>0.000</v>
      </c>
      <c r="D60" t="str">
        <f>"0.000"</f>
        <v>0.000</v>
      </c>
      <c r="E60" t="str">
        <f>"-2.310"</f>
        <v>-2.310</v>
      </c>
      <c r="F60" t="str">
        <f>"0.434"</f>
        <v>0.434</v>
      </c>
      <c r="G60" t="str">
        <f>"0.000"</f>
        <v>0.000</v>
      </c>
    </row>
    <row r="61" spans="1:7" x14ac:dyDescent="0.25">
      <c r="A61" t="str">
        <f>""</f>
        <v/>
      </c>
      <c r="B61" t="str">
        <f>"(.)"</f>
        <v>(.)</v>
      </c>
      <c r="C61" t="str">
        <f>"(.)"</f>
        <v>(.)</v>
      </c>
      <c r="D61" t="str">
        <f>"(.)"</f>
        <v>(.)</v>
      </c>
      <c r="E61" t="str">
        <f>"(-9.395)"</f>
        <v>(-9.395)</v>
      </c>
      <c r="F61" t="str">
        <f>"(6.946)"</f>
        <v>(6.946)</v>
      </c>
      <c r="G61" t="str">
        <f>"(.)"</f>
        <v>(.)</v>
      </c>
    </row>
    <row r="62" spans="1:7" x14ac:dyDescent="0.25">
      <c r="A62" t="str">
        <f>""</f>
        <v/>
      </c>
      <c r="B62" t="str">
        <f>"0.000 0.000"</f>
        <v>0.000 0.000</v>
      </c>
      <c r="C62" t="str">
        <f>"0.000 0.000"</f>
        <v>0.000 0.000</v>
      </c>
      <c r="D62" t="str">
        <f>"0.000 0.000"</f>
        <v>0.000 0.000</v>
      </c>
      <c r="E62" t="str">
        <f>"-2.791 -1.828"</f>
        <v>-2.791 -1.828</v>
      </c>
      <c r="F62" t="str">
        <f>"0.312 0.557"</f>
        <v>0.312 0.557</v>
      </c>
      <c r="G62" t="str">
        <f>"0.000 0.000"</f>
        <v>0.000 0.000</v>
      </c>
    </row>
    <row r="63" spans="1:7" x14ac:dyDescent="0.25">
      <c r="A63" t="str">
        <f>""</f>
        <v/>
      </c>
      <c r="B63" t="str">
        <f>"(.)"</f>
        <v>(.)</v>
      </c>
      <c r="C63" t="str">
        <f>"(.)"</f>
        <v>(.)</v>
      </c>
      <c r="D63" t="str">
        <f>"(.)"</f>
        <v>(.)</v>
      </c>
      <c r="E63" t="str">
        <f>"(0.0000)"</f>
        <v>(0.0000)</v>
      </c>
      <c r="F63" t="str">
        <f>"(0.0000)"</f>
        <v>(0.0000)</v>
      </c>
      <c r="G63" t="str">
        <f>"(.)"</f>
        <v>(.)</v>
      </c>
    </row>
    <row r="64" spans="1:7" x14ac:dyDescent="0.25">
      <c r="A64" t="str">
        <f>"Constant"</f>
        <v>Constant</v>
      </c>
      <c r="B64" t="str">
        <f>"0.313"</f>
        <v>0.313</v>
      </c>
      <c r="C64" t="str">
        <f>"0.012"</f>
        <v>0.012</v>
      </c>
      <c r="D64" t="str">
        <f>"0.657"</f>
        <v>0.657</v>
      </c>
      <c r="E64" t="str">
        <f>"2.711"</f>
        <v>2.711</v>
      </c>
      <c r="F64" t="str">
        <f>"0.448"</f>
        <v>0.448</v>
      </c>
      <c r="G64" t="str">
        <f>"-0.005"</f>
        <v>-0.005</v>
      </c>
    </row>
    <row r="65" spans="1:7" x14ac:dyDescent="0.25">
      <c r="A65" t="str">
        <f>""</f>
        <v/>
      </c>
      <c r="B65" t="str">
        <f>"(1.668)"</f>
        <v>(1.668)</v>
      </c>
      <c r="C65" t="str">
        <f>"(0.511)"</f>
        <v>(0.511)</v>
      </c>
      <c r="D65" t="str">
        <f>"(11.212)"</f>
        <v>(11.212)</v>
      </c>
      <c r="E65" t="str">
        <f>"(21.852)"</f>
        <v>(21.852)</v>
      </c>
      <c r="F65" t="str">
        <f>"(8.080)"</f>
        <v>(8.080)</v>
      </c>
      <c r="G65" t="str">
        <f>"(-0.272)"</f>
        <v>(-0.272)</v>
      </c>
    </row>
    <row r="66" spans="1:7" x14ac:dyDescent="0.25">
      <c r="A66" t="str">
        <f>""</f>
        <v/>
      </c>
      <c r="B66" t="str">
        <f>"-0.055 0.681"</f>
        <v>-0.055 0.681</v>
      </c>
      <c r="C66" t="str">
        <f>"-0.033 0.056"</f>
        <v>-0.033 0.056</v>
      </c>
      <c r="D66" t="str">
        <f>"0.542 0.772"</f>
        <v>0.542 0.772</v>
      </c>
      <c r="E66" t="str">
        <f>"2.468 2.954"</f>
        <v>2.468 2.954</v>
      </c>
      <c r="F66" t="str">
        <f>"0.339 0.556"</f>
        <v>0.339 0.556</v>
      </c>
      <c r="G66" t="str">
        <f>"-0.038 0.029"</f>
        <v>-0.038 0.029</v>
      </c>
    </row>
    <row r="67" spans="1:7" x14ac:dyDescent="0.25">
      <c r="A67" t="str">
        <f>""</f>
        <v/>
      </c>
      <c r="B67" t="str">
        <f>"(0.0954)"</f>
        <v>(0.0954)</v>
      </c>
      <c r="C67" t="str">
        <f>"(0.6091)"</f>
        <v>(0.6091)</v>
      </c>
      <c r="D67" t="str">
        <f>"(0.0000)"</f>
        <v>(0.0000)</v>
      </c>
      <c r="E67" t="str">
        <f>"(0.0000)"</f>
        <v>(0.0000)</v>
      </c>
      <c r="F67" t="str">
        <f>"(0.0000)"</f>
        <v>(0.0000)</v>
      </c>
      <c r="G67" t="str">
        <f>"(0.7858)"</f>
        <v>(0.7858)</v>
      </c>
    </row>
    <row r="68" spans="1:7" x14ac:dyDescent="0.25">
      <c r="A68" t="str">
        <f>"Sample Size"</f>
        <v>Sample Size</v>
      </c>
      <c r="B68" t="str">
        <f>"54.000"</f>
        <v>54.000</v>
      </c>
      <c r="C68" t="str">
        <f>"109.000"</f>
        <v>109.000</v>
      </c>
      <c r="D68" t="str">
        <f>"20.000"</f>
        <v>20.000</v>
      </c>
      <c r="E68" t="str">
        <f>"72.000"</f>
        <v>72.000</v>
      </c>
      <c r="F68" t="str">
        <f>"137.000"</f>
        <v>137.000</v>
      </c>
      <c r="G68" t="str">
        <f>"75.000"</f>
        <v>75.000</v>
      </c>
    </row>
    <row r="69" spans="1:7" x14ac:dyDescent="0.25">
      <c r="A69" t="str">
        <f>"k number of parameters"</f>
        <v>k number of parameters</v>
      </c>
      <c r="B69" t="str">
        <f>""</f>
        <v/>
      </c>
      <c r="C69" t="str">
        <f>""</f>
        <v/>
      </c>
      <c r="D69" t="str">
        <f>""</f>
        <v/>
      </c>
      <c r="E69" t="str">
        <f>""</f>
        <v/>
      </c>
      <c r="F69" t="str">
        <f>""</f>
        <v/>
      </c>
      <c r="G69" t="str">
        <f>""</f>
        <v/>
      </c>
    </row>
    <row r="70" spans="1:7" x14ac:dyDescent="0.25">
      <c r="A70" t="str">
        <f>"rows correspond to beta values; t-statistics; 95% confidence intervals; p-values."</f>
        <v>rows correspond to beta values; t-statistics; 95% confidence intervals; p-values.</v>
      </c>
    </row>
  </sheetData>
  <mergeCells count="2">
    <mergeCell ref="A1:G1"/>
    <mergeCell ref="K1:P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2645F-9C59-40A9-8684-0024D63C8464}">
  <dimension ref="A1:J5"/>
  <sheetViews>
    <sheetView workbookViewId="0">
      <selection activeCell="A2" sqref="A2:J5"/>
    </sheetView>
  </sheetViews>
  <sheetFormatPr defaultRowHeight="15" x14ac:dyDescent="0.25"/>
  <cols>
    <col min="1" max="1" width="18.7109375" bestFit="1" customWidth="1"/>
    <col min="2" max="2" width="19.42578125" bestFit="1" customWidth="1"/>
    <col min="3" max="3" width="19" bestFit="1" customWidth="1"/>
    <col min="4" max="4" width="4" bestFit="1" customWidth="1"/>
    <col min="5" max="6" width="18" bestFit="1" customWidth="1"/>
    <col min="7" max="7" width="11.42578125" bestFit="1" customWidth="1"/>
    <col min="8" max="8" width="11" bestFit="1" customWidth="1"/>
    <col min="9" max="9" width="14" bestFit="1" customWidth="1"/>
    <col min="10" max="10" width="6.5703125" bestFit="1" customWidth="1"/>
  </cols>
  <sheetData>
    <row r="1" spans="1:10" x14ac:dyDescent="0.25">
      <c r="A1" s="18" t="s">
        <v>1065</v>
      </c>
      <c r="B1" s="18"/>
      <c r="C1" s="18"/>
      <c r="D1" s="18"/>
      <c r="E1" s="18"/>
      <c r="F1" s="18"/>
      <c r="G1" s="18"/>
      <c r="H1" s="18"/>
      <c r="I1" s="18"/>
      <c r="J1" s="18"/>
    </row>
    <row r="2" spans="1:10" ht="90" x14ac:dyDescent="0.25">
      <c r="A2" s="4" t="s">
        <v>12</v>
      </c>
      <c r="B2" s="4" t="s">
        <v>112</v>
      </c>
      <c r="C2" s="4" t="s">
        <v>113</v>
      </c>
      <c r="D2" s="4" t="s">
        <v>103</v>
      </c>
      <c r="E2" s="4" t="s">
        <v>114</v>
      </c>
      <c r="F2" s="4" t="s">
        <v>115</v>
      </c>
      <c r="G2" s="4" t="s">
        <v>1126</v>
      </c>
      <c r="H2" s="4" t="s">
        <v>1127</v>
      </c>
      <c r="I2" s="4" t="s">
        <v>104</v>
      </c>
      <c r="J2" s="4" t="s">
        <v>105</v>
      </c>
    </row>
    <row r="3" spans="1:10" x14ac:dyDescent="0.25">
      <c r="A3" s="1" t="s">
        <v>106</v>
      </c>
      <c r="B3" s="5">
        <v>8.4745762999999998E-3</v>
      </c>
      <c r="C3" s="5">
        <v>0.89830505999999999</v>
      </c>
      <c r="D3" s="1">
        <v>118</v>
      </c>
      <c r="E3" s="1">
        <v>1</v>
      </c>
      <c r="F3" s="1">
        <v>106</v>
      </c>
      <c r="G3" s="6">
        <v>-1.6338577E-2</v>
      </c>
      <c r="H3" s="6">
        <v>0.66038996000000005</v>
      </c>
      <c r="I3" s="6">
        <v>594.44775000000004</v>
      </c>
      <c r="J3" s="6">
        <v>594.21660999999995</v>
      </c>
    </row>
    <row r="4" spans="1:10" x14ac:dyDescent="0.25">
      <c r="A4" s="1" t="s">
        <v>107</v>
      </c>
      <c r="B4" s="5">
        <v>0.14285714999999999</v>
      </c>
      <c r="C4" s="5">
        <v>0.57763975999999995</v>
      </c>
      <c r="D4" s="1">
        <v>161</v>
      </c>
      <c r="E4" s="1">
        <v>19</v>
      </c>
      <c r="F4" s="1">
        <v>96</v>
      </c>
      <c r="G4" s="6">
        <v>-0.16129196000000001</v>
      </c>
      <c r="H4" s="6">
        <v>0.26539724999999997</v>
      </c>
      <c r="I4" s="6">
        <v>58.817726</v>
      </c>
      <c r="J4" s="6">
        <v>57.555042</v>
      </c>
    </row>
    <row r="5" spans="1:10" x14ac:dyDescent="0.25">
      <c r="A5" s="1" t="s">
        <v>108</v>
      </c>
      <c r="B5" s="5">
        <v>0.26063829999999999</v>
      </c>
      <c r="C5" s="5">
        <v>0.50531917999999998</v>
      </c>
      <c r="D5" s="1">
        <v>188</v>
      </c>
      <c r="E5" s="1">
        <v>50</v>
      </c>
      <c r="F5" s="1">
        <v>95</v>
      </c>
      <c r="G5" s="6">
        <v>-8.7290830999999999E-2</v>
      </c>
      <c r="H5" s="6">
        <v>8.5142313999999997E-2</v>
      </c>
      <c r="I5" s="6">
        <v>19.633565999999998</v>
      </c>
      <c r="J5" s="6">
        <v>6.6439890999999998</v>
      </c>
    </row>
  </sheetData>
  <mergeCells count="1">
    <mergeCell ref="A1: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1E09E-0C45-4E23-8204-15DEDC90EEC6}">
  <dimension ref="A1:AG515"/>
  <sheetViews>
    <sheetView workbookViewId="0"/>
  </sheetViews>
  <sheetFormatPr defaultRowHeight="15" x14ac:dyDescent="0.25"/>
  <sheetData>
    <row r="1" spans="1:33" x14ac:dyDescent="0.25">
      <c r="A1" s="3" t="s">
        <v>1064</v>
      </c>
    </row>
    <row r="2" spans="1:33" x14ac:dyDescent="0.25">
      <c r="G2" t="s">
        <v>1060</v>
      </c>
      <c r="M2" t="s">
        <v>1059</v>
      </c>
      <c r="AA2" t="s">
        <v>1061</v>
      </c>
      <c r="AF2" t="s">
        <v>1062</v>
      </c>
      <c r="AG2" t="s">
        <v>1063</v>
      </c>
    </row>
    <row r="3" spans="1:33" x14ac:dyDescent="0.25">
      <c r="A3" t="s">
        <v>116</v>
      </c>
      <c r="B3" t="s">
        <v>117</v>
      </c>
      <c r="C3" t="s">
        <v>12</v>
      </c>
      <c r="D3" t="s">
        <v>118</v>
      </c>
      <c r="E3" t="s">
        <v>119</v>
      </c>
      <c r="F3" t="s">
        <v>120</v>
      </c>
      <c r="G3" t="s">
        <v>121</v>
      </c>
      <c r="H3" t="s">
        <v>122</v>
      </c>
      <c r="I3" t="s">
        <v>123</v>
      </c>
      <c r="J3" t="s">
        <v>124</v>
      </c>
      <c r="K3" t="s">
        <v>125</v>
      </c>
      <c r="L3" t="s">
        <v>126</v>
      </c>
      <c r="M3" t="s">
        <v>1059</v>
      </c>
      <c r="N3" t="s">
        <v>127</v>
      </c>
      <c r="O3" t="s">
        <v>128</v>
      </c>
      <c r="P3" t="s">
        <v>129</v>
      </c>
      <c r="Q3" t="s">
        <v>130</v>
      </c>
      <c r="R3" t="s">
        <v>131</v>
      </c>
      <c r="S3" t="s">
        <v>132</v>
      </c>
      <c r="T3" t="s">
        <v>133</v>
      </c>
      <c r="U3" t="s">
        <v>134</v>
      </c>
      <c r="V3" t="s">
        <v>135</v>
      </c>
      <c r="W3" t="s">
        <v>136</v>
      </c>
      <c r="X3" t="s">
        <v>137</v>
      </c>
      <c r="Y3" t="s">
        <v>138</v>
      </c>
      <c r="Z3" t="s">
        <v>139</v>
      </c>
      <c r="AA3" t="s">
        <v>140</v>
      </c>
      <c r="AB3" t="s">
        <v>141</v>
      </c>
      <c r="AC3" t="s">
        <v>142</v>
      </c>
      <c r="AD3" t="s">
        <v>143</v>
      </c>
      <c r="AE3" t="s">
        <v>144</v>
      </c>
      <c r="AF3" t="s">
        <v>145</v>
      </c>
      <c r="AG3" t="s">
        <v>146</v>
      </c>
    </row>
    <row r="4" spans="1:33" x14ac:dyDescent="0.25">
      <c r="A4">
        <v>2017</v>
      </c>
      <c r="B4" t="s">
        <v>147</v>
      </c>
      <c r="C4" t="s">
        <v>108</v>
      </c>
      <c r="D4" t="s">
        <v>148</v>
      </c>
      <c r="E4" t="s">
        <v>149</v>
      </c>
      <c r="F4" t="s">
        <v>150</v>
      </c>
      <c r="G4">
        <v>320</v>
      </c>
      <c r="H4" t="s">
        <v>151</v>
      </c>
      <c r="I4" t="s">
        <v>152</v>
      </c>
      <c r="J4">
        <v>-0.02</v>
      </c>
      <c r="K4">
        <v>0.7173271</v>
      </c>
      <c r="L4">
        <v>-2.7881283E-2</v>
      </c>
      <c r="M4">
        <v>320</v>
      </c>
      <c r="N4">
        <v>2</v>
      </c>
      <c r="O4">
        <v>317</v>
      </c>
      <c r="P4">
        <v>-1.5659669999999999E-3</v>
      </c>
      <c r="Q4">
        <v>-1.565968E-3</v>
      </c>
      <c r="R4">
        <v>5.6165595999999998E-2</v>
      </c>
      <c r="S4">
        <v>0.10851859899999999</v>
      </c>
      <c r="T4">
        <v>-0.11165053599999999</v>
      </c>
      <c r="U4">
        <v>5.5989114E-2</v>
      </c>
      <c r="V4">
        <v>3.13E-3</v>
      </c>
      <c r="W4">
        <v>4.5686110000000002E-3</v>
      </c>
      <c r="X4">
        <v>-7.7005449999999996E-3</v>
      </c>
      <c r="Y4" t="s">
        <v>153</v>
      </c>
      <c r="Z4" t="s">
        <v>154</v>
      </c>
      <c r="AA4">
        <v>1</v>
      </c>
      <c r="AB4" t="s">
        <v>51</v>
      </c>
      <c r="AC4" t="s">
        <v>155</v>
      </c>
    </row>
    <row r="5" spans="1:33" x14ac:dyDescent="0.25">
      <c r="A5">
        <v>1850</v>
      </c>
      <c r="B5" t="s">
        <v>156</v>
      </c>
      <c r="C5" t="s">
        <v>157</v>
      </c>
      <c r="D5" t="s">
        <v>102</v>
      </c>
      <c r="E5" t="s">
        <v>158</v>
      </c>
      <c r="F5" t="s">
        <v>159</v>
      </c>
      <c r="G5">
        <v>41217</v>
      </c>
      <c r="H5" t="s">
        <v>160</v>
      </c>
      <c r="I5" t="s">
        <v>161</v>
      </c>
      <c r="J5">
        <v>-0.47222510000000001</v>
      </c>
      <c r="K5">
        <v>3.5023100000000001E-2</v>
      </c>
      <c r="L5">
        <v>-13.48324</v>
      </c>
      <c r="M5">
        <v>13380</v>
      </c>
      <c r="N5">
        <v>15</v>
      </c>
      <c r="O5">
        <v>13365</v>
      </c>
      <c r="P5">
        <v>-0.115844639</v>
      </c>
      <c r="Q5">
        <v>-0.11636706300000001</v>
      </c>
      <c r="R5">
        <v>8.6461079999999996E-3</v>
      </c>
      <c r="S5">
        <v>-9.9420692000000005E-2</v>
      </c>
      <c r="T5">
        <v>-0.13331343400000001</v>
      </c>
      <c r="U5">
        <v>8.5294389999999998E-3</v>
      </c>
      <c r="V5">
        <v>7.3700000000000002E-5</v>
      </c>
      <c r="W5">
        <v>-0.11570011199999999</v>
      </c>
      <c r="X5">
        <v>-0.115989166</v>
      </c>
      <c r="Y5" t="s">
        <v>162</v>
      </c>
      <c r="Z5" t="s">
        <v>163</v>
      </c>
      <c r="AA5">
        <v>0</v>
      </c>
      <c r="AB5" t="s">
        <v>100</v>
      </c>
      <c r="AC5" t="s">
        <v>155</v>
      </c>
      <c r="AG5">
        <v>1</v>
      </c>
    </row>
    <row r="6" spans="1:33" x14ac:dyDescent="0.25">
      <c r="A6">
        <v>1850</v>
      </c>
      <c r="B6" t="s">
        <v>156</v>
      </c>
      <c r="C6" t="s">
        <v>157</v>
      </c>
      <c r="D6" t="s">
        <v>102</v>
      </c>
      <c r="E6" t="s">
        <v>158</v>
      </c>
      <c r="F6" t="s">
        <v>159</v>
      </c>
      <c r="G6">
        <v>41217</v>
      </c>
      <c r="H6" t="s">
        <v>160</v>
      </c>
      <c r="I6" t="s">
        <v>164</v>
      </c>
      <c r="J6">
        <v>-0.38731080000000001</v>
      </c>
      <c r="K6">
        <v>4.2595300000000003E-2</v>
      </c>
      <c r="L6">
        <v>-9.0928159999999991</v>
      </c>
      <c r="M6">
        <v>41217</v>
      </c>
      <c r="N6">
        <v>36</v>
      </c>
      <c r="O6">
        <v>41181</v>
      </c>
      <c r="P6">
        <v>-4.4762509999999998E-2</v>
      </c>
      <c r="Q6">
        <v>-4.4792442000000002E-2</v>
      </c>
      <c r="R6">
        <v>4.9258100000000001E-3</v>
      </c>
      <c r="S6">
        <v>-3.5137856000000002E-2</v>
      </c>
      <c r="T6">
        <v>-5.4447029000000001E-2</v>
      </c>
      <c r="U6">
        <v>4.9158209999999999E-3</v>
      </c>
      <c r="V6">
        <v>2.4199999999999999E-5</v>
      </c>
      <c r="W6">
        <v>-4.4715050999999999E-2</v>
      </c>
      <c r="X6">
        <v>-4.4809967999999999E-2</v>
      </c>
      <c r="Y6" t="s">
        <v>162</v>
      </c>
      <c r="Z6" t="s">
        <v>163</v>
      </c>
      <c r="AA6">
        <v>0</v>
      </c>
      <c r="AB6" t="s">
        <v>100</v>
      </c>
      <c r="AC6" t="s">
        <v>155</v>
      </c>
    </row>
    <row r="7" spans="1:33" x14ac:dyDescent="0.25">
      <c r="A7">
        <v>1850</v>
      </c>
      <c r="B7" t="s">
        <v>156</v>
      </c>
      <c r="C7" t="s">
        <v>157</v>
      </c>
      <c r="D7" t="s">
        <v>102</v>
      </c>
      <c r="E7" t="s">
        <v>158</v>
      </c>
      <c r="F7" t="s">
        <v>159</v>
      </c>
      <c r="G7">
        <v>27837</v>
      </c>
      <c r="H7" t="s">
        <v>160</v>
      </c>
      <c r="I7" t="s">
        <v>165</v>
      </c>
      <c r="J7">
        <v>-0.28601866999999997</v>
      </c>
      <c r="K7">
        <v>4.3310266E-2</v>
      </c>
      <c r="L7">
        <v>-6.6039462000000002</v>
      </c>
      <c r="M7">
        <v>27837</v>
      </c>
      <c r="N7">
        <v>20</v>
      </c>
      <c r="O7">
        <v>27816</v>
      </c>
      <c r="P7">
        <v>-3.9565439000000001E-2</v>
      </c>
      <c r="Q7">
        <v>-3.9586103999999997E-2</v>
      </c>
      <c r="R7">
        <v>5.9939370000000004E-3</v>
      </c>
      <c r="S7">
        <v>-2.7837988000000001E-2</v>
      </c>
      <c r="T7">
        <v>-5.1334220999999999E-2</v>
      </c>
      <c r="U7">
        <v>5.984339E-3</v>
      </c>
      <c r="V7">
        <v>3.5899999999999998E-5</v>
      </c>
      <c r="W7">
        <v>-3.9495138999999999E-2</v>
      </c>
      <c r="X7">
        <v>-3.9635740000000003E-2</v>
      </c>
      <c r="Y7" t="s">
        <v>162</v>
      </c>
      <c r="Z7" t="s">
        <v>163</v>
      </c>
      <c r="AA7">
        <v>0</v>
      </c>
      <c r="AB7" t="s">
        <v>100</v>
      </c>
      <c r="AC7" t="s">
        <v>155</v>
      </c>
      <c r="AG7">
        <v>1</v>
      </c>
    </row>
    <row r="8" spans="1:33" x14ac:dyDescent="0.25">
      <c r="A8">
        <v>1860</v>
      </c>
      <c r="B8" t="s">
        <v>156</v>
      </c>
      <c r="C8" t="s">
        <v>157</v>
      </c>
      <c r="D8" t="s">
        <v>102</v>
      </c>
      <c r="E8" t="s">
        <v>158</v>
      </c>
      <c r="F8" t="s">
        <v>159</v>
      </c>
      <c r="G8">
        <v>52932</v>
      </c>
      <c r="H8" t="s">
        <v>160</v>
      </c>
      <c r="I8" t="s">
        <v>161</v>
      </c>
      <c r="J8">
        <v>-0.4794118</v>
      </c>
      <c r="K8">
        <v>1.4687800000000001E-2</v>
      </c>
      <c r="L8">
        <v>-32.640140000000002</v>
      </c>
      <c r="M8">
        <v>15596</v>
      </c>
      <c r="N8">
        <v>16</v>
      </c>
      <c r="O8">
        <v>15580</v>
      </c>
      <c r="P8">
        <v>-0.25299105900000002</v>
      </c>
      <c r="Q8">
        <v>-0.25860583199999998</v>
      </c>
      <c r="R8">
        <v>8.0082049999999991E-3</v>
      </c>
      <c r="S8">
        <v>-0.24290975100000001</v>
      </c>
      <c r="T8">
        <v>-0.27430191300000001</v>
      </c>
      <c r="U8">
        <v>7.495163E-3</v>
      </c>
      <c r="V8">
        <v>6.0000000000000002E-5</v>
      </c>
      <c r="W8">
        <v>-0.25287342499999999</v>
      </c>
      <c r="X8">
        <v>-0.25310869200000002</v>
      </c>
      <c r="Y8" t="s">
        <v>162</v>
      </c>
      <c r="Z8" t="s">
        <v>163</v>
      </c>
      <c r="AA8">
        <v>0</v>
      </c>
      <c r="AB8" t="s">
        <v>100</v>
      </c>
      <c r="AC8" t="s">
        <v>155</v>
      </c>
      <c r="AG8">
        <v>1</v>
      </c>
    </row>
    <row r="9" spans="1:33" x14ac:dyDescent="0.25">
      <c r="A9">
        <v>1860</v>
      </c>
      <c r="B9" t="s">
        <v>156</v>
      </c>
      <c r="C9" t="s">
        <v>157</v>
      </c>
      <c r="D9" t="s">
        <v>102</v>
      </c>
      <c r="E9" t="s">
        <v>158</v>
      </c>
      <c r="F9" t="s">
        <v>159</v>
      </c>
      <c r="G9">
        <v>52932</v>
      </c>
      <c r="H9" t="s">
        <v>160</v>
      </c>
      <c r="I9" t="s">
        <v>164</v>
      </c>
      <c r="J9">
        <v>-0.37605349999999999</v>
      </c>
      <c r="K9">
        <v>3.39215E-2</v>
      </c>
      <c r="L9">
        <v>-11.085979999999999</v>
      </c>
      <c r="M9">
        <v>52932</v>
      </c>
      <c r="N9">
        <v>45</v>
      </c>
      <c r="O9">
        <v>52887</v>
      </c>
      <c r="P9">
        <v>-4.8149923999999997E-2</v>
      </c>
      <c r="Q9">
        <v>-4.8187186E-2</v>
      </c>
      <c r="R9">
        <v>4.3466349999999997E-3</v>
      </c>
      <c r="S9">
        <v>-3.9667781999999999E-2</v>
      </c>
      <c r="T9">
        <v>-5.6706590000000001E-2</v>
      </c>
      <c r="U9">
        <v>4.3364759999999997E-3</v>
      </c>
      <c r="V9">
        <v>1.88E-5</v>
      </c>
      <c r="W9">
        <v>-4.811298E-2</v>
      </c>
      <c r="X9">
        <v>-4.8186867000000001E-2</v>
      </c>
      <c r="Y9" t="s">
        <v>162</v>
      </c>
      <c r="Z9" t="s">
        <v>163</v>
      </c>
      <c r="AA9">
        <v>0</v>
      </c>
      <c r="AB9" t="s">
        <v>100</v>
      </c>
      <c r="AC9" t="s">
        <v>155</v>
      </c>
    </row>
    <row r="10" spans="1:33" x14ac:dyDescent="0.25">
      <c r="A10">
        <v>1860</v>
      </c>
      <c r="B10" t="s">
        <v>156</v>
      </c>
      <c r="C10" t="s">
        <v>157</v>
      </c>
      <c r="D10" t="s">
        <v>102</v>
      </c>
      <c r="E10" t="s">
        <v>158</v>
      </c>
      <c r="F10" t="s">
        <v>159</v>
      </c>
      <c r="G10">
        <v>37336</v>
      </c>
      <c r="H10" t="s">
        <v>160</v>
      </c>
      <c r="I10" t="s">
        <v>165</v>
      </c>
      <c r="J10">
        <v>-0.25650749</v>
      </c>
      <c r="K10">
        <v>2.2459328000000001E-2</v>
      </c>
      <c r="L10">
        <v>-11.420978</v>
      </c>
      <c r="M10">
        <v>37336</v>
      </c>
      <c r="N10">
        <v>28</v>
      </c>
      <c r="O10">
        <v>37307</v>
      </c>
      <c r="P10">
        <v>-5.9026935000000003E-2</v>
      </c>
      <c r="Q10">
        <v>-5.9095632000000002E-2</v>
      </c>
      <c r="R10">
        <v>5.1755150000000003E-3</v>
      </c>
      <c r="S10">
        <v>-4.8951623E-2</v>
      </c>
      <c r="T10">
        <v>-6.9239641000000005E-2</v>
      </c>
      <c r="U10">
        <v>5.1573440000000003E-3</v>
      </c>
      <c r="V10">
        <v>2.6699999999999998E-5</v>
      </c>
      <c r="W10">
        <v>-5.8974620999999998E-2</v>
      </c>
      <c r="X10">
        <v>-5.9079249E-2</v>
      </c>
      <c r="Y10" t="s">
        <v>162</v>
      </c>
      <c r="Z10" t="s">
        <v>163</v>
      </c>
      <c r="AA10">
        <v>0</v>
      </c>
      <c r="AB10" t="s">
        <v>100</v>
      </c>
      <c r="AC10" t="s">
        <v>155</v>
      </c>
      <c r="AG10">
        <v>1</v>
      </c>
    </row>
    <row r="11" spans="1:33" x14ac:dyDescent="0.25">
      <c r="A11">
        <v>1870</v>
      </c>
      <c r="B11" t="s">
        <v>156</v>
      </c>
      <c r="C11" t="s">
        <v>166</v>
      </c>
      <c r="D11" t="s">
        <v>102</v>
      </c>
      <c r="E11" t="s">
        <v>158</v>
      </c>
      <c r="F11" t="s">
        <v>159</v>
      </c>
      <c r="G11">
        <v>77018</v>
      </c>
      <c r="H11" t="s">
        <v>160</v>
      </c>
      <c r="I11" t="s">
        <v>161</v>
      </c>
      <c r="J11">
        <v>-0.2355226</v>
      </c>
      <c r="K11">
        <v>1.94655E-2</v>
      </c>
      <c r="L11">
        <v>-12.09947</v>
      </c>
      <c r="M11">
        <v>26860</v>
      </c>
      <c r="N11">
        <v>15</v>
      </c>
      <c r="O11">
        <v>26845</v>
      </c>
      <c r="P11">
        <v>-7.3646763000000004E-2</v>
      </c>
      <c r="Q11">
        <v>-7.3780347999999996E-2</v>
      </c>
      <c r="R11">
        <v>6.1019869999999997E-3</v>
      </c>
      <c r="S11">
        <v>-6.1820453999999997E-2</v>
      </c>
      <c r="T11">
        <v>-8.5740241999999994E-2</v>
      </c>
      <c r="U11">
        <v>6.0686639999999997E-3</v>
      </c>
      <c r="V11">
        <v>3.6999999999999998E-5</v>
      </c>
      <c r="W11">
        <v>-7.3574186999999999E-2</v>
      </c>
      <c r="X11">
        <v>-7.3719339999999994E-2</v>
      </c>
      <c r="Y11" t="s">
        <v>162</v>
      </c>
      <c r="Z11" t="s">
        <v>163</v>
      </c>
      <c r="AA11">
        <v>0</v>
      </c>
      <c r="AB11" t="s">
        <v>100</v>
      </c>
      <c r="AC11" t="s">
        <v>155</v>
      </c>
      <c r="AG11">
        <v>1</v>
      </c>
    </row>
    <row r="12" spans="1:33" x14ac:dyDescent="0.25">
      <c r="A12">
        <v>1870</v>
      </c>
      <c r="B12" t="s">
        <v>156</v>
      </c>
      <c r="C12" t="s">
        <v>166</v>
      </c>
      <c r="D12" t="s">
        <v>102</v>
      </c>
      <c r="E12" t="s">
        <v>158</v>
      </c>
      <c r="F12" t="s">
        <v>159</v>
      </c>
      <c r="G12">
        <v>77018</v>
      </c>
      <c r="H12" t="s">
        <v>160</v>
      </c>
      <c r="I12" t="s">
        <v>164</v>
      </c>
      <c r="J12">
        <v>-0.23777690000000001</v>
      </c>
      <c r="K12">
        <v>1.7432900000000001E-2</v>
      </c>
      <c r="L12">
        <v>-13.639559999999999</v>
      </c>
      <c r="M12">
        <v>77018</v>
      </c>
      <c r="N12">
        <v>45</v>
      </c>
      <c r="O12">
        <v>76973</v>
      </c>
      <c r="P12">
        <v>-4.9102879000000002E-2</v>
      </c>
      <c r="Q12">
        <v>-4.9142400000000003E-2</v>
      </c>
      <c r="R12">
        <v>3.6033990000000002E-3</v>
      </c>
      <c r="S12">
        <v>-4.2079738999999998E-2</v>
      </c>
      <c r="T12">
        <v>-5.6205062E-2</v>
      </c>
      <c r="U12">
        <v>3.594664E-3</v>
      </c>
      <c r="V12">
        <v>1.2999999999999999E-5</v>
      </c>
      <c r="W12">
        <v>-4.9077492E-2</v>
      </c>
      <c r="X12">
        <v>-4.9128267000000003E-2</v>
      </c>
      <c r="Y12" t="s">
        <v>162</v>
      </c>
      <c r="Z12" t="s">
        <v>163</v>
      </c>
      <c r="AA12">
        <v>0</v>
      </c>
      <c r="AB12" t="s">
        <v>100</v>
      </c>
      <c r="AC12" t="s">
        <v>155</v>
      </c>
    </row>
    <row r="13" spans="1:33" x14ac:dyDescent="0.25">
      <c r="A13">
        <v>1870</v>
      </c>
      <c r="B13" t="s">
        <v>156</v>
      </c>
      <c r="C13" t="s">
        <v>166</v>
      </c>
      <c r="D13" t="s">
        <v>102</v>
      </c>
      <c r="E13" t="s">
        <v>158</v>
      </c>
      <c r="F13" t="s">
        <v>159</v>
      </c>
      <c r="G13">
        <v>50158</v>
      </c>
      <c r="H13" t="s">
        <v>160</v>
      </c>
      <c r="I13" t="s">
        <v>165</v>
      </c>
      <c r="J13">
        <v>-0.24782418000000001</v>
      </c>
      <c r="K13">
        <v>3.3399737999999998E-2</v>
      </c>
      <c r="L13">
        <v>-7.4199432999999999</v>
      </c>
      <c r="M13">
        <v>50158</v>
      </c>
      <c r="N13">
        <v>29</v>
      </c>
      <c r="O13">
        <v>50128</v>
      </c>
      <c r="P13">
        <v>-3.3122418000000001E-2</v>
      </c>
      <c r="Q13">
        <v>-3.3134538999999998E-2</v>
      </c>
      <c r="R13">
        <v>4.4652199999999998E-3</v>
      </c>
      <c r="S13">
        <v>-2.4382707E-2</v>
      </c>
      <c r="T13">
        <v>-4.1886370999999999E-2</v>
      </c>
      <c r="U13">
        <v>4.4602330000000001E-3</v>
      </c>
      <c r="V13">
        <v>1.9899999999999999E-5</v>
      </c>
      <c r="W13">
        <v>-3.3083384E-2</v>
      </c>
      <c r="X13">
        <v>-3.3161452000000001E-2</v>
      </c>
      <c r="Y13" t="s">
        <v>162</v>
      </c>
      <c r="Z13" t="s">
        <v>163</v>
      </c>
      <c r="AA13">
        <v>0</v>
      </c>
      <c r="AB13" t="s">
        <v>100</v>
      </c>
      <c r="AC13" t="s">
        <v>155</v>
      </c>
      <c r="AG13">
        <v>1</v>
      </c>
    </row>
    <row r="14" spans="1:33" x14ac:dyDescent="0.25">
      <c r="A14">
        <v>1880</v>
      </c>
      <c r="B14" t="s">
        <v>156</v>
      </c>
      <c r="C14" t="s">
        <v>166</v>
      </c>
      <c r="D14" t="s">
        <v>102</v>
      </c>
      <c r="E14" t="s">
        <v>158</v>
      </c>
      <c r="F14" t="s">
        <v>159</v>
      </c>
      <c r="G14">
        <v>97897</v>
      </c>
      <c r="H14" t="s">
        <v>160</v>
      </c>
      <c r="I14" t="s">
        <v>161</v>
      </c>
      <c r="J14">
        <v>-0.20963989999999999</v>
      </c>
      <c r="K14">
        <v>1.6387499999999999E-2</v>
      </c>
      <c r="L14">
        <v>-12.792680000000001</v>
      </c>
      <c r="M14">
        <v>36442</v>
      </c>
      <c r="N14">
        <v>15</v>
      </c>
      <c r="O14">
        <v>36427</v>
      </c>
      <c r="P14">
        <v>-6.6876950000000004E-2</v>
      </c>
      <c r="Q14">
        <v>-6.6976920999999995E-2</v>
      </c>
      <c r="R14">
        <v>5.2386189999999999E-3</v>
      </c>
      <c r="S14">
        <v>-5.6709229E-2</v>
      </c>
      <c r="T14">
        <v>-7.7244614000000003E-2</v>
      </c>
      <c r="U14">
        <v>5.2150460000000001E-3</v>
      </c>
      <c r="V14">
        <v>2.73E-5</v>
      </c>
      <c r="W14">
        <v>-6.6823406000000002E-2</v>
      </c>
      <c r="X14">
        <v>-6.6930493999999993E-2</v>
      </c>
      <c r="Y14" t="s">
        <v>162</v>
      </c>
      <c r="Z14" t="s">
        <v>163</v>
      </c>
      <c r="AA14">
        <v>0</v>
      </c>
      <c r="AB14" t="s">
        <v>100</v>
      </c>
      <c r="AC14" t="s">
        <v>155</v>
      </c>
      <c r="AG14">
        <v>1</v>
      </c>
    </row>
    <row r="15" spans="1:33" x14ac:dyDescent="0.25">
      <c r="A15">
        <v>1880</v>
      </c>
      <c r="B15" t="s">
        <v>156</v>
      </c>
      <c r="C15" t="s">
        <v>166</v>
      </c>
      <c r="D15" t="s">
        <v>102</v>
      </c>
      <c r="E15" t="s">
        <v>158</v>
      </c>
      <c r="F15" t="s">
        <v>159</v>
      </c>
      <c r="G15">
        <v>97897</v>
      </c>
      <c r="H15" t="s">
        <v>160</v>
      </c>
      <c r="I15" t="s">
        <v>164</v>
      </c>
      <c r="J15">
        <v>-0.20948800000000001</v>
      </c>
      <c r="K15">
        <v>1.48833E-2</v>
      </c>
      <c r="L15">
        <v>-14.07536</v>
      </c>
      <c r="M15">
        <v>97897</v>
      </c>
      <c r="N15">
        <v>47</v>
      </c>
      <c r="O15">
        <v>97850</v>
      </c>
      <c r="P15">
        <v>-4.4951054999999997E-2</v>
      </c>
      <c r="Q15">
        <v>-4.4981367000000001E-2</v>
      </c>
      <c r="R15">
        <v>3.1961120000000001E-3</v>
      </c>
      <c r="S15">
        <v>-3.8716988000000001E-2</v>
      </c>
      <c r="T15">
        <v>-5.1245747000000001E-2</v>
      </c>
      <c r="U15">
        <v>3.1896210000000001E-3</v>
      </c>
      <c r="V15">
        <v>1.0200000000000001E-5</v>
      </c>
      <c r="W15">
        <v>-4.4931074000000001E-2</v>
      </c>
      <c r="X15">
        <v>-4.4971034999999999E-2</v>
      </c>
      <c r="Y15" t="s">
        <v>162</v>
      </c>
      <c r="Z15" t="s">
        <v>163</v>
      </c>
      <c r="AA15">
        <v>0</v>
      </c>
      <c r="AB15" t="s">
        <v>100</v>
      </c>
      <c r="AC15" t="s">
        <v>155</v>
      </c>
    </row>
    <row r="16" spans="1:33" x14ac:dyDescent="0.25">
      <c r="A16">
        <v>1880</v>
      </c>
      <c r="B16" t="s">
        <v>156</v>
      </c>
      <c r="C16" t="s">
        <v>166</v>
      </c>
      <c r="D16" t="s">
        <v>102</v>
      </c>
      <c r="E16" t="s">
        <v>158</v>
      </c>
      <c r="F16" t="s">
        <v>159</v>
      </c>
      <c r="G16">
        <v>61455</v>
      </c>
      <c r="H16" t="s">
        <v>160</v>
      </c>
      <c r="I16" t="s">
        <v>165</v>
      </c>
      <c r="J16">
        <v>-0.20577477999999999</v>
      </c>
      <c r="K16">
        <v>4.0469401000000002E-2</v>
      </c>
      <c r="L16">
        <v>-5.0847001000000001</v>
      </c>
      <c r="M16">
        <v>61455</v>
      </c>
      <c r="N16">
        <v>31</v>
      </c>
      <c r="O16">
        <v>61423</v>
      </c>
      <c r="P16">
        <v>-2.0512020999999998E-2</v>
      </c>
      <c r="Q16">
        <v>-2.0514898E-2</v>
      </c>
      <c r="R16">
        <v>4.0339640000000001E-3</v>
      </c>
      <c r="S16">
        <v>-1.2608329E-2</v>
      </c>
      <c r="T16">
        <v>-2.8421466999999999E-2</v>
      </c>
      <c r="U16">
        <v>4.032201E-3</v>
      </c>
      <c r="V16">
        <v>1.63E-5</v>
      </c>
      <c r="W16">
        <v>-2.0480141E-2</v>
      </c>
      <c r="X16">
        <v>-2.0543901E-2</v>
      </c>
      <c r="Y16" t="s">
        <v>162</v>
      </c>
      <c r="Z16" t="s">
        <v>163</v>
      </c>
      <c r="AA16">
        <v>0</v>
      </c>
      <c r="AB16" t="s">
        <v>100</v>
      </c>
      <c r="AC16" t="s">
        <v>155</v>
      </c>
      <c r="AG16">
        <v>1</v>
      </c>
    </row>
    <row r="17" spans="1:33" x14ac:dyDescent="0.25">
      <c r="A17">
        <v>1900</v>
      </c>
      <c r="B17" t="s">
        <v>156</v>
      </c>
      <c r="C17" t="s">
        <v>106</v>
      </c>
      <c r="D17" t="s">
        <v>102</v>
      </c>
      <c r="E17" t="s">
        <v>158</v>
      </c>
      <c r="F17" t="s">
        <v>159</v>
      </c>
      <c r="G17">
        <v>134213</v>
      </c>
      <c r="H17" t="s">
        <v>160</v>
      </c>
      <c r="I17" t="s">
        <v>161</v>
      </c>
      <c r="J17">
        <v>-0.17136170000000001</v>
      </c>
      <c r="K17">
        <v>1.7956400000000001E-2</v>
      </c>
      <c r="L17">
        <v>-9.5432050000000004</v>
      </c>
      <c r="M17">
        <v>49968</v>
      </c>
      <c r="N17">
        <v>16</v>
      </c>
      <c r="O17">
        <v>49952</v>
      </c>
      <c r="P17">
        <v>-4.2660139E-2</v>
      </c>
      <c r="Q17">
        <v>-4.2686045999999998E-2</v>
      </c>
      <c r="R17">
        <v>4.4737020000000004E-3</v>
      </c>
      <c r="S17">
        <v>-3.3917589999999997E-2</v>
      </c>
      <c r="T17">
        <v>-5.1454501999999999E-2</v>
      </c>
      <c r="U17">
        <v>4.4654710000000004E-3</v>
      </c>
      <c r="V17">
        <v>2.0000000000000002E-5</v>
      </c>
      <c r="W17">
        <v>-4.2620985E-2</v>
      </c>
      <c r="X17">
        <v>-4.2699292999999999E-2</v>
      </c>
      <c r="Y17" t="s">
        <v>162</v>
      </c>
      <c r="Z17" t="s">
        <v>163</v>
      </c>
      <c r="AA17">
        <v>0</v>
      </c>
      <c r="AB17" t="s">
        <v>100</v>
      </c>
      <c r="AC17" t="s">
        <v>155</v>
      </c>
      <c r="AG17">
        <v>1</v>
      </c>
    </row>
    <row r="18" spans="1:33" x14ac:dyDescent="0.25">
      <c r="A18">
        <v>1900</v>
      </c>
      <c r="B18" t="s">
        <v>156</v>
      </c>
      <c r="C18" t="s">
        <v>106</v>
      </c>
      <c r="D18" t="s">
        <v>102</v>
      </c>
      <c r="E18" t="s">
        <v>158</v>
      </c>
      <c r="F18" t="s">
        <v>159</v>
      </c>
      <c r="G18">
        <v>134213</v>
      </c>
      <c r="H18" t="s">
        <v>160</v>
      </c>
      <c r="I18" t="s">
        <v>164</v>
      </c>
      <c r="J18">
        <v>-0.16207269999999999</v>
      </c>
      <c r="K18">
        <v>1.6158800000000001E-2</v>
      </c>
      <c r="L18">
        <v>-10.03003</v>
      </c>
      <c r="M18">
        <v>134213</v>
      </c>
      <c r="N18">
        <v>51</v>
      </c>
      <c r="O18">
        <v>134162</v>
      </c>
      <c r="P18">
        <v>-2.7373145000000002E-2</v>
      </c>
      <c r="Q18">
        <v>-2.7379984999999999E-2</v>
      </c>
      <c r="R18">
        <v>2.7296540000000002E-3</v>
      </c>
      <c r="S18">
        <v>-2.2029864E-2</v>
      </c>
      <c r="T18">
        <v>-3.2730107000000001E-2</v>
      </c>
      <c r="U18">
        <v>2.727588E-3</v>
      </c>
      <c r="V18">
        <v>7.4499999999999998E-6</v>
      </c>
      <c r="W18">
        <v>-2.7358553000000001E-2</v>
      </c>
      <c r="X18">
        <v>-2.7387737999999998E-2</v>
      </c>
      <c r="Y18" t="s">
        <v>162</v>
      </c>
      <c r="Z18" t="s">
        <v>163</v>
      </c>
      <c r="AA18">
        <v>0</v>
      </c>
      <c r="AB18" t="s">
        <v>100</v>
      </c>
      <c r="AC18" t="s">
        <v>155</v>
      </c>
    </row>
    <row r="19" spans="1:33" x14ac:dyDescent="0.25">
      <c r="A19">
        <v>1900</v>
      </c>
      <c r="B19" t="s">
        <v>156</v>
      </c>
      <c r="C19" t="s">
        <v>106</v>
      </c>
      <c r="D19" t="s">
        <v>102</v>
      </c>
      <c r="E19" t="s">
        <v>158</v>
      </c>
      <c r="F19" t="s">
        <v>159</v>
      </c>
      <c r="G19">
        <v>84245</v>
      </c>
      <c r="H19" t="s">
        <v>160</v>
      </c>
      <c r="I19" t="s">
        <v>165</v>
      </c>
      <c r="J19">
        <v>-8.7884240000000002E-2</v>
      </c>
      <c r="K19">
        <v>1.6806846E-2</v>
      </c>
      <c r="L19">
        <v>-5.2290739999999998</v>
      </c>
      <c r="M19">
        <v>84245</v>
      </c>
      <c r="N19">
        <v>34</v>
      </c>
      <c r="O19">
        <v>84210</v>
      </c>
      <c r="P19">
        <v>-1.8016583999999999E-2</v>
      </c>
      <c r="Q19">
        <v>-1.8018533999999999E-2</v>
      </c>
      <c r="R19">
        <v>3.4453679999999999E-3</v>
      </c>
      <c r="S19">
        <v>-1.1265612E-2</v>
      </c>
      <c r="T19">
        <v>-2.4771456000000001E-2</v>
      </c>
      <c r="U19">
        <v>3.4442090000000002E-3</v>
      </c>
      <c r="V19">
        <v>1.19E-5</v>
      </c>
      <c r="W19">
        <v>-1.7993326E-2</v>
      </c>
      <c r="X19">
        <v>-1.8039842E-2</v>
      </c>
      <c r="Y19" t="s">
        <v>162</v>
      </c>
      <c r="Z19" t="s">
        <v>163</v>
      </c>
      <c r="AA19">
        <v>0</v>
      </c>
      <c r="AB19" t="s">
        <v>100</v>
      </c>
      <c r="AC19" t="s">
        <v>155</v>
      </c>
      <c r="AG19">
        <v>1</v>
      </c>
    </row>
    <row r="20" spans="1:33" x14ac:dyDescent="0.25">
      <c r="A20">
        <v>1910</v>
      </c>
      <c r="B20" t="s">
        <v>156</v>
      </c>
      <c r="C20" t="s">
        <v>106</v>
      </c>
      <c r="D20" t="s">
        <v>102</v>
      </c>
      <c r="E20" t="s">
        <v>158</v>
      </c>
      <c r="F20" t="s">
        <v>159</v>
      </c>
      <c r="G20">
        <v>148944</v>
      </c>
      <c r="H20" t="s">
        <v>160</v>
      </c>
      <c r="I20" t="s">
        <v>161</v>
      </c>
      <c r="J20">
        <v>-0.15027750000000001</v>
      </c>
      <c r="K20">
        <v>1.6376100000000001E-2</v>
      </c>
      <c r="L20">
        <v>-9.1766310000000004</v>
      </c>
      <c r="M20">
        <v>56516</v>
      </c>
      <c r="N20">
        <v>16</v>
      </c>
      <c r="O20">
        <v>56500</v>
      </c>
      <c r="P20">
        <v>-3.8577637999999997E-2</v>
      </c>
      <c r="Q20">
        <v>-3.8596792999999997E-2</v>
      </c>
      <c r="R20">
        <v>4.2065480000000001E-3</v>
      </c>
      <c r="S20">
        <v>-3.0351960000000001E-2</v>
      </c>
      <c r="T20">
        <v>-4.6841626999999997E-2</v>
      </c>
      <c r="U20">
        <v>4.2002130000000004E-3</v>
      </c>
      <c r="V20">
        <v>1.77E-5</v>
      </c>
      <c r="W20">
        <v>-3.8543009000000003E-2</v>
      </c>
      <c r="X20">
        <v>-3.8612267999999998E-2</v>
      </c>
      <c r="Y20" t="s">
        <v>162</v>
      </c>
      <c r="Z20" t="s">
        <v>163</v>
      </c>
      <c r="AA20">
        <v>0</v>
      </c>
      <c r="AB20" t="s">
        <v>100</v>
      </c>
      <c r="AC20" t="s">
        <v>155</v>
      </c>
      <c r="AG20">
        <v>1</v>
      </c>
    </row>
    <row r="21" spans="1:33" x14ac:dyDescent="0.25">
      <c r="A21">
        <v>1910</v>
      </c>
      <c r="B21" t="s">
        <v>156</v>
      </c>
      <c r="C21" t="s">
        <v>106</v>
      </c>
      <c r="D21" t="s">
        <v>102</v>
      </c>
      <c r="E21" t="s">
        <v>158</v>
      </c>
      <c r="F21" t="s">
        <v>159</v>
      </c>
      <c r="G21">
        <v>148944</v>
      </c>
      <c r="H21" t="s">
        <v>160</v>
      </c>
      <c r="I21" t="s">
        <v>164</v>
      </c>
      <c r="J21">
        <v>-0.1390361</v>
      </c>
      <c r="K21">
        <v>1.49899E-2</v>
      </c>
      <c r="L21">
        <v>-9.2753219999999992</v>
      </c>
      <c r="M21">
        <v>148944</v>
      </c>
      <c r="N21">
        <v>51</v>
      </c>
      <c r="O21">
        <v>148893</v>
      </c>
      <c r="P21">
        <v>-2.4030699999999999E-2</v>
      </c>
      <c r="Q21">
        <v>-2.4035326999999999E-2</v>
      </c>
      <c r="R21">
        <v>2.5911520000000002E-3</v>
      </c>
      <c r="S21">
        <v>-1.8956669999999998E-2</v>
      </c>
      <c r="T21">
        <v>-2.9113984999999998E-2</v>
      </c>
      <c r="U21">
        <v>2.589638E-3</v>
      </c>
      <c r="V21">
        <v>6.7100000000000001E-6</v>
      </c>
      <c r="W21">
        <v>-2.4017548E-2</v>
      </c>
      <c r="X21">
        <v>-2.4043852000000001E-2</v>
      </c>
      <c r="Y21" t="s">
        <v>162</v>
      </c>
      <c r="Z21" t="s">
        <v>163</v>
      </c>
      <c r="AA21">
        <v>0</v>
      </c>
      <c r="AB21" t="s">
        <v>100</v>
      </c>
      <c r="AC21" t="s">
        <v>155</v>
      </c>
    </row>
    <row r="22" spans="1:33" x14ac:dyDescent="0.25">
      <c r="A22">
        <v>1910</v>
      </c>
      <c r="B22" t="s">
        <v>156</v>
      </c>
      <c r="C22" t="s">
        <v>106</v>
      </c>
      <c r="D22" t="s">
        <v>102</v>
      </c>
      <c r="E22" t="s">
        <v>158</v>
      </c>
      <c r="F22" t="s">
        <v>159</v>
      </c>
      <c r="G22">
        <v>92428</v>
      </c>
      <c r="H22" t="s">
        <v>160</v>
      </c>
      <c r="I22" t="s">
        <v>165</v>
      </c>
      <c r="J22">
        <v>-4.3555465000000002E-2</v>
      </c>
      <c r="K22">
        <v>8.6806629999999999E-3</v>
      </c>
      <c r="L22">
        <v>-5.0175270999999997</v>
      </c>
      <c r="M22">
        <v>92428</v>
      </c>
      <c r="N22">
        <v>34</v>
      </c>
      <c r="O22">
        <v>92393</v>
      </c>
      <c r="P22">
        <v>-1.6504828999999999E-2</v>
      </c>
      <c r="Q22">
        <v>-1.6506328000000001E-2</v>
      </c>
      <c r="R22">
        <v>3.2893140000000002E-3</v>
      </c>
      <c r="S22">
        <v>-1.0059274E-2</v>
      </c>
      <c r="T22">
        <v>-2.2953383000000001E-2</v>
      </c>
      <c r="U22">
        <v>3.2883819999999999E-3</v>
      </c>
      <c r="V22">
        <v>1.08E-5</v>
      </c>
      <c r="W22">
        <v>-1.6483629E-2</v>
      </c>
      <c r="X22">
        <v>-1.6526029000000001E-2</v>
      </c>
      <c r="Y22" t="s">
        <v>162</v>
      </c>
      <c r="Z22" t="s">
        <v>163</v>
      </c>
      <c r="AA22">
        <v>0</v>
      </c>
      <c r="AB22" t="s">
        <v>100</v>
      </c>
      <c r="AC22" t="s">
        <v>155</v>
      </c>
      <c r="AG22">
        <v>1</v>
      </c>
    </row>
    <row r="23" spans="1:33" x14ac:dyDescent="0.25">
      <c r="A23">
        <v>1920</v>
      </c>
      <c r="B23" t="s">
        <v>156</v>
      </c>
      <c r="C23" t="s">
        <v>106</v>
      </c>
      <c r="D23" t="s">
        <v>102</v>
      </c>
      <c r="E23" t="s">
        <v>158</v>
      </c>
      <c r="F23" t="s">
        <v>159</v>
      </c>
      <c r="G23">
        <v>174720</v>
      </c>
      <c r="H23" t="s">
        <v>160</v>
      </c>
      <c r="I23" t="s">
        <v>161</v>
      </c>
      <c r="J23">
        <v>-0.11001030000000001</v>
      </c>
      <c r="K23">
        <v>1.8372400000000001E-2</v>
      </c>
      <c r="L23">
        <v>-5.9878010000000002</v>
      </c>
      <c r="M23">
        <v>64132</v>
      </c>
      <c r="N23">
        <v>16</v>
      </c>
      <c r="O23">
        <v>64116</v>
      </c>
      <c r="P23">
        <v>-2.3640832000000001E-2</v>
      </c>
      <c r="Q23">
        <v>-2.3645237E-2</v>
      </c>
      <c r="R23">
        <v>3.9488689999999998E-3</v>
      </c>
      <c r="S23">
        <v>-1.5905453999999999E-2</v>
      </c>
      <c r="T23">
        <v>-3.1385020999999999E-2</v>
      </c>
      <c r="U23">
        <v>3.9466010000000001E-3</v>
      </c>
      <c r="V23">
        <v>1.56E-5</v>
      </c>
      <c r="W23">
        <v>-2.3610287000000001E-2</v>
      </c>
      <c r="X23">
        <v>-2.3671377E-2</v>
      </c>
      <c r="Y23" t="s">
        <v>162</v>
      </c>
      <c r="Z23" t="s">
        <v>163</v>
      </c>
      <c r="AA23">
        <v>0</v>
      </c>
      <c r="AB23" t="s">
        <v>100</v>
      </c>
      <c r="AC23" t="s">
        <v>155</v>
      </c>
      <c r="AG23">
        <v>1</v>
      </c>
    </row>
    <row r="24" spans="1:33" x14ac:dyDescent="0.25">
      <c r="A24">
        <v>1920</v>
      </c>
      <c r="B24" t="s">
        <v>156</v>
      </c>
      <c r="C24" t="s">
        <v>106</v>
      </c>
      <c r="D24" t="s">
        <v>102</v>
      </c>
      <c r="E24" t="s">
        <v>158</v>
      </c>
      <c r="F24" t="s">
        <v>159</v>
      </c>
      <c r="G24">
        <v>174720</v>
      </c>
      <c r="H24" t="s">
        <v>160</v>
      </c>
      <c r="I24" t="s">
        <v>164</v>
      </c>
      <c r="J24">
        <v>-9.7115000000000007E-2</v>
      </c>
      <c r="K24">
        <v>1.6532000000000002E-2</v>
      </c>
      <c r="L24">
        <v>-5.8743590000000001</v>
      </c>
      <c r="M24">
        <v>174720</v>
      </c>
      <c r="N24">
        <v>50</v>
      </c>
      <c r="O24">
        <v>174670</v>
      </c>
      <c r="P24">
        <v>-1.4054274E-2</v>
      </c>
      <c r="Q24">
        <v>-1.40552E-2</v>
      </c>
      <c r="R24">
        <v>2.3923920000000001E-3</v>
      </c>
      <c r="S24">
        <v>-9.3661109999999999E-3</v>
      </c>
      <c r="T24">
        <v>-1.8744289000000001E-2</v>
      </c>
      <c r="U24">
        <v>2.3919060000000001E-3</v>
      </c>
      <c r="V24">
        <v>5.7200000000000003E-6</v>
      </c>
      <c r="W24">
        <v>-1.4043059E-2</v>
      </c>
      <c r="X24">
        <v>-1.406549E-2</v>
      </c>
      <c r="Y24" t="s">
        <v>162</v>
      </c>
      <c r="Z24" t="s">
        <v>163</v>
      </c>
      <c r="AA24">
        <v>0</v>
      </c>
      <c r="AB24" t="s">
        <v>100</v>
      </c>
      <c r="AC24" t="s">
        <v>155</v>
      </c>
    </row>
    <row r="25" spans="1:33" x14ac:dyDescent="0.25">
      <c r="A25">
        <v>1920</v>
      </c>
      <c r="B25" t="s">
        <v>156</v>
      </c>
      <c r="C25" t="s">
        <v>106</v>
      </c>
      <c r="D25" t="s">
        <v>102</v>
      </c>
      <c r="E25" t="s">
        <v>158</v>
      </c>
      <c r="F25" t="s">
        <v>159</v>
      </c>
      <c r="G25">
        <v>110588</v>
      </c>
      <c r="H25" t="s">
        <v>160</v>
      </c>
      <c r="I25" t="s">
        <v>165</v>
      </c>
      <c r="J25">
        <v>-1.1996959999999999E-2</v>
      </c>
      <c r="K25">
        <v>6.140029E-3</v>
      </c>
      <c r="L25">
        <v>-1.9538929</v>
      </c>
      <c r="M25">
        <v>110588</v>
      </c>
      <c r="N25">
        <v>33</v>
      </c>
      <c r="O25">
        <v>110554</v>
      </c>
      <c r="P25">
        <v>-5.8763280000000001E-3</v>
      </c>
      <c r="Q25">
        <v>-5.8763959999999999E-3</v>
      </c>
      <c r="R25">
        <v>3.007128E-3</v>
      </c>
      <c r="S25">
        <v>1.7600000000000001E-5</v>
      </c>
      <c r="T25">
        <v>-1.1770366000000001E-2</v>
      </c>
      <c r="U25">
        <v>3.006997E-3</v>
      </c>
      <c r="V25">
        <v>9.0399999999999998E-6</v>
      </c>
      <c r="W25">
        <v>-5.8586050000000002E-3</v>
      </c>
      <c r="X25">
        <v>-5.894051E-3</v>
      </c>
      <c r="Y25" t="s">
        <v>162</v>
      </c>
      <c r="Z25" t="s">
        <v>163</v>
      </c>
      <c r="AA25">
        <v>0</v>
      </c>
      <c r="AB25" t="s">
        <v>100</v>
      </c>
      <c r="AC25" t="s">
        <v>155</v>
      </c>
      <c r="AG25">
        <v>1</v>
      </c>
    </row>
    <row r="26" spans="1:33" x14ac:dyDescent="0.25">
      <c r="A26">
        <v>1930</v>
      </c>
      <c r="B26" t="s">
        <v>156</v>
      </c>
      <c r="C26" t="s">
        <v>106</v>
      </c>
      <c r="D26" t="s">
        <v>102</v>
      </c>
      <c r="E26" t="s">
        <v>158</v>
      </c>
      <c r="F26" t="s">
        <v>159</v>
      </c>
      <c r="G26">
        <v>194521</v>
      </c>
      <c r="H26" t="s">
        <v>160</v>
      </c>
      <c r="I26" t="s">
        <v>161</v>
      </c>
      <c r="J26">
        <v>-6.8130599999999999E-2</v>
      </c>
      <c r="K26">
        <v>1.4395E-2</v>
      </c>
      <c r="L26">
        <v>-4.7329530000000002</v>
      </c>
      <c r="M26">
        <v>68354</v>
      </c>
      <c r="N26">
        <v>16</v>
      </c>
      <c r="O26">
        <v>68338</v>
      </c>
      <c r="P26">
        <v>-1.8102139E-2</v>
      </c>
      <c r="Q26">
        <v>-1.8104116999999999E-2</v>
      </c>
      <c r="R26">
        <v>3.824966E-3</v>
      </c>
      <c r="S26">
        <v>-1.0607182999999999E-2</v>
      </c>
      <c r="T26">
        <v>-2.560105E-2</v>
      </c>
      <c r="U26">
        <v>3.8236569999999998E-3</v>
      </c>
      <c r="V26">
        <v>1.4600000000000001E-5</v>
      </c>
      <c r="W26">
        <v>-1.8073473999999999E-2</v>
      </c>
      <c r="X26">
        <v>-1.8130804E-2</v>
      </c>
      <c r="Y26" t="s">
        <v>162</v>
      </c>
      <c r="Z26" t="s">
        <v>163</v>
      </c>
      <c r="AA26">
        <v>0</v>
      </c>
      <c r="AB26" t="s">
        <v>100</v>
      </c>
      <c r="AC26" t="s">
        <v>155</v>
      </c>
      <c r="AG26">
        <v>1</v>
      </c>
    </row>
    <row r="27" spans="1:33" x14ac:dyDescent="0.25">
      <c r="A27">
        <v>1930</v>
      </c>
      <c r="B27" t="s">
        <v>156</v>
      </c>
      <c r="C27" t="s">
        <v>106</v>
      </c>
      <c r="D27" t="s">
        <v>102</v>
      </c>
      <c r="E27" t="s">
        <v>158</v>
      </c>
      <c r="F27" t="s">
        <v>159</v>
      </c>
      <c r="G27">
        <v>194521</v>
      </c>
      <c r="H27" t="s">
        <v>160</v>
      </c>
      <c r="I27" t="s">
        <v>164</v>
      </c>
      <c r="J27">
        <v>-5.6599999999999998E-2</v>
      </c>
      <c r="K27">
        <v>1.2024200000000001E-2</v>
      </c>
      <c r="L27">
        <v>-4.7071730000000001</v>
      </c>
      <c r="M27">
        <v>194521</v>
      </c>
      <c r="N27">
        <v>50</v>
      </c>
      <c r="O27">
        <v>194471</v>
      </c>
      <c r="P27">
        <v>-1.0673528E-2</v>
      </c>
      <c r="Q27">
        <v>-1.0673933E-2</v>
      </c>
      <c r="R27">
        <v>2.2673580000000001E-3</v>
      </c>
      <c r="S27">
        <v>-6.2300000000000003E-3</v>
      </c>
      <c r="T27">
        <v>-1.5117955000000001E-2</v>
      </c>
      <c r="U27">
        <v>2.267088E-3</v>
      </c>
      <c r="V27">
        <v>5.1399999999999999E-6</v>
      </c>
      <c r="W27">
        <v>-1.0663453E-2</v>
      </c>
      <c r="X27">
        <v>-1.0683603E-2</v>
      </c>
      <c r="Y27" t="s">
        <v>162</v>
      </c>
      <c r="Z27" t="s">
        <v>163</v>
      </c>
      <c r="AA27">
        <v>0</v>
      </c>
      <c r="AB27" t="s">
        <v>100</v>
      </c>
      <c r="AC27" t="s">
        <v>155</v>
      </c>
    </row>
    <row r="28" spans="1:33" x14ac:dyDescent="0.25">
      <c r="A28">
        <v>1930</v>
      </c>
      <c r="B28" t="s">
        <v>156</v>
      </c>
      <c r="C28" t="s">
        <v>106</v>
      </c>
      <c r="D28" t="s">
        <v>102</v>
      </c>
      <c r="E28" t="s">
        <v>158</v>
      </c>
      <c r="F28" t="s">
        <v>159</v>
      </c>
      <c r="G28">
        <v>126167</v>
      </c>
      <c r="H28" t="s">
        <v>160</v>
      </c>
      <c r="I28" t="s">
        <v>165</v>
      </c>
      <c r="J28">
        <v>-1.3069636000000001E-2</v>
      </c>
      <c r="K28">
        <v>4.1962019999999996E-3</v>
      </c>
      <c r="L28">
        <v>-3.1146343000000001</v>
      </c>
      <c r="M28">
        <v>126167</v>
      </c>
      <c r="N28">
        <v>33</v>
      </c>
      <c r="O28">
        <v>126133</v>
      </c>
      <c r="P28">
        <v>-8.7695240000000008E-3</v>
      </c>
      <c r="Q28">
        <v>-8.7697480000000008E-3</v>
      </c>
      <c r="R28">
        <v>2.815349E-3</v>
      </c>
      <c r="S28">
        <v>-3.251664E-3</v>
      </c>
      <c r="T28">
        <v>-1.4287833E-2</v>
      </c>
      <c r="U28">
        <v>2.81511E-3</v>
      </c>
      <c r="V28">
        <v>7.9300000000000003E-6</v>
      </c>
      <c r="W28">
        <v>-8.7539899999999997E-3</v>
      </c>
      <c r="X28">
        <v>-8.7850570000000006E-3</v>
      </c>
      <c r="Y28" t="s">
        <v>162</v>
      </c>
      <c r="Z28" t="s">
        <v>163</v>
      </c>
      <c r="AA28">
        <v>0</v>
      </c>
      <c r="AB28" t="s">
        <v>100</v>
      </c>
      <c r="AC28" t="s">
        <v>155</v>
      </c>
      <c r="AG28">
        <v>1</v>
      </c>
    </row>
    <row r="29" spans="1:33" x14ac:dyDescent="0.25">
      <c r="A29">
        <v>1940</v>
      </c>
      <c r="B29" t="s">
        <v>156</v>
      </c>
      <c r="C29" t="s">
        <v>106</v>
      </c>
      <c r="D29" t="s">
        <v>102</v>
      </c>
      <c r="E29" t="s">
        <v>158</v>
      </c>
      <c r="F29" t="s">
        <v>159</v>
      </c>
      <c r="G29">
        <v>191473</v>
      </c>
      <c r="H29" t="s">
        <v>160</v>
      </c>
      <c r="I29" t="s">
        <v>161</v>
      </c>
      <c r="J29">
        <v>-3.3490899999999997E-2</v>
      </c>
      <c r="K29">
        <v>1.53174E-2</v>
      </c>
      <c r="L29">
        <v>-2.1864690000000002</v>
      </c>
      <c r="M29">
        <v>72969</v>
      </c>
      <c r="N29">
        <v>16</v>
      </c>
      <c r="O29">
        <v>72953</v>
      </c>
      <c r="P29">
        <v>-8.09E-3</v>
      </c>
      <c r="Q29">
        <v>-8.0999999999999996E-3</v>
      </c>
      <c r="R29">
        <v>3.702028E-3</v>
      </c>
      <c r="S29">
        <v>-8.39027E-4</v>
      </c>
      <c r="T29">
        <v>-1.5350977999999999E-2</v>
      </c>
      <c r="U29">
        <v>3.7017349999999998E-3</v>
      </c>
      <c r="V29">
        <v>1.3699999999999999E-5</v>
      </c>
      <c r="W29">
        <v>-8.0679670000000005E-3</v>
      </c>
      <c r="X29">
        <v>-8.121685E-3</v>
      </c>
      <c r="Y29" t="s">
        <v>162</v>
      </c>
      <c r="Z29" t="s">
        <v>163</v>
      </c>
      <c r="AA29">
        <v>0</v>
      </c>
      <c r="AB29" t="s">
        <v>100</v>
      </c>
      <c r="AC29" t="s">
        <v>155</v>
      </c>
      <c r="AG29">
        <v>1</v>
      </c>
    </row>
    <row r="30" spans="1:33" x14ac:dyDescent="0.25">
      <c r="A30">
        <v>1940</v>
      </c>
      <c r="B30" t="s">
        <v>156</v>
      </c>
      <c r="C30" t="s">
        <v>106</v>
      </c>
      <c r="D30" t="s">
        <v>102</v>
      </c>
      <c r="E30" t="s">
        <v>158</v>
      </c>
      <c r="F30" t="s">
        <v>159</v>
      </c>
      <c r="G30">
        <v>191473</v>
      </c>
      <c r="H30" t="s">
        <v>160</v>
      </c>
      <c r="I30" t="s">
        <v>164</v>
      </c>
      <c r="J30">
        <v>-2.6773600000000002E-2</v>
      </c>
      <c r="K30">
        <v>1.2081400000000001E-2</v>
      </c>
      <c r="L30">
        <v>-2.2161019999999998</v>
      </c>
      <c r="M30">
        <v>191473</v>
      </c>
      <c r="N30">
        <v>48</v>
      </c>
      <c r="O30">
        <v>191425</v>
      </c>
      <c r="P30">
        <v>-5.0650629999999999E-3</v>
      </c>
      <c r="Q30">
        <v>-5.0651059999999998E-3</v>
      </c>
      <c r="R30">
        <v>2.285334E-3</v>
      </c>
      <c r="S30">
        <v>-5.8585199999999999E-4</v>
      </c>
      <c r="T30">
        <v>-9.54436E-3</v>
      </c>
      <c r="U30">
        <v>2.2852630000000001E-3</v>
      </c>
      <c r="V30">
        <v>5.22E-6</v>
      </c>
      <c r="W30">
        <v>-5.0548269999999996E-3</v>
      </c>
      <c r="X30">
        <v>-5.0752990000000001E-3</v>
      </c>
      <c r="Y30" t="s">
        <v>162</v>
      </c>
      <c r="Z30" t="s">
        <v>163</v>
      </c>
      <c r="AA30">
        <v>0</v>
      </c>
      <c r="AB30" t="s">
        <v>100</v>
      </c>
      <c r="AC30" t="s">
        <v>155</v>
      </c>
    </row>
    <row r="31" spans="1:33" x14ac:dyDescent="0.25">
      <c r="A31">
        <v>1940</v>
      </c>
      <c r="B31" t="s">
        <v>156</v>
      </c>
      <c r="C31" t="s">
        <v>106</v>
      </c>
      <c r="D31" t="s">
        <v>102</v>
      </c>
      <c r="E31" t="s">
        <v>158</v>
      </c>
      <c r="F31" t="s">
        <v>159</v>
      </c>
      <c r="G31">
        <v>118504</v>
      </c>
      <c r="H31" t="s">
        <v>160</v>
      </c>
      <c r="I31" t="s">
        <v>165</v>
      </c>
      <c r="J31">
        <v>-3.4089139999999999E-3</v>
      </c>
      <c r="K31">
        <v>5.9063659999999997E-3</v>
      </c>
      <c r="L31">
        <v>-0.57715923000000002</v>
      </c>
      <c r="M31">
        <v>118504</v>
      </c>
      <c r="N31">
        <v>31</v>
      </c>
      <c r="O31">
        <v>118472</v>
      </c>
      <c r="P31">
        <v>-1.676823E-3</v>
      </c>
      <c r="Q31">
        <v>-1.6768239999999999E-3</v>
      </c>
      <c r="R31">
        <v>2.9049520000000001E-3</v>
      </c>
      <c r="S31">
        <v>4.0168820000000003E-3</v>
      </c>
      <c r="T31">
        <v>-7.3705309999999996E-3</v>
      </c>
      <c r="U31">
        <v>2.9049200000000001E-3</v>
      </c>
      <c r="V31">
        <v>8.4400000000000005E-6</v>
      </c>
      <c r="W31">
        <v>-1.660283E-3</v>
      </c>
      <c r="X31">
        <v>-1.6933619999999999E-3</v>
      </c>
      <c r="Y31" t="s">
        <v>162</v>
      </c>
      <c r="Z31" t="s">
        <v>163</v>
      </c>
      <c r="AA31">
        <v>0</v>
      </c>
      <c r="AB31" t="s">
        <v>100</v>
      </c>
      <c r="AC31" t="s">
        <v>155</v>
      </c>
      <c r="AG31">
        <v>1</v>
      </c>
    </row>
    <row r="32" spans="1:33" x14ac:dyDescent="0.25">
      <c r="A32">
        <v>1950</v>
      </c>
      <c r="B32" t="s">
        <v>156</v>
      </c>
      <c r="C32" t="s">
        <v>106</v>
      </c>
      <c r="D32" t="s">
        <v>102</v>
      </c>
      <c r="E32" t="s">
        <v>158</v>
      </c>
      <c r="F32" t="s">
        <v>159</v>
      </c>
      <c r="G32">
        <v>60324</v>
      </c>
      <c r="H32" t="s">
        <v>160</v>
      </c>
      <c r="I32" t="s">
        <v>161</v>
      </c>
      <c r="J32">
        <v>-1.3632399999999999E-2</v>
      </c>
      <c r="K32">
        <v>8.0818000000000001E-3</v>
      </c>
      <c r="L32">
        <v>-1.6867970000000001</v>
      </c>
      <c r="M32">
        <v>21649</v>
      </c>
      <c r="N32">
        <v>16</v>
      </c>
      <c r="O32">
        <v>21633</v>
      </c>
      <c r="P32">
        <v>-1.1467688E-2</v>
      </c>
      <c r="Q32">
        <v>-1.1468191000000001E-2</v>
      </c>
      <c r="R32">
        <v>6.7969049999999998E-3</v>
      </c>
      <c r="S32">
        <v>1.853742E-3</v>
      </c>
      <c r="T32">
        <v>-2.4790124E-2</v>
      </c>
      <c r="U32">
        <v>6.7956969999999998E-3</v>
      </c>
      <c r="V32">
        <v>4.6199999999999998E-5</v>
      </c>
      <c r="W32">
        <v>-1.1377162999999999E-2</v>
      </c>
      <c r="X32">
        <v>-1.1558214000000001E-2</v>
      </c>
      <c r="Y32" t="s">
        <v>162</v>
      </c>
      <c r="Z32" t="s">
        <v>163</v>
      </c>
      <c r="AA32">
        <v>0</v>
      </c>
      <c r="AB32" t="s">
        <v>100</v>
      </c>
      <c r="AC32" t="s">
        <v>155</v>
      </c>
      <c r="AG32">
        <v>1</v>
      </c>
    </row>
    <row r="33" spans="1:33" x14ac:dyDescent="0.25">
      <c r="A33">
        <v>1950</v>
      </c>
      <c r="B33" t="s">
        <v>156</v>
      </c>
      <c r="C33" t="s">
        <v>106</v>
      </c>
      <c r="D33" t="s">
        <v>102</v>
      </c>
      <c r="E33" t="s">
        <v>158</v>
      </c>
      <c r="F33" t="s">
        <v>159</v>
      </c>
      <c r="G33">
        <v>60324</v>
      </c>
      <c r="H33" t="s">
        <v>160</v>
      </c>
      <c r="I33" t="s">
        <v>164</v>
      </c>
      <c r="J33">
        <v>-8.0610000000000005E-3</v>
      </c>
      <c r="K33">
        <v>5.9711E-3</v>
      </c>
      <c r="L33">
        <v>-1.350017</v>
      </c>
      <c r="M33">
        <v>60324</v>
      </c>
      <c r="N33">
        <v>48</v>
      </c>
      <c r="O33">
        <v>60276</v>
      </c>
      <c r="P33">
        <v>-5.4987050000000004E-3</v>
      </c>
      <c r="Q33">
        <v>-5.4987609999999996E-3</v>
      </c>
      <c r="R33">
        <v>4.0716060000000002E-3</v>
      </c>
      <c r="S33">
        <v>2.4815869999999999E-3</v>
      </c>
      <c r="T33">
        <v>-1.3479108E-2</v>
      </c>
      <c r="U33">
        <v>4.0714150000000001E-3</v>
      </c>
      <c r="V33">
        <v>1.66E-5</v>
      </c>
      <c r="W33">
        <v>-5.466215E-3</v>
      </c>
      <c r="X33">
        <v>-5.5311960000000004E-3</v>
      </c>
      <c r="Y33" t="s">
        <v>162</v>
      </c>
      <c r="Z33" t="s">
        <v>163</v>
      </c>
      <c r="AA33">
        <v>0</v>
      </c>
      <c r="AB33" t="s">
        <v>100</v>
      </c>
      <c r="AC33" t="s">
        <v>155</v>
      </c>
    </row>
    <row r="34" spans="1:33" x14ac:dyDescent="0.25">
      <c r="A34">
        <v>1950</v>
      </c>
      <c r="B34" t="s">
        <v>156</v>
      </c>
      <c r="C34" t="s">
        <v>106</v>
      </c>
      <c r="D34" t="s">
        <v>102</v>
      </c>
      <c r="E34" t="s">
        <v>158</v>
      </c>
      <c r="F34" t="s">
        <v>159</v>
      </c>
      <c r="G34">
        <v>38675</v>
      </c>
      <c r="H34" t="s">
        <v>160</v>
      </c>
      <c r="I34" t="s">
        <v>165</v>
      </c>
      <c r="J34">
        <v>-4.9356200000000002E-4</v>
      </c>
      <c r="K34">
        <v>7.7303570000000002E-3</v>
      </c>
      <c r="L34">
        <v>-6.3847259000000003E-2</v>
      </c>
      <c r="M34">
        <v>38675</v>
      </c>
      <c r="N34">
        <v>31</v>
      </c>
      <c r="O34">
        <v>38643</v>
      </c>
      <c r="P34">
        <v>-3.2479299999999998E-4</v>
      </c>
      <c r="Q34">
        <v>-3.2479299999999998E-4</v>
      </c>
      <c r="R34">
        <v>5.0851259999999997E-3</v>
      </c>
      <c r="S34">
        <v>9.6420529999999994E-3</v>
      </c>
      <c r="T34">
        <v>-1.0291639E-2</v>
      </c>
      <c r="U34">
        <v>5.0849939999999998E-3</v>
      </c>
      <c r="V34">
        <v>2.5899999999999999E-5</v>
      </c>
      <c r="W34">
        <v>-2.74114E-4</v>
      </c>
      <c r="X34">
        <v>-3.7547200000000001E-4</v>
      </c>
      <c r="Y34" t="s">
        <v>162</v>
      </c>
      <c r="Z34" t="s">
        <v>163</v>
      </c>
      <c r="AA34">
        <v>0</v>
      </c>
      <c r="AB34" t="s">
        <v>100</v>
      </c>
      <c r="AC34" t="s">
        <v>155</v>
      </c>
      <c r="AG34">
        <v>1</v>
      </c>
    </row>
    <row r="35" spans="1:33" x14ac:dyDescent="0.25">
      <c r="A35">
        <v>1960</v>
      </c>
      <c r="B35" t="s">
        <v>156</v>
      </c>
      <c r="C35" t="s">
        <v>106</v>
      </c>
      <c r="D35" t="s">
        <v>102</v>
      </c>
      <c r="E35" t="s">
        <v>158</v>
      </c>
      <c r="F35" t="s">
        <v>159</v>
      </c>
      <c r="G35">
        <v>287100</v>
      </c>
      <c r="H35" t="s">
        <v>160</v>
      </c>
      <c r="I35" t="s">
        <v>161</v>
      </c>
      <c r="J35">
        <v>-1.34827E-2</v>
      </c>
      <c r="K35">
        <v>3.9746E-3</v>
      </c>
      <c r="L35">
        <v>-3.3922050000000001</v>
      </c>
      <c r="M35">
        <v>93760</v>
      </c>
      <c r="N35">
        <v>16</v>
      </c>
      <c r="O35">
        <v>93744</v>
      </c>
      <c r="P35">
        <v>-1.1078569999999999E-2</v>
      </c>
      <c r="Q35">
        <v>-1.1079023E-2</v>
      </c>
      <c r="R35">
        <v>3.2658639999999998E-3</v>
      </c>
      <c r="S35">
        <v>-4.6779289999999999E-3</v>
      </c>
      <c r="T35">
        <v>-1.7480117E-2</v>
      </c>
      <c r="U35">
        <v>3.2654289999999998E-3</v>
      </c>
      <c r="V35">
        <v>1.0699999999999999E-5</v>
      </c>
      <c r="W35">
        <v>-1.1057668E-2</v>
      </c>
      <c r="X35">
        <v>-1.1099472000000001E-2</v>
      </c>
      <c r="Y35" t="s">
        <v>162</v>
      </c>
      <c r="Z35" t="s">
        <v>163</v>
      </c>
      <c r="AA35">
        <v>0</v>
      </c>
      <c r="AB35" t="s">
        <v>100</v>
      </c>
      <c r="AC35" t="s">
        <v>155</v>
      </c>
      <c r="AG35">
        <v>1</v>
      </c>
    </row>
    <row r="36" spans="1:33" x14ac:dyDescent="0.25">
      <c r="A36">
        <v>1960</v>
      </c>
      <c r="B36" t="s">
        <v>156</v>
      </c>
      <c r="C36" t="s">
        <v>106</v>
      </c>
      <c r="D36" t="s">
        <v>102</v>
      </c>
      <c r="E36" t="s">
        <v>158</v>
      </c>
      <c r="F36" t="s">
        <v>159</v>
      </c>
      <c r="G36">
        <v>287100</v>
      </c>
      <c r="H36" t="s">
        <v>160</v>
      </c>
      <c r="I36" t="s">
        <v>164</v>
      </c>
      <c r="J36">
        <v>-1.37276E-2</v>
      </c>
      <c r="K36">
        <v>2.6410000000000001E-3</v>
      </c>
      <c r="L36">
        <v>-5.1978210000000002</v>
      </c>
      <c r="M36">
        <v>287100</v>
      </c>
      <c r="N36">
        <v>50</v>
      </c>
      <c r="O36">
        <v>287050</v>
      </c>
      <c r="P36">
        <v>-9.7011249999999997E-3</v>
      </c>
      <c r="Q36">
        <v>-9.7014289999999993E-3</v>
      </c>
      <c r="R36">
        <v>1.8663180000000001E-3</v>
      </c>
      <c r="S36">
        <v>-6.0434460000000001E-3</v>
      </c>
      <c r="T36">
        <v>-1.3359413000000001E-2</v>
      </c>
      <c r="U36">
        <v>1.866136E-3</v>
      </c>
      <c r="V36">
        <v>3.4800000000000001E-6</v>
      </c>
      <c r="W36">
        <v>-9.694299E-3</v>
      </c>
      <c r="X36">
        <v>-9.7079509999999994E-3</v>
      </c>
      <c r="Y36" t="s">
        <v>162</v>
      </c>
      <c r="Z36" t="s">
        <v>163</v>
      </c>
      <c r="AA36">
        <v>0</v>
      </c>
      <c r="AB36" t="s">
        <v>100</v>
      </c>
      <c r="AC36" t="s">
        <v>155</v>
      </c>
    </row>
    <row r="37" spans="1:33" x14ac:dyDescent="0.25">
      <c r="A37">
        <v>1960</v>
      </c>
      <c r="B37" t="s">
        <v>156</v>
      </c>
      <c r="C37" t="s">
        <v>106</v>
      </c>
      <c r="D37" t="s">
        <v>102</v>
      </c>
      <c r="E37" t="s">
        <v>158</v>
      </c>
      <c r="F37" t="s">
        <v>159</v>
      </c>
      <c r="G37">
        <v>193340</v>
      </c>
      <c r="H37" t="s">
        <v>160</v>
      </c>
      <c r="I37" t="s">
        <v>165</v>
      </c>
      <c r="J37">
        <v>-1.2444126999999999E-2</v>
      </c>
      <c r="K37">
        <v>3.2364989999999999E-3</v>
      </c>
      <c r="L37">
        <v>-3.8449342</v>
      </c>
      <c r="M37">
        <v>193340</v>
      </c>
      <c r="N37">
        <v>33</v>
      </c>
      <c r="O37">
        <v>193306</v>
      </c>
      <c r="P37">
        <v>-8.7447949999999997E-3</v>
      </c>
      <c r="Q37">
        <v>-8.7450180000000002E-3</v>
      </c>
      <c r="R37">
        <v>2.2742729999999998E-3</v>
      </c>
      <c r="S37">
        <v>-4.2874439999999996E-3</v>
      </c>
      <c r="T37">
        <v>-1.3202592000000001E-2</v>
      </c>
      <c r="U37">
        <v>2.2740870000000002E-3</v>
      </c>
      <c r="V37">
        <v>5.1699999999999996E-6</v>
      </c>
      <c r="W37">
        <v>-8.7346579999999993E-3</v>
      </c>
      <c r="X37">
        <v>-8.754932E-3</v>
      </c>
      <c r="Y37" t="s">
        <v>162</v>
      </c>
      <c r="Z37" t="s">
        <v>163</v>
      </c>
      <c r="AA37">
        <v>0</v>
      </c>
      <c r="AB37" t="s">
        <v>100</v>
      </c>
      <c r="AC37" t="s">
        <v>155</v>
      </c>
      <c r="AG37">
        <v>1</v>
      </c>
    </row>
    <row r="38" spans="1:33" x14ac:dyDescent="0.25">
      <c r="A38">
        <v>1970</v>
      </c>
      <c r="B38" t="s">
        <v>156</v>
      </c>
      <c r="C38" t="s">
        <v>107</v>
      </c>
      <c r="D38" t="s">
        <v>102</v>
      </c>
      <c r="E38" t="s">
        <v>158</v>
      </c>
      <c r="F38" t="s">
        <v>159</v>
      </c>
      <c r="G38">
        <v>329861</v>
      </c>
      <c r="H38" t="s">
        <v>160</v>
      </c>
      <c r="I38" t="s">
        <v>161</v>
      </c>
      <c r="J38">
        <v>-1.25624E-2</v>
      </c>
      <c r="K38">
        <v>2.5937999999999998E-3</v>
      </c>
      <c r="L38">
        <v>-4.8433169999999999</v>
      </c>
      <c r="M38">
        <v>104434</v>
      </c>
      <c r="N38">
        <v>16</v>
      </c>
      <c r="O38">
        <v>104418</v>
      </c>
      <c r="P38">
        <v>-1.4986714E-2</v>
      </c>
      <c r="Q38">
        <v>-1.4987837E-2</v>
      </c>
      <c r="R38">
        <v>3.094463E-3</v>
      </c>
      <c r="S38">
        <v>-8.9226889999999993E-3</v>
      </c>
      <c r="T38">
        <v>-2.1052984E-2</v>
      </c>
      <c r="U38">
        <v>3.093738E-3</v>
      </c>
      <c r="V38">
        <v>9.5699999999999999E-6</v>
      </c>
      <c r="W38">
        <v>-1.4967951E-2</v>
      </c>
      <c r="X38">
        <v>-1.5005477999999999E-2</v>
      </c>
      <c r="Y38" t="s">
        <v>162</v>
      </c>
      <c r="Z38" t="s">
        <v>163</v>
      </c>
      <c r="AA38">
        <v>0</v>
      </c>
      <c r="AB38" t="s">
        <v>100</v>
      </c>
      <c r="AC38" t="s">
        <v>155</v>
      </c>
      <c r="AG38">
        <v>1</v>
      </c>
    </row>
    <row r="39" spans="1:33" x14ac:dyDescent="0.25">
      <c r="A39">
        <v>1970</v>
      </c>
      <c r="B39" t="s">
        <v>156</v>
      </c>
      <c r="C39" t="s">
        <v>107</v>
      </c>
      <c r="D39" t="s">
        <v>102</v>
      </c>
      <c r="E39" t="s">
        <v>158</v>
      </c>
      <c r="F39" t="s">
        <v>159</v>
      </c>
      <c r="G39">
        <v>329861</v>
      </c>
      <c r="H39" t="s">
        <v>160</v>
      </c>
      <c r="I39" t="s">
        <v>164</v>
      </c>
      <c r="J39">
        <v>-1.25682E-2</v>
      </c>
      <c r="K39">
        <v>1.7581999999999999E-3</v>
      </c>
      <c r="L39">
        <v>-7.148174</v>
      </c>
      <c r="M39">
        <v>329861</v>
      </c>
      <c r="N39">
        <v>50</v>
      </c>
      <c r="O39">
        <v>329811</v>
      </c>
      <c r="P39">
        <v>-1.2445975E-2</v>
      </c>
      <c r="Q39">
        <v>-1.2446617E-2</v>
      </c>
      <c r="R39">
        <v>1.741151E-3</v>
      </c>
      <c r="S39">
        <v>-9.0339610000000001E-3</v>
      </c>
      <c r="T39">
        <v>-1.5859274E-2</v>
      </c>
      <c r="U39">
        <v>1.7408759999999999E-3</v>
      </c>
      <c r="V39">
        <v>3.0299999999999998E-6</v>
      </c>
      <c r="W39">
        <v>-1.2440034000000001E-2</v>
      </c>
      <c r="X39">
        <v>-1.2451916E-2</v>
      </c>
      <c r="Y39" t="s">
        <v>162</v>
      </c>
      <c r="Z39" t="s">
        <v>163</v>
      </c>
      <c r="AA39">
        <v>0</v>
      </c>
      <c r="AB39" t="s">
        <v>100</v>
      </c>
      <c r="AC39" t="s">
        <v>155</v>
      </c>
    </row>
    <row r="40" spans="1:33" x14ac:dyDescent="0.25">
      <c r="A40">
        <v>1970</v>
      </c>
      <c r="B40" t="s">
        <v>156</v>
      </c>
      <c r="C40" t="s">
        <v>107</v>
      </c>
      <c r="D40" t="s">
        <v>102</v>
      </c>
      <c r="E40" t="s">
        <v>158</v>
      </c>
      <c r="F40" t="s">
        <v>159</v>
      </c>
      <c r="G40">
        <v>225427</v>
      </c>
      <c r="H40" t="s">
        <v>160</v>
      </c>
      <c r="I40" t="s">
        <v>165</v>
      </c>
      <c r="J40">
        <v>-1.2804166000000001E-2</v>
      </c>
      <c r="K40">
        <v>2.4545220000000002E-3</v>
      </c>
      <c r="L40">
        <v>-5.2165622999999997</v>
      </c>
      <c r="M40">
        <v>225427</v>
      </c>
      <c r="N40">
        <v>33</v>
      </c>
      <c r="O40">
        <v>225393</v>
      </c>
      <c r="P40">
        <v>-1.0987224E-2</v>
      </c>
      <c r="Q40">
        <v>-1.0987666E-2</v>
      </c>
      <c r="R40">
        <v>2.1062020000000002E-3</v>
      </c>
      <c r="S40">
        <v>-6.8595110000000004E-3</v>
      </c>
      <c r="T40">
        <v>-1.5115821E-2</v>
      </c>
      <c r="U40">
        <v>2.1059379999999999E-3</v>
      </c>
      <c r="V40">
        <v>4.4399999999999998E-6</v>
      </c>
      <c r="W40">
        <v>-1.097853E-2</v>
      </c>
      <c r="X40">
        <v>-1.0995916999999999E-2</v>
      </c>
      <c r="Y40" t="s">
        <v>162</v>
      </c>
      <c r="Z40" t="s">
        <v>163</v>
      </c>
      <c r="AA40">
        <v>0</v>
      </c>
      <c r="AB40" t="s">
        <v>100</v>
      </c>
      <c r="AC40" t="s">
        <v>155</v>
      </c>
      <c r="AG40">
        <v>1</v>
      </c>
    </row>
    <row r="41" spans="1:33" x14ac:dyDescent="0.25">
      <c r="A41">
        <v>1980</v>
      </c>
      <c r="B41" t="s">
        <v>156</v>
      </c>
      <c r="C41" t="s">
        <v>107</v>
      </c>
      <c r="D41" t="s">
        <v>102</v>
      </c>
      <c r="E41" t="s">
        <v>158</v>
      </c>
      <c r="F41" t="s">
        <v>159</v>
      </c>
      <c r="G41">
        <v>1372179</v>
      </c>
      <c r="H41" t="s">
        <v>160</v>
      </c>
      <c r="I41" t="s">
        <v>161</v>
      </c>
      <c r="J41">
        <v>-1.1308800000000001E-2</v>
      </c>
      <c r="K41">
        <v>8.7699999999999996E-4</v>
      </c>
      <c r="L41">
        <v>-12.89542</v>
      </c>
      <c r="M41">
        <v>475829</v>
      </c>
      <c r="N41">
        <v>16</v>
      </c>
      <c r="O41">
        <v>475813</v>
      </c>
      <c r="P41">
        <v>-1.8691383999999998E-2</v>
      </c>
      <c r="Q41">
        <v>-1.8693561000000001E-2</v>
      </c>
      <c r="R41">
        <v>1.4496929999999999E-3</v>
      </c>
      <c r="S41">
        <v>-1.5852163999999998E-2</v>
      </c>
      <c r="T41">
        <v>-2.1534958999999999E-2</v>
      </c>
      <c r="U41">
        <v>1.4491829999999999E-3</v>
      </c>
      <c r="V41">
        <v>2.0999999999999998E-6</v>
      </c>
      <c r="W41">
        <v>-1.8687266000000001E-2</v>
      </c>
      <c r="X41">
        <v>-1.8695501999999999E-2</v>
      </c>
      <c r="Y41" t="s">
        <v>162</v>
      </c>
      <c r="Z41" t="s">
        <v>163</v>
      </c>
      <c r="AA41">
        <v>0</v>
      </c>
      <c r="AB41" t="s">
        <v>100</v>
      </c>
      <c r="AC41" t="s">
        <v>155</v>
      </c>
      <c r="AG41">
        <v>1</v>
      </c>
    </row>
    <row r="42" spans="1:33" x14ac:dyDescent="0.25">
      <c r="A42">
        <v>1980</v>
      </c>
      <c r="B42" t="s">
        <v>156</v>
      </c>
      <c r="C42" t="s">
        <v>107</v>
      </c>
      <c r="D42" t="s">
        <v>102</v>
      </c>
      <c r="E42" t="s">
        <v>158</v>
      </c>
      <c r="F42" t="s">
        <v>159</v>
      </c>
      <c r="G42">
        <v>1372179</v>
      </c>
      <c r="H42" t="s">
        <v>160</v>
      </c>
      <c r="I42" t="s">
        <v>164</v>
      </c>
      <c r="J42">
        <v>-1.0145700000000001E-2</v>
      </c>
      <c r="K42">
        <v>7.5469999999999997E-4</v>
      </c>
      <c r="L42">
        <v>-13.443300000000001</v>
      </c>
      <c r="M42">
        <v>1372179</v>
      </c>
      <c r="N42">
        <v>50</v>
      </c>
      <c r="O42">
        <v>1372129</v>
      </c>
      <c r="P42">
        <v>-1.1475717E-2</v>
      </c>
      <c r="Q42">
        <v>-1.1476221E-2</v>
      </c>
      <c r="R42">
        <v>8.5368E-4</v>
      </c>
      <c r="S42">
        <v>-9.8030080000000002E-3</v>
      </c>
      <c r="T42">
        <v>-1.3149433E-2</v>
      </c>
      <c r="U42">
        <v>8.5356699999999995E-4</v>
      </c>
      <c r="V42">
        <v>7.2900000000000003E-7</v>
      </c>
      <c r="W42">
        <v>-1.1474289E-2</v>
      </c>
      <c r="X42">
        <v>-1.1477144999999999E-2</v>
      </c>
      <c r="Y42" t="s">
        <v>162</v>
      </c>
      <c r="Z42" t="s">
        <v>163</v>
      </c>
      <c r="AA42">
        <v>0</v>
      </c>
      <c r="AB42" t="s">
        <v>100</v>
      </c>
      <c r="AC42" t="s">
        <v>155</v>
      </c>
    </row>
    <row r="43" spans="1:33" x14ac:dyDescent="0.25">
      <c r="A43">
        <v>1980</v>
      </c>
      <c r="B43" t="s">
        <v>156</v>
      </c>
      <c r="C43" t="s">
        <v>107</v>
      </c>
      <c r="D43" t="s">
        <v>102</v>
      </c>
      <c r="E43" t="s">
        <v>158</v>
      </c>
      <c r="F43" t="s">
        <v>159</v>
      </c>
      <c r="G43">
        <v>896350</v>
      </c>
      <c r="H43" t="s">
        <v>160</v>
      </c>
      <c r="I43" t="s">
        <v>165</v>
      </c>
      <c r="J43">
        <v>-9.0472039999999997E-3</v>
      </c>
      <c r="K43">
        <v>1.1525610000000001E-3</v>
      </c>
      <c r="L43">
        <v>-7.8496531999999997</v>
      </c>
      <c r="M43">
        <v>896350</v>
      </c>
      <c r="N43">
        <v>33</v>
      </c>
      <c r="O43">
        <v>896316</v>
      </c>
      <c r="P43">
        <v>-8.2909630000000002E-3</v>
      </c>
      <c r="Q43">
        <v>-8.2911530000000008E-3</v>
      </c>
      <c r="R43">
        <v>1.0562379999999999E-3</v>
      </c>
      <c r="S43">
        <v>-6.2209259999999999E-3</v>
      </c>
      <c r="T43">
        <v>-1.036138E-2</v>
      </c>
      <c r="U43">
        <v>1.056165E-3</v>
      </c>
      <c r="V43">
        <v>1.1200000000000001E-6</v>
      </c>
      <c r="W43">
        <v>-8.2887759999999994E-3</v>
      </c>
      <c r="X43">
        <v>-8.2931489999999997E-3</v>
      </c>
      <c r="Y43" t="s">
        <v>162</v>
      </c>
      <c r="Z43" t="s">
        <v>163</v>
      </c>
      <c r="AA43">
        <v>0</v>
      </c>
      <c r="AB43" t="s">
        <v>100</v>
      </c>
      <c r="AC43" t="s">
        <v>155</v>
      </c>
      <c r="AG43">
        <v>1</v>
      </c>
    </row>
    <row r="44" spans="1:33" x14ac:dyDescent="0.25">
      <c r="A44">
        <v>1990</v>
      </c>
      <c r="B44" t="s">
        <v>156</v>
      </c>
      <c r="C44" t="s">
        <v>107</v>
      </c>
      <c r="D44" t="s">
        <v>102</v>
      </c>
      <c r="E44" t="s">
        <v>158</v>
      </c>
      <c r="F44" t="s">
        <v>159</v>
      </c>
      <c r="G44">
        <v>1323415</v>
      </c>
      <c r="H44" t="s">
        <v>160</v>
      </c>
      <c r="I44" t="s">
        <v>161</v>
      </c>
      <c r="J44">
        <v>-1.1418899999999999E-2</v>
      </c>
      <c r="K44">
        <v>1.3817E-3</v>
      </c>
      <c r="L44">
        <v>-8.2645239999999998</v>
      </c>
      <c r="M44">
        <v>473758</v>
      </c>
      <c r="N44">
        <v>16</v>
      </c>
      <c r="O44">
        <v>473742</v>
      </c>
      <c r="P44">
        <v>-1.2006477E-2</v>
      </c>
      <c r="Q44">
        <v>-1.2007054E-2</v>
      </c>
      <c r="R44">
        <v>1.452858E-3</v>
      </c>
      <c r="S44">
        <v>-9.1594529999999997E-3</v>
      </c>
      <c r="T44">
        <v>-1.4854655E-2</v>
      </c>
      <c r="U44">
        <v>1.452645E-3</v>
      </c>
      <c r="V44">
        <v>2.1100000000000001E-6</v>
      </c>
      <c r="W44">
        <v>-1.2002341E-2</v>
      </c>
      <c r="X44">
        <v>-1.2010613999999999E-2</v>
      </c>
      <c r="Y44" t="s">
        <v>162</v>
      </c>
      <c r="Z44" t="s">
        <v>163</v>
      </c>
      <c r="AA44">
        <v>0</v>
      </c>
      <c r="AB44" t="s">
        <v>100</v>
      </c>
      <c r="AC44" t="s">
        <v>155</v>
      </c>
      <c r="AG44">
        <v>1</v>
      </c>
    </row>
    <row r="45" spans="1:33" x14ac:dyDescent="0.25">
      <c r="A45">
        <v>1990</v>
      </c>
      <c r="B45" t="s">
        <v>156</v>
      </c>
      <c r="C45" t="s">
        <v>107</v>
      </c>
      <c r="D45" t="s">
        <v>102</v>
      </c>
      <c r="E45" t="s">
        <v>158</v>
      </c>
      <c r="F45" t="s">
        <v>159</v>
      </c>
      <c r="G45">
        <v>1323415</v>
      </c>
      <c r="H45" t="s">
        <v>160</v>
      </c>
      <c r="I45" t="s">
        <v>164</v>
      </c>
      <c r="J45">
        <v>-9.6060999999999994E-3</v>
      </c>
      <c r="K45">
        <v>9.9170000000000009E-4</v>
      </c>
      <c r="L45">
        <v>-9.6867830000000001</v>
      </c>
      <c r="M45">
        <v>1323415</v>
      </c>
      <c r="N45">
        <v>50</v>
      </c>
      <c r="O45">
        <v>1323365</v>
      </c>
      <c r="P45">
        <v>-8.420238E-3</v>
      </c>
      <c r="Q45">
        <v>-8.4204369999999994E-3</v>
      </c>
      <c r="R45">
        <v>8.6926600000000005E-4</v>
      </c>
      <c r="S45">
        <v>-6.7166760000000004E-3</v>
      </c>
      <c r="T45">
        <v>-1.0124197E-2</v>
      </c>
      <c r="U45">
        <v>8.6920300000000003E-4</v>
      </c>
      <c r="V45">
        <v>7.5600000000000005E-7</v>
      </c>
      <c r="W45">
        <v>-8.4187570000000007E-3</v>
      </c>
      <c r="X45">
        <v>-8.4217189999999994E-3</v>
      </c>
      <c r="Y45" t="s">
        <v>162</v>
      </c>
      <c r="Z45" t="s">
        <v>163</v>
      </c>
      <c r="AA45">
        <v>0</v>
      </c>
      <c r="AB45" t="s">
        <v>100</v>
      </c>
      <c r="AC45" t="s">
        <v>155</v>
      </c>
    </row>
    <row r="46" spans="1:33" x14ac:dyDescent="0.25">
      <c r="A46">
        <v>1990</v>
      </c>
      <c r="B46" t="s">
        <v>156</v>
      </c>
      <c r="C46" t="s">
        <v>107</v>
      </c>
      <c r="D46" t="s">
        <v>102</v>
      </c>
      <c r="E46" t="s">
        <v>158</v>
      </c>
      <c r="F46" t="s">
        <v>159</v>
      </c>
      <c r="G46">
        <v>849657</v>
      </c>
      <c r="H46" t="s">
        <v>160</v>
      </c>
      <c r="I46" t="s">
        <v>165</v>
      </c>
      <c r="J46">
        <v>-7.7860020000000002E-3</v>
      </c>
      <c r="K46">
        <v>1.3019030000000001E-3</v>
      </c>
      <c r="L46">
        <v>-5.9804782999999997</v>
      </c>
      <c r="M46">
        <v>849657</v>
      </c>
      <c r="N46">
        <v>33</v>
      </c>
      <c r="O46">
        <v>849623</v>
      </c>
      <c r="P46">
        <v>-6.4880420000000003E-3</v>
      </c>
      <c r="Q46">
        <v>-6.4881330000000001E-3</v>
      </c>
      <c r="R46">
        <v>1.0848730000000001E-3</v>
      </c>
      <c r="S46">
        <v>-4.3617819999999998E-3</v>
      </c>
      <c r="T46">
        <v>-8.6144840000000004E-3</v>
      </c>
      <c r="U46">
        <v>1.0848260000000001E-3</v>
      </c>
      <c r="V46">
        <v>1.1799999999999999E-6</v>
      </c>
      <c r="W46">
        <v>-6.4857350000000003E-3</v>
      </c>
      <c r="X46">
        <v>-6.4903490000000003E-3</v>
      </c>
      <c r="Y46" t="s">
        <v>162</v>
      </c>
      <c r="Z46" t="s">
        <v>163</v>
      </c>
      <c r="AA46">
        <v>0</v>
      </c>
      <c r="AB46" t="s">
        <v>100</v>
      </c>
      <c r="AC46" t="s">
        <v>155</v>
      </c>
      <c r="AG46">
        <v>1</v>
      </c>
    </row>
    <row r="47" spans="1:33" x14ac:dyDescent="0.25">
      <c r="A47">
        <v>2000</v>
      </c>
      <c r="B47" t="s">
        <v>156</v>
      </c>
      <c r="C47" t="s">
        <v>108</v>
      </c>
      <c r="D47" t="s">
        <v>102</v>
      </c>
      <c r="E47" t="s">
        <v>158</v>
      </c>
      <c r="F47" t="s">
        <v>159</v>
      </c>
      <c r="G47">
        <v>1468017</v>
      </c>
      <c r="H47" t="s">
        <v>160</v>
      </c>
      <c r="I47" t="s">
        <v>161</v>
      </c>
      <c r="J47">
        <v>-1.5194E-3</v>
      </c>
      <c r="K47">
        <v>4.0190000000000001E-4</v>
      </c>
      <c r="L47">
        <v>-3.780459</v>
      </c>
      <c r="M47">
        <v>538393</v>
      </c>
      <c r="N47">
        <v>16</v>
      </c>
      <c r="O47">
        <v>538377</v>
      </c>
      <c r="P47">
        <v>-5.152233E-3</v>
      </c>
      <c r="Q47">
        <v>-5.1522790000000001E-3</v>
      </c>
      <c r="R47">
        <v>1.3628609999999999E-3</v>
      </c>
      <c r="S47">
        <v>-2.481072E-3</v>
      </c>
      <c r="T47">
        <v>-7.8234859999999993E-3</v>
      </c>
      <c r="U47">
        <v>1.3628220000000001E-3</v>
      </c>
      <c r="V47">
        <v>1.86E-6</v>
      </c>
      <c r="W47">
        <v>-5.1485929999999999E-3</v>
      </c>
      <c r="X47">
        <v>-5.1558740000000004E-3</v>
      </c>
      <c r="Y47" t="s">
        <v>162</v>
      </c>
      <c r="Z47" t="s">
        <v>163</v>
      </c>
      <c r="AA47">
        <v>0</v>
      </c>
      <c r="AB47" t="s">
        <v>100</v>
      </c>
      <c r="AC47" t="s">
        <v>155</v>
      </c>
      <c r="AG47">
        <v>1</v>
      </c>
    </row>
    <row r="48" spans="1:33" x14ac:dyDescent="0.25">
      <c r="A48">
        <v>2000</v>
      </c>
      <c r="B48" t="s">
        <v>156</v>
      </c>
      <c r="C48" t="s">
        <v>108</v>
      </c>
      <c r="D48" t="s">
        <v>102</v>
      </c>
      <c r="E48" t="s">
        <v>158</v>
      </c>
      <c r="F48" t="s">
        <v>159</v>
      </c>
      <c r="G48">
        <v>1468017</v>
      </c>
      <c r="H48" t="s">
        <v>160</v>
      </c>
      <c r="I48" t="s">
        <v>164</v>
      </c>
      <c r="J48">
        <v>-2.3037999999999999E-3</v>
      </c>
      <c r="K48">
        <v>4.0729999999999998E-4</v>
      </c>
      <c r="L48">
        <v>-5.6562910000000004</v>
      </c>
      <c r="M48">
        <v>1468017</v>
      </c>
      <c r="N48">
        <v>50</v>
      </c>
      <c r="O48">
        <v>1467967</v>
      </c>
      <c r="P48">
        <v>-4.6684090000000001E-3</v>
      </c>
      <c r="Q48">
        <v>-4.6684430000000004E-3</v>
      </c>
      <c r="R48">
        <v>8.2534399999999999E-4</v>
      </c>
      <c r="S48">
        <v>-3.0507690000000001E-3</v>
      </c>
      <c r="T48">
        <v>-6.2861159999999996E-3</v>
      </c>
      <c r="U48">
        <v>8.2532500000000002E-4</v>
      </c>
      <c r="V48">
        <v>6.8100000000000002E-7</v>
      </c>
      <c r="W48">
        <v>-4.6670740000000002E-3</v>
      </c>
      <c r="X48">
        <v>-4.669744E-3</v>
      </c>
      <c r="Y48" t="s">
        <v>162</v>
      </c>
      <c r="Z48" t="s">
        <v>163</v>
      </c>
      <c r="AA48">
        <v>0</v>
      </c>
      <c r="AB48" t="s">
        <v>100</v>
      </c>
      <c r="AC48" t="s">
        <v>155</v>
      </c>
    </row>
    <row r="49" spans="1:33" x14ac:dyDescent="0.25">
      <c r="A49">
        <v>2000</v>
      </c>
      <c r="B49" t="s">
        <v>156</v>
      </c>
      <c r="C49" t="s">
        <v>108</v>
      </c>
      <c r="D49" t="s">
        <v>102</v>
      </c>
      <c r="E49" t="s">
        <v>158</v>
      </c>
      <c r="F49" t="s">
        <v>159</v>
      </c>
      <c r="G49">
        <v>929624</v>
      </c>
      <c r="H49" t="s">
        <v>160</v>
      </c>
      <c r="I49" t="s">
        <v>165</v>
      </c>
      <c r="J49">
        <v>-3.0344959999999998E-3</v>
      </c>
      <c r="K49">
        <v>6.1195100000000001E-4</v>
      </c>
      <c r="L49">
        <v>-4.9587234999999996</v>
      </c>
      <c r="M49">
        <v>929624</v>
      </c>
      <c r="N49">
        <v>33</v>
      </c>
      <c r="O49">
        <v>929590</v>
      </c>
      <c r="P49">
        <v>-5.143023E-3</v>
      </c>
      <c r="Q49">
        <v>-5.1430679999999998E-3</v>
      </c>
      <c r="R49">
        <v>1.037163E-3</v>
      </c>
      <c r="S49">
        <v>-3.110228E-3</v>
      </c>
      <c r="T49">
        <v>-7.1759069999999996E-3</v>
      </c>
      <c r="U49">
        <v>1.037135E-3</v>
      </c>
      <c r="V49">
        <v>1.08E-6</v>
      </c>
      <c r="W49">
        <v>-5.1409139999999999E-3</v>
      </c>
      <c r="X49">
        <v>-5.1451309999999998E-3</v>
      </c>
      <c r="Y49" t="s">
        <v>162</v>
      </c>
      <c r="Z49" t="s">
        <v>163</v>
      </c>
      <c r="AA49">
        <v>0</v>
      </c>
      <c r="AB49" t="s">
        <v>100</v>
      </c>
      <c r="AC49" t="s">
        <v>155</v>
      </c>
      <c r="AG49">
        <v>1</v>
      </c>
    </row>
    <row r="50" spans="1:33" x14ac:dyDescent="0.25">
      <c r="A50">
        <v>2010</v>
      </c>
      <c r="B50" t="s">
        <v>156</v>
      </c>
      <c r="C50" t="s">
        <v>108</v>
      </c>
      <c r="D50" t="s">
        <v>102</v>
      </c>
      <c r="E50" t="s">
        <v>158</v>
      </c>
      <c r="F50" t="s">
        <v>159</v>
      </c>
      <c r="G50">
        <v>275181</v>
      </c>
      <c r="H50" t="s">
        <v>160</v>
      </c>
      <c r="I50" t="s">
        <v>161</v>
      </c>
      <c r="J50">
        <v>-3.1128000000000002E-3</v>
      </c>
      <c r="K50">
        <v>1.8975999999999999E-3</v>
      </c>
      <c r="L50">
        <v>-1.640342</v>
      </c>
      <c r="M50">
        <v>105833</v>
      </c>
      <c r="N50">
        <v>16</v>
      </c>
      <c r="O50">
        <v>105817</v>
      </c>
      <c r="P50">
        <v>-5.0425610000000001E-3</v>
      </c>
      <c r="Q50">
        <v>-5.042604E-3</v>
      </c>
      <c r="R50">
        <v>3.0739420000000001E-3</v>
      </c>
      <c r="S50">
        <v>9.823220000000001E-4</v>
      </c>
      <c r="T50">
        <v>-1.1067529E-2</v>
      </c>
      <c r="U50">
        <v>3.0738340000000001E-3</v>
      </c>
      <c r="V50">
        <v>9.4499999999999993E-6</v>
      </c>
      <c r="W50">
        <v>-5.0240420000000003E-3</v>
      </c>
      <c r="X50">
        <v>-5.0610799999999999E-3</v>
      </c>
      <c r="Y50" t="s">
        <v>162</v>
      </c>
      <c r="Z50" t="s">
        <v>163</v>
      </c>
      <c r="AA50">
        <v>0</v>
      </c>
      <c r="AB50" t="s">
        <v>100</v>
      </c>
      <c r="AC50" t="s">
        <v>155</v>
      </c>
      <c r="AG50">
        <v>1</v>
      </c>
    </row>
    <row r="51" spans="1:33" x14ac:dyDescent="0.25">
      <c r="A51">
        <v>2010</v>
      </c>
      <c r="B51" t="s">
        <v>156</v>
      </c>
      <c r="C51" t="s">
        <v>108</v>
      </c>
      <c r="D51" t="s">
        <v>102</v>
      </c>
      <c r="E51" t="s">
        <v>158</v>
      </c>
      <c r="F51" t="s">
        <v>159</v>
      </c>
      <c r="G51">
        <v>275181</v>
      </c>
      <c r="H51" t="s">
        <v>160</v>
      </c>
      <c r="I51" t="s">
        <v>164</v>
      </c>
      <c r="J51">
        <v>-4.0600000000000002E-3</v>
      </c>
      <c r="K51">
        <v>1.2643000000000001E-3</v>
      </c>
      <c r="L51">
        <v>-3.211347</v>
      </c>
      <c r="M51">
        <v>275181</v>
      </c>
      <c r="N51">
        <v>50</v>
      </c>
      <c r="O51">
        <v>275131</v>
      </c>
      <c r="P51">
        <v>-6.1222259999999997E-3</v>
      </c>
      <c r="Q51">
        <v>-6.1223019999999996E-3</v>
      </c>
      <c r="R51">
        <v>1.906308E-3</v>
      </c>
      <c r="S51">
        <v>-2.3859380000000002E-3</v>
      </c>
      <c r="T51">
        <v>-9.8586660000000003E-3</v>
      </c>
      <c r="U51">
        <v>1.9062300000000001E-3</v>
      </c>
      <c r="V51">
        <v>3.63E-6</v>
      </c>
      <c r="W51">
        <v>-6.1151030000000002E-3</v>
      </c>
      <c r="X51">
        <v>-6.1293479999999997E-3</v>
      </c>
      <c r="Y51" t="s">
        <v>162</v>
      </c>
      <c r="Z51" t="s">
        <v>163</v>
      </c>
      <c r="AA51">
        <v>0</v>
      </c>
      <c r="AB51" t="s">
        <v>100</v>
      </c>
      <c r="AC51" t="s">
        <v>155</v>
      </c>
    </row>
    <row r="52" spans="1:33" x14ac:dyDescent="0.25">
      <c r="A52">
        <v>2010</v>
      </c>
      <c r="B52" t="s">
        <v>156</v>
      </c>
      <c r="C52" t="s">
        <v>108</v>
      </c>
      <c r="D52" t="s">
        <v>102</v>
      </c>
      <c r="E52" t="s">
        <v>158</v>
      </c>
      <c r="F52" t="s">
        <v>159</v>
      </c>
      <c r="G52">
        <v>169348</v>
      </c>
      <c r="H52" t="s">
        <v>160</v>
      </c>
      <c r="I52" t="s">
        <v>165</v>
      </c>
      <c r="J52">
        <v>-5.0127510000000002E-3</v>
      </c>
      <c r="K52">
        <v>1.735477E-3</v>
      </c>
      <c r="L52">
        <v>-2.8883994</v>
      </c>
      <c r="M52">
        <v>169348</v>
      </c>
      <c r="N52">
        <v>33</v>
      </c>
      <c r="O52">
        <v>169314</v>
      </c>
      <c r="P52">
        <v>-7.0194020000000001E-3</v>
      </c>
      <c r="Q52">
        <v>-7.0195170000000003E-3</v>
      </c>
      <c r="R52">
        <v>2.4300419999999999E-3</v>
      </c>
      <c r="S52">
        <v>-2.2566349999999999E-3</v>
      </c>
      <c r="T52">
        <v>-1.17824E-2</v>
      </c>
      <c r="U52">
        <v>2.4299080000000002E-3</v>
      </c>
      <c r="V52">
        <v>5.9000000000000003E-6</v>
      </c>
      <c r="W52">
        <v>-7.0078290000000001E-3</v>
      </c>
      <c r="X52">
        <v>-7.0309750000000001E-3</v>
      </c>
      <c r="Y52" t="s">
        <v>162</v>
      </c>
      <c r="Z52" t="s">
        <v>163</v>
      </c>
      <c r="AA52">
        <v>0</v>
      </c>
      <c r="AB52" t="s">
        <v>100</v>
      </c>
      <c r="AC52" t="s">
        <v>155</v>
      </c>
      <c r="AG52">
        <v>1</v>
      </c>
    </row>
    <row r="53" spans="1:33" x14ac:dyDescent="0.25">
      <c r="A53">
        <v>2023</v>
      </c>
      <c r="B53" t="s">
        <v>156</v>
      </c>
      <c r="C53" t="s">
        <v>108</v>
      </c>
      <c r="D53" t="s">
        <v>102</v>
      </c>
      <c r="E53" t="s">
        <v>158</v>
      </c>
      <c r="F53" t="s">
        <v>159</v>
      </c>
      <c r="G53">
        <v>245681</v>
      </c>
      <c r="H53" t="s">
        <v>160</v>
      </c>
      <c r="I53" t="s">
        <v>161</v>
      </c>
      <c r="J53">
        <v>-5.7873999999999998E-3</v>
      </c>
      <c r="K53">
        <v>2.5219000000000001E-3</v>
      </c>
      <c r="L53">
        <v>-2.2948620000000002</v>
      </c>
      <c r="M53">
        <v>97816</v>
      </c>
      <c r="N53">
        <v>16</v>
      </c>
      <c r="O53">
        <v>97800</v>
      </c>
      <c r="P53">
        <v>-7.337962E-3</v>
      </c>
      <c r="Q53">
        <v>-7.3380939999999999E-3</v>
      </c>
      <c r="R53">
        <v>3.1974350000000002E-3</v>
      </c>
      <c r="S53">
        <v>-1.071121E-3</v>
      </c>
      <c r="T53">
        <v>-1.3605066000000001E-2</v>
      </c>
      <c r="U53">
        <v>3.1972300000000001E-3</v>
      </c>
      <c r="V53">
        <v>1.0200000000000001E-5</v>
      </c>
      <c r="W53">
        <v>-7.3179250000000003E-3</v>
      </c>
      <c r="X53">
        <v>-7.3579989999999996E-3</v>
      </c>
      <c r="Y53" t="s">
        <v>162</v>
      </c>
      <c r="Z53" t="s">
        <v>163</v>
      </c>
      <c r="AA53">
        <v>0</v>
      </c>
      <c r="AB53" t="s">
        <v>100</v>
      </c>
      <c r="AC53" t="s">
        <v>155</v>
      </c>
      <c r="AG53">
        <v>1</v>
      </c>
    </row>
    <row r="54" spans="1:33" x14ac:dyDescent="0.25">
      <c r="A54">
        <v>2023</v>
      </c>
      <c r="B54" t="s">
        <v>156</v>
      </c>
      <c r="C54" t="s">
        <v>108</v>
      </c>
      <c r="D54" t="s">
        <v>102</v>
      </c>
      <c r="E54" t="s">
        <v>158</v>
      </c>
      <c r="F54" t="s">
        <v>159</v>
      </c>
      <c r="G54">
        <v>245681</v>
      </c>
      <c r="H54" t="s">
        <v>160</v>
      </c>
      <c r="I54" t="s">
        <v>164</v>
      </c>
      <c r="J54">
        <v>-4.731E-3</v>
      </c>
      <c r="K54">
        <v>1.5988E-3</v>
      </c>
      <c r="L54">
        <v>-2.959006</v>
      </c>
      <c r="M54">
        <v>245681</v>
      </c>
      <c r="N54">
        <v>50</v>
      </c>
      <c r="O54">
        <v>245631</v>
      </c>
      <c r="P54">
        <v>-5.9703050000000004E-3</v>
      </c>
      <c r="Q54">
        <v>-5.9703760000000003E-3</v>
      </c>
      <c r="R54">
        <v>2.0175150000000001E-3</v>
      </c>
      <c r="S54">
        <v>-2.0160460000000001E-3</v>
      </c>
      <c r="T54">
        <v>-9.9247060000000002E-3</v>
      </c>
      <c r="U54">
        <v>2.0174350000000001E-3</v>
      </c>
      <c r="V54">
        <v>4.07E-6</v>
      </c>
      <c r="W54">
        <v>-5.9623269999999999E-3</v>
      </c>
      <c r="X54">
        <v>-5.978283E-3</v>
      </c>
      <c r="Y54" t="s">
        <v>162</v>
      </c>
      <c r="Z54" t="s">
        <v>163</v>
      </c>
      <c r="AA54">
        <v>0</v>
      </c>
      <c r="AB54" t="s">
        <v>100</v>
      </c>
      <c r="AC54" t="s">
        <v>155</v>
      </c>
    </row>
    <row r="55" spans="1:33" x14ac:dyDescent="0.25">
      <c r="A55">
        <v>2023</v>
      </c>
      <c r="B55" t="s">
        <v>156</v>
      </c>
      <c r="C55" t="s">
        <v>108</v>
      </c>
      <c r="D55" t="s">
        <v>102</v>
      </c>
      <c r="E55" t="s">
        <v>158</v>
      </c>
      <c r="F55" t="s">
        <v>159</v>
      </c>
      <c r="G55">
        <v>147865</v>
      </c>
      <c r="H55" t="s">
        <v>160</v>
      </c>
      <c r="I55" t="s">
        <v>165</v>
      </c>
      <c r="J55">
        <v>-3.6469580000000001E-3</v>
      </c>
      <c r="K55">
        <v>2.0241819999999998E-3</v>
      </c>
      <c r="L55">
        <v>-1.8016945</v>
      </c>
      <c r="M55">
        <v>147865</v>
      </c>
      <c r="N55">
        <v>33</v>
      </c>
      <c r="O55">
        <v>147831</v>
      </c>
      <c r="P55">
        <v>-4.6859069999999996E-3</v>
      </c>
      <c r="Q55">
        <v>-4.6859409999999999E-3</v>
      </c>
      <c r="R55">
        <v>2.6005889999999999E-3</v>
      </c>
      <c r="S55">
        <v>4.1121300000000001E-4</v>
      </c>
      <c r="T55">
        <v>-9.7830950000000003E-3</v>
      </c>
      <c r="U55">
        <v>2.600514E-3</v>
      </c>
      <c r="V55">
        <v>6.7599999999999997E-6</v>
      </c>
      <c r="W55">
        <v>-4.6726520000000002E-3</v>
      </c>
      <c r="X55">
        <v>-4.6991619999999998E-3</v>
      </c>
      <c r="Y55" t="s">
        <v>162</v>
      </c>
      <c r="Z55" t="s">
        <v>163</v>
      </c>
      <c r="AA55">
        <v>0</v>
      </c>
      <c r="AB55" t="s">
        <v>100</v>
      </c>
      <c r="AC55" t="s">
        <v>155</v>
      </c>
      <c r="AG55">
        <v>1</v>
      </c>
    </row>
    <row r="56" spans="1:33" x14ac:dyDescent="0.25">
      <c r="A56">
        <v>1959</v>
      </c>
      <c r="B56" t="s">
        <v>156</v>
      </c>
      <c r="C56" t="s">
        <v>106</v>
      </c>
      <c r="D56" t="s">
        <v>102</v>
      </c>
      <c r="E56" t="s">
        <v>167</v>
      </c>
      <c r="F56" t="s">
        <v>168</v>
      </c>
      <c r="G56">
        <v>4608</v>
      </c>
      <c r="H56" t="s">
        <v>169</v>
      </c>
      <c r="I56" t="s">
        <v>170</v>
      </c>
      <c r="J56">
        <v>-0.35</v>
      </c>
      <c r="K56">
        <v>1.6999999999999999E-3</v>
      </c>
      <c r="L56">
        <v>-205.8823529</v>
      </c>
      <c r="M56">
        <v>100000</v>
      </c>
      <c r="N56">
        <v>1</v>
      </c>
      <c r="O56">
        <v>99998</v>
      </c>
      <c r="P56">
        <v>-0.54561484100000002</v>
      </c>
      <c r="Q56">
        <v>-0.612115929</v>
      </c>
      <c r="R56">
        <v>3.1623250000000001E-3</v>
      </c>
      <c r="S56">
        <v>-0.60591777199999997</v>
      </c>
      <c r="T56">
        <v>-0.61831408700000001</v>
      </c>
      <c r="U56">
        <v>2.2208929999999998E-3</v>
      </c>
      <c r="V56">
        <v>7.0199999999999997E-6</v>
      </c>
      <c r="W56">
        <v>-0.54560107599999996</v>
      </c>
      <c r="X56">
        <v>-0.54562860599999996</v>
      </c>
      <c r="Y56" t="s">
        <v>171</v>
      </c>
      <c r="Z56" t="s">
        <v>172</v>
      </c>
      <c r="AA56">
        <v>0</v>
      </c>
      <c r="AB56" t="s">
        <v>173</v>
      </c>
      <c r="AC56" t="s">
        <v>155</v>
      </c>
      <c r="AD56" t="s">
        <v>174</v>
      </c>
    </row>
    <row r="57" spans="1:33" x14ac:dyDescent="0.25">
      <c r="A57">
        <v>1931</v>
      </c>
      <c r="B57" t="s">
        <v>156</v>
      </c>
      <c r="C57" t="s">
        <v>106</v>
      </c>
      <c r="D57" t="s">
        <v>102</v>
      </c>
      <c r="E57" t="s">
        <v>175</v>
      </c>
      <c r="F57" t="s">
        <v>176</v>
      </c>
      <c r="G57">
        <v>15</v>
      </c>
      <c r="H57" t="s">
        <v>177</v>
      </c>
      <c r="I57" t="s">
        <v>164</v>
      </c>
      <c r="J57">
        <v>-378.6</v>
      </c>
      <c r="K57">
        <v>39.942439999999998</v>
      </c>
      <c r="L57">
        <v>-9.4786409999999997</v>
      </c>
      <c r="M57">
        <v>30</v>
      </c>
      <c r="N57">
        <v>15</v>
      </c>
      <c r="O57">
        <v>14</v>
      </c>
      <c r="P57">
        <v>-0.93015219999999998</v>
      </c>
      <c r="Q57">
        <v>-1.6595177750000001</v>
      </c>
      <c r="R57">
        <v>0.19245008999999999</v>
      </c>
      <c r="S57">
        <v>-1.2823155989999999</v>
      </c>
      <c r="T57">
        <v>-2.0367199509999998</v>
      </c>
      <c r="U57">
        <v>2.5034866999999999E-2</v>
      </c>
      <c r="V57">
        <v>4.5700000000000003E-3</v>
      </c>
      <c r="W57">
        <v>-0.92119358799999995</v>
      </c>
      <c r="X57">
        <v>-0.93911081200000002</v>
      </c>
      <c r="Y57" t="s">
        <v>178</v>
      </c>
      <c r="Z57" t="s">
        <v>179</v>
      </c>
      <c r="AA57">
        <v>0</v>
      </c>
      <c r="AB57" t="s">
        <v>100</v>
      </c>
      <c r="AC57" t="s">
        <v>155</v>
      </c>
    </row>
    <row r="58" spans="1:33" x14ac:dyDescent="0.25">
      <c r="A58">
        <v>1935</v>
      </c>
      <c r="B58" t="s">
        <v>156</v>
      </c>
      <c r="C58" t="s">
        <v>106</v>
      </c>
      <c r="D58" t="s">
        <v>102</v>
      </c>
      <c r="E58" t="s">
        <v>175</v>
      </c>
      <c r="F58" t="s">
        <v>176</v>
      </c>
      <c r="G58">
        <v>17</v>
      </c>
      <c r="H58" t="s">
        <v>177</v>
      </c>
      <c r="I58" t="s">
        <v>164</v>
      </c>
      <c r="J58">
        <v>-272.29410000000001</v>
      </c>
      <c r="K58">
        <v>58.583129999999997</v>
      </c>
      <c r="L58">
        <v>-4.6479949999999999</v>
      </c>
      <c r="M58">
        <v>34</v>
      </c>
      <c r="N58">
        <v>15</v>
      </c>
      <c r="O58">
        <v>16</v>
      </c>
      <c r="P58">
        <v>-0.75796549999999996</v>
      </c>
      <c r="Q58">
        <v>-0.99141608800000003</v>
      </c>
      <c r="R58">
        <v>0.17960530199999999</v>
      </c>
      <c r="S58">
        <v>-0.63938969599999995</v>
      </c>
      <c r="T58">
        <v>-1.34344248</v>
      </c>
      <c r="U58">
        <v>7.4068006000000006E-2</v>
      </c>
      <c r="V58">
        <v>1.2699999999999999E-2</v>
      </c>
      <c r="W58">
        <v>-0.73306848599999996</v>
      </c>
      <c r="X58">
        <v>-0.78286251399999995</v>
      </c>
      <c r="Y58" t="s">
        <v>178</v>
      </c>
      <c r="Z58" t="s">
        <v>179</v>
      </c>
      <c r="AA58">
        <v>0</v>
      </c>
      <c r="AB58" t="s">
        <v>100</v>
      </c>
      <c r="AC58" t="s">
        <v>155</v>
      </c>
    </row>
    <row r="59" spans="1:33" x14ac:dyDescent="0.25">
      <c r="A59">
        <v>1940</v>
      </c>
      <c r="B59" t="s">
        <v>156</v>
      </c>
      <c r="C59" t="s">
        <v>106</v>
      </c>
      <c r="D59" t="s">
        <v>102</v>
      </c>
      <c r="E59" t="s">
        <v>175</v>
      </c>
      <c r="F59" t="s">
        <v>180</v>
      </c>
      <c r="G59">
        <v>3230</v>
      </c>
      <c r="H59" t="s">
        <v>169</v>
      </c>
      <c r="I59" t="s">
        <v>170</v>
      </c>
      <c r="J59">
        <v>-0.14000000000000001</v>
      </c>
      <c r="K59">
        <v>4.9599999999999998E-2</v>
      </c>
      <c r="L59">
        <v>-2.8243</v>
      </c>
      <c r="M59">
        <v>100</v>
      </c>
      <c r="N59">
        <v>1</v>
      </c>
      <c r="O59">
        <v>98</v>
      </c>
      <c r="P59">
        <v>-0.27435045899999999</v>
      </c>
      <c r="Q59">
        <v>-0.28156235499999999</v>
      </c>
      <c r="R59">
        <v>0.10153461699999999</v>
      </c>
      <c r="S59">
        <v>-8.2554506999999999E-2</v>
      </c>
      <c r="T59">
        <v>-0.480570204</v>
      </c>
      <c r="U59">
        <v>9.2939044999999998E-2</v>
      </c>
      <c r="V59">
        <v>9.2899999999999996E-3</v>
      </c>
      <c r="W59">
        <v>-0.25613440599999998</v>
      </c>
      <c r="X59">
        <v>-0.292566512</v>
      </c>
      <c r="Y59" t="s">
        <v>181</v>
      </c>
      <c r="Z59" t="s">
        <v>182</v>
      </c>
      <c r="AA59">
        <v>0</v>
      </c>
      <c r="AB59" t="s">
        <v>173</v>
      </c>
      <c r="AC59" t="s">
        <v>155</v>
      </c>
      <c r="AD59" t="s">
        <v>183</v>
      </c>
    </row>
    <row r="60" spans="1:33" x14ac:dyDescent="0.25">
      <c r="A60">
        <v>1943</v>
      </c>
      <c r="B60" t="s">
        <v>156</v>
      </c>
      <c r="C60" t="s">
        <v>106</v>
      </c>
      <c r="D60" t="s">
        <v>102</v>
      </c>
      <c r="E60" t="s">
        <v>175</v>
      </c>
      <c r="F60" t="s">
        <v>176</v>
      </c>
      <c r="G60">
        <v>16</v>
      </c>
      <c r="H60" t="s">
        <v>177</v>
      </c>
      <c r="I60" t="s">
        <v>164</v>
      </c>
      <c r="J60">
        <v>-332.5</v>
      </c>
      <c r="K60">
        <v>76.92783</v>
      </c>
      <c r="L60">
        <v>-4.3222329999999998</v>
      </c>
      <c r="M60">
        <v>32</v>
      </c>
      <c r="N60">
        <v>15</v>
      </c>
      <c r="O60">
        <v>15</v>
      </c>
      <c r="P60">
        <v>-0.74475119999999995</v>
      </c>
      <c r="Q60">
        <v>-0.96106424499999998</v>
      </c>
      <c r="R60">
        <v>0.18569533799999999</v>
      </c>
      <c r="S60">
        <v>-0.59710138199999996</v>
      </c>
      <c r="T60">
        <v>-1.325027108</v>
      </c>
      <c r="U60">
        <v>7.9986440000000006E-2</v>
      </c>
      <c r="V60">
        <v>1.41E-2</v>
      </c>
      <c r="W60">
        <v>-0.71703731199999998</v>
      </c>
      <c r="X60">
        <v>-0.77246508800000002</v>
      </c>
      <c r="Y60" t="s">
        <v>178</v>
      </c>
      <c r="Z60" t="s">
        <v>179</v>
      </c>
      <c r="AA60">
        <v>0</v>
      </c>
      <c r="AB60" t="s">
        <v>100</v>
      </c>
      <c r="AC60" t="s">
        <v>155</v>
      </c>
    </row>
    <row r="61" spans="1:33" x14ac:dyDescent="0.25">
      <c r="A61">
        <v>1944</v>
      </c>
      <c r="B61" t="s">
        <v>156</v>
      </c>
      <c r="C61" t="s">
        <v>106</v>
      </c>
      <c r="D61" t="s">
        <v>102</v>
      </c>
      <c r="E61" t="s">
        <v>175</v>
      </c>
      <c r="F61" t="s">
        <v>180</v>
      </c>
      <c r="G61">
        <v>25210</v>
      </c>
      <c r="H61" t="s">
        <v>169</v>
      </c>
      <c r="I61" t="s">
        <v>170</v>
      </c>
      <c r="J61">
        <v>-0.08</v>
      </c>
      <c r="K61">
        <v>1E-3</v>
      </c>
      <c r="L61">
        <v>-80</v>
      </c>
      <c r="M61">
        <v>100000</v>
      </c>
      <c r="N61">
        <v>1</v>
      </c>
      <c r="O61">
        <v>99998</v>
      </c>
      <c r="P61">
        <v>-0.24525804100000001</v>
      </c>
      <c r="Q61">
        <v>-0.25036106699999999</v>
      </c>
      <c r="R61">
        <v>3.1623250000000001E-3</v>
      </c>
      <c r="S61">
        <v>-0.24416291000000001</v>
      </c>
      <c r="T61">
        <v>-0.25655922399999997</v>
      </c>
      <c r="U61">
        <v>2.9720770000000001E-3</v>
      </c>
      <c r="V61">
        <v>9.3999999999999998E-6</v>
      </c>
      <c r="W61">
        <v>-0.24523961999999999</v>
      </c>
      <c r="X61">
        <v>-0.245276462</v>
      </c>
      <c r="Y61" t="s">
        <v>171</v>
      </c>
      <c r="Z61" t="s">
        <v>184</v>
      </c>
      <c r="AA61">
        <v>0</v>
      </c>
      <c r="AB61" t="s">
        <v>173</v>
      </c>
      <c r="AC61" t="s">
        <v>155</v>
      </c>
      <c r="AD61" t="s">
        <v>185</v>
      </c>
    </row>
    <row r="62" spans="1:33" x14ac:dyDescent="0.25">
      <c r="A62">
        <v>1951</v>
      </c>
      <c r="B62" t="s">
        <v>156</v>
      </c>
      <c r="C62" t="s">
        <v>106</v>
      </c>
      <c r="D62" t="s">
        <v>102</v>
      </c>
      <c r="E62" t="s">
        <v>175</v>
      </c>
      <c r="F62" t="s">
        <v>176</v>
      </c>
      <c r="G62">
        <v>12</v>
      </c>
      <c r="H62" t="s">
        <v>177</v>
      </c>
      <c r="I62" t="s">
        <v>164</v>
      </c>
      <c r="J62">
        <v>-488.83330000000001</v>
      </c>
      <c r="K62">
        <v>192.68799999999999</v>
      </c>
      <c r="L62">
        <v>-2.5369160000000002</v>
      </c>
      <c r="M62">
        <v>24</v>
      </c>
      <c r="N62">
        <v>15</v>
      </c>
      <c r="O62">
        <v>11</v>
      </c>
      <c r="P62">
        <v>-0.60755190000000003</v>
      </c>
      <c r="Q62">
        <v>-0.705031721</v>
      </c>
      <c r="R62">
        <v>0.21821789</v>
      </c>
      <c r="S62">
        <v>-0.277324656</v>
      </c>
      <c r="T62">
        <v>-1.132738786</v>
      </c>
      <c r="U62">
        <v>0.13154771700000001</v>
      </c>
      <c r="V62">
        <v>2.69E-2</v>
      </c>
      <c r="W62">
        <v>-0.55492185199999999</v>
      </c>
      <c r="X62">
        <v>-0.66018194799999996</v>
      </c>
      <c r="Y62" t="s">
        <v>178</v>
      </c>
      <c r="Z62" t="s">
        <v>179</v>
      </c>
      <c r="AA62">
        <v>0</v>
      </c>
      <c r="AB62" t="s">
        <v>100</v>
      </c>
      <c r="AC62" t="s">
        <v>155</v>
      </c>
    </row>
    <row r="63" spans="1:33" x14ac:dyDescent="0.25">
      <c r="A63">
        <v>2018</v>
      </c>
      <c r="B63" t="s">
        <v>156</v>
      </c>
      <c r="C63" t="s">
        <v>108</v>
      </c>
      <c r="D63" t="s">
        <v>102</v>
      </c>
      <c r="E63" t="s">
        <v>175</v>
      </c>
      <c r="F63" t="s">
        <v>176</v>
      </c>
      <c r="G63">
        <v>50</v>
      </c>
      <c r="H63" t="s">
        <v>177</v>
      </c>
      <c r="I63" t="s">
        <v>164</v>
      </c>
      <c r="J63">
        <v>513.67999999999995</v>
      </c>
      <c r="K63">
        <v>53.32</v>
      </c>
      <c r="L63">
        <v>9.6339084770000003</v>
      </c>
      <c r="M63">
        <v>24169</v>
      </c>
      <c r="N63">
        <v>51</v>
      </c>
      <c r="O63">
        <v>24118</v>
      </c>
      <c r="P63">
        <v>6.1915278999999997E-2</v>
      </c>
      <c r="Q63">
        <v>6.1994579000000001E-2</v>
      </c>
      <c r="R63">
        <v>6.4327639999999997E-3</v>
      </c>
      <c r="S63">
        <v>7.4602796999999998E-2</v>
      </c>
      <c r="T63">
        <v>4.9386362000000003E-2</v>
      </c>
      <c r="U63">
        <v>6.4078390000000002E-3</v>
      </c>
      <c r="V63">
        <v>4.1199999999999999E-5</v>
      </c>
      <c r="W63">
        <v>6.1996066000000002E-2</v>
      </c>
      <c r="X63">
        <v>6.1834492999999997E-2</v>
      </c>
      <c r="Y63" t="s">
        <v>178</v>
      </c>
      <c r="Z63" t="s">
        <v>186</v>
      </c>
      <c r="AA63">
        <v>1</v>
      </c>
      <c r="AB63" t="s">
        <v>100</v>
      </c>
      <c r="AC63" t="s">
        <v>155</v>
      </c>
    </row>
    <row r="64" spans="1:33" x14ac:dyDescent="0.25">
      <c r="A64">
        <v>1956</v>
      </c>
      <c r="B64" t="s">
        <v>156</v>
      </c>
      <c r="C64" t="s">
        <v>106</v>
      </c>
      <c r="D64" t="s">
        <v>102</v>
      </c>
      <c r="E64" t="s">
        <v>187</v>
      </c>
      <c r="F64" t="s">
        <v>188</v>
      </c>
      <c r="G64">
        <v>11286</v>
      </c>
      <c r="H64" t="s">
        <v>169</v>
      </c>
      <c r="I64" t="s">
        <v>170</v>
      </c>
      <c r="J64">
        <v>-0.48</v>
      </c>
      <c r="K64">
        <v>1.7664E-3</v>
      </c>
      <c r="L64">
        <v>-271.73913040000002</v>
      </c>
      <c r="M64">
        <v>100000</v>
      </c>
      <c r="N64">
        <v>1</v>
      </c>
      <c r="O64">
        <v>99998</v>
      </c>
      <c r="P64">
        <v>-0.65174413399999997</v>
      </c>
      <c r="Q64">
        <v>-0.77832480100000001</v>
      </c>
      <c r="R64">
        <v>3.1623250000000001E-3</v>
      </c>
      <c r="S64">
        <v>-0.77212664399999997</v>
      </c>
      <c r="T64">
        <v>-0.78452295900000002</v>
      </c>
      <c r="U64">
        <v>1.819045E-3</v>
      </c>
      <c r="V64">
        <v>5.75E-6</v>
      </c>
      <c r="W64">
        <v>-0.65173285999999997</v>
      </c>
      <c r="X64">
        <v>-0.65175540899999995</v>
      </c>
      <c r="Y64" t="s">
        <v>189</v>
      </c>
      <c r="Z64" t="s">
        <v>184</v>
      </c>
      <c r="AA64">
        <v>0</v>
      </c>
      <c r="AB64" t="s">
        <v>173</v>
      </c>
      <c r="AC64" t="s">
        <v>155</v>
      </c>
      <c r="AD64" t="s">
        <v>190</v>
      </c>
    </row>
    <row r="65" spans="1:32" x14ac:dyDescent="0.25">
      <c r="A65">
        <v>1940</v>
      </c>
      <c r="B65" t="s">
        <v>156</v>
      </c>
      <c r="C65" t="s">
        <v>106</v>
      </c>
      <c r="D65" t="s">
        <v>102</v>
      </c>
      <c r="E65" t="s">
        <v>191</v>
      </c>
      <c r="F65" t="s">
        <v>192</v>
      </c>
      <c r="G65">
        <v>4630</v>
      </c>
      <c r="H65" t="s">
        <v>193</v>
      </c>
      <c r="I65" t="s">
        <v>194</v>
      </c>
      <c r="J65">
        <v>-0.95809999999999995</v>
      </c>
      <c r="K65">
        <v>2.8999999999999998E-3</v>
      </c>
      <c r="L65">
        <v>-330.37931029999999</v>
      </c>
      <c r="M65">
        <v>9260</v>
      </c>
      <c r="N65">
        <v>1</v>
      </c>
      <c r="O65">
        <v>9258</v>
      </c>
      <c r="P65">
        <v>-0.96</v>
      </c>
      <c r="Q65">
        <v>-1.95</v>
      </c>
      <c r="R65">
        <v>1.0393573E-2</v>
      </c>
      <c r="S65">
        <v>-1.926955862</v>
      </c>
      <c r="T65">
        <v>-1.9676986679999999</v>
      </c>
      <c r="U65">
        <v>8.1255400000000005E-4</v>
      </c>
      <c r="V65">
        <v>8.4400000000000005E-6</v>
      </c>
      <c r="W65">
        <v>-0.96009440099999999</v>
      </c>
      <c r="X65">
        <v>-0.96012750099999999</v>
      </c>
      <c r="Y65" t="s">
        <v>195</v>
      </c>
      <c r="Z65" t="s">
        <v>196</v>
      </c>
      <c r="AA65">
        <v>1</v>
      </c>
      <c r="AB65" t="s">
        <v>100</v>
      </c>
      <c r="AC65" t="s">
        <v>155</v>
      </c>
    </row>
    <row r="66" spans="1:32" x14ac:dyDescent="0.25">
      <c r="A66">
        <v>1940</v>
      </c>
      <c r="B66" t="s">
        <v>156</v>
      </c>
      <c r="C66" t="s">
        <v>106</v>
      </c>
      <c r="D66" t="s">
        <v>197</v>
      </c>
      <c r="E66" t="s">
        <v>198</v>
      </c>
      <c r="F66" t="s">
        <v>199</v>
      </c>
      <c r="G66">
        <v>163549</v>
      </c>
      <c r="H66" t="s">
        <v>200</v>
      </c>
      <c r="I66" t="s">
        <v>201</v>
      </c>
      <c r="J66">
        <v>-1.59</v>
      </c>
      <c r="K66">
        <v>0.05</v>
      </c>
      <c r="L66">
        <v>-31.8</v>
      </c>
      <c r="M66">
        <v>163549</v>
      </c>
      <c r="N66">
        <v>1</v>
      </c>
      <c r="O66">
        <v>163547</v>
      </c>
      <c r="P66">
        <v>-7.8391197999999995E-2</v>
      </c>
      <c r="Q66">
        <v>-7.8552368999999997E-2</v>
      </c>
      <c r="R66">
        <v>2.4727490000000002E-3</v>
      </c>
      <c r="S66">
        <v>-7.3705780999999998E-2</v>
      </c>
      <c r="T66">
        <v>-8.3398956999999996E-2</v>
      </c>
      <c r="U66">
        <v>2.457538E-3</v>
      </c>
      <c r="V66">
        <v>6.0800000000000002E-6</v>
      </c>
      <c r="W66">
        <v>-7.8399999999999997E-2</v>
      </c>
      <c r="X66">
        <v>-7.8399999999999997E-2</v>
      </c>
      <c r="Y66" t="s">
        <v>202</v>
      </c>
      <c r="Z66" t="s">
        <v>203</v>
      </c>
      <c r="AA66">
        <v>0</v>
      </c>
      <c r="AB66" t="s">
        <v>204</v>
      </c>
      <c r="AC66" t="s">
        <v>155</v>
      </c>
      <c r="AF66">
        <v>1</v>
      </c>
    </row>
    <row r="67" spans="1:32" x14ac:dyDescent="0.25">
      <c r="A67" t="s">
        <v>205</v>
      </c>
      <c r="B67" t="s">
        <v>156</v>
      </c>
      <c r="C67" t="s">
        <v>108</v>
      </c>
      <c r="D67" t="s">
        <v>30</v>
      </c>
      <c r="E67" t="s">
        <v>206</v>
      </c>
      <c r="F67" t="s">
        <v>207</v>
      </c>
      <c r="G67">
        <v>214534</v>
      </c>
      <c r="H67" t="s">
        <v>208</v>
      </c>
      <c r="I67" t="s">
        <v>209</v>
      </c>
      <c r="J67">
        <v>-1.66</v>
      </c>
      <c r="K67">
        <v>0.33200000000000002</v>
      </c>
      <c r="L67">
        <v>-5</v>
      </c>
      <c r="M67">
        <v>214534</v>
      </c>
      <c r="N67">
        <v>74</v>
      </c>
      <c r="O67">
        <v>214459</v>
      </c>
      <c r="P67">
        <v>-1.0796241E-2</v>
      </c>
      <c r="Q67">
        <v>-1.079666E-2</v>
      </c>
      <c r="R67">
        <v>2.1590120000000001E-3</v>
      </c>
      <c r="S67">
        <v>-6.5649970000000004E-3</v>
      </c>
      <c r="T67">
        <v>-1.5028323E-2</v>
      </c>
      <c r="U67">
        <v>2.1587500000000001E-3</v>
      </c>
      <c r="V67">
        <v>4.6600000000000003E-6</v>
      </c>
      <c r="W67">
        <v>-1.0787105999999999E-2</v>
      </c>
      <c r="X67">
        <v>-1.0805376E-2</v>
      </c>
      <c r="Y67" t="s">
        <v>210</v>
      </c>
      <c r="Z67" t="s">
        <v>211</v>
      </c>
      <c r="AA67">
        <v>1</v>
      </c>
      <c r="AB67" t="s">
        <v>57</v>
      </c>
      <c r="AC67" t="s">
        <v>155</v>
      </c>
    </row>
    <row r="68" spans="1:32" x14ac:dyDescent="0.25">
      <c r="A68">
        <v>2005</v>
      </c>
      <c r="B68" t="s">
        <v>156</v>
      </c>
      <c r="C68" t="s">
        <v>108</v>
      </c>
      <c r="D68" t="s">
        <v>30</v>
      </c>
      <c r="E68" t="s">
        <v>212</v>
      </c>
      <c r="F68" t="s">
        <v>213</v>
      </c>
      <c r="G68">
        <v>6310</v>
      </c>
      <c r="H68" t="s">
        <v>214</v>
      </c>
      <c r="I68" t="s">
        <v>215</v>
      </c>
      <c r="J68">
        <v>1.32</v>
      </c>
      <c r="K68">
        <v>0.2026</v>
      </c>
      <c r="L68">
        <v>6.515301086</v>
      </c>
      <c r="M68">
        <v>6310</v>
      </c>
      <c r="N68">
        <v>20</v>
      </c>
      <c r="O68">
        <v>6289</v>
      </c>
      <c r="P68">
        <v>8.1880961000000002E-2</v>
      </c>
      <c r="Q68">
        <v>8.2064689999999996E-2</v>
      </c>
      <c r="R68">
        <v>1.2591822000000001E-2</v>
      </c>
      <c r="S68">
        <v>0.106744662</v>
      </c>
      <c r="T68">
        <v>5.7384719000000001E-2</v>
      </c>
      <c r="U68">
        <v>1.2505418000000001E-2</v>
      </c>
      <c r="V68">
        <v>1.57429E-4</v>
      </c>
      <c r="W68">
        <v>8.2189521000000001E-2</v>
      </c>
      <c r="X68">
        <v>8.1572401000000003E-2</v>
      </c>
      <c r="Y68" t="s">
        <v>216</v>
      </c>
      <c r="Z68" t="s">
        <v>217</v>
      </c>
      <c r="AA68">
        <v>1</v>
      </c>
      <c r="AB68" t="s">
        <v>54</v>
      </c>
      <c r="AC68" t="s">
        <v>155</v>
      </c>
    </row>
    <row r="69" spans="1:32" x14ac:dyDescent="0.25">
      <c r="A69">
        <v>2005</v>
      </c>
      <c r="B69" t="s">
        <v>156</v>
      </c>
      <c r="C69" t="s">
        <v>108</v>
      </c>
      <c r="D69" t="s">
        <v>30</v>
      </c>
      <c r="E69" t="s">
        <v>218</v>
      </c>
      <c r="F69" t="s">
        <v>213</v>
      </c>
      <c r="G69">
        <v>1748</v>
      </c>
      <c r="H69" t="s">
        <v>214</v>
      </c>
      <c r="I69" t="s">
        <v>215</v>
      </c>
      <c r="J69">
        <v>1.9388000000000001</v>
      </c>
      <c r="K69">
        <v>0.49209999999999998</v>
      </c>
      <c r="L69">
        <v>3.9398496239999998</v>
      </c>
      <c r="M69">
        <v>1748</v>
      </c>
      <c r="N69">
        <v>20</v>
      </c>
      <c r="O69">
        <v>1727</v>
      </c>
      <c r="P69">
        <v>9.4399999999999998E-2</v>
      </c>
      <c r="Q69">
        <v>9.4700000000000006E-2</v>
      </c>
      <c r="R69">
        <v>2.3938794999999999E-2</v>
      </c>
      <c r="S69">
        <v>0.141584077</v>
      </c>
      <c r="T69">
        <v>4.7744001000000001E-2</v>
      </c>
      <c r="U69">
        <v>2.3711962999999999E-2</v>
      </c>
      <c r="V69">
        <v>5.6714899999999997E-4</v>
      </c>
      <c r="W69">
        <v>9.5493889999999998E-2</v>
      </c>
      <c r="X69">
        <v>9.3270668000000001E-2</v>
      </c>
      <c r="Y69" t="s">
        <v>219</v>
      </c>
      <c r="Z69" t="s">
        <v>217</v>
      </c>
      <c r="AA69">
        <v>1</v>
      </c>
      <c r="AB69" t="s">
        <v>54</v>
      </c>
      <c r="AC69" t="s">
        <v>155</v>
      </c>
    </row>
    <row r="70" spans="1:32" x14ac:dyDescent="0.25">
      <c r="A70">
        <v>2013</v>
      </c>
      <c r="B70" t="s">
        <v>156</v>
      </c>
      <c r="C70" t="s">
        <v>108</v>
      </c>
      <c r="D70" t="s">
        <v>30</v>
      </c>
      <c r="E70" t="s">
        <v>220</v>
      </c>
      <c r="F70" t="s">
        <v>221</v>
      </c>
      <c r="G70">
        <v>7617</v>
      </c>
      <c r="H70" t="s">
        <v>222</v>
      </c>
      <c r="I70" t="s">
        <v>215</v>
      </c>
      <c r="J70">
        <v>-1.54</v>
      </c>
      <c r="K70">
        <v>0.13600000000000001</v>
      </c>
      <c r="L70">
        <v>-11.323529410000001</v>
      </c>
      <c r="M70">
        <v>7617</v>
      </c>
      <c r="N70">
        <v>30</v>
      </c>
      <c r="O70">
        <v>7586</v>
      </c>
      <c r="P70">
        <v>-0.129</v>
      </c>
      <c r="Q70">
        <v>-0.13</v>
      </c>
      <c r="R70">
        <v>1.1460236E-2</v>
      </c>
      <c r="S70">
        <v>-0.10718403899999999</v>
      </c>
      <c r="T70">
        <v>-0.15210816399999999</v>
      </c>
      <c r="U70">
        <v>1.1268268999999999E-2</v>
      </c>
      <c r="V70">
        <v>1.2899999999999999E-4</v>
      </c>
      <c r="W70">
        <v>-0.12867152500000001</v>
      </c>
      <c r="X70">
        <v>-0.12917764200000001</v>
      </c>
      <c r="Y70" t="s">
        <v>223</v>
      </c>
      <c r="Z70" t="s">
        <v>224</v>
      </c>
      <c r="AA70">
        <v>1</v>
      </c>
      <c r="AB70" t="s">
        <v>57</v>
      </c>
      <c r="AC70" t="s">
        <v>225</v>
      </c>
    </row>
    <row r="71" spans="1:32" x14ac:dyDescent="0.25">
      <c r="A71">
        <v>1993</v>
      </c>
      <c r="B71" t="s">
        <v>147</v>
      </c>
      <c r="C71" t="s">
        <v>107</v>
      </c>
      <c r="D71" t="s">
        <v>30</v>
      </c>
      <c r="E71" t="s">
        <v>226</v>
      </c>
      <c r="F71" t="s">
        <v>227</v>
      </c>
      <c r="G71">
        <v>1964</v>
      </c>
      <c r="H71" t="s">
        <v>228</v>
      </c>
      <c r="I71" t="s">
        <v>215</v>
      </c>
      <c r="J71">
        <v>0.23400000000000001</v>
      </c>
      <c r="K71">
        <v>9.1406249999999994E-2</v>
      </c>
      <c r="L71">
        <v>5.08</v>
      </c>
      <c r="M71">
        <v>1964</v>
      </c>
      <c r="N71">
        <v>20</v>
      </c>
      <c r="O71">
        <v>1943</v>
      </c>
      <c r="P71">
        <v>0.11448859</v>
      </c>
      <c r="Q71">
        <v>0.114992786</v>
      </c>
      <c r="R71">
        <v>2.2581937999999999E-2</v>
      </c>
      <c r="S71">
        <v>0.159253384</v>
      </c>
      <c r="T71">
        <v>7.0732188000000001E-2</v>
      </c>
      <c r="U71">
        <v>2.2274585999999999E-2</v>
      </c>
      <c r="V71">
        <v>5.0299999999999997E-4</v>
      </c>
      <c r="W71">
        <v>0.115473723</v>
      </c>
      <c r="X71">
        <v>0.113503457</v>
      </c>
      <c r="Y71" t="s">
        <v>229</v>
      </c>
      <c r="Z71" t="s">
        <v>230</v>
      </c>
      <c r="AA71">
        <v>1</v>
      </c>
      <c r="AB71" t="s">
        <v>57</v>
      </c>
      <c r="AC71" t="s">
        <v>155</v>
      </c>
    </row>
    <row r="72" spans="1:32" x14ac:dyDescent="0.25">
      <c r="A72">
        <v>1998</v>
      </c>
      <c r="B72" t="s">
        <v>147</v>
      </c>
      <c r="C72" t="s">
        <v>107</v>
      </c>
      <c r="D72" t="s">
        <v>30</v>
      </c>
      <c r="E72" t="s">
        <v>226</v>
      </c>
      <c r="F72" t="s">
        <v>227</v>
      </c>
      <c r="G72">
        <v>879</v>
      </c>
      <c r="H72" t="s">
        <v>228</v>
      </c>
      <c r="I72" t="s">
        <v>215</v>
      </c>
      <c r="J72">
        <v>0.22</v>
      </c>
      <c r="K72">
        <v>8.59375E-2</v>
      </c>
      <c r="L72">
        <v>2.56</v>
      </c>
      <c r="M72">
        <v>879</v>
      </c>
      <c r="N72">
        <v>10</v>
      </c>
      <c r="O72">
        <v>868</v>
      </c>
      <c r="P72">
        <v>8.6565879999999998E-2</v>
      </c>
      <c r="Q72">
        <v>8.6783088999999994E-2</v>
      </c>
      <c r="R72">
        <v>3.3786868999999997E-2</v>
      </c>
      <c r="S72">
        <v>0.15300535200000001</v>
      </c>
      <c r="T72">
        <v>2.0560826000000001E-2</v>
      </c>
      <c r="U72">
        <v>3.3495467000000001E-2</v>
      </c>
      <c r="V72">
        <v>1.1299999999999999E-3</v>
      </c>
      <c r="W72">
        <v>8.8780236999999998E-2</v>
      </c>
      <c r="X72">
        <v>8.4351522999999998E-2</v>
      </c>
      <c r="Y72" t="s">
        <v>231</v>
      </c>
      <c r="Z72" t="s">
        <v>232</v>
      </c>
      <c r="AA72">
        <v>1</v>
      </c>
      <c r="AB72" t="s">
        <v>57</v>
      </c>
      <c r="AC72" t="s">
        <v>155</v>
      </c>
    </row>
    <row r="73" spans="1:32" x14ac:dyDescent="0.25">
      <c r="A73">
        <v>1998</v>
      </c>
      <c r="B73" t="s">
        <v>147</v>
      </c>
      <c r="C73" t="s">
        <v>107</v>
      </c>
      <c r="D73" t="s">
        <v>30</v>
      </c>
      <c r="E73" t="s">
        <v>226</v>
      </c>
      <c r="F73" t="s">
        <v>233</v>
      </c>
      <c r="G73">
        <v>764</v>
      </c>
      <c r="H73" t="s">
        <v>228</v>
      </c>
      <c r="I73" t="s">
        <v>215</v>
      </c>
      <c r="J73">
        <v>2E-3</v>
      </c>
      <c r="K73">
        <v>1</v>
      </c>
      <c r="L73">
        <v>2E-3</v>
      </c>
      <c r="M73">
        <v>764</v>
      </c>
      <c r="N73">
        <v>10</v>
      </c>
      <c r="O73">
        <v>753</v>
      </c>
      <c r="P73">
        <v>7.2899999999999997E-5</v>
      </c>
      <c r="Q73">
        <v>7.2899999999999997E-5</v>
      </c>
      <c r="R73">
        <v>3.6249971999999998E-2</v>
      </c>
      <c r="S73">
        <v>7.1122828999999999E-2</v>
      </c>
      <c r="T73">
        <v>-7.0977059999999995E-2</v>
      </c>
      <c r="U73">
        <v>3.6202431E-2</v>
      </c>
      <c r="V73">
        <v>1.31E-3</v>
      </c>
      <c r="W73">
        <v>2.6400099999999999E-3</v>
      </c>
      <c r="X73">
        <v>-2.4942419999999998E-3</v>
      </c>
      <c r="Y73" t="s">
        <v>234</v>
      </c>
      <c r="Z73" t="s">
        <v>232</v>
      </c>
      <c r="AA73">
        <v>1</v>
      </c>
      <c r="AB73" t="s">
        <v>57</v>
      </c>
      <c r="AC73" t="s">
        <v>155</v>
      </c>
    </row>
    <row r="74" spans="1:32" x14ac:dyDescent="0.25">
      <c r="A74">
        <v>1998</v>
      </c>
      <c r="B74" t="s">
        <v>147</v>
      </c>
      <c r="C74" t="s">
        <v>107</v>
      </c>
      <c r="D74" t="s">
        <v>30</v>
      </c>
      <c r="E74" t="s">
        <v>226</v>
      </c>
      <c r="F74" t="s">
        <v>227</v>
      </c>
      <c r="G74">
        <v>927</v>
      </c>
      <c r="H74" t="s">
        <v>228</v>
      </c>
      <c r="I74" t="s">
        <v>215</v>
      </c>
      <c r="J74">
        <v>0.30099999999999999</v>
      </c>
      <c r="K74">
        <v>0.11757812500000001</v>
      </c>
      <c r="L74">
        <v>4.4800000000000004</v>
      </c>
      <c r="M74">
        <v>927</v>
      </c>
      <c r="N74">
        <v>20</v>
      </c>
      <c r="O74">
        <v>906</v>
      </c>
      <c r="P74">
        <v>0.147216339</v>
      </c>
      <c r="Q74">
        <v>0.148293909</v>
      </c>
      <c r="R74">
        <v>3.2897585E-2</v>
      </c>
      <c r="S74">
        <v>0.21277317500000001</v>
      </c>
      <c r="T74">
        <v>8.3814642999999994E-2</v>
      </c>
      <c r="U74">
        <v>3.2149832000000003E-2</v>
      </c>
      <c r="V74">
        <v>1.06E-3</v>
      </c>
      <c r="W74">
        <v>0.14928597900000001</v>
      </c>
      <c r="X74">
        <v>0.14514669799999999</v>
      </c>
      <c r="Y74" t="s">
        <v>235</v>
      </c>
      <c r="Z74" t="s">
        <v>230</v>
      </c>
      <c r="AA74">
        <v>1</v>
      </c>
      <c r="AB74" t="s">
        <v>57</v>
      </c>
      <c r="AC74" t="s">
        <v>155</v>
      </c>
    </row>
    <row r="75" spans="1:32" x14ac:dyDescent="0.25">
      <c r="A75">
        <v>2003</v>
      </c>
      <c r="B75" t="s">
        <v>147</v>
      </c>
      <c r="C75" t="s">
        <v>108</v>
      </c>
      <c r="D75" t="s">
        <v>30</v>
      </c>
      <c r="E75" t="s">
        <v>226</v>
      </c>
      <c r="F75" t="s">
        <v>227</v>
      </c>
      <c r="G75">
        <v>995</v>
      </c>
      <c r="H75" t="s">
        <v>228</v>
      </c>
      <c r="I75" t="s">
        <v>215</v>
      </c>
      <c r="J75">
        <v>0.36899999999999999</v>
      </c>
      <c r="K75">
        <v>0.14414062499999999</v>
      </c>
      <c r="L75">
        <v>2.56</v>
      </c>
      <c r="M75">
        <v>995</v>
      </c>
      <c r="N75">
        <v>10</v>
      </c>
      <c r="O75">
        <v>984</v>
      </c>
      <c r="P75">
        <v>8.1339402000000005E-2</v>
      </c>
      <c r="Q75">
        <v>8.1519500999999994E-2</v>
      </c>
      <c r="R75">
        <v>3.1750031999999997E-2</v>
      </c>
      <c r="S75">
        <v>0.143749563</v>
      </c>
      <c r="T75">
        <v>1.9289437999999999E-2</v>
      </c>
      <c r="U75">
        <v>3.1508224000000001E-2</v>
      </c>
      <c r="V75">
        <v>9.990000000000001E-4</v>
      </c>
      <c r="W75">
        <v>8.3297203E-2</v>
      </c>
      <c r="X75">
        <v>7.9381600999999996E-2</v>
      </c>
      <c r="Y75" t="s">
        <v>236</v>
      </c>
      <c r="Z75" t="s">
        <v>232</v>
      </c>
      <c r="AA75">
        <v>1</v>
      </c>
      <c r="AB75" t="s">
        <v>57</v>
      </c>
      <c r="AC75" t="s">
        <v>155</v>
      </c>
    </row>
    <row r="76" spans="1:32" x14ac:dyDescent="0.25">
      <c r="A76">
        <v>2003</v>
      </c>
      <c r="B76" t="s">
        <v>147</v>
      </c>
      <c r="C76" t="s">
        <v>108</v>
      </c>
      <c r="D76" t="s">
        <v>30</v>
      </c>
      <c r="E76" t="s">
        <v>226</v>
      </c>
      <c r="F76" t="s">
        <v>233</v>
      </c>
      <c r="G76">
        <v>873</v>
      </c>
      <c r="H76" t="s">
        <v>228</v>
      </c>
      <c r="I76" t="s">
        <v>215</v>
      </c>
      <c r="J76">
        <v>1.05</v>
      </c>
      <c r="K76">
        <v>0.47</v>
      </c>
      <c r="L76">
        <v>2.2340425530000001</v>
      </c>
      <c r="M76">
        <v>873</v>
      </c>
      <c r="N76">
        <v>10</v>
      </c>
      <c r="O76">
        <v>862</v>
      </c>
      <c r="P76">
        <v>7.5872459000000003E-2</v>
      </c>
      <c r="Q76">
        <v>7.6018554000000002E-2</v>
      </c>
      <c r="R76">
        <v>3.3903175000000001E-2</v>
      </c>
      <c r="S76">
        <v>0.14246877699999999</v>
      </c>
      <c r="T76">
        <v>9.5683309999999994E-3</v>
      </c>
      <c r="U76">
        <v>3.3669328999999998E-2</v>
      </c>
      <c r="V76">
        <v>1.14E-3</v>
      </c>
      <c r="W76">
        <v>7.8105945999999996E-2</v>
      </c>
      <c r="X76">
        <v>7.3638971999999997E-2</v>
      </c>
      <c r="Y76" t="s">
        <v>237</v>
      </c>
      <c r="Z76" t="s">
        <v>232</v>
      </c>
      <c r="AA76">
        <v>1</v>
      </c>
      <c r="AB76" t="s">
        <v>57</v>
      </c>
      <c r="AC76" t="s">
        <v>155</v>
      </c>
    </row>
    <row r="77" spans="1:32" x14ac:dyDescent="0.25">
      <c r="A77">
        <v>2003</v>
      </c>
      <c r="B77" t="s">
        <v>147</v>
      </c>
      <c r="C77" t="s">
        <v>108</v>
      </c>
      <c r="D77" t="s">
        <v>30</v>
      </c>
      <c r="E77" t="s">
        <v>226</v>
      </c>
      <c r="F77" t="s">
        <v>233</v>
      </c>
      <c r="G77">
        <v>1838</v>
      </c>
      <c r="H77" t="s">
        <v>228</v>
      </c>
      <c r="I77" t="s">
        <v>215</v>
      </c>
      <c r="J77">
        <v>0.28610000000000002</v>
      </c>
      <c r="K77">
        <v>0.111757813</v>
      </c>
      <c r="L77">
        <v>5.01</v>
      </c>
      <c r="M77">
        <v>1838</v>
      </c>
      <c r="N77">
        <v>20</v>
      </c>
      <c r="O77">
        <v>1817</v>
      </c>
      <c r="P77">
        <v>0.116729631</v>
      </c>
      <c r="Q77">
        <v>0.11726418700000001</v>
      </c>
      <c r="R77">
        <v>2.3344360000000001E-2</v>
      </c>
      <c r="S77">
        <v>0.16301913200000001</v>
      </c>
      <c r="T77">
        <v>7.1509242000000001E-2</v>
      </c>
      <c r="U77">
        <v>2.3013736E-2</v>
      </c>
      <c r="V77">
        <v>5.3700000000000004E-4</v>
      </c>
      <c r="W77">
        <v>0.117781764</v>
      </c>
      <c r="X77">
        <v>0.115677499</v>
      </c>
      <c r="Y77" t="s">
        <v>238</v>
      </c>
      <c r="Z77" t="s">
        <v>239</v>
      </c>
      <c r="AA77">
        <v>1</v>
      </c>
      <c r="AB77" t="s">
        <v>57</v>
      </c>
      <c r="AC77" t="s">
        <v>155</v>
      </c>
    </row>
    <row r="78" spans="1:32" x14ac:dyDescent="0.25">
      <c r="A78">
        <v>2015</v>
      </c>
      <c r="B78" t="s">
        <v>156</v>
      </c>
      <c r="C78" t="s">
        <v>108</v>
      </c>
      <c r="D78" t="s">
        <v>240</v>
      </c>
      <c r="E78" t="s">
        <v>241</v>
      </c>
      <c r="F78" t="s">
        <v>242</v>
      </c>
      <c r="G78">
        <v>38168</v>
      </c>
      <c r="H78" t="s">
        <v>243</v>
      </c>
      <c r="I78" t="s">
        <v>244</v>
      </c>
      <c r="J78">
        <v>-3.2000000000000001E-2</v>
      </c>
      <c r="K78">
        <v>5.0000000000000001E-3</v>
      </c>
      <c r="L78">
        <v>-6.4</v>
      </c>
      <c r="M78">
        <v>38168</v>
      </c>
      <c r="N78">
        <v>3000</v>
      </c>
      <c r="O78">
        <v>35167</v>
      </c>
      <c r="P78">
        <v>-3.4108258000000002E-2</v>
      </c>
      <c r="Q78">
        <v>-3.4121494000000002E-2</v>
      </c>
      <c r="R78">
        <v>5.1187910000000001E-3</v>
      </c>
      <c r="S78">
        <v>-2.4088664999999999E-2</v>
      </c>
      <c r="T78">
        <v>-4.4154324000000002E-2</v>
      </c>
      <c r="U78">
        <v>5.1127020000000002E-3</v>
      </c>
      <c r="V78">
        <v>2.62E-5</v>
      </c>
      <c r="W78">
        <v>-3.4056965000000002E-2</v>
      </c>
      <c r="X78">
        <v>-3.4159551000000003E-2</v>
      </c>
      <c r="Y78" t="s">
        <v>245</v>
      </c>
      <c r="Z78" t="s">
        <v>246</v>
      </c>
      <c r="AA78">
        <v>1</v>
      </c>
      <c r="AB78" t="s">
        <v>51</v>
      </c>
      <c r="AC78" t="s">
        <v>247</v>
      </c>
    </row>
    <row r="79" spans="1:32" x14ac:dyDescent="0.25">
      <c r="A79">
        <v>1948</v>
      </c>
      <c r="B79" t="s">
        <v>156</v>
      </c>
      <c r="C79" t="s">
        <v>106</v>
      </c>
      <c r="D79" t="s">
        <v>240</v>
      </c>
      <c r="E79" t="s">
        <v>248</v>
      </c>
      <c r="F79" t="s">
        <v>249</v>
      </c>
      <c r="G79">
        <v>3172</v>
      </c>
      <c r="H79" t="s">
        <v>169</v>
      </c>
      <c r="I79" t="s">
        <v>250</v>
      </c>
      <c r="J79">
        <v>-0.6</v>
      </c>
      <c r="K79">
        <v>7.0000000000000007E-2</v>
      </c>
      <c r="L79">
        <v>-8.5731999999999999</v>
      </c>
      <c r="M79">
        <v>100</v>
      </c>
      <c r="N79">
        <v>1</v>
      </c>
      <c r="O79">
        <v>98</v>
      </c>
      <c r="P79">
        <v>-0.65465305500000004</v>
      </c>
      <c r="Q79">
        <v>-0.78339854200000003</v>
      </c>
      <c r="R79">
        <v>0.10153461699999999</v>
      </c>
      <c r="S79">
        <v>-0.58439069300000002</v>
      </c>
      <c r="T79">
        <v>-0.98240638999999996</v>
      </c>
      <c r="U79">
        <v>5.7430812999999997E-2</v>
      </c>
      <c r="V79">
        <v>5.7400000000000003E-3</v>
      </c>
      <c r="W79">
        <v>-0.64339661599999998</v>
      </c>
      <c r="X79">
        <v>-0.66590949499999996</v>
      </c>
      <c r="Y79" t="s">
        <v>181</v>
      </c>
      <c r="Z79" t="s">
        <v>251</v>
      </c>
      <c r="AA79">
        <v>0</v>
      </c>
      <c r="AB79" t="s">
        <v>173</v>
      </c>
      <c r="AC79" t="s">
        <v>155</v>
      </c>
      <c r="AD79" t="s">
        <v>252</v>
      </c>
    </row>
    <row r="80" spans="1:32" x14ac:dyDescent="0.25">
      <c r="A80">
        <v>1912</v>
      </c>
      <c r="B80" t="s">
        <v>156</v>
      </c>
      <c r="C80" t="s">
        <v>106</v>
      </c>
      <c r="D80" t="s">
        <v>253</v>
      </c>
      <c r="E80" t="s">
        <v>254</v>
      </c>
      <c r="F80" t="s">
        <v>255</v>
      </c>
      <c r="G80">
        <v>40000</v>
      </c>
      <c r="H80" t="s">
        <v>256</v>
      </c>
      <c r="I80" t="s">
        <v>257</v>
      </c>
      <c r="J80">
        <v>-0.34</v>
      </c>
      <c r="K80">
        <v>2.4967000000000001E-3</v>
      </c>
      <c r="L80">
        <v>-136.17975730000001</v>
      </c>
      <c r="M80">
        <v>30000</v>
      </c>
      <c r="N80">
        <v>1</v>
      </c>
      <c r="O80">
        <v>29998</v>
      </c>
      <c r="P80">
        <v>-0.61799999999999999</v>
      </c>
      <c r="Q80">
        <v>-0.72199999999999998</v>
      </c>
      <c r="R80">
        <v>5.7737910000000003E-3</v>
      </c>
      <c r="S80">
        <v>-0.71058681599999995</v>
      </c>
      <c r="T80">
        <v>-0.733220078</v>
      </c>
      <c r="U80">
        <v>3.567902E-3</v>
      </c>
      <c r="V80">
        <v>2.0599999999999999E-5</v>
      </c>
      <c r="W80">
        <v>-0.61804658199999996</v>
      </c>
      <c r="X80">
        <v>-0.61812733200000003</v>
      </c>
      <c r="Y80" t="s">
        <v>258</v>
      </c>
      <c r="Z80" t="s">
        <v>259</v>
      </c>
      <c r="AA80">
        <v>0</v>
      </c>
      <c r="AB80" t="s">
        <v>63</v>
      </c>
      <c r="AC80" t="s">
        <v>155</v>
      </c>
    </row>
    <row r="81" spans="1:31" x14ac:dyDescent="0.25">
      <c r="A81">
        <v>1930</v>
      </c>
      <c r="B81" t="s">
        <v>156</v>
      </c>
      <c r="C81" t="s">
        <v>106</v>
      </c>
      <c r="D81" t="s">
        <v>253</v>
      </c>
      <c r="E81" t="s">
        <v>260</v>
      </c>
      <c r="F81" t="s">
        <v>261</v>
      </c>
      <c r="G81">
        <v>809</v>
      </c>
      <c r="H81" t="s">
        <v>262</v>
      </c>
      <c r="I81" t="s">
        <v>263</v>
      </c>
      <c r="J81">
        <v>-0.66</v>
      </c>
      <c r="K81">
        <v>1.6747999999999999E-3</v>
      </c>
      <c r="L81">
        <v>-394.0769047</v>
      </c>
      <c r="M81">
        <v>100000</v>
      </c>
      <c r="N81">
        <v>1</v>
      </c>
      <c r="O81">
        <v>99998</v>
      </c>
      <c r="P81">
        <v>-0.77993814900000002</v>
      </c>
      <c r="Q81">
        <v>-1.045212622</v>
      </c>
      <c r="R81">
        <v>3.1623250000000001E-3</v>
      </c>
      <c r="S81">
        <v>-1.0390144649999999</v>
      </c>
      <c r="T81">
        <v>-1.0514107800000001</v>
      </c>
      <c r="U81">
        <v>1.238659E-3</v>
      </c>
      <c r="V81">
        <v>3.9199999999999997E-6</v>
      </c>
      <c r="W81">
        <v>-0.77993047100000001</v>
      </c>
      <c r="X81">
        <v>-0.77994582599999995</v>
      </c>
      <c r="Y81" t="s">
        <v>264</v>
      </c>
      <c r="Z81" t="s">
        <v>265</v>
      </c>
      <c r="AA81">
        <v>1</v>
      </c>
      <c r="AB81" t="s">
        <v>63</v>
      </c>
      <c r="AC81" t="s">
        <v>155</v>
      </c>
      <c r="AD81" t="s">
        <v>266</v>
      </c>
    </row>
    <row r="82" spans="1:31" x14ac:dyDescent="0.25">
      <c r="A82">
        <v>1983</v>
      </c>
      <c r="B82" t="s">
        <v>156</v>
      </c>
      <c r="C82" t="s">
        <v>107</v>
      </c>
      <c r="D82" t="s">
        <v>33</v>
      </c>
      <c r="E82" t="s">
        <v>267</v>
      </c>
      <c r="F82" t="s">
        <v>268</v>
      </c>
      <c r="G82">
        <v>40825</v>
      </c>
      <c r="H82" t="s">
        <v>269</v>
      </c>
      <c r="I82" t="s">
        <v>270</v>
      </c>
      <c r="M82">
        <v>40825</v>
      </c>
      <c r="P82">
        <v>0.46899999999999997</v>
      </c>
      <c r="Q82">
        <v>0.50800000000000001</v>
      </c>
      <c r="R82">
        <v>4.9494029999999998E-3</v>
      </c>
      <c r="S82">
        <v>0.51812066700000003</v>
      </c>
      <c r="T82">
        <v>0.49871900600000002</v>
      </c>
      <c r="U82">
        <v>3.8619650000000002E-3</v>
      </c>
      <c r="V82">
        <v>1.91E-5</v>
      </c>
      <c r="W82">
        <v>0.46875056100000001</v>
      </c>
      <c r="X82">
        <v>0.46867563499999998</v>
      </c>
      <c r="Y82" t="s">
        <v>271</v>
      </c>
      <c r="Z82" t="s">
        <v>272</v>
      </c>
      <c r="AA82">
        <v>1</v>
      </c>
      <c r="AB82" t="s">
        <v>57</v>
      </c>
      <c r="AC82" t="s">
        <v>155</v>
      </c>
    </row>
    <row r="83" spans="1:31" x14ac:dyDescent="0.25">
      <c r="A83">
        <v>1983</v>
      </c>
      <c r="B83" t="s">
        <v>156</v>
      </c>
      <c r="C83" t="s">
        <v>107</v>
      </c>
      <c r="D83" t="s">
        <v>33</v>
      </c>
      <c r="E83" t="s">
        <v>267</v>
      </c>
      <c r="F83" t="s">
        <v>268</v>
      </c>
      <c r="G83">
        <v>1696</v>
      </c>
      <c r="H83" t="s">
        <v>269</v>
      </c>
      <c r="I83" t="s">
        <v>273</v>
      </c>
      <c r="J83">
        <v>0.10299999999999999</v>
      </c>
      <c r="K83">
        <v>2.8000000000000001E-2</v>
      </c>
      <c r="L83">
        <v>3.6785714289999998</v>
      </c>
      <c r="M83">
        <v>1696</v>
      </c>
      <c r="N83">
        <v>29</v>
      </c>
      <c r="O83">
        <v>1666</v>
      </c>
      <c r="P83">
        <v>8.9760459000000001E-2</v>
      </c>
      <c r="Q83">
        <v>9.0002695999999993E-2</v>
      </c>
      <c r="R83">
        <v>2.4303650999999999E-2</v>
      </c>
      <c r="S83">
        <v>0.137637852</v>
      </c>
      <c r="T83">
        <v>4.2367540000000002E-2</v>
      </c>
      <c r="U83">
        <v>2.4093611000000001E-2</v>
      </c>
      <c r="V83">
        <v>5.8500000000000002E-4</v>
      </c>
      <c r="W83">
        <v>9.0907146999999994E-2</v>
      </c>
      <c r="X83">
        <v>8.8613771999999993E-2</v>
      </c>
      <c r="Y83" t="s">
        <v>274</v>
      </c>
      <c r="Z83" t="s">
        <v>275</v>
      </c>
      <c r="AA83">
        <v>1</v>
      </c>
      <c r="AB83" t="s">
        <v>57</v>
      </c>
      <c r="AC83" t="s">
        <v>155</v>
      </c>
    </row>
    <row r="84" spans="1:31" x14ac:dyDescent="0.25">
      <c r="A84">
        <v>1991</v>
      </c>
      <c r="B84" t="s">
        <v>156</v>
      </c>
      <c r="C84" t="s">
        <v>107</v>
      </c>
      <c r="D84" t="s">
        <v>33</v>
      </c>
      <c r="E84" t="s">
        <v>267</v>
      </c>
      <c r="F84" t="s">
        <v>268</v>
      </c>
      <c r="G84">
        <v>4225</v>
      </c>
      <c r="H84" t="s">
        <v>276</v>
      </c>
      <c r="I84" t="s">
        <v>277</v>
      </c>
      <c r="J84">
        <v>0.1891892</v>
      </c>
      <c r="K84">
        <v>6.2499000000000001E-3</v>
      </c>
      <c r="L84">
        <v>30.270756330000001</v>
      </c>
      <c r="M84">
        <v>4225</v>
      </c>
      <c r="N84">
        <v>1</v>
      </c>
      <c r="O84">
        <v>4223</v>
      </c>
      <c r="P84">
        <v>0.42199999999999999</v>
      </c>
      <c r="Q84">
        <v>0.45</v>
      </c>
      <c r="R84">
        <v>1.539008E-2</v>
      </c>
      <c r="S84">
        <v>0.48059262800000002</v>
      </c>
      <c r="T84">
        <v>0.42026351299999998</v>
      </c>
      <c r="U84">
        <v>1.2643100000000001E-2</v>
      </c>
      <c r="V84">
        <v>1.95E-4</v>
      </c>
      <c r="W84">
        <v>0.42263205399999998</v>
      </c>
      <c r="X84">
        <v>0.42186957800000002</v>
      </c>
      <c r="Y84" t="s">
        <v>278</v>
      </c>
      <c r="Z84" t="s">
        <v>279</v>
      </c>
      <c r="AA84">
        <v>0</v>
      </c>
      <c r="AB84" t="s">
        <v>54</v>
      </c>
      <c r="AC84" t="s">
        <v>155</v>
      </c>
    </row>
    <row r="85" spans="1:31" x14ac:dyDescent="0.25">
      <c r="A85">
        <v>1993</v>
      </c>
      <c r="B85" t="s">
        <v>156</v>
      </c>
      <c r="C85" t="s">
        <v>107</v>
      </c>
      <c r="D85" t="s">
        <v>33</v>
      </c>
      <c r="E85" t="s">
        <v>267</v>
      </c>
      <c r="F85" t="s">
        <v>268</v>
      </c>
      <c r="G85">
        <v>38000</v>
      </c>
      <c r="H85" t="s">
        <v>269</v>
      </c>
      <c r="I85" t="s">
        <v>270</v>
      </c>
      <c r="M85">
        <v>38000</v>
      </c>
      <c r="P85">
        <v>0.43366839099999999</v>
      </c>
      <c r="Q85">
        <v>0.46440597900000002</v>
      </c>
      <c r="R85">
        <v>5.130094E-3</v>
      </c>
      <c r="S85">
        <v>0.47446096399999999</v>
      </c>
      <c r="T85">
        <v>0.45435099400000001</v>
      </c>
      <c r="U85">
        <v>4.1651769999999999E-3</v>
      </c>
      <c r="V85">
        <v>2.1399999999999998E-5</v>
      </c>
      <c r="W85">
        <v>0.43371027000000001</v>
      </c>
      <c r="X85">
        <v>0.43362651099999999</v>
      </c>
      <c r="Y85" t="s">
        <v>271</v>
      </c>
      <c r="Z85" t="s">
        <v>272</v>
      </c>
      <c r="AA85">
        <v>1</v>
      </c>
      <c r="AB85" t="s">
        <v>57</v>
      </c>
      <c r="AC85" t="s">
        <v>155</v>
      </c>
    </row>
    <row r="86" spans="1:31" x14ac:dyDescent="0.25">
      <c r="A86">
        <v>1997</v>
      </c>
      <c r="B86" t="s">
        <v>156</v>
      </c>
      <c r="C86" t="s">
        <v>107</v>
      </c>
      <c r="D86" t="s">
        <v>33</v>
      </c>
      <c r="E86" t="s">
        <v>267</v>
      </c>
      <c r="F86" t="s">
        <v>268</v>
      </c>
      <c r="G86">
        <v>45549</v>
      </c>
      <c r="H86" t="s">
        <v>269</v>
      </c>
      <c r="I86" t="s">
        <v>270</v>
      </c>
      <c r="M86">
        <v>45549</v>
      </c>
      <c r="P86">
        <v>0.403680131</v>
      </c>
      <c r="Q86">
        <v>0.42803775700000002</v>
      </c>
      <c r="R86">
        <v>4.6857039999999997E-3</v>
      </c>
      <c r="S86">
        <v>0.43722173800000003</v>
      </c>
      <c r="T86">
        <v>0.41885377699999998</v>
      </c>
      <c r="U86">
        <v>3.9220469999999997E-3</v>
      </c>
      <c r="V86">
        <v>1.84E-5</v>
      </c>
      <c r="W86">
        <v>0.40371614900000002</v>
      </c>
      <c r="X86">
        <v>0.403644112</v>
      </c>
      <c r="Y86" t="s">
        <v>271</v>
      </c>
      <c r="Z86" t="s">
        <v>272</v>
      </c>
      <c r="AA86">
        <v>1</v>
      </c>
      <c r="AB86" t="s">
        <v>57</v>
      </c>
      <c r="AC86" t="s">
        <v>155</v>
      </c>
    </row>
    <row r="87" spans="1:31" x14ac:dyDescent="0.25">
      <c r="A87">
        <v>2014</v>
      </c>
      <c r="B87" t="s">
        <v>156</v>
      </c>
      <c r="C87" t="s">
        <v>108</v>
      </c>
      <c r="D87" t="s">
        <v>33</v>
      </c>
      <c r="E87" t="s">
        <v>267</v>
      </c>
      <c r="F87" t="s">
        <v>268</v>
      </c>
      <c r="G87">
        <v>142700</v>
      </c>
      <c r="H87" t="s">
        <v>269</v>
      </c>
      <c r="I87" t="s">
        <v>280</v>
      </c>
      <c r="J87">
        <v>2.4169999999999998</v>
      </c>
      <c r="K87">
        <v>0.05</v>
      </c>
      <c r="L87">
        <v>48.34</v>
      </c>
      <c r="M87">
        <v>142700</v>
      </c>
      <c r="N87">
        <v>28</v>
      </c>
      <c r="O87">
        <v>142671</v>
      </c>
      <c r="P87">
        <v>0.12694366400000001</v>
      </c>
      <c r="Q87">
        <v>0.12763221999999999</v>
      </c>
      <c r="R87">
        <v>2.6472359999999999E-3</v>
      </c>
      <c r="S87">
        <v>0.13282080199999999</v>
      </c>
      <c r="T87">
        <v>0.12244363900000001</v>
      </c>
      <c r="U87">
        <v>2.6045579999999999E-3</v>
      </c>
      <c r="V87">
        <v>6.8900000000000001E-6</v>
      </c>
      <c r="W87">
        <v>0.126957178</v>
      </c>
      <c r="X87">
        <v>0.12693015099999999</v>
      </c>
      <c r="Y87" t="s">
        <v>281</v>
      </c>
      <c r="Z87" t="s">
        <v>282</v>
      </c>
      <c r="AA87">
        <v>1</v>
      </c>
      <c r="AB87" t="s">
        <v>57</v>
      </c>
      <c r="AC87" t="s">
        <v>155</v>
      </c>
      <c r="AE87">
        <v>1</v>
      </c>
    </row>
    <row r="88" spans="1:31" x14ac:dyDescent="0.25">
      <c r="A88">
        <v>2014</v>
      </c>
      <c r="B88" t="s">
        <v>156</v>
      </c>
      <c r="C88" t="s">
        <v>108</v>
      </c>
      <c r="D88" t="s">
        <v>33</v>
      </c>
      <c r="E88" t="s">
        <v>267</v>
      </c>
      <c r="F88" t="s">
        <v>268</v>
      </c>
      <c r="G88">
        <v>142700</v>
      </c>
      <c r="H88" t="s">
        <v>269</v>
      </c>
      <c r="I88" t="s">
        <v>280</v>
      </c>
      <c r="J88">
        <v>3.7719999999999998</v>
      </c>
      <c r="K88">
        <v>0.105</v>
      </c>
      <c r="L88">
        <v>35.923809519999999</v>
      </c>
      <c r="M88">
        <v>128422</v>
      </c>
      <c r="N88">
        <v>28</v>
      </c>
      <c r="O88">
        <v>128393</v>
      </c>
      <c r="P88">
        <v>9.9756221000000006E-2</v>
      </c>
      <c r="Q88">
        <v>0.10008911299999999</v>
      </c>
      <c r="R88">
        <v>2.7905209999999998E-3</v>
      </c>
      <c r="S88">
        <v>0.105558535</v>
      </c>
      <c r="T88">
        <v>9.4619691000000006E-2</v>
      </c>
      <c r="U88">
        <v>2.762731E-3</v>
      </c>
      <c r="V88">
        <v>7.7100000000000007E-6</v>
      </c>
      <c r="W88">
        <v>9.9771332000000004E-2</v>
      </c>
      <c r="X88">
        <v>9.9741110999999993E-2</v>
      </c>
      <c r="Y88" t="s">
        <v>283</v>
      </c>
      <c r="Z88" t="s">
        <v>282</v>
      </c>
      <c r="AA88">
        <v>1</v>
      </c>
      <c r="AB88" t="s">
        <v>57</v>
      </c>
      <c r="AC88" t="s">
        <v>155</v>
      </c>
    </row>
    <row r="89" spans="1:31" x14ac:dyDescent="0.25">
      <c r="A89">
        <v>2016</v>
      </c>
      <c r="B89" t="s">
        <v>156</v>
      </c>
      <c r="C89" t="s">
        <v>108</v>
      </c>
      <c r="D89" t="s">
        <v>33</v>
      </c>
      <c r="E89" t="s">
        <v>267</v>
      </c>
      <c r="F89" t="s">
        <v>268</v>
      </c>
      <c r="G89">
        <v>142700</v>
      </c>
      <c r="H89" t="s">
        <v>269</v>
      </c>
      <c r="I89" t="s">
        <v>284</v>
      </c>
      <c r="J89">
        <v>6.1619999999999999</v>
      </c>
      <c r="K89">
        <v>0.125</v>
      </c>
      <c r="L89">
        <v>49.295999999999999</v>
      </c>
      <c r="M89">
        <v>105116</v>
      </c>
      <c r="N89">
        <v>28</v>
      </c>
      <c r="O89">
        <v>105087</v>
      </c>
      <c r="P89">
        <v>0.15033943699999999</v>
      </c>
      <c r="Q89">
        <v>0.151487704</v>
      </c>
      <c r="R89">
        <v>3.0844079999999999E-3</v>
      </c>
      <c r="S89">
        <v>0.15753314299999999</v>
      </c>
      <c r="T89">
        <v>0.14544226499999999</v>
      </c>
      <c r="U89">
        <v>3.0146650000000001E-3</v>
      </c>
      <c r="V89">
        <v>9.3000000000000007E-6</v>
      </c>
      <c r="W89">
        <v>0.150357661</v>
      </c>
      <c r="X89">
        <v>0.15032121200000001</v>
      </c>
      <c r="Y89" t="s">
        <v>285</v>
      </c>
      <c r="Z89" t="s">
        <v>282</v>
      </c>
      <c r="AA89">
        <v>1</v>
      </c>
      <c r="AB89" t="s">
        <v>57</v>
      </c>
      <c r="AC89" t="s">
        <v>155</v>
      </c>
    </row>
    <row r="90" spans="1:31" x14ac:dyDescent="0.25">
      <c r="A90">
        <v>2021</v>
      </c>
      <c r="B90" t="s">
        <v>156</v>
      </c>
      <c r="C90" t="s">
        <v>108</v>
      </c>
      <c r="D90" t="s">
        <v>33</v>
      </c>
      <c r="E90" t="s">
        <v>267</v>
      </c>
      <c r="F90" t="s">
        <v>268</v>
      </c>
      <c r="G90">
        <v>23807</v>
      </c>
      <c r="H90" t="s">
        <v>276</v>
      </c>
      <c r="I90" t="s">
        <v>277</v>
      </c>
      <c r="J90">
        <v>0.1500573</v>
      </c>
      <c r="K90">
        <v>2.4535999999999998E-3</v>
      </c>
      <c r="L90">
        <v>61.158012720000002</v>
      </c>
      <c r="M90">
        <v>23807</v>
      </c>
      <c r="N90">
        <v>1</v>
      </c>
      <c r="O90">
        <v>23805</v>
      </c>
      <c r="P90">
        <v>0.36849329600000003</v>
      </c>
      <c r="Q90">
        <v>0.38667853699999999</v>
      </c>
      <c r="R90">
        <v>6.4814929999999996E-3</v>
      </c>
      <c r="S90">
        <v>0.39938226199999999</v>
      </c>
      <c r="T90">
        <v>0.37397481100000002</v>
      </c>
      <c r="U90">
        <v>5.6011530000000002E-3</v>
      </c>
      <c r="V90">
        <v>3.6300000000000001E-5</v>
      </c>
      <c r="W90">
        <v>0.36856444700000002</v>
      </c>
      <c r="X90">
        <v>0.36842214499999998</v>
      </c>
      <c r="Y90" t="s">
        <v>286</v>
      </c>
      <c r="Z90" t="s">
        <v>287</v>
      </c>
      <c r="AA90">
        <v>0</v>
      </c>
      <c r="AB90" t="s">
        <v>54</v>
      </c>
      <c r="AC90" t="s">
        <v>155</v>
      </c>
    </row>
    <row r="91" spans="1:31" x14ac:dyDescent="0.25">
      <c r="A91">
        <v>2022</v>
      </c>
      <c r="B91" t="s">
        <v>156</v>
      </c>
      <c r="C91" t="s">
        <v>108</v>
      </c>
      <c r="D91" t="s">
        <v>33</v>
      </c>
      <c r="E91" t="s">
        <v>288</v>
      </c>
      <c r="F91" t="s">
        <v>289</v>
      </c>
      <c r="G91">
        <v>18</v>
      </c>
      <c r="H91" t="s">
        <v>290</v>
      </c>
      <c r="I91" t="s">
        <v>291</v>
      </c>
      <c r="J91">
        <v>0.90625</v>
      </c>
      <c r="K91">
        <v>0.1499655</v>
      </c>
      <c r="L91">
        <v>6.0430565700000001</v>
      </c>
      <c r="M91">
        <v>36</v>
      </c>
      <c r="N91">
        <v>1</v>
      </c>
      <c r="O91">
        <v>34</v>
      </c>
      <c r="P91">
        <v>0.71962298499999999</v>
      </c>
      <c r="Q91">
        <v>0.90686258500000005</v>
      </c>
      <c r="R91">
        <v>0.174077656</v>
      </c>
      <c r="S91">
        <v>1.2480547900000001</v>
      </c>
      <c r="T91">
        <v>0.56567037899999995</v>
      </c>
      <c r="U91">
        <v>8.1497000999999999E-2</v>
      </c>
      <c r="V91">
        <v>1.3599999999999999E-2</v>
      </c>
      <c r="W91">
        <v>0.74624533800000004</v>
      </c>
      <c r="X91">
        <v>0.69300063099999998</v>
      </c>
      <c r="Y91" t="s">
        <v>292</v>
      </c>
      <c r="Z91" t="s">
        <v>293</v>
      </c>
      <c r="AA91">
        <v>0</v>
      </c>
      <c r="AB91" t="s">
        <v>63</v>
      </c>
      <c r="AC91" t="s">
        <v>155</v>
      </c>
    </row>
    <row r="92" spans="1:31" x14ac:dyDescent="0.25">
      <c r="A92">
        <v>2022</v>
      </c>
      <c r="B92" t="s">
        <v>156</v>
      </c>
      <c r="C92" t="s">
        <v>108</v>
      </c>
      <c r="D92" t="s">
        <v>33</v>
      </c>
      <c r="E92" t="s">
        <v>288</v>
      </c>
      <c r="F92" t="s">
        <v>289</v>
      </c>
      <c r="G92">
        <v>27</v>
      </c>
      <c r="H92" t="s">
        <v>294</v>
      </c>
      <c r="I92" t="s">
        <v>291</v>
      </c>
      <c r="J92">
        <v>0.5</v>
      </c>
      <c r="K92">
        <v>0.20801259999999999</v>
      </c>
      <c r="L92">
        <v>2.403700545</v>
      </c>
      <c r="M92">
        <v>54</v>
      </c>
      <c r="N92">
        <v>1</v>
      </c>
      <c r="O92">
        <v>52</v>
      </c>
      <c r="P92">
        <v>0.31622772999999998</v>
      </c>
      <c r="Q92">
        <v>0.32745011000000002</v>
      </c>
      <c r="R92">
        <v>0.14002800800000001</v>
      </c>
      <c r="S92">
        <v>0.60190500700000005</v>
      </c>
      <c r="T92">
        <v>5.2995213999999999E-2</v>
      </c>
      <c r="U92">
        <v>0.12362451100000001</v>
      </c>
      <c r="V92">
        <v>1.6799999999999999E-2</v>
      </c>
      <c r="W92">
        <v>0.349201133</v>
      </c>
      <c r="X92">
        <v>0.283254326</v>
      </c>
      <c r="Y92" t="s">
        <v>295</v>
      </c>
      <c r="Z92" t="s">
        <v>296</v>
      </c>
      <c r="AA92">
        <v>0</v>
      </c>
      <c r="AB92" t="s">
        <v>63</v>
      </c>
      <c r="AC92" t="s">
        <v>155</v>
      </c>
    </row>
    <row r="93" spans="1:31" x14ac:dyDescent="0.25">
      <c r="A93">
        <v>1951</v>
      </c>
      <c r="B93" t="s">
        <v>156</v>
      </c>
      <c r="C93" t="s">
        <v>106</v>
      </c>
      <c r="D93" t="s">
        <v>33</v>
      </c>
      <c r="E93" t="s">
        <v>297</v>
      </c>
      <c r="F93" t="s">
        <v>298</v>
      </c>
      <c r="G93">
        <v>30000</v>
      </c>
      <c r="H93" t="s">
        <v>299</v>
      </c>
      <c r="I93" t="s">
        <v>300</v>
      </c>
      <c r="J93">
        <v>-0.92</v>
      </c>
      <c r="K93">
        <v>1.6511E-3</v>
      </c>
      <c r="L93">
        <v>-557.20428809999999</v>
      </c>
      <c r="M93">
        <v>30000</v>
      </c>
      <c r="N93">
        <v>1</v>
      </c>
      <c r="O93">
        <v>29998</v>
      </c>
      <c r="P93">
        <v>-0.95493119100000001</v>
      </c>
      <c r="Q93">
        <v>-1.884959931</v>
      </c>
      <c r="R93">
        <v>5.7737910000000003E-3</v>
      </c>
      <c r="S93">
        <v>-1.873643299</v>
      </c>
      <c r="T93">
        <v>-1.8962765619999999</v>
      </c>
      <c r="U93">
        <v>5.0869100000000003E-4</v>
      </c>
      <c r="V93">
        <v>2.9399999999999998E-6</v>
      </c>
      <c r="W93">
        <v>-0.95492543399999996</v>
      </c>
      <c r="X93">
        <v>-0.95493694699999998</v>
      </c>
      <c r="Y93" t="s">
        <v>301</v>
      </c>
      <c r="Z93" t="s">
        <v>259</v>
      </c>
      <c r="AA93">
        <v>0</v>
      </c>
      <c r="AB93" t="s">
        <v>63</v>
      </c>
      <c r="AC93" t="s">
        <v>155</v>
      </c>
    </row>
    <row r="94" spans="1:31" x14ac:dyDescent="0.25">
      <c r="A94">
        <v>1952</v>
      </c>
      <c r="B94" t="s">
        <v>156</v>
      </c>
      <c r="C94" t="s">
        <v>106</v>
      </c>
      <c r="D94" t="s">
        <v>33</v>
      </c>
      <c r="E94" t="s">
        <v>297</v>
      </c>
      <c r="F94" t="s">
        <v>298</v>
      </c>
      <c r="G94">
        <v>30000</v>
      </c>
      <c r="H94" t="s">
        <v>299</v>
      </c>
      <c r="I94" t="s">
        <v>300</v>
      </c>
      <c r="J94">
        <v>-0.92</v>
      </c>
      <c r="K94">
        <v>1.6511E-3</v>
      </c>
      <c r="L94">
        <v>-557.20428809999999</v>
      </c>
      <c r="M94">
        <v>30000</v>
      </c>
      <c r="N94">
        <v>1</v>
      </c>
      <c r="O94">
        <v>29998</v>
      </c>
      <c r="P94">
        <v>-0.95493119100000001</v>
      </c>
      <c r="Q94">
        <v>-1.884959931</v>
      </c>
      <c r="R94">
        <v>5.7737910000000003E-3</v>
      </c>
      <c r="S94">
        <v>-1.873643299</v>
      </c>
      <c r="T94">
        <v>-1.8962765619999999</v>
      </c>
      <c r="U94">
        <v>5.0869100000000003E-4</v>
      </c>
      <c r="V94">
        <v>2.9399999999999998E-6</v>
      </c>
      <c r="W94">
        <v>-0.95492543399999996</v>
      </c>
      <c r="X94">
        <v>-0.95493694699999998</v>
      </c>
      <c r="Y94" t="s">
        <v>301</v>
      </c>
      <c r="Z94" t="s">
        <v>259</v>
      </c>
      <c r="AA94">
        <v>0</v>
      </c>
      <c r="AB94" t="s">
        <v>63</v>
      </c>
      <c r="AC94" t="s">
        <v>155</v>
      </c>
    </row>
    <row r="95" spans="1:31" x14ac:dyDescent="0.25">
      <c r="A95">
        <v>1953</v>
      </c>
      <c r="B95" t="s">
        <v>156</v>
      </c>
      <c r="C95" t="s">
        <v>106</v>
      </c>
      <c r="D95" t="s">
        <v>33</v>
      </c>
      <c r="E95" t="s">
        <v>297</v>
      </c>
      <c r="F95" t="s">
        <v>298</v>
      </c>
      <c r="G95">
        <v>30000</v>
      </c>
      <c r="H95" t="s">
        <v>299</v>
      </c>
      <c r="I95" t="s">
        <v>300</v>
      </c>
      <c r="J95">
        <v>-0.92</v>
      </c>
      <c r="K95">
        <v>1.6511E-3</v>
      </c>
      <c r="L95">
        <v>-557.20428809999999</v>
      </c>
      <c r="M95">
        <v>30000</v>
      </c>
      <c r="N95">
        <v>1</v>
      </c>
      <c r="O95">
        <v>29998</v>
      </c>
      <c r="P95">
        <v>-0.95493119100000001</v>
      </c>
      <c r="Q95">
        <v>-1.884959931</v>
      </c>
      <c r="R95">
        <v>5.7737910000000003E-3</v>
      </c>
      <c r="S95">
        <v>-1.873643299</v>
      </c>
      <c r="T95">
        <v>-1.8962765619999999</v>
      </c>
      <c r="U95">
        <v>5.0869100000000003E-4</v>
      </c>
      <c r="V95">
        <v>2.9399999999999998E-6</v>
      </c>
      <c r="W95">
        <v>-0.95492543399999996</v>
      </c>
      <c r="X95">
        <v>-0.95493694699999998</v>
      </c>
      <c r="Y95" t="s">
        <v>301</v>
      </c>
      <c r="Z95" t="s">
        <v>259</v>
      </c>
      <c r="AA95">
        <v>0</v>
      </c>
      <c r="AB95" t="s">
        <v>63</v>
      </c>
      <c r="AC95" t="s">
        <v>155</v>
      </c>
    </row>
    <row r="96" spans="1:31" x14ac:dyDescent="0.25">
      <c r="A96">
        <v>1954</v>
      </c>
      <c r="B96" t="s">
        <v>156</v>
      </c>
      <c r="C96" t="s">
        <v>106</v>
      </c>
      <c r="D96" t="s">
        <v>33</v>
      </c>
      <c r="E96" t="s">
        <v>297</v>
      </c>
      <c r="F96" t="s">
        <v>298</v>
      </c>
      <c r="G96">
        <v>30000</v>
      </c>
      <c r="H96" t="s">
        <v>299</v>
      </c>
      <c r="I96" t="s">
        <v>300</v>
      </c>
      <c r="J96">
        <v>-0.92</v>
      </c>
      <c r="K96">
        <v>1.6511E-3</v>
      </c>
      <c r="L96">
        <v>-557.20428809999999</v>
      </c>
      <c r="M96">
        <v>30000</v>
      </c>
      <c r="N96">
        <v>1</v>
      </c>
      <c r="O96">
        <v>29998</v>
      </c>
      <c r="P96">
        <v>-0.95493119100000001</v>
      </c>
      <c r="Q96">
        <v>-1.884959931</v>
      </c>
      <c r="R96">
        <v>5.7737910000000003E-3</v>
      </c>
      <c r="S96">
        <v>-1.873643299</v>
      </c>
      <c r="T96">
        <v>-1.8962765619999999</v>
      </c>
      <c r="U96">
        <v>5.0869100000000003E-4</v>
      </c>
      <c r="V96">
        <v>2.9399999999999998E-6</v>
      </c>
      <c r="W96">
        <v>-0.95492543399999996</v>
      </c>
      <c r="X96">
        <v>-0.95493694699999998</v>
      </c>
      <c r="Y96" t="s">
        <v>301</v>
      </c>
      <c r="Z96" t="s">
        <v>259</v>
      </c>
      <c r="AA96">
        <v>0</v>
      </c>
      <c r="AB96" t="s">
        <v>63</v>
      </c>
      <c r="AC96" t="s">
        <v>155</v>
      </c>
    </row>
    <row r="97" spans="1:30" x14ac:dyDescent="0.25">
      <c r="A97">
        <v>1955</v>
      </c>
      <c r="B97" t="s">
        <v>156</v>
      </c>
      <c r="C97" t="s">
        <v>106</v>
      </c>
      <c r="D97" t="s">
        <v>33</v>
      </c>
      <c r="E97" t="s">
        <v>297</v>
      </c>
      <c r="F97" t="s">
        <v>298</v>
      </c>
      <c r="G97">
        <v>30000</v>
      </c>
      <c r="H97" t="s">
        <v>299</v>
      </c>
      <c r="I97" t="s">
        <v>300</v>
      </c>
      <c r="J97">
        <v>-0.92</v>
      </c>
      <c r="K97">
        <v>1.6511E-3</v>
      </c>
      <c r="L97">
        <v>-557.20428809999999</v>
      </c>
      <c r="M97">
        <v>30000</v>
      </c>
      <c r="N97">
        <v>1</v>
      </c>
      <c r="O97">
        <v>29998</v>
      </c>
      <c r="P97">
        <v>-0.95493119100000001</v>
      </c>
      <c r="Q97">
        <v>-1.884959931</v>
      </c>
      <c r="R97">
        <v>5.7737910000000003E-3</v>
      </c>
      <c r="S97">
        <v>-1.873643299</v>
      </c>
      <c r="T97">
        <v>-1.8962765619999999</v>
      </c>
      <c r="U97">
        <v>5.0869100000000003E-4</v>
      </c>
      <c r="V97">
        <v>2.9399999999999998E-6</v>
      </c>
      <c r="W97">
        <v>-0.95492543399999996</v>
      </c>
      <c r="X97">
        <v>-0.95493694699999998</v>
      </c>
      <c r="Y97" t="s">
        <v>301</v>
      </c>
      <c r="Z97" t="s">
        <v>259</v>
      </c>
      <c r="AA97">
        <v>0</v>
      </c>
      <c r="AB97" t="s">
        <v>63</v>
      </c>
      <c r="AC97" t="s">
        <v>155</v>
      </c>
    </row>
    <row r="98" spans="1:30" x14ac:dyDescent="0.25">
      <c r="A98">
        <v>1956</v>
      </c>
      <c r="B98" t="s">
        <v>156</v>
      </c>
      <c r="C98" t="s">
        <v>106</v>
      </c>
      <c r="D98" t="s">
        <v>33</v>
      </c>
      <c r="E98" t="s">
        <v>297</v>
      </c>
      <c r="F98" t="s">
        <v>298</v>
      </c>
      <c r="G98">
        <v>30000</v>
      </c>
      <c r="H98" t="s">
        <v>299</v>
      </c>
      <c r="I98" t="s">
        <v>300</v>
      </c>
      <c r="J98">
        <v>-0.92</v>
      </c>
      <c r="K98">
        <v>1.6511E-3</v>
      </c>
      <c r="L98">
        <v>-557.20428809999999</v>
      </c>
      <c r="M98">
        <v>30000</v>
      </c>
      <c r="N98">
        <v>1</v>
      </c>
      <c r="O98">
        <v>29998</v>
      </c>
      <c r="P98">
        <v>-0.95493119100000001</v>
      </c>
      <c r="Q98">
        <v>-1.884959931</v>
      </c>
      <c r="R98">
        <v>5.7737910000000003E-3</v>
      </c>
      <c r="S98">
        <v>-1.873643299</v>
      </c>
      <c r="T98">
        <v>-1.8962765619999999</v>
      </c>
      <c r="U98">
        <v>5.0869100000000003E-4</v>
      </c>
      <c r="V98">
        <v>2.9399999999999998E-6</v>
      </c>
      <c r="W98">
        <v>-0.95492543399999996</v>
      </c>
      <c r="X98">
        <v>-0.95493694699999998</v>
      </c>
      <c r="Y98" t="s">
        <v>301</v>
      </c>
      <c r="Z98" t="s">
        <v>259</v>
      </c>
      <c r="AA98">
        <v>0</v>
      </c>
      <c r="AB98" t="s">
        <v>63</v>
      </c>
      <c r="AC98" t="s">
        <v>155</v>
      </c>
    </row>
    <row r="99" spans="1:30" x14ac:dyDescent="0.25">
      <c r="A99">
        <v>1957</v>
      </c>
      <c r="B99" t="s">
        <v>156</v>
      </c>
      <c r="C99" t="s">
        <v>106</v>
      </c>
      <c r="D99" t="s">
        <v>33</v>
      </c>
      <c r="E99" t="s">
        <v>297</v>
      </c>
      <c r="F99" t="s">
        <v>298</v>
      </c>
      <c r="G99">
        <v>30000</v>
      </c>
      <c r="H99" t="s">
        <v>299</v>
      </c>
      <c r="I99" t="s">
        <v>300</v>
      </c>
      <c r="J99">
        <v>-0.92</v>
      </c>
      <c r="K99">
        <v>1.6511E-3</v>
      </c>
      <c r="L99">
        <v>-557.20428809999999</v>
      </c>
      <c r="M99">
        <v>30000</v>
      </c>
      <c r="N99">
        <v>1</v>
      </c>
      <c r="O99">
        <v>29998</v>
      </c>
      <c r="P99">
        <v>-0.95493119100000001</v>
      </c>
      <c r="Q99">
        <v>-1.884959931</v>
      </c>
      <c r="R99">
        <v>5.7737910000000003E-3</v>
      </c>
      <c r="S99">
        <v>-1.873643299</v>
      </c>
      <c r="T99">
        <v>-1.8962765619999999</v>
      </c>
      <c r="U99">
        <v>5.0869100000000003E-4</v>
      </c>
      <c r="V99">
        <v>2.9399999999999998E-6</v>
      </c>
      <c r="W99">
        <v>-0.95492543399999996</v>
      </c>
      <c r="X99">
        <v>-0.95493694699999998</v>
      </c>
      <c r="Y99" t="s">
        <v>301</v>
      </c>
      <c r="Z99" t="s">
        <v>259</v>
      </c>
      <c r="AA99">
        <v>0</v>
      </c>
      <c r="AB99" t="s">
        <v>63</v>
      </c>
      <c r="AC99" t="s">
        <v>155</v>
      </c>
    </row>
    <row r="100" spans="1:30" x14ac:dyDescent="0.25">
      <c r="A100">
        <v>1958</v>
      </c>
      <c r="B100" t="s">
        <v>156</v>
      </c>
      <c r="C100" t="s">
        <v>106</v>
      </c>
      <c r="D100" t="s">
        <v>33</v>
      </c>
      <c r="E100" t="s">
        <v>297</v>
      </c>
      <c r="F100" t="s">
        <v>298</v>
      </c>
      <c r="G100">
        <v>30000</v>
      </c>
      <c r="H100" t="s">
        <v>299</v>
      </c>
      <c r="I100" t="s">
        <v>300</v>
      </c>
      <c r="J100">
        <v>-0.92</v>
      </c>
      <c r="K100">
        <v>1.6511E-3</v>
      </c>
      <c r="L100">
        <v>-557.20428809999999</v>
      </c>
      <c r="M100">
        <v>30000</v>
      </c>
      <c r="N100">
        <v>1</v>
      </c>
      <c r="O100">
        <v>29998</v>
      </c>
      <c r="P100">
        <v>-0.95493119100000001</v>
      </c>
      <c r="Q100">
        <v>-1.884959931</v>
      </c>
      <c r="R100">
        <v>5.7737910000000003E-3</v>
      </c>
      <c r="S100">
        <v>-1.873643299</v>
      </c>
      <c r="T100">
        <v>-1.8962765619999999</v>
      </c>
      <c r="U100">
        <v>5.0869100000000003E-4</v>
      </c>
      <c r="V100">
        <v>2.9399999999999998E-6</v>
      </c>
      <c r="W100">
        <v>-0.95492543399999996</v>
      </c>
      <c r="X100">
        <v>-0.95493694699999998</v>
      </c>
      <c r="Y100" t="s">
        <v>301</v>
      </c>
      <c r="Z100" t="s">
        <v>259</v>
      </c>
      <c r="AA100">
        <v>0</v>
      </c>
      <c r="AB100" t="s">
        <v>63</v>
      </c>
      <c r="AC100" t="s">
        <v>155</v>
      </c>
    </row>
    <row r="101" spans="1:30" x14ac:dyDescent="0.25">
      <c r="A101">
        <v>1959</v>
      </c>
      <c r="B101" t="s">
        <v>156</v>
      </c>
      <c r="C101" t="s">
        <v>106</v>
      </c>
      <c r="D101" t="s">
        <v>33</v>
      </c>
      <c r="E101" t="s">
        <v>297</v>
      </c>
      <c r="F101" t="s">
        <v>298</v>
      </c>
      <c r="G101">
        <v>30000</v>
      </c>
      <c r="H101" t="s">
        <v>299</v>
      </c>
      <c r="I101" t="s">
        <v>300</v>
      </c>
      <c r="J101">
        <v>-0.92</v>
      </c>
      <c r="K101">
        <v>1.6511E-3</v>
      </c>
      <c r="L101">
        <v>-557.20428809999999</v>
      </c>
      <c r="M101">
        <v>30000</v>
      </c>
      <c r="N101">
        <v>1</v>
      </c>
      <c r="O101">
        <v>29998</v>
      </c>
      <c r="P101">
        <v>-0.95493119100000001</v>
      </c>
      <c r="Q101">
        <v>-1.884959931</v>
      </c>
      <c r="R101">
        <v>5.7737910000000003E-3</v>
      </c>
      <c r="S101">
        <v>-1.873643299</v>
      </c>
      <c r="T101">
        <v>-1.8962765619999999</v>
      </c>
      <c r="U101">
        <v>5.0869100000000003E-4</v>
      </c>
      <c r="V101">
        <v>2.9399999999999998E-6</v>
      </c>
      <c r="W101">
        <v>-0.95492543399999996</v>
      </c>
      <c r="X101">
        <v>-0.95493694699999998</v>
      </c>
      <c r="Y101" t="s">
        <v>301</v>
      </c>
      <c r="Z101" t="s">
        <v>259</v>
      </c>
      <c r="AA101">
        <v>0</v>
      </c>
      <c r="AB101" t="s">
        <v>63</v>
      </c>
      <c r="AC101" t="s">
        <v>155</v>
      </c>
    </row>
    <row r="102" spans="1:30" x14ac:dyDescent="0.25">
      <c r="A102">
        <v>1960</v>
      </c>
      <c r="B102" t="s">
        <v>156</v>
      </c>
      <c r="C102" t="s">
        <v>106</v>
      </c>
      <c r="D102" t="s">
        <v>33</v>
      </c>
      <c r="E102" t="s">
        <v>297</v>
      </c>
      <c r="F102" t="s">
        <v>298</v>
      </c>
      <c r="G102">
        <v>30000</v>
      </c>
      <c r="H102" t="s">
        <v>299</v>
      </c>
      <c r="I102" t="s">
        <v>300</v>
      </c>
      <c r="J102">
        <v>-0.46</v>
      </c>
      <c r="K102">
        <v>3.0333000000000001E-3</v>
      </c>
      <c r="L102">
        <v>-151.65001810000001</v>
      </c>
      <c r="M102">
        <v>30000</v>
      </c>
      <c r="N102">
        <v>1</v>
      </c>
      <c r="O102">
        <v>29998</v>
      </c>
      <c r="P102">
        <v>-0.65875213399999999</v>
      </c>
      <c r="Q102">
        <v>-0.79060589000000003</v>
      </c>
      <c r="R102">
        <v>5.7737910000000003E-3</v>
      </c>
      <c r="S102">
        <v>-0.77928925900000001</v>
      </c>
      <c r="T102">
        <v>-0.80192252100000005</v>
      </c>
      <c r="U102">
        <v>3.2681199999999998E-3</v>
      </c>
      <c r="V102">
        <v>1.8899999999999999E-5</v>
      </c>
      <c r="W102">
        <v>-0.65871515199999997</v>
      </c>
      <c r="X102">
        <v>-0.65878911699999998</v>
      </c>
      <c r="Y102" t="s">
        <v>301</v>
      </c>
      <c r="Z102" t="s">
        <v>259</v>
      </c>
      <c r="AA102">
        <v>0</v>
      </c>
      <c r="AB102" t="s">
        <v>63</v>
      </c>
      <c r="AC102" t="s">
        <v>155</v>
      </c>
    </row>
    <row r="103" spans="1:30" x14ac:dyDescent="0.25">
      <c r="A103">
        <v>1965</v>
      </c>
      <c r="B103" t="s">
        <v>156</v>
      </c>
      <c r="C103" t="s">
        <v>107</v>
      </c>
      <c r="D103" t="s">
        <v>33</v>
      </c>
      <c r="E103" t="s">
        <v>297</v>
      </c>
      <c r="F103" t="s">
        <v>298</v>
      </c>
      <c r="G103">
        <v>30000</v>
      </c>
      <c r="H103" t="s">
        <v>299</v>
      </c>
      <c r="I103" t="s">
        <v>300</v>
      </c>
      <c r="J103">
        <v>0</v>
      </c>
      <c r="K103">
        <v>0</v>
      </c>
      <c r="L103">
        <v>0</v>
      </c>
      <c r="M103">
        <v>30000</v>
      </c>
      <c r="N103">
        <v>1</v>
      </c>
      <c r="O103">
        <v>29998</v>
      </c>
      <c r="P103">
        <v>0</v>
      </c>
      <c r="Q103">
        <v>0</v>
      </c>
      <c r="R103">
        <v>5.7737910000000003E-3</v>
      </c>
      <c r="S103">
        <v>1.1316631000000001E-2</v>
      </c>
      <c r="T103">
        <v>-1.1316631000000001E-2</v>
      </c>
      <c r="U103">
        <v>5.7735989999999999E-3</v>
      </c>
      <c r="V103">
        <v>3.3300000000000003E-5</v>
      </c>
      <c r="W103">
        <v>6.5300000000000002E-5</v>
      </c>
      <c r="X103">
        <v>-6.5300000000000002E-5</v>
      </c>
      <c r="Y103" t="s">
        <v>302</v>
      </c>
      <c r="Z103" t="s">
        <v>259</v>
      </c>
      <c r="AA103">
        <v>0</v>
      </c>
      <c r="AB103" t="s">
        <v>63</v>
      </c>
      <c r="AC103" t="s">
        <v>155</v>
      </c>
    </row>
    <row r="104" spans="1:30" x14ac:dyDescent="0.25">
      <c r="A104">
        <v>1939</v>
      </c>
      <c r="B104" t="s">
        <v>147</v>
      </c>
      <c r="C104" t="s">
        <v>106</v>
      </c>
      <c r="D104" t="s">
        <v>33</v>
      </c>
      <c r="E104" t="s">
        <v>303</v>
      </c>
      <c r="F104" t="s">
        <v>304</v>
      </c>
      <c r="G104">
        <v>838</v>
      </c>
      <c r="H104" t="s">
        <v>305</v>
      </c>
      <c r="I104" t="s">
        <v>306</v>
      </c>
      <c r="J104">
        <v>0.47</v>
      </c>
      <c r="K104">
        <v>1.6636999999999999E-3</v>
      </c>
      <c r="L104">
        <v>282.50285509999998</v>
      </c>
      <c r="M104">
        <v>100000</v>
      </c>
      <c r="N104">
        <v>1</v>
      </c>
      <c r="O104">
        <v>99998</v>
      </c>
      <c r="P104">
        <v>0.66622498699999999</v>
      </c>
      <c r="Q104">
        <v>0.80392435299999998</v>
      </c>
      <c r="R104">
        <v>3.1623250000000001E-3</v>
      </c>
      <c r="S104">
        <v>0.81012251000000002</v>
      </c>
      <c r="T104">
        <v>0.79772619600000005</v>
      </c>
      <c r="U104">
        <v>1.7586909999999999E-3</v>
      </c>
      <c r="V104">
        <v>5.5600000000000001E-6</v>
      </c>
      <c r="W104">
        <v>0.66623588700000003</v>
      </c>
      <c r="X104">
        <v>0.66621408599999998</v>
      </c>
      <c r="Y104" t="s">
        <v>307</v>
      </c>
      <c r="Z104" t="s">
        <v>308</v>
      </c>
      <c r="AA104">
        <v>1</v>
      </c>
      <c r="AB104" t="s">
        <v>173</v>
      </c>
      <c r="AC104" t="s">
        <v>155</v>
      </c>
      <c r="AD104" t="s">
        <v>309</v>
      </c>
    </row>
    <row r="105" spans="1:30" x14ac:dyDescent="0.25">
      <c r="A105">
        <v>1990</v>
      </c>
      <c r="B105" t="s">
        <v>156</v>
      </c>
      <c r="C105" t="s">
        <v>107</v>
      </c>
      <c r="D105" t="s">
        <v>36</v>
      </c>
      <c r="E105" t="s">
        <v>310</v>
      </c>
      <c r="F105" t="s">
        <v>311</v>
      </c>
      <c r="G105">
        <v>2925</v>
      </c>
      <c r="H105" t="s">
        <v>312</v>
      </c>
      <c r="I105" t="s">
        <v>209</v>
      </c>
      <c r="J105">
        <v>-7.0000000000000001E-3</v>
      </c>
      <c r="K105">
        <v>-2.0958079999999998E-3</v>
      </c>
      <c r="L105">
        <v>3.34</v>
      </c>
      <c r="M105">
        <v>2925</v>
      </c>
      <c r="N105">
        <v>1</v>
      </c>
      <c r="O105">
        <v>2923</v>
      </c>
      <c r="P105">
        <v>6.1660195000000001E-2</v>
      </c>
      <c r="Q105">
        <v>6.1738517999999999E-2</v>
      </c>
      <c r="R105">
        <v>1.8499496000000001E-2</v>
      </c>
      <c r="S105">
        <v>9.7997529999999999E-2</v>
      </c>
      <c r="T105">
        <v>2.5479505999999999E-2</v>
      </c>
      <c r="U105">
        <v>1.8422857000000001E-2</v>
      </c>
      <c r="V105">
        <v>3.4099999999999999E-4</v>
      </c>
      <c r="W105">
        <v>6.2327846999999999E-2</v>
      </c>
      <c r="X105">
        <v>6.0992543000000003E-2</v>
      </c>
      <c r="Y105" t="s">
        <v>313</v>
      </c>
      <c r="Z105" t="s">
        <v>314</v>
      </c>
      <c r="AA105">
        <v>1</v>
      </c>
      <c r="AB105" t="s">
        <v>57</v>
      </c>
      <c r="AC105" t="s">
        <v>155</v>
      </c>
    </row>
    <row r="106" spans="1:30" x14ac:dyDescent="0.25">
      <c r="A106">
        <v>1999</v>
      </c>
      <c r="B106" t="s">
        <v>156</v>
      </c>
      <c r="C106" t="s">
        <v>107</v>
      </c>
      <c r="D106" t="s">
        <v>36</v>
      </c>
      <c r="E106" t="s">
        <v>310</v>
      </c>
      <c r="F106" t="s">
        <v>311</v>
      </c>
      <c r="G106">
        <v>567</v>
      </c>
      <c r="H106" t="s">
        <v>312</v>
      </c>
      <c r="I106" t="s">
        <v>209</v>
      </c>
      <c r="J106">
        <v>2.5700000000000001E-2</v>
      </c>
      <c r="K106">
        <v>0.28000000000000003</v>
      </c>
      <c r="L106">
        <v>9.1785714000000004E-2</v>
      </c>
      <c r="M106">
        <v>567</v>
      </c>
      <c r="N106">
        <v>1</v>
      </c>
      <c r="O106">
        <v>565</v>
      </c>
      <c r="P106">
        <v>3.8614249999999999E-3</v>
      </c>
      <c r="Q106">
        <v>3.8614439999999999E-3</v>
      </c>
      <c r="R106">
        <v>4.2107595999999997E-2</v>
      </c>
      <c r="S106">
        <v>8.6392333000000002E-2</v>
      </c>
      <c r="T106">
        <v>-7.8669444000000005E-2</v>
      </c>
      <c r="U106">
        <v>4.2032508000000003E-2</v>
      </c>
      <c r="V106">
        <v>1.7700000000000001E-3</v>
      </c>
      <c r="W106">
        <v>7.3212160000000002E-3</v>
      </c>
      <c r="X106">
        <v>4.01634E-4</v>
      </c>
      <c r="Y106" t="s">
        <v>315</v>
      </c>
      <c r="Z106" t="s">
        <v>316</v>
      </c>
      <c r="AA106">
        <v>1</v>
      </c>
      <c r="AB106" t="s">
        <v>57</v>
      </c>
      <c r="AC106" t="s">
        <v>155</v>
      </c>
    </row>
    <row r="107" spans="1:30" x14ac:dyDescent="0.25">
      <c r="A107">
        <v>2016</v>
      </c>
      <c r="B107" t="s">
        <v>156</v>
      </c>
      <c r="C107" t="s">
        <v>108</v>
      </c>
      <c r="D107" t="s">
        <v>36</v>
      </c>
      <c r="E107" t="s">
        <v>310</v>
      </c>
      <c r="F107" t="s">
        <v>311</v>
      </c>
      <c r="G107">
        <v>3982</v>
      </c>
      <c r="H107" t="s">
        <v>312</v>
      </c>
      <c r="I107" t="s">
        <v>209</v>
      </c>
      <c r="J107">
        <v>-2.2855799999999999E-2</v>
      </c>
      <c r="K107">
        <v>1.49158E-2</v>
      </c>
      <c r="L107">
        <v>-1.532321431</v>
      </c>
      <c r="M107">
        <v>3982</v>
      </c>
      <c r="N107">
        <v>1</v>
      </c>
      <c r="O107">
        <v>3980</v>
      </c>
      <c r="P107">
        <v>-2.4281766E-2</v>
      </c>
      <c r="Q107">
        <v>-2.4286539999999999E-2</v>
      </c>
      <c r="R107">
        <v>1.5853057E-2</v>
      </c>
      <c r="S107">
        <v>6.785452E-3</v>
      </c>
      <c r="T107">
        <v>-5.5358532000000002E-2</v>
      </c>
      <c r="U107">
        <v>1.583973E-2</v>
      </c>
      <c r="V107">
        <v>2.5099999999999998E-4</v>
      </c>
      <c r="W107">
        <v>-2.378978E-2</v>
      </c>
      <c r="X107">
        <v>-2.4773752999999999E-2</v>
      </c>
      <c r="Y107" t="s">
        <v>317</v>
      </c>
      <c r="Z107" t="s">
        <v>318</v>
      </c>
      <c r="AA107">
        <v>1</v>
      </c>
      <c r="AB107" t="s">
        <v>51</v>
      </c>
      <c r="AC107" t="s">
        <v>247</v>
      </c>
    </row>
    <row r="108" spans="1:30" x14ac:dyDescent="0.25">
      <c r="A108" t="s">
        <v>319</v>
      </c>
      <c r="B108" t="s">
        <v>156</v>
      </c>
      <c r="C108" t="s">
        <v>107</v>
      </c>
      <c r="D108" t="s">
        <v>36</v>
      </c>
      <c r="E108" t="s">
        <v>310</v>
      </c>
      <c r="F108" t="s">
        <v>311</v>
      </c>
      <c r="G108">
        <v>73000</v>
      </c>
      <c r="H108" t="s">
        <v>312</v>
      </c>
      <c r="I108" t="s">
        <v>209</v>
      </c>
      <c r="J108">
        <v>0.48337899499999998</v>
      </c>
      <c r="K108">
        <v>0.31695911799999998</v>
      </c>
      <c r="L108">
        <v>1.525051554</v>
      </c>
      <c r="M108">
        <v>73000</v>
      </c>
      <c r="N108">
        <v>1</v>
      </c>
      <c r="O108">
        <v>72998</v>
      </c>
      <c r="P108">
        <v>5.644456E-3</v>
      </c>
      <c r="Q108">
        <v>5.6445159999999996E-3</v>
      </c>
      <c r="R108">
        <v>3.701242E-3</v>
      </c>
      <c r="S108">
        <v>1.2898951000000001E-2</v>
      </c>
      <c r="T108">
        <v>-1.6099179999999999E-3</v>
      </c>
      <c r="U108">
        <v>3.701073E-3</v>
      </c>
      <c r="V108">
        <v>1.3699999999999999E-5</v>
      </c>
      <c r="W108">
        <v>5.6713049999999997E-3</v>
      </c>
      <c r="X108">
        <v>5.6176079999999996E-3</v>
      </c>
      <c r="Y108" t="s">
        <v>320</v>
      </c>
      <c r="Z108" t="s">
        <v>321</v>
      </c>
      <c r="AA108">
        <v>1</v>
      </c>
      <c r="AB108" t="s">
        <v>57</v>
      </c>
      <c r="AC108" t="s">
        <v>155</v>
      </c>
    </row>
    <row r="109" spans="1:30" x14ac:dyDescent="0.25">
      <c r="A109" t="s">
        <v>322</v>
      </c>
      <c r="B109" t="s">
        <v>156</v>
      </c>
      <c r="C109" t="s">
        <v>108</v>
      </c>
      <c r="D109" t="s">
        <v>36</v>
      </c>
      <c r="E109" t="s">
        <v>323</v>
      </c>
      <c r="F109" t="s">
        <v>324</v>
      </c>
      <c r="G109">
        <v>195158</v>
      </c>
      <c r="H109" t="s">
        <v>325</v>
      </c>
      <c r="I109" t="s">
        <v>326</v>
      </c>
      <c r="J109">
        <v>-8.9999999999999993E-3</v>
      </c>
      <c r="K109">
        <v>2E-3</v>
      </c>
      <c r="L109">
        <v>-4.5</v>
      </c>
      <c r="M109">
        <v>195158</v>
      </c>
      <c r="N109">
        <v>25</v>
      </c>
      <c r="O109">
        <v>195132</v>
      </c>
      <c r="P109">
        <v>-1.0186517000000001E-2</v>
      </c>
      <c r="Q109">
        <v>-1.0186870000000001E-2</v>
      </c>
      <c r="R109">
        <v>2.2636549999999998E-3</v>
      </c>
      <c r="S109">
        <v>-5.750107E-3</v>
      </c>
      <c r="T109">
        <v>-1.4623633E-2</v>
      </c>
      <c r="U109">
        <v>2.2634080000000002E-3</v>
      </c>
      <c r="V109">
        <v>5.1200000000000001E-6</v>
      </c>
      <c r="W109">
        <v>-1.0176475000000001E-2</v>
      </c>
      <c r="X109">
        <v>-1.019656E-2</v>
      </c>
      <c r="Y109" t="s">
        <v>327</v>
      </c>
      <c r="Z109" t="s">
        <v>328</v>
      </c>
      <c r="AA109">
        <v>1</v>
      </c>
      <c r="AB109" t="s">
        <v>57</v>
      </c>
      <c r="AC109" t="s">
        <v>155</v>
      </c>
    </row>
    <row r="110" spans="1:30" x14ac:dyDescent="0.25">
      <c r="A110" t="s">
        <v>329</v>
      </c>
      <c r="B110" t="s">
        <v>156</v>
      </c>
      <c r="C110" t="s">
        <v>108</v>
      </c>
      <c r="D110" t="s">
        <v>36</v>
      </c>
      <c r="E110" t="s">
        <v>323</v>
      </c>
      <c r="F110" t="s">
        <v>330</v>
      </c>
      <c r="G110">
        <v>345920</v>
      </c>
      <c r="H110" t="s">
        <v>325</v>
      </c>
      <c r="I110" t="s">
        <v>331</v>
      </c>
      <c r="J110">
        <v>-1.196E-3</v>
      </c>
      <c r="K110">
        <v>5.8184399999999998E-4</v>
      </c>
      <c r="L110">
        <v>-2.0555330000000001</v>
      </c>
      <c r="M110">
        <v>345920</v>
      </c>
      <c r="N110">
        <v>30</v>
      </c>
      <c r="O110">
        <v>345889</v>
      </c>
      <c r="P110">
        <v>-3.49505E-3</v>
      </c>
      <c r="Q110">
        <v>-3.495064E-3</v>
      </c>
      <c r="R110">
        <v>1.7002549999999999E-3</v>
      </c>
      <c r="S110">
        <v>-1.6256500000000001E-4</v>
      </c>
      <c r="T110">
        <v>-6.8275640000000004E-3</v>
      </c>
      <c r="U110">
        <v>1.7002289999999999E-3</v>
      </c>
      <c r="V110">
        <v>2.8899999999999999E-6</v>
      </c>
      <c r="W110">
        <v>-3.4893839999999999E-3</v>
      </c>
      <c r="X110">
        <v>-3.5007160000000001E-3</v>
      </c>
      <c r="Y110" t="s">
        <v>332</v>
      </c>
      <c r="Z110" t="s">
        <v>333</v>
      </c>
      <c r="AA110">
        <v>1</v>
      </c>
      <c r="AB110" t="s">
        <v>57</v>
      </c>
      <c r="AC110" t="s">
        <v>155</v>
      </c>
    </row>
    <row r="111" spans="1:30" x14ac:dyDescent="0.25">
      <c r="A111" t="s">
        <v>329</v>
      </c>
      <c r="B111" t="s">
        <v>156</v>
      </c>
      <c r="C111" t="s">
        <v>108</v>
      </c>
      <c r="D111" t="s">
        <v>36</v>
      </c>
      <c r="E111" t="s">
        <v>323</v>
      </c>
      <c r="F111" t="s">
        <v>334</v>
      </c>
      <c r="G111">
        <v>345920</v>
      </c>
      <c r="H111" t="s">
        <v>325</v>
      </c>
      <c r="I111" t="s">
        <v>335</v>
      </c>
      <c r="J111">
        <v>-0.32</v>
      </c>
      <c r="K111">
        <v>1.0585511000000001E-2</v>
      </c>
      <c r="L111">
        <v>-30.23</v>
      </c>
      <c r="M111">
        <v>345920</v>
      </c>
      <c r="N111">
        <v>30</v>
      </c>
      <c r="O111">
        <v>345889</v>
      </c>
      <c r="P111">
        <v>-5.133302E-2</v>
      </c>
      <c r="Q111">
        <v>-5.1378180000000002E-2</v>
      </c>
      <c r="R111">
        <v>1.7002549999999999E-3</v>
      </c>
      <c r="S111">
        <v>-4.8045681E-2</v>
      </c>
      <c r="T111">
        <v>-5.4710679999999998E-2</v>
      </c>
      <c r="U111">
        <v>1.6957700000000001E-3</v>
      </c>
      <c r="V111">
        <v>2.88E-6</v>
      </c>
      <c r="W111">
        <v>-5.1327368999999998E-2</v>
      </c>
      <c r="X111">
        <v>-5.1338671000000002E-2</v>
      </c>
      <c r="Y111" t="s">
        <v>332</v>
      </c>
      <c r="Z111" t="s">
        <v>333</v>
      </c>
      <c r="AA111">
        <v>1</v>
      </c>
      <c r="AB111" t="s">
        <v>57</v>
      </c>
      <c r="AC111" t="s">
        <v>336</v>
      </c>
    </row>
    <row r="112" spans="1:30" x14ac:dyDescent="0.25">
      <c r="A112">
        <v>2004</v>
      </c>
      <c r="B112" t="s">
        <v>147</v>
      </c>
      <c r="C112" t="s">
        <v>108</v>
      </c>
      <c r="D112" t="s">
        <v>36</v>
      </c>
      <c r="E112" t="s">
        <v>337</v>
      </c>
      <c r="F112" t="s">
        <v>338</v>
      </c>
      <c r="G112">
        <v>44279</v>
      </c>
      <c r="H112" t="s">
        <v>339</v>
      </c>
      <c r="I112" t="s">
        <v>339</v>
      </c>
      <c r="J112">
        <v>4.4999999999999998E-2</v>
      </c>
      <c r="K112">
        <v>8.0000000000000002E-3</v>
      </c>
      <c r="L112">
        <v>5.625</v>
      </c>
      <c r="M112">
        <v>44279</v>
      </c>
      <c r="N112">
        <v>17</v>
      </c>
      <c r="O112">
        <v>44261</v>
      </c>
      <c r="P112">
        <v>2.6727402000000001E-2</v>
      </c>
      <c r="Q112">
        <v>2.6733769000000001E-2</v>
      </c>
      <c r="R112">
        <v>4.7524309999999997E-3</v>
      </c>
      <c r="S112">
        <v>3.6048533000000001E-2</v>
      </c>
      <c r="T112">
        <v>1.7419003999999998E-2</v>
      </c>
      <c r="U112">
        <v>4.7489289999999998E-3</v>
      </c>
      <c r="V112">
        <v>2.26E-5</v>
      </c>
      <c r="W112">
        <v>2.6771634999999998E-2</v>
      </c>
      <c r="X112">
        <v>2.6683168E-2</v>
      </c>
      <c r="Y112" t="s">
        <v>340</v>
      </c>
      <c r="Z112" t="s">
        <v>341</v>
      </c>
      <c r="AA112">
        <v>1</v>
      </c>
      <c r="AB112" t="s">
        <v>57</v>
      </c>
      <c r="AC112" t="s">
        <v>155</v>
      </c>
    </row>
    <row r="113" spans="1:30" x14ac:dyDescent="0.25">
      <c r="A113">
        <v>1938</v>
      </c>
      <c r="B113" t="s">
        <v>156</v>
      </c>
      <c r="C113" t="s">
        <v>106</v>
      </c>
      <c r="D113" t="s">
        <v>36</v>
      </c>
      <c r="E113" t="s">
        <v>342</v>
      </c>
      <c r="F113" t="s">
        <v>343</v>
      </c>
      <c r="G113">
        <v>5146</v>
      </c>
      <c r="H113" t="s">
        <v>169</v>
      </c>
      <c r="I113" t="s">
        <v>209</v>
      </c>
      <c r="J113">
        <v>-0.82</v>
      </c>
      <c r="K113">
        <v>5.4899999999999997E-2</v>
      </c>
      <c r="L113">
        <v>-14.9406</v>
      </c>
      <c r="M113">
        <v>100</v>
      </c>
      <c r="N113">
        <v>1</v>
      </c>
      <c r="O113">
        <v>98</v>
      </c>
      <c r="P113">
        <v>-0.83361537600000002</v>
      </c>
      <c r="Q113">
        <v>-1.199871396</v>
      </c>
      <c r="R113">
        <v>0.10153461699999999</v>
      </c>
      <c r="S113">
        <v>-1.0008635480000001</v>
      </c>
      <c r="T113">
        <v>-1.398879245</v>
      </c>
      <c r="U113">
        <v>3.0662236999999998E-2</v>
      </c>
      <c r="V113">
        <v>3.0699999999999998E-3</v>
      </c>
      <c r="W113">
        <v>-0.82760557800000001</v>
      </c>
      <c r="X113">
        <v>-0.839625175</v>
      </c>
      <c r="Y113" t="s">
        <v>181</v>
      </c>
      <c r="Z113" t="s">
        <v>344</v>
      </c>
      <c r="AA113">
        <v>0</v>
      </c>
      <c r="AB113" t="s">
        <v>173</v>
      </c>
      <c r="AC113" t="s">
        <v>155</v>
      </c>
      <c r="AD113" t="s">
        <v>345</v>
      </c>
    </row>
    <row r="114" spans="1:30" x14ac:dyDescent="0.25">
      <c r="A114">
        <v>1958</v>
      </c>
      <c r="B114" t="s">
        <v>156</v>
      </c>
      <c r="C114" t="s">
        <v>106</v>
      </c>
      <c r="D114" t="s">
        <v>36</v>
      </c>
      <c r="E114" t="s">
        <v>342</v>
      </c>
      <c r="F114" t="s">
        <v>343</v>
      </c>
      <c r="G114">
        <v>4995</v>
      </c>
      <c r="H114" t="s">
        <v>169</v>
      </c>
      <c r="I114" t="s">
        <v>209</v>
      </c>
      <c r="J114">
        <v>-0.21</v>
      </c>
      <c r="K114">
        <v>1.4E-3</v>
      </c>
      <c r="L114">
        <v>-150</v>
      </c>
      <c r="M114">
        <v>100000</v>
      </c>
      <c r="N114">
        <v>1</v>
      </c>
      <c r="O114">
        <v>99998</v>
      </c>
      <c r="P114">
        <v>-0.42857492699999999</v>
      </c>
      <c r="Q114">
        <v>-0.45814965200000002</v>
      </c>
      <c r="R114">
        <v>3.1623250000000001E-3</v>
      </c>
      <c r="S114">
        <v>-0.45195149499999998</v>
      </c>
      <c r="T114">
        <v>-0.464347809</v>
      </c>
      <c r="U114">
        <v>2.5814549999999999E-3</v>
      </c>
      <c r="V114">
        <v>8.1599999999999998E-6</v>
      </c>
      <c r="W114">
        <v>-0.42855892699999998</v>
      </c>
      <c r="X114">
        <v>-0.42859092700000001</v>
      </c>
      <c r="Y114" t="s">
        <v>346</v>
      </c>
      <c r="Z114" t="s">
        <v>172</v>
      </c>
      <c r="AA114">
        <v>0</v>
      </c>
      <c r="AB114" t="s">
        <v>173</v>
      </c>
      <c r="AC114" t="s">
        <v>155</v>
      </c>
      <c r="AD114" t="s">
        <v>347</v>
      </c>
    </row>
    <row r="115" spans="1:30" x14ac:dyDescent="0.25">
      <c r="A115">
        <v>1963</v>
      </c>
      <c r="B115" t="s">
        <v>156</v>
      </c>
      <c r="C115" t="s">
        <v>106</v>
      </c>
      <c r="D115" t="s">
        <v>36</v>
      </c>
      <c r="E115" t="s">
        <v>342</v>
      </c>
      <c r="F115" t="s">
        <v>343</v>
      </c>
      <c r="G115">
        <v>7785</v>
      </c>
      <c r="H115" t="s">
        <v>169</v>
      </c>
      <c r="I115" t="s">
        <v>209</v>
      </c>
      <c r="J115">
        <v>-0.28000000000000003</v>
      </c>
      <c r="K115">
        <v>2E-3</v>
      </c>
      <c r="L115">
        <v>-140</v>
      </c>
      <c r="M115">
        <v>100000</v>
      </c>
      <c r="N115">
        <v>1</v>
      </c>
      <c r="O115">
        <v>99998</v>
      </c>
      <c r="P115">
        <v>-0.40482383700000002</v>
      </c>
      <c r="Q115">
        <v>-0.42940487900000002</v>
      </c>
      <c r="R115">
        <v>3.1623250000000001E-3</v>
      </c>
      <c r="S115">
        <v>-0.42320672199999998</v>
      </c>
      <c r="T115">
        <v>-0.435603036</v>
      </c>
      <c r="U115">
        <v>2.6440489999999999E-3</v>
      </c>
      <c r="V115">
        <v>8.3599999999999996E-6</v>
      </c>
      <c r="W115">
        <v>-0.40480744899999999</v>
      </c>
      <c r="X115">
        <v>-0.404840225</v>
      </c>
      <c r="Y115" t="s">
        <v>348</v>
      </c>
      <c r="Z115" t="s">
        <v>349</v>
      </c>
      <c r="AA115">
        <v>0</v>
      </c>
      <c r="AB115" t="s">
        <v>173</v>
      </c>
      <c r="AC115" t="s">
        <v>155</v>
      </c>
      <c r="AD115" t="s">
        <v>350</v>
      </c>
    </row>
    <row r="116" spans="1:30" x14ac:dyDescent="0.25">
      <c r="A116">
        <v>1968</v>
      </c>
      <c r="B116" t="s">
        <v>156</v>
      </c>
      <c r="C116" t="s">
        <v>107</v>
      </c>
      <c r="D116" t="s">
        <v>36</v>
      </c>
      <c r="E116" t="s">
        <v>342</v>
      </c>
      <c r="F116" t="s">
        <v>343</v>
      </c>
      <c r="G116">
        <v>7410</v>
      </c>
      <c r="H116" t="s">
        <v>169</v>
      </c>
      <c r="I116" t="s">
        <v>209</v>
      </c>
      <c r="J116">
        <v>-0.28000000000000003</v>
      </c>
      <c r="K116">
        <v>2E-3</v>
      </c>
      <c r="L116">
        <v>-140</v>
      </c>
      <c r="M116">
        <v>100000</v>
      </c>
      <c r="N116">
        <v>1</v>
      </c>
      <c r="O116">
        <v>99998</v>
      </c>
      <c r="P116">
        <v>-0.40482383700000002</v>
      </c>
      <c r="Q116">
        <v>-0.42940487900000002</v>
      </c>
      <c r="R116">
        <v>3.1623250000000001E-3</v>
      </c>
      <c r="S116">
        <v>-0.42320672199999998</v>
      </c>
      <c r="T116">
        <v>-0.435603036</v>
      </c>
      <c r="U116">
        <v>2.6440489999999999E-3</v>
      </c>
      <c r="V116">
        <v>8.3599999999999996E-6</v>
      </c>
      <c r="W116">
        <v>-0.40480744899999999</v>
      </c>
      <c r="X116">
        <v>-0.404840225</v>
      </c>
      <c r="Y116" t="s">
        <v>348</v>
      </c>
      <c r="Z116" t="s">
        <v>349</v>
      </c>
      <c r="AA116">
        <v>0</v>
      </c>
      <c r="AB116" t="s">
        <v>173</v>
      </c>
      <c r="AC116" t="s">
        <v>155</v>
      </c>
      <c r="AD116" t="s">
        <v>350</v>
      </c>
    </row>
    <row r="117" spans="1:30" x14ac:dyDescent="0.25">
      <c r="A117">
        <v>1970</v>
      </c>
      <c r="B117" t="s">
        <v>156</v>
      </c>
      <c r="C117" t="s">
        <v>107</v>
      </c>
      <c r="D117" t="s">
        <v>36</v>
      </c>
      <c r="E117" t="s">
        <v>342</v>
      </c>
      <c r="F117" t="s">
        <v>343</v>
      </c>
      <c r="G117">
        <v>8940</v>
      </c>
      <c r="H117" t="s">
        <v>169</v>
      </c>
      <c r="I117" t="s">
        <v>209</v>
      </c>
      <c r="J117">
        <v>-0.22</v>
      </c>
      <c r="K117">
        <v>1.9E-3</v>
      </c>
      <c r="L117">
        <v>-115.7894737</v>
      </c>
      <c r="M117">
        <v>100000</v>
      </c>
      <c r="N117">
        <v>1</v>
      </c>
      <c r="O117">
        <v>99998</v>
      </c>
      <c r="P117">
        <v>-0.34383698600000001</v>
      </c>
      <c r="Q117">
        <v>-0.35843748399999997</v>
      </c>
      <c r="R117">
        <v>3.1623250000000001E-3</v>
      </c>
      <c r="S117">
        <v>-0.35223932699999999</v>
      </c>
      <c r="T117">
        <v>-0.36463564100000001</v>
      </c>
      <c r="U117">
        <v>2.7884350000000001E-3</v>
      </c>
      <c r="V117">
        <v>8.8200000000000003E-6</v>
      </c>
      <c r="W117">
        <v>-0.34381970299999998</v>
      </c>
      <c r="X117">
        <v>-0.34385426899999999</v>
      </c>
      <c r="Y117" t="s">
        <v>348</v>
      </c>
      <c r="Z117" t="s">
        <v>349</v>
      </c>
      <c r="AA117">
        <v>0</v>
      </c>
      <c r="AB117" t="s">
        <v>173</v>
      </c>
      <c r="AC117" t="s">
        <v>155</v>
      </c>
      <c r="AD117" t="s">
        <v>350</v>
      </c>
    </row>
    <row r="118" spans="1:30" x14ac:dyDescent="0.25">
      <c r="A118">
        <v>1972</v>
      </c>
      <c r="B118" t="s">
        <v>156</v>
      </c>
      <c r="C118" t="s">
        <v>107</v>
      </c>
      <c r="D118" t="s">
        <v>36</v>
      </c>
      <c r="E118" t="s">
        <v>342</v>
      </c>
      <c r="F118" t="s">
        <v>343</v>
      </c>
      <c r="G118">
        <v>8065</v>
      </c>
      <c r="H118" t="s">
        <v>169</v>
      </c>
      <c r="I118" t="s">
        <v>209</v>
      </c>
      <c r="J118">
        <v>-0.19</v>
      </c>
      <c r="K118">
        <v>1.8E-3</v>
      </c>
      <c r="L118">
        <v>-105.55555560000001</v>
      </c>
      <c r="M118">
        <v>100000</v>
      </c>
      <c r="N118">
        <v>1</v>
      </c>
      <c r="O118">
        <v>99998</v>
      </c>
      <c r="P118">
        <v>-0.31662554300000001</v>
      </c>
      <c r="Q118">
        <v>-0.327892187</v>
      </c>
      <c r="R118">
        <v>3.1623250000000001E-3</v>
      </c>
      <c r="S118">
        <v>-0.32169403000000002</v>
      </c>
      <c r="T118">
        <v>-0.33409034399999998</v>
      </c>
      <c r="U118">
        <v>2.8452680000000002E-3</v>
      </c>
      <c r="V118">
        <v>9.0000000000000002E-6</v>
      </c>
      <c r="W118">
        <v>-0.31660790799999999</v>
      </c>
      <c r="X118">
        <v>-0.31664317800000003</v>
      </c>
      <c r="Y118" t="s">
        <v>348</v>
      </c>
      <c r="Z118" t="s">
        <v>349</v>
      </c>
      <c r="AA118">
        <v>0</v>
      </c>
      <c r="AB118" t="s">
        <v>173</v>
      </c>
      <c r="AC118" t="s">
        <v>155</v>
      </c>
      <c r="AD118" t="s">
        <v>350</v>
      </c>
    </row>
    <row r="119" spans="1:30" x14ac:dyDescent="0.25">
      <c r="A119">
        <v>1976</v>
      </c>
      <c r="B119" t="s">
        <v>156</v>
      </c>
      <c r="C119" t="s">
        <v>107</v>
      </c>
      <c r="D119" t="s">
        <v>36</v>
      </c>
      <c r="E119" t="s">
        <v>342</v>
      </c>
      <c r="F119" t="s">
        <v>343</v>
      </c>
      <c r="G119">
        <v>7495</v>
      </c>
      <c r="H119" t="s">
        <v>169</v>
      </c>
      <c r="I119" t="s">
        <v>209</v>
      </c>
      <c r="J119">
        <v>-0.19</v>
      </c>
      <c r="K119">
        <v>1.8E-3</v>
      </c>
      <c r="L119">
        <v>-105.55555560000001</v>
      </c>
      <c r="M119">
        <v>100000</v>
      </c>
      <c r="N119">
        <v>1</v>
      </c>
      <c r="O119">
        <v>99998</v>
      </c>
      <c r="P119">
        <v>-0.31662554300000001</v>
      </c>
      <c r="Q119">
        <v>-0.327892187</v>
      </c>
      <c r="R119">
        <v>3.1623250000000001E-3</v>
      </c>
      <c r="S119">
        <v>-0.32169403000000002</v>
      </c>
      <c r="T119">
        <v>-0.33409034399999998</v>
      </c>
      <c r="U119">
        <v>2.8452680000000002E-3</v>
      </c>
      <c r="V119">
        <v>9.0000000000000002E-6</v>
      </c>
      <c r="W119">
        <v>-0.31660790799999999</v>
      </c>
      <c r="X119">
        <v>-0.31664317800000003</v>
      </c>
      <c r="Y119" t="s">
        <v>348</v>
      </c>
      <c r="Z119" t="s">
        <v>349</v>
      </c>
      <c r="AA119">
        <v>0</v>
      </c>
      <c r="AB119" t="s">
        <v>173</v>
      </c>
      <c r="AC119" t="s">
        <v>155</v>
      </c>
      <c r="AD119" t="s">
        <v>350</v>
      </c>
    </row>
    <row r="120" spans="1:30" x14ac:dyDescent="0.25">
      <c r="A120">
        <v>1977</v>
      </c>
      <c r="B120" t="s">
        <v>156</v>
      </c>
      <c r="C120" t="s">
        <v>107</v>
      </c>
      <c r="D120" t="s">
        <v>36</v>
      </c>
      <c r="E120" t="s">
        <v>342</v>
      </c>
      <c r="F120" t="s">
        <v>343</v>
      </c>
      <c r="G120">
        <v>7650</v>
      </c>
      <c r="H120" t="s">
        <v>169</v>
      </c>
      <c r="I120" t="s">
        <v>209</v>
      </c>
      <c r="J120">
        <v>-0.21</v>
      </c>
      <c r="K120">
        <v>1.8E-3</v>
      </c>
      <c r="L120">
        <v>-116.66666669999999</v>
      </c>
      <c r="M120">
        <v>100000</v>
      </c>
      <c r="N120">
        <v>1</v>
      </c>
      <c r="O120">
        <v>99998</v>
      </c>
      <c r="P120">
        <v>-0.34613076999999998</v>
      </c>
      <c r="Q120">
        <v>-0.36104114199999998</v>
      </c>
      <c r="R120">
        <v>3.1623250000000001E-3</v>
      </c>
      <c r="S120">
        <v>-0.35484298399999997</v>
      </c>
      <c r="T120">
        <v>-0.36723929900000002</v>
      </c>
      <c r="U120">
        <v>2.7834299999999999E-3</v>
      </c>
      <c r="V120">
        <v>8.8000000000000004E-6</v>
      </c>
      <c r="W120">
        <v>-0.34611351800000001</v>
      </c>
      <c r="X120">
        <v>-0.346148022</v>
      </c>
      <c r="Y120" t="s">
        <v>348</v>
      </c>
      <c r="Z120" t="s">
        <v>349</v>
      </c>
      <c r="AA120">
        <v>0</v>
      </c>
      <c r="AB120" t="s">
        <v>173</v>
      </c>
      <c r="AC120" t="s">
        <v>155</v>
      </c>
      <c r="AD120" t="s">
        <v>350</v>
      </c>
    </row>
    <row r="121" spans="1:30" x14ac:dyDescent="0.25">
      <c r="A121">
        <v>1980</v>
      </c>
      <c r="B121" t="s">
        <v>156</v>
      </c>
      <c r="C121" t="s">
        <v>107</v>
      </c>
      <c r="D121" t="s">
        <v>36</v>
      </c>
      <c r="E121" t="s">
        <v>342</v>
      </c>
      <c r="F121" t="s">
        <v>343</v>
      </c>
      <c r="G121">
        <v>7340</v>
      </c>
      <c r="H121" t="s">
        <v>169</v>
      </c>
      <c r="I121" t="s">
        <v>209</v>
      </c>
      <c r="J121">
        <v>-0.15</v>
      </c>
      <c r="K121">
        <v>1.6000000000000001E-3</v>
      </c>
      <c r="L121">
        <v>-93.75</v>
      </c>
      <c r="M121">
        <v>100000</v>
      </c>
      <c r="N121">
        <v>1</v>
      </c>
      <c r="O121">
        <v>99998</v>
      </c>
      <c r="P121">
        <v>-0.28423833599999998</v>
      </c>
      <c r="Q121">
        <v>-0.29228692299999998</v>
      </c>
      <c r="R121">
        <v>3.1623250000000001E-3</v>
      </c>
      <c r="S121">
        <v>-0.28608876599999999</v>
      </c>
      <c r="T121">
        <v>-0.29848508000000001</v>
      </c>
      <c r="U121">
        <v>2.906807E-3</v>
      </c>
      <c r="V121">
        <v>9.1900000000000001E-6</v>
      </c>
      <c r="W121">
        <v>-0.284220319</v>
      </c>
      <c r="X121">
        <v>-0.28425635199999999</v>
      </c>
      <c r="Y121" t="s">
        <v>348</v>
      </c>
      <c r="Z121" t="s">
        <v>349</v>
      </c>
      <c r="AA121">
        <v>0</v>
      </c>
      <c r="AB121" t="s">
        <v>173</v>
      </c>
      <c r="AC121" t="s">
        <v>155</v>
      </c>
      <c r="AD121" t="s">
        <v>350</v>
      </c>
    </row>
    <row r="122" spans="1:30" x14ac:dyDescent="0.25">
      <c r="A122">
        <v>1982</v>
      </c>
      <c r="B122" t="s">
        <v>156</v>
      </c>
      <c r="C122" t="s">
        <v>107</v>
      </c>
      <c r="D122" t="s">
        <v>36</v>
      </c>
      <c r="E122" t="s">
        <v>342</v>
      </c>
      <c r="F122" t="s">
        <v>343</v>
      </c>
      <c r="G122">
        <v>7530</v>
      </c>
      <c r="H122" t="s">
        <v>169</v>
      </c>
      <c r="I122" t="s">
        <v>209</v>
      </c>
      <c r="J122">
        <v>-0.13</v>
      </c>
      <c r="K122">
        <v>1.5E-3</v>
      </c>
      <c r="L122">
        <v>-86.666666669999998</v>
      </c>
      <c r="M122">
        <v>100000</v>
      </c>
      <c r="N122">
        <v>1</v>
      </c>
      <c r="O122">
        <v>99998</v>
      </c>
      <c r="P122">
        <v>-0.26431965400000001</v>
      </c>
      <c r="Q122">
        <v>-0.27074686100000001</v>
      </c>
      <c r="R122">
        <v>3.1623250000000001E-3</v>
      </c>
      <c r="S122">
        <v>-0.26454870400000002</v>
      </c>
      <c r="T122">
        <v>-0.27694501799999999</v>
      </c>
      <c r="U122">
        <v>2.9413600000000001E-3</v>
      </c>
      <c r="V122">
        <v>9.3000000000000007E-6</v>
      </c>
      <c r="W122">
        <v>-0.26430142400000001</v>
      </c>
      <c r="X122">
        <v>-0.26433788499999999</v>
      </c>
      <c r="Y122" t="s">
        <v>348</v>
      </c>
      <c r="Z122" t="s">
        <v>349</v>
      </c>
      <c r="AA122">
        <v>0</v>
      </c>
      <c r="AB122" t="s">
        <v>173</v>
      </c>
      <c r="AC122" t="s">
        <v>155</v>
      </c>
      <c r="AD122" t="s">
        <v>350</v>
      </c>
    </row>
    <row r="123" spans="1:30" x14ac:dyDescent="0.25">
      <c r="A123">
        <v>1984</v>
      </c>
      <c r="B123" t="s">
        <v>156</v>
      </c>
      <c r="C123" t="s">
        <v>107</v>
      </c>
      <c r="D123" t="s">
        <v>36</v>
      </c>
      <c r="E123" t="s">
        <v>342</v>
      </c>
      <c r="F123" t="s">
        <v>343</v>
      </c>
      <c r="G123">
        <v>7365</v>
      </c>
      <c r="H123" t="s">
        <v>169</v>
      </c>
      <c r="I123" t="s">
        <v>209</v>
      </c>
      <c r="J123">
        <v>-0.12</v>
      </c>
      <c r="K123">
        <v>1.5E-3</v>
      </c>
      <c r="L123">
        <v>-80</v>
      </c>
      <c r="M123">
        <v>100000</v>
      </c>
      <c r="N123">
        <v>1</v>
      </c>
      <c r="O123">
        <v>99998</v>
      </c>
      <c r="P123">
        <v>-0.24525804100000001</v>
      </c>
      <c r="Q123">
        <v>-0.25036106699999999</v>
      </c>
      <c r="R123">
        <v>3.1623250000000001E-3</v>
      </c>
      <c r="S123">
        <v>-0.24416291000000001</v>
      </c>
      <c r="T123">
        <v>-0.25655922399999997</v>
      </c>
      <c r="U123">
        <v>2.9720770000000001E-3</v>
      </c>
      <c r="V123">
        <v>9.3999999999999998E-6</v>
      </c>
      <c r="W123">
        <v>-0.24523961999999999</v>
      </c>
      <c r="X123">
        <v>-0.245276462</v>
      </c>
      <c r="Y123" t="s">
        <v>348</v>
      </c>
      <c r="Z123" t="s">
        <v>349</v>
      </c>
      <c r="AA123">
        <v>0</v>
      </c>
      <c r="AB123" t="s">
        <v>173</v>
      </c>
      <c r="AC123" t="s">
        <v>155</v>
      </c>
      <c r="AD123" t="s">
        <v>350</v>
      </c>
    </row>
    <row r="124" spans="1:30" x14ac:dyDescent="0.25">
      <c r="A124">
        <v>1985</v>
      </c>
      <c r="B124" t="s">
        <v>156</v>
      </c>
      <c r="C124" t="s">
        <v>107</v>
      </c>
      <c r="D124" t="s">
        <v>36</v>
      </c>
      <c r="E124" t="s">
        <v>342</v>
      </c>
      <c r="F124" t="s">
        <v>343</v>
      </c>
      <c r="G124">
        <v>7670</v>
      </c>
      <c r="H124" t="s">
        <v>169</v>
      </c>
      <c r="I124" t="s">
        <v>209</v>
      </c>
      <c r="J124">
        <v>-0.13</v>
      </c>
      <c r="K124">
        <v>1.5E-3</v>
      </c>
      <c r="L124">
        <v>-86.666666669999998</v>
      </c>
      <c r="M124">
        <v>100000</v>
      </c>
      <c r="N124">
        <v>1</v>
      </c>
      <c r="O124">
        <v>99998</v>
      </c>
      <c r="P124">
        <v>-0.26431965400000001</v>
      </c>
      <c r="Q124">
        <v>-0.27074686100000001</v>
      </c>
      <c r="R124">
        <v>3.1623250000000001E-3</v>
      </c>
      <c r="S124">
        <v>-0.26454870400000002</v>
      </c>
      <c r="T124">
        <v>-0.27694501799999999</v>
      </c>
      <c r="U124">
        <v>2.9413600000000001E-3</v>
      </c>
      <c r="V124">
        <v>9.3000000000000007E-6</v>
      </c>
      <c r="W124">
        <v>-0.26430142400000001</v>
      </c>
      <c r="X124">
        <v>-0.26433788499999999</v>
      </c>
      <c r="Y124" t="s">
        <v>348</v>
      </c>
      <c r="Z124" t="s">
        <v>349</v>
      </c>
      <c r="AA124">
        <v>0</v>
      </c>
      <c r="AB124" t="s">
        <v>173</v>
      </c>
      <c r="AC124" t="s">
        <v>155</v>
      </c>
      <c r="AD124" t="s">
        <v>350</v>
      </c>
    </row>
    <row r="125" spans="1:30" x14ac:dyDescent="0.25">
      <c r="A125">
        <v>1987</v>
      </c>
      <c r="B125" t="s">
        <v>156</v>
      </c>
      <c r="C125" t="s">
        <v>107</v>
      </c>
      <c r="D125" t="s">
        <v>36</v>
      </c>
      <c r="E125" t="s">
        <v>342</v>
      </c>
      <c r="F125" t="s">
        <v>343</v>
      </c>
      <c r="G125">
        <v>7330</v>
      </c>
      <c r="H125" t="s">
        <v>169</v>
      </c>
      <c r="I125" t="s">
        <v>209</v>
      </c>
      <c r="J125">
        <v>-0.12</v>
      </c>
      <c r="K125">
        <v>1.5E-3</v>
      </c>
      <c r="L125">
        <v>-80</v>
      </c>
      <c r="M125">
        <v>100000</v>
      </c>
      <c r="N125">
        <v>1</v>
      </c>
      <c r="O125">
        <v>99998</v>
      </c>
      <c r="P125">
        <v>-0.24525804100000001</v>
      </c>
      <c r="Q125">
        <v>-0.25036106699999999</v>
      </c>
      <c r="R125">
        <v>3.1623250000000001E-3</v>
      </c>
      <c r="S125">
        <v>-0.24416291000000001</v>
      </c>
      <c r="T125">
        <v>-0.25655922399999997</v>
      </c>
      <c r="U125">
        <v>2.9720770000000001E-3</v>
      </c>
      <c r="V125">
        <v>9.3999999999999998E-6</v>
      </c>
      <c r="W125">
        <v>-0.24523961999999999</v>
      </c>
      <c r="X125">
        <v>-0.245276462</v>
      </c>
      <c r="Y125" t="s">
        <v>348</v>
      </c>
      <c r="Z125" t="s">
        <v>349</v>
      </c>
      <c r="AA125">
        <v>0</v>
      </c>
      <c r="AB125" t="s">
        <v>173</v>
      </c>
      <c r="AC125" t="s">
        <v>155</v>
      </c>
      <c r="AD125" t="s">
        <v>350</v>
      </c>
    </row>
    <row r="126" spans="1:30" x14ac:dyDescent="0.25">
      <c r="A126">
        <v>1988</v>
      </c>
      <c r="B126" t="s">
        <v>156</v>
      </c>
      <c r="C126" t="s">
        <v>107</v>
      </c>
      <c r="D126" t="s">
        <v>36</v>
      </c>
      <c r="E126" t="s">
        <v>342</v>
      </c>
      <c r="F126" t="s">
        <v>343</v>
      </c>
      <c r="G126">
        <v>7405</v>
      </c>
      <c r="H126" t="s">
        <v>169</v>
      </c>
      <c r="I126" t="s">
        <v>209</v>
      </c>
      <c r="J126">
        <v>-0.11</v>
      </c>
      <c r="K126">
        <v>1.4E-3</v>
      </c>
      <c r="L126">
        <v>-78.571428569999995</v>
      </c>
      <c r="M126">
        <v>100000</v>
      </c>
      <c r="N126">
        <v>1</v>
      </c>
      <c r="O126">
        <v>99998</v>
      </c>
      <c r="P126">
        <v>-0.24113526900000001</v>
      </c>
      <c r="Q126">
        <v>-0.245979119</v>
      </c>
      <c r="R126">
        <v>3.1623250000000001E-3</v>
      </c>
      <c r="S126">
        <v>-0.23978096099999999</v>
      </c>
      <c r="T126">
        <v>-0.25217727600000001</v>
      </c>
      <c r="U126">
        <v>2.978418E-3</v>
      </c>
      <c r="V126">
        <v>9.4199999999999996E-6</v>
      </c>
      <c r="W126">
        <v>-0.24111680799999999</v>
      </c>
      <c r="X126">
        <v>-0.24115372900000001</v>
      </c>
      <c r="Y126" t="s">
        <v>348</v>
      </c>
      <c r="Z126" t="s">
        <v>349</v>
      </c>
      <c r="AA126">
        <v>0</v>
      </c>
      <c r="AB126" t="s">
        <v>173</v>
      </c>
      <c r="AC126" t="s">
        <v>155</v>
      </c>
      <c r="AD126" t="s">
        <v>350</v>
      </c>
    </row>
    <row r="127" spans="1:30" x14ac:dyDescent="0.25">
      <c r="A127">
        <v>1989</v>
      </c>
      <c r="B127" t="s">
        <v>156</v>
      </c>
      <c r="C127" t="s">
        <v>107</v>
      </c>
      <c r="D127" t="s">
        <v>36</v>
      </c>
      <c r="E127" t="s">
        <v>342</v>
      </c>
      <c r="F127" t="s">
        <v>343</v>
      </c>
      <c r="G127">
        <v>7685</v>
      </c>
      <c r="H127" t="s">
        <v>169</v>
      </c>
      <c r="I127" t="s">
        <v>209</v>
      </c>
      <c r="J127">
        <v>-0.11</v>
      </c>
      <c r="K127">
        <v>1.4E-3</v>
      </c>
      <c r="L127">
        <v>-78.571428569999995</v>
      </c>
      <c r="M127">
        <v>100000</v>
      </c>
      <c r="N127">
        <v>1</v>
      </c>
      <c r="O127">
        <v>99998</v>
      </c>
      <c r="P127">
        <v>-0.24113526900000001</v>
      </c>
      <c r="Q127">
        <v>-0.245979119</v>
      </c>
      <c r="R127">
        <v>3.1623250000000001E-3</v>
      </c>
      <c r="S127">
        <v>-0.23978096099999999</v>
      </c>
      <c r="T127">
        <v>-0.25217727600000001</v>
      </c>
      <c r="U127">
        <v>2.978418E-3</v>
      </c>
      <c r="V127">
        <v>9.4199999999999996E-6</v>
      </c>
      <c r="W127">
        <v>-0.24111680799999999</v>
      </c>
      <c r="X127">
        <v>-0.24115372900000001</v>
      </c>
      <c r="Y127" t="s">
        <v>348</v>
      </c>
      <c r="Z127" t="s">
        <v>349</v>
      </c>
      <c r="AA127">
        <v>0</v>
      </c>
      <c r="AB127" t="s">
        <v>173</v>
      </c>
      <c r="AC127" t="s">
        <v>155</v>
      </c>
      <c r="AD127" t="s">
        <v>350</v>
      </c>
    </row>
    <row r="128" spans="1:30" x14ac:dyDescent="0.25">
      <c r="A128">
        <v>1990</v>
      </c>
      <c r="B128" t="s">
        <v>156</v>
      </c>
      <c r="C128" t="s">
        <v>107</v>
      </c>
      <c r="D128" t="s">
        <v>36</v>
      </c>
      <c r="E128" t="s">
        <v>342</v>
      </c>
      <c r="F128" t="s">
        <v>343</v>
      </c>
      <c r="G128">
        <v>6860</v>
      </c>
      <c r="H128" t="s">
        <v>169</v>
      </c>
      <c r="I128" t="s">
        <v>209</v>
      </c>
      <c r="J128">
        <v>-0.11</v>
      </c>
      <c r="K128">
        <v>1.4E-3</v>
      </c>
      <c r="L128">
        <v>-78.571428569999995</v>
      </c>
      <c r="M128">
        <v>100000</v>
      </c>
      <c r="N128">
        <v>1</v>
      </c>
      <c r="O128">
        <v>99998</v>
      </c>
      <c r="P128">
        <v>-0.24113526900000001</v>
      </c>
      <c r="Q128">
        <v>-0.245979119</v>
      </c>
      <c r="R128">
        <v>3.1623250000000001E-3</v>
      </c>
      <c r="S128">
        <v>-0.23978096099999999</v>
      </c>
      <c r="T128">
        <v>-0.25217727600000001</v>
      </c>
      <c r="U128">
        <v>2.978418E-3</v>
      </c>
      <c r="V128">
        <v>9.4199999999999996E-6</v>
      </c>
      <c r="W128">
        <v>-0.24111680799999999</v>
      </c>
      <c r="X128">
        <v>-0.24115372900000001</v>
      </c>
      <c r="Y128" t="s">
        <v>348</v>
      </c>
      <c r="Z128" t="s">
        <v>349</v>
      </c>
      <c r="AA128">
        <v>0</v>
      </c>
      <c r="AB128" t="s">
        <v>173</v>
      </c>
      <c r="AC128" t="s">
        <v>155</v>
      </c>
      <c r="AD128" t="s">
        <v>350</v>
      </c>
    </row>
    <row r="129" spans="1:30" x14ac:dyDescent="0.25">
      <c r="A129">
        <v>1991</v>
      </c>
      <c r="B129" t="s">
        <v>156</v>
      </c>
      <c r="C129" t="s">
        <v>107</v>
      </c>
      <c r="D129" t="s">
        <v>36</v>
      </c>
      <c r="E129" t="s">
        <v>342</v>
      </c>
      <c r="F129" t="s">
        <v>343</v>
      </c>
      <c r="G129">
        <v>7585</v>
      </c>
      <c r="H129" t="s">
        <v>169</v>
      </c>
      <c r="I129" t="s">
        <v>209</v>
      </c>
      <c r="J129">
        <v>-0.09</v>
      </c>
      <c r="K129">
        <v>1.2999999999999999E-3</v>
      </c>
      <c r="L129">
        <v>-69.230769230000007</v>
      </c>
      <c r="M129">
        <v>100000</v>
      </c>
      <c r="N129">
        <v>1</v>
      </c>
      <c r="O129">
        <v>99998</v>
      </c>
      <c r="P129">
        <v>-0.213863846</v>
      </c>
      <c r="Q129">
        <v>-0.21721690599999999</v>
      </c>
      <c r="R129">
        <v>3.1623250000000001E-3</v>
      </c>
      <c r="S129">
        <v>-0.21101874800000001</v>
      </c>
      <c r="T129">
        <v>-0.223415063</v>
      </c>
      <c r="U129">
        <v>3.017657E-3</v>
      </c>
      <c r="V129">
        <v>9.5400000000000001E-6</v>
      </c>
      <c r="W129">
        <v>-0.21384514299999999</v>
      </c>
      <c r="X129">
        <v>-0.21388255</v>
      </c>
      <c r="Y129" t="s">
        <v>348</v>
      </c>
      <c r="Z129" t="s">
        <v>349</v>
      </c>
      <c r="AA129">
        <v>0</v>
      </c>
      <c r="AB129" t="s">
        <v>173</v>
      </c>
      <c r="AC129" t="s">
        <v>155</v>
      </c>
      <c r="AD129" t="s">
        <v>350</v>
      </c>
    </row>
    <row r="130" spans="1:30" x14ac:dyDescent="0.25">
      <c r="A130">
        <v>1993</v>
      </c>
      <c r="B130" t="s">
        <v>156</v>
      </c>
      <c r="C130" t="s">
        <v>107</v>
      </c>
      <c r="D130" t="s">
        <v>36</v>
      </c>
      <c r="E130" t="s">
        <v>342</v>
      </c>
      <c r="F130" t="s">
        <v>343</v>
      </c>
      <c r="G130">
        <v>8030</v>
      </c>
      <c r="H130" t="s">
        <v>169</v>
      </c>
      <c r="I130" t="s">
        <v>209</v>
      </c>
      <c r="J130">
        <v>-7.0000000000000007E-2</v>
      </c>
      <c r="K130">
        <v>1.1000000000000001E-3</v>
      </c>
      <c r="L130">
        <v>-63.636363639999999</v>
      </c>
      <c r="M130">
        <v>100000</v>
      </c>
      <c r="N130">
        <v>1</v>
      </c>
      <c r="O130">
        <v>99998</v>
      </c>
      <c r="P130">
        <v>-0.19728285700000001</v>
      </c>
      <c r="Q130">
        <v>-0.199903791</v>
      </c>
      <c r="R130">
        <v>3.1623250000000001E-3</v>
      </c>
      <c r="S130">
        <v>-0.19370563299999999</v>
      </c>
      <c r="T130">
        <v>-0.20610194800000001</v>
      </c>
      <c r="U130">
        <v>3.0392150000000001E-3</v>
      </c>
      <c r="V130">
        <v>9.6099999999999995E-6</v>
      </c>
      <c r="W130">
        <v>-0.19726402000000001</v>
      </c>
      <c r="X130">
        <v>-0.197301694</v>
      </c>
      <c r="Y130" t="s">
        <v>348</v>
      </c>
      <c r="Z130" t="s">
        <v>349</v>
      </c>
      <c r="AA130">
        <v>0</v>
      </c>
      <c r="AB130" t="s">
        <v>173</v>
      </c>
      <c r="AC130" t="s">
        <v>155</v>
      </c>
      <c r="AD130" t="s">
        <v>350</v>
      </c>
    </row>
    <row r="131" spans="1:30" x14ac:dyDescent="0.25">
      <c r="A131">
        <v>1994</v>
      </c>
      <c r="B131" t="s">
        <v>156</v>
      </c>
      <c r="C131" t="s">
        <v>107</v>
      </c>
      <c r="D131" t="s">
        <v>36</v>
      </c>
      <c r="E131" t="s">
        <v>342</v>
      </c>
      <c r="F131" t="s">
        <v>343</v>
      </c>
      <c r="G131">
        <v>14960</v>
      </c>
      <c r="H131" t="s">
        <v>169</v>
      </c>
      <c r="I131" t="s">
        <v>209</v>
      </c>
      <c r="J131">
        <v>-0.08</v>
      </c>
      <c r="K131">
        <v>1.1999999999999999E-3</v>
      </c>
      <c r="L131">
        <v>-66.666666669999998</v>
      </c>
      <c r="M131">
        <v>100000</v>
      </c>
      <c r="N131">
        <v>1</v>
      </c>
      <c r="O131">
        <v>99998</v>
      </c>
      <c r="P131">
        <v>-0.20628622399999999</v>
      </c>
      <c r="Q131">
        <v>-0.20928938499999999</v>
      </c>
      <c r="R131">
        <v>3.1623250000000001E-3</v>
      </c>
      <c r="S131">
        <v>-0.20309122800000001</v>
      </c>
      <c r="T131">
        <v>-0.215487542</v>
      </c>
      <c r="U131">
        <v>3.0277250000000002E-3</v>
      </c>
      <c r="V131">
        <v>9.5699999999999999E-6</v>
      </c>
      <c r="W131">
        <v>-0.20626745799999999</v>
      </c>
      <c r="X131">
        <v>-0.20630498999999999</v>
      </c>
      <c r="Y131" t="s">
        <v>348</v>
      </c>
      <c r="Z131" t="s">
        <v>349</v>
      </c>
      <c r="AA131">
        <v>0</v>
      </c>
      <c r="AB131" t="s">
        <v>173</v>
      </c>
      <c r="AC131" t="s">
        <v>155</v>
      </c>
      <c r="AD131" t="s">
        <v>350</v>
      </c>
    </row>
    <row r="132" spans="1:30" x14ac:dyDescent="0.25">
      <c r="A132">
        <v>1996</v>
      </c>
      <c r="B132" t="s">
        <v>156</v>
      </c>
      <c r="C132" t="s">
        <v>107</v>
      </c>
      <c r="D132" t="s">
        <v>36</v>
      </c>
      <c r="E132" t="s">
        <v>342</v>
      </c>
      <c r="F132" t="s">
        <v>343</v>
      </c>
      <c r="G132">
        <v>14520</v>
      </c>
      <c r="H132" t="s">
        <v>169</v>
      </c>
      <c r="I132" t="s">
        <v>209</v>
      </c>
      <c r="J132">
        <v>-0.06</v>
      </c>
      <c r="K132">
        <v>1.1000000000000001E-3</v>
      </c>
      <c r="L132">
        <v>-54.545454550000002</v>
      </c>
      <c r="M132">
        <v>100000</v>
      </c>
      <c r="N132">
        <v>1</v>
      </c>
      <c r="O132">
        <v>99998</v>
      </c>
      <c r="P132">
        <v>-0.169979461</v>
      </c>
      <c r="Q132">
        <v>-0.171645513</v>
      </c>
      <c r="R132">
        <v>3.1623250000000001E-3</v>
      </c>
      <c r="S132">
        <v>-0.16544735599999999</v>
      </c>
      <c r="T132">
        <v>-0.17784367000000001</v>
      </c>
      <c r="U132">
        <v>3.070925E-3</v>
      </c>
      <c r="V132">
        <v>9.7100000000000002E-6</v>
      </c>
      <c r="W132">
        <v>-0.169960427</v>
      </c>
      <c r="X132">
        <v>-0.169998494</v>
      </c>
      <c r="Y132" t="s">
        <v>348</v>
      </c>
      <c r="Z132" t="s">
        <v>349</v>
      </c>
      <c r="AA132">
        <v>0</v>
      </c>
      <c r="AB132" t="s">
        <v>173</v>
      </c>
      <c r="AC132" t="s">
        <v>155</v>
      </c>
      <c r="AD132" t="s">
        <v>350</v>
      </c>
    </row>
    <row r="133" spans="1:30" x14ac:dyDescent="0.25">
      <c r="A133">
        <v>1944</v>
      </c>
      <c r="B133" t="s">
        <v>156</v>
      </c>
      <c r="C133" t="s">
        <v>106</v>
      </c>
      <c r="D133" t="s">
        <v>36</v>
      </c>
      <c r="E133" t="s">
        <v>351</v>
      </c>
      <c r="F133" t="s">
        <v>352</v>
      </c>
      <c r="G133">
        <v>10084</v>
      </c>
      <c r="H133" t="s">
        <v>169</v>
      </c>
      <c r="I133" t="s">
        <v>209</v>
      </c>
      <c r="J133">
        <v>-0.69</v>
      </c>
      <c r="K133">
        <v>1.6000000000000001E-3</v>
      </c>
      <c r="L133">
        <v>-431.25</v>
      </c>
      <c r="M133">
        <v>100000</v>
      </c>
      <c r="N133">
        <v>1</v>
      </c>
      <c r="O133">
        <v>99998</v>
      </c>
      <c r="P133">
        <v>-0.80642764199999994</v>
      </c>
      <c r="Q133">
        <v>-1.1167275560000001</v>
      </c>
      <c r="R133">
        <v>3.1623250000000001E-3</v>
      </c>
      <c r="S133">
        <v>-1.110529399</v>
      </c>
      <c r="T133">
        <v>-1.1229257130000001</v>
      </c>
      <c r="U133">
        <v>1.105773E-3</v>
      </c>
      <c r="V133">
        <v>3.4999999999999999E-6</v>
      </c>
      <c r="W133">
        <v>-0.80642078900000003</v>
      </c>
      <c r="X133">
        <v>-0.80643449599999995</v>
      </c>
      <c r="Y133" t="s">
        <v>353</v>
      </c>
      <c r="Z133" t="s">
        <v>184</v>
      </c>
      <c r="AA133">
        <v>0</v>
      </c>
      <c r="AB133" t="s">
        <v>173</v>
      </c>
      <c r="AC133" t="s">
        <v>155</v>
      </c>
      <c r="AD133" t="s">
        <v>354</v>
      </c>
    </row>
    <row r="134" spans="1:30" x14ac:dyDescent="0.25">
      <c r="A134">
        <v>1946</v>
      </c>
      <c r="B134" t="s">
        <v>156</v>
      </c>
      <c r="C134" t="s">
        <v>106</v>
      </c>
      <c r="D134" t="s">
        <v>36</v>
      </c>
      <c r="E134" t="s">
        <v>351</v>
      </c>
      <c r="F134" t="s">
        <v>355</v>
      </c>
      <c r="G134">
        <v>973</v>
      </c>
      <c r="H134" t="s">
        <v>169</v>
      </c>
      <c r="I134" t="s">
        <v>209</v>
      </c>
      <c r="J134">
        <v>-0.62</v>
      </c>
      <c r="K134">
        <v>6.93E-2</v>
      </c>
      <c r="L134">
        <v>-8.9413</v>
      </c>
      <c r="M134">
        <v>100</v>
      </c>
      <c r="N134">
        <v>1</v>
      </c>
      <c r="O134">
        <v>98</v>
      </c>
      <c r="P134">
        <v>-0.67027885600000003</v>
      </c>
      <c r="Q134">
        <v>-0.81124929599999995</v>
      </c>
      <c r="R134">
        <v>0.10153461699999999</v>
      </c>
      <c r="S134">
        <v>-0.61224144700000005</v>
      </c>
      <c r="T134">
        <v>-1.0102571440000001</v>
      </c>
      <c r="U134">
        <v>5.5350071000000001E-2</v>
      </c>
      <c r="V134">
        <v>5.5399999999999998E-3</v>
      </c>
      <c r="W134">
        <v>-0.659430242</v>
      </c>
      <c r="X134">
        <v>-0.68112746999999996</v>
      </c>
      <c r="Y134" t="s">
        <v>348</v>
      </c>
      <c r="Z134" t="s">
        <v>356</v>
      </c>
      <c r="AA134">
        <v>0</v>
      </c>
      <c r="AB134" t="s">
        <v>173</v>
      </c>
      <c r="AC134" t="s">
        <v>155</v>
      </c>
      <c r="AD134" t="s">
        <v>357</v>
      </c>
    </row>
    <row r="135" spans="1:30" x14ac:dyDescent="0.25">
      <c r="A135">
        <v>1946</v>
      </c>
      <c r="B135" t="s">
        <v>156</v>
      </c>
      <c r="C135" t="s">
        <v>106</v>
      </c>
      <c r="D135" t="s">
        <v>36</v>
      </c>
      <c r="E135" t="s">
        <v>351</v>
      </c>
      <c r="F135" t="s">
        <v>352</v>
      </c>
      <c r="G135">
        <v>8757</v>
      </c>
      <c r="H135" t="s">
        <v>169</v>
      </c>
      <c r="I135" t="s">
        <v>209</v>
      </c>
      <c r="J135">
        <v>-0.09</v>
      </c>
      <c r="K135">
        <v>1E-3</v>
      </c>
      <c r="L135">
        <v>-90</v>
      </c>
      <c r="M135">
        <v>100000</v>
      </c>
      <c r="N135">
        <v>1</v>
      </c>
      <c r="O135">
        <v>99998</v>
      </c>
      <c r="P135">
        <v>-0.27373711099999998</v>
      </c>
      <c r="Q135">
        <v>-0.28089920600000001</v>
      </c>
      <c r="R135">
        <v>3.1623250000000001E-3</v>
      </c>
      <c r="S135">
        <v>-0.274701048</v>
      </c>
      <c r="T135">
        <v>-0.28709736299999999</v>
      </c>
      <c r="U135">
        <v>2.9253360000000002E-3</v>
      </c>
      <c r="V135">
        <v>9.2499999999999995E-6</v>
      </c>
      <c r="W135">
        <v>-0.27371898</v>
      </c>
      <c r="X135">
        <v>-0.27375524299999998</v>
      </c>
      <c r="Y135" t="s">
        <v>353</v>
      </c>
      <c r="Z135" t="s">
        <v>358</v>
      </c>
      <c r="AA135">
        <v>0</v>
      </c>
      <c r="AB135" t="s">
        <v>173</v>
      </c>
      <c r="AC135" t="s">
        <v>155</v>
      </c>
      <c r="AD135" t="s">
        <v>359</v>
      </c>
    </row>
    <row r="136" spans="1:30" x14ac:dyDescent="0.25">
      <c r="A136">
        <v>1956</v>
      </c>
      <c r="B136" t="s">
        <v>156</v>
      </c>
      <c r="C136" t="s">
        <v>106</v>
      </c>
      <c r="D136" t="s">
        <v>36</v>
      </c>
      <c r="E136" t="s">
        <v>351</v>
      </c>
      <c r="F136" t="s">
        <v>352</v>
      </c>
      <c r="G136">
        <v>3825</v>
      </c>
      <c r="H136" t="s">
        <v>169</v>
      </c>
      <c r="I136" t="s">
        <v>209</v>
      </c>
      <c r="J136">
        <v>-0.46</v>
      </c>
      <c r="K136">
        <v>1.8E-3</v>
      </c>
      <c r="L136">
        <v>-255.55555559999999</v>
      </c>
      <c r="M136">
        <v>100000</v>
      </c>
      <c r="N136">
        <v>1</v>
      </c>
      <c r="O136">
        <v>99998</v>
      </c>
      <c r="P136">
        <v>-0.62855049799999996</v>
      </c>
      <c r="Q136">
        <v>-0.73901635399999999</v>
      </c>
      <c r="R136">
        <v>3.1623250000000001E-3</v>
      </c>
      <c r="S136">
        <v>-0.73281819699999995</v>
      </c>
      <c r="T136">
        <v>-0.74521451100000002</v>
      </c>
      <c r="U136">
        <v>1.912948E-3</v>
      </c>
      <c r="V136">
        <v>6.0499999999999997E-6</v>
      </c>
      <c r="W136">
        <v>-0.62853864100000001</v>
      </c>
      <c r="X136">
        <v>-0.62856235400000005</v>
      </c>
      <c r="Y136" t="s">
        <v>353</v>
      </c>
      <c r="Z136" t="s">
        <v>184</v>
      </c>
      <c r="AA136">
        <v>0</v>
      </c>
      <c r="AB136" t="s">
        <v>173</v>
      </c>
      <c r="AC136" t="s">
        <v>155</v>
      </c>
      <c r="AD136" t="s">
        <v>360</v>
      </c>
    </row>
    <row r="137" spans="1:30" x14ac:dyDescent="0.25">
      <c r="A137">
        <v>1957</v>
      </c>
      <c r="B137" t="s">
        <v>156</v>
      </c>
      <c r="C137" t="s">
        <v>106</v>
      </c>
      <c r="D137" t="s">
        <v>36</v>
      </c>
      <c r="E137" t="s">
        <v>351</v>
      </c>
      <c r="F137" t="s">
        <v>352</v>
      </c>
      <c r="G137">
        <v>3600</v>
      </c>
      <c r="H137" t="s">
        <v>169</v>
      </c>
      <c r="I137" t="s">
        <v>209</v>
      </c>
      <c r="J137">
        <v>-0.47</v>
      </c>
      <c r="K137">
        <v>1.8E-3</v>
      </c>
      <c r="L137">
        <v>-261.11111110000002</v>
      </c>
      <c r="M137">
        <v>100000</v>
      </c>
      <c r="N137">
        <v>1</v>
      </c>
      <c r="O137">
        <v>99998</v>
      </c>
      <c r="P137">
        <v>-0.63671053600000005</v>
      </c>
      <c r="Q137">
        <v>-0.75262189899999998</v>
      </c>
      <c r="R137">
        <v>3.1623250000000001E-3</v>
      </c>
      <c r="S137">
        <v>-0.74642374099999997</v>
      </c>
      <c r="T137">
        <v>-0.75882005600000002</v>
      </c>
      <c r="U137">
        <v>1.880299E-3</v>
      </c>
      <c r="V137">
        <v>5.9499999999999998E-6</v>
      </c>
      <c r="W137">
        <v>-0.63669888200000002</v>
      </c>
      <c r="X137">
        <v>-0.63672218999999997</v>
      </c>
      <c r="Y137" t="s">
        <v>353</v>
      </c>
      <c r="Z137" t="s">
        <v>358</v>
      </c>
      <c r="AA137">
        <v>0</v>
      </c>
      <c r="AB137" t="s">
        <v>173</v>
      </c>
      <c r="AC137" t="s">
        <v>155</v>
      </c>
      <c r="AD137" t="s">
        <v>361</v>
      </c>
    </row>
    <row r="138" spans="1:30" x14ac:dyDescent="0.25">
      <c r="A138">
        <v>2004</v>
      </c>
      <c r="B138" t="s">
        <v>147</v>
      </c>
      <c r="C138" t="s">
        <v>108</v>
      </c>
      <c r="D138" t="s">
        <v>36</v>
      </c>
      <c r="E138" t="s">
        <v>362</v>
      </c>
      <c r="F138" t="s">
        <v>363</v>
      </c>
      <c r="G138">
        <v>1840</v>
      </c>
      <c r="H138" t="s">
        <v>312</v>
      </c>
      <c r="I138" t="s">
        <v>209</v>
      </c>
      <c r="M138">
        <v>1840</v>
      </c>
      <c r="P138">
        <v>4.3004399999999998E-2</v>
      </c>
      <c r="Q138">
        <v>4.3030939999999997E-2</v>
      </c>
      <c r="R138">
        <v>2.3331648E-2</v>
      </c>
      <c r="S138">
        <v>8.8760970999999994E-2</v>
      </c>
      <c r="T138">
        <v>-2.6990909999999998E-3</v>
      </c>
      <c r="U138">
        <v>2.3275832E-2</v>
      </c>
      <c r="V138">
        <v>5.4299999999999997E-4</v>
      </c>
      <c r="W138">
        <v>4.4067936000000002E-2</v>
      </c>
      <c r="X138">
        <v>4.1940864000000001E-2</v>
      </c>
      <c r="Y138" t="s">
        <v>364</v>
      </c>
      <c r="Z138" t="s">
        <v>365</v>
      </c>
      <c r="AA138">
        <v>1</v>
      </c>
      <c r="AB138" t="s">
        <v>57</v>
      </c>
      <c r="AC138" t="s">
        <v>155</v>
      </c>
    </row>
    <row r="139" spans="1:30" x14ac:dyDescent="0.25">
      <c r="A139">
        <v>2005</v>
      </c>
      <c r="B139" t="s">
        <v>147</v>
      </c>
      <c r="C139" t="s">
        <v>108</v>
      </c>
      <c r="D139" t="s">
        <v>36</v>
      </c>
      <c r="E139" t="s">
        <v>362</v>
      </c>
      <c r="F139" t="s">
        <v>363</v>
      </c>
      <c r="G139">
        <v>75744</v>
      </c>
      <c r="H139" t="s">
        <v>312</v>
      </c>
      <c r="I139" t="s">
        <v>209</v>
      </c>
      <c r="L139">
        <v>-1.888889</v>
      </c>
      <c r="M139">
        <v>75744</v>
      </c>
      <c r="O139">
        <v>73708</v>
      </c>
      <c r="P139">
        <v>-6.9572660000000001E-3</v>
      </c>
      <c r="Q139">
        <v>-6.9573780000000002E-3</v>
      </c>
      <c r="R139">
        <v>3.6335780000000002E-3</v>
      </c>
      <c r="S139">
        <v>1.64434E-4</v>
      </c>
      <c r="T139">
        <v>-1.4079191E-2</v>
      </c>
      <c r="U139">
        <v>3.6333540000000001E-3</v>
      </c>
      <c r="V139">
        <v>1.3200000000000001E-5</v>
      </c>
      <c r="W139">
        <v>-6.9313910000000003E-3</v>
      </c>
      <c r="X139">
        <v>-6.9831420000000003E-3</v>
      </c>
      <c r="Y139" t="s">
        <v>364</v>
      </c>
      <c r="Z139" t="s">
        <v>366</v>
      </c>
      <c r="AA139">
        <v>1</v>
      </c>
      <c r="AB139" t="s">
        <v>57</v>
      </c>
      <c r="AC139" t="s">
        <v>155</v>
      </c>
    </row>
    <row r="140" spans="1:30" x14ac:dyDescent="0.25">
      <c r="A140">
        <v>2006</v>
      </c>
      <c r="B140" t="s">
        <v>147</v>
      </c>
      <c r="C140" t="s">
        <v>108</v>
      </c>
      <c r="D140" t="s">
        <v>36</v>
      </c>
      <c r="E140" t="s">
        <v>362</v>
      </c>
      <c r="F140" t="s">
        <v>363</v>
      </c>
      <c r="G140">
        <v>2154042</v>
      </c>
      <c r="H140" t="s">
        <v>312</v>
      </c>
      <c r="I140" t="s">
        <v>209</v>
      </c>
      <c r="L140">
        <v>2.56</v>
      </c>
      <c r="M140">
        <v>2154042</v>
      </c>
      <c r="O140">
        <v>2154019</v>
      </c>
      <c r="P140">
        <v>1.744273E-3</v>
      </c>
      <c r="Q140">
        <v>1.744275E-3</v>
      </c>
      <c r="R140">
        <v>6.8135500000000002E-4</v>
      </c>
      <c r="S140">
        <v>3.0797300000000001E-3</v>
      </c>
      <c r="T140">
        <v>4.0882000000000001E-4</v>
      </c>
      <c r="U140">
        <v>6.8135199999999998E-4</v>
      </c>
      <c r="V140">
        <v>4.6400000000000003E-7</v>
      </c>
      <c r="W140">
        <v>1.745183E-3</v>
      </c>
      <c r="X140">
        <v>1.7433629999999999E-3</v>
      </c>
      <c r="Y140" t="s">
        <v>364</v>
      </c>
      <c r="Z140" t="s">
        <v>367</v>
      </c>
      <c r="AA140">
        <v>1</v>
      </c>
      <c r="AB140" t="s">
        <v>57</v>
      </c>
      <c r="AC140" t="s">
        <v>155</v>
      </c>
    </row>
    <row r="141" spans="1:30" x14ac:dyDescent="0.25">
      <c r="A141">
        <v>2006</v>
      </c>
      <c r="B141" t="s">
        <v>147</v>
      </c>
      <c r="C141" t="s">
        <v>108</v>
      </c>
      <c r="D141" t="s">
        <v>36</v>
      </c>
      <c r="E141" t="s">
        <v>362</v>
      </c>
      <c r="F141" t="s">
        <v>363</v>
      </c>
      <c r="G141">
        <v>3340428</v>
      </c>
      <c r="H141" t="s">
        <v>312</v>
      </c>
      <c r="I141" t="s">
        <v>209</v>
      </c>
      <c r="L141">
        <v>38.33475</v>
      </c>
      <c r="M141">
        <v>3340428</v>
      </c>
      <c r="O141">
        <v>3340406</v>
      </c>
      <c r="P141">
        <v>2.0969954999999998E-2</v>
      </c>
      <c r="Q141">
        <v>2.097303E-2</v>
      </c>
      <c r="R141">
        <v>5.4714100000000001E-4</v>
      </c>
      <c r="S141">
        <v>2.2045426E-2</v>
      </c>
      <c r="T141">
        <v>1.9900634E-2</v>
      </c>
      <c r="U141">
        <v>5.4690000000000001E-4</v>
      </c>
      <c r="V141">
        <v>2.9900000000000002E-7</v>
      </c>
      <c r="W141">
        <v>2.0970541999999998E-2</v>
      </c>
      <c r="X141">
        <v>2.0969369000000002E-2</v>
      </c>
      <c r="Y141" t="s">
        <v>364</v>
      </c>
      <c r="Z141" t="s">
        <v>368</v>
      </c>
      <c r="AA141">
        <v>1</v>
      </c>
      <c r="AB141" t="s">
        <v>57</v>
      </c>
      <c r="AC141" t="s">
        <v>155</v>
      </c>
    </row>
    <row r="142" spans="1:30" x14ac:dyDescent="0.25">
      <c r="A142">
        <v>2014</v>
      </c>
      <c r="B142" t="s">
        <v>147</v>
      </c>
      <c r="C142" t="s">
        <v>108</v>
      </c>
      <c r="D142" t="s">
        <v>36</v>
      </c>
      <c r="E142" t="s">
        <v>362</v>
      </c>
      <c r="F142" t="s">
        <v>363</v>
      </c>
      <c r="G142">
        <v>3812567</v>
      </c>
      <c r="H142" t="s">
        <v>312</v>
      </c>
      <c r="I142" t="s">
        <v>209</v>
      </c>
      <c r="L142">
        <v>85.363640000000004</v>
      </c>
      <c r="M142">
        <v>3812567</v>
      </c>
      <c r="O142">
        <v>3812534</v>
      </c>
      <c r="P142">
        <v>4.3676860999999997E-2</v>
      </c>
      <c r="Q142">
        <v>4.3704667000000003E-2</v>
      </c>
      <c r="R142">
        <v>5.1214299999999995E-4</v>
      </c>
      <c r="S142">
        <v>4.4708468000000001E-2</v>
      </c>
      <c r="T142">
        <v>4.2700865999999997E-2</v>
      </c>
      <c r="U142">
        <v>5.1116599999999996E-4</v>
      </c>
      <c r="V142">
        <v>2.6199999999999999E-7</v>
      </c>
      <c r="W142">
        <v>4.3677373999999998E-2</v>
      </c>
      <c r="X142">
        <v>4.3676347999999997E-2</v>
      </c>
      <c r="Y142" t="s">
        <v>364</v>
      </c>
      <c r="Z142" t="s">
        <v>369</v>
      </c>
      <c r="AA142">
        <v>1</v>
      </c>
      <c r="AB142" t="s">
        <v>57</v>
      </c>
      <c r="AC142" t="s">
        <v>155</v>
      </c>
    </row>
    <row r="143" spans="1:30" x14ac:dyDescent="0.25">
      <c r="A143">
        <v>2014</v>
      </c>
      <c r="B143" t="s">
        <v>147</v>
      </c>
      <c r="C143" t="s">
        <v>108</v>
      </c>
      <c r="D143" t="s">
        <v>36</v>
      </c>
      <c r="E143" t="s">
        <v>362</v>
      </c>
      <c r="F143" t="s">
        <v>363</v>
      </c>
      <c r="G143">
        <v>2611080</v>
      </c>
      <c r="H143" t="s">
        <v>312</v>
      </c>
      <c r="I143" t="s">
        <v>209</v>
      </c>
      <c r="L143">
        <v>25.181819999999998</v>
      </c>
      <c r="M143">
        <v>2611080</v>
      </c>
      <c r="O143">
        <v>2611047</v>
      </c>
      <c r="P143">
        <v>1.5582138000000001E-2</v>
      </c>
      <c r="Q143">
        <v>1.5583399E-2</v>
      </c>
      <c r="R143">
        <v>6.1899999999999998E-4</v>
      </c>
      <c r="S143">
        <v>1.6796358000000001E-2</v>
      </c>
      <c r="T143">
        <v>1.437044E-2</v>
      </c>
      <c r="U143">
        <v>6.1899999999999998E-4</v>
      </c>
      <c r="V143">
        <v>3.8299999999999998E-7</v>
      </c>
      <c r="W143">
        <v>1.5582888E-2</v>
      </c>
      <c r="X143">
        <v>1.5581387E-2</v>
      </c>
      <c r="Y143" t="s">
        <v>364</v>
      </c>
      <c r="Z143" t="s">
        <v>369</v>
      </c>
      <c r="AA143">
        <v>1</v>
      </c>
      <c r="AB143" t="s">
        <v>57</v>
      </c>
      <c r="AC143" t="s">
        <v>155</v>
      </c>
    </row>
    <row r="144" spans="1:30" x14ac:dyDescent="0.25">
      <c r="A144" t="s">
        <v>370</v>
      </c>
      <c r="B144" t="s">
        <v>147</v>
      </c>
      <c r="C144" t="s">
        <v>107</v>
      </c>
      <c r="D144" t="s">
        <v>36</v>
      </c>
      <c r="E144" t="s">
        <v>362</v>
      </c>
      <c r="F144" t="s">
        <v>363</v>
      </c>
      <c r="G144">
        <v>3456</v>
      </c>
      <c r="H144" t="s">
        <v>312</v>
      </c>
      <c r="I144" t="s">
        <v>209</v>
      </c>
      <c r="L144">
        <v>1.45</v>
      </c>
      <c r="M144">
        <v>3456</v>
      </c>
      <c r="O144">
        <v>3438</v>
      </c>
      <c r="P144">
        <v>2.4721926000000002E-2</v>
      </c>
      <c r="Q144">
        <v>2.4726965E-2</v>
      </c>
      <c r="R144">
        <v>1.7017733E-2</v>
      </c>
      <c r="S144">
        <v>5.8081722000000002E-2</v>
      </c>
      <c r="T144">
        <v>-8.6277920000000004E-3</v>
      </c>
      <c r="U144">
        <v>1.7002409E-2</v>
      </c>
      <c r="V144">
        <v>2.8899999999999998E-4</v>
      </c>
      <c r="W144">
        <v>2.5288792000000001E-2</v>
      </c>
      <c r="X144">
        <v>2.4155060999999999E-2</v>
      </c>
      <c r="Y144" t="s">
        <v>364</v>
      </c>
      <c r="Z144" t="s">
        <v>371</v>
      </c>
      <c r="AA144">
        <v>1</v>
      </c>
      <c r="AB144" t="s">
        <v>57</v>
      </c>
      <c r="AC144" t="s">
        <v>155</v>
      </c>
    </row>
    <row r="145" spans="1:29" x14ac:dyDescent="0.25">
      <c r="A145" t="s">
        <v>372</v>
      </c>
      <c r="B145" t="s">
        <v>147</v>
      </c>
      <c r="C145" t="s">
        <v>108</v>
      </c>
      <c r="D145" t="s">
        <v>36</v>
      </c>
      <c r="E145" t="s">
        <v>362</v>
      </c>
      <c r="F145" t="s">
        <v>373</v>
      </c>
      <c r="G145">
        <v>2394</v>
      </c>
      <c r="H145" t="s">
        <v>312</v>
      </c>
      <c r="I145" t="s">
        <v>209</v>
      </c>
      <c r="L145">
        <v>2.073372</v>
      </c>
      <c r="M145">
        <v>2394</v>
      </c>
      <c r="O145">
        <v>2373</v>
      </c>
      <c r="P145">
        <v>4.2524119999999999E-2</v>
      </c>
      <c r="Q145">
        <v>4.2549780000000002E-2</v>
      </c>
      <c r="R145">
        <v>2.0450796E-2</v>
      </c>
      <c r="S145">
        <v>8.263334E-2</v>
      </c>
      <c r="T145">
        <v>2.4662199999999999E-3</v>
      </c>
      <c r="U145">
        <v>2.0405282E-2</v>
      </c>
      <c r="V145">
        <v>4.17E-4</v>
      </c>
      <c r="W145">
        <v>4.3341523999999999E-2</v>
      </c>
      <c r="X145">
        <v>4.1706716999999997E-2</v>
      </c>
      <c r="Y145" t="s">
        <v>364</v>
      </c>
      <c r="Z145" t="s">
        <v>374</v>
      </c>
      <c r="AA145">
        <v>1</v>
      </c>
      <c r="AB145" t="s">
        <v>57</v>
      </c>
      <c r="AC145" t="s">
        <v>155</v>
      </c>
    </row>
    <row r="146" spans="1:29" x14ac:dyDescent="0.25">
      <c r="A146" t="s">
        <v>375</v>
      </c>
      <c r="B146" t="s">
        <v>147</v>
      </c>
      <c r="C146" t="s">
        <v>108</v>
      </c>
      <c r="D146" t="s">
        <v>36</v>
      </c>
      <c r="E146" t="s">
        <v>362</v>
      </c>
      <c r="F146" t="s">
        <v>363</v>
      </c>
      <c r="G146">
        <v>94699</v>
      </c>
      <c r="H146" t="s">
        <v>312</v>
      </c>
      <c r="I146" t="s">
        <v>209</v>
      </c>
      <c r="J146">
        <v>3.5999999999999997E-2</v>
      </c>
      <c r="K146">
        <v>7.0000000000000001E-3</v>
      </c>
      <c r="L146">
        <v>5.1428571429999996</v>
      </c>
      <c r="M146">
        <v>94699</v>
      </c>
      <c r="N146">
        <v>36</v>
      </c>
      <c r="O146">
        <v>94662</v>
      </c>
      <c r="P146">
        <v>1.6713059999999998E-2</v>
      </c>
      <c r="Q146">
        <v>1.6714616000000002E-2</v>
      </c>
      <c r="R146">
        <v>3.2496320000000001E-3</v>
      </c>
      <c r="S146">
        <v>2.3083895E-2</v>
      </c>
      <c r="T146">
        <v>1.0345337E-2</v>
      </c>
      <c r="U146">
        <v>3.2486899999999998E-3</v>
      </c>
      <c r="V146">
        <v>1.06E-5</v>
      </c>
      <c r="W146">
        <v>1.6733751000000002E-2</v>
      </c>
      <c r="X146">
        <v>1.6692367999999999E-2</v>
      </c>
      <c r="Y146" t="s">
        <v>376</v>
      </c>
      <c r="Z146" t="s">
        <v>377</v>
      </c>
      <c r="AA146">
        <v>1</v>
      </c>
      <c r="AB146" t="s">
        <v>57</v>
      </c>
      <c r="AC146" t="s">
        <v>155</v>
      </c>
    </row>
    <row r="147" spans="1:29" x14ac:dyDescent="0.25">
      <c r="A147" t="s">
        <v>375</v>
      </c>
      <c r="B147" t="s">
        <v>147</v>
      </c>
      <c r="C147" t="s">
        <v>108</v>
      </c>
      <c r="D147" t="s">
        <v>36</v>
      </c>
      <c r="E147" t="s">
        <v>362</v>
      </c>
      <c r="F147" t="s">
        <v>363</v>
      </c>
      <c r="G147">
        <v>91242</v>
      </c>
      <c r="H147" t="s">
        <v>378</v>
      </c>
      <c r="I147" t="s">
        <v>209</v>
      </c>
      <c r="J147">
        <v>1.9E-2</v>
      </c>
      <c r="K147">
        <v>4.0000000000000001E-3</v>
      </c>
      <c r="L147">
        <v>4.75</v>
      </c>
      <c r="M147">
        <v>91242</v>
      </c>
      <c r="N147">
        <v>36</v>
      </c>
      <c r="O147">
        <v>91205</v>
      </c>
      <c r="P147">
        <v>1.5726444999999999E-2</v>
      </c>
      <c r="Q147">
        <v>1.5727741999999999E-2</v>
      </c>
      <c r="R147">
        <v>3.310623E-3</v>
      </c>
      <c r="S147">
        <v>2.2216563000000002E-2</v>
      </c>
      <c r="T147">
        <v>9.2389210000000006E-3</v>
      </c>
      <c r="U147">
        <v>3.3097679999999998E-3</v>
      </c>
      <c r="V147">
        <v>1.1E-5</v>
      </c>
      <c r="W147">
        <v>1.5747922000000001E-2</v>
      </c>
      <c r="X147">
        <v>1.5704968999999999E-2</v>
      </c>
      <c r="Y147" t="s">
        <v>379</v>
      </c>
      <c r="Z147" t="s">
        <v>377</v>
      </c>
      <c r="AA147">
        <v>1</v>
      </c>
      <c r="AB147" t="s">
        <v>57</v>
      </c>
      <c r="AC147" t="s">
        <v>155</v>
      </c>
    </row>
    <row r="148" spans="1:29" x14ac:dyDescent="0.25">
      <c r="A148" t="s">
        <v>380</v>
      </c>
      <c r="B148" t="s">
        <v>147</v>
      </c>
      <c r="C148" t="s">
        <v>108</v>
      </c>
      <c r="D148" t="s">
        <v>36</v>
      </c>
      <c r="E148" t="s">
        <v>362</v>
      </c>
      <c r="F148" t="s">
        <v>363</v>
      </c>
      <c r="G148">
        <v>594302</v>
      </c>
      <c r="H148" t="s">
        <v>312</v>
      </c>
      <c r="I148" t="s">
        <v>209</v>
      </c>
      <c r="L148">
        <v>-57.17</v>
      </c>
      <c r="M148">
        <v>594302</v>
      </c>
      <c r="O148">
        <v>594296</v>
      </c>
      <c r="P148">
        <v>-7.3956411999999999E-2</v>
      </c>
      <c r="Q148">
        <v>-7.4091692000000001E-2</v>
      </c>
      <c r="R148">
        <v>1.2971720000000001E-3</v>
      </c>
      <c r="S148">
        <v>-7.1549235000000003E-2</v>
      </c>
      <c r="T148">
        <v>-7.6634148999999999E-2</v>
      </c>
      <c r="U148">
        <v>1.2900749999999999E-3</v>
      </c>
      <c r="V148">
        <v>1.6700000000000001E-6</v>
      </c>
      <c r="W148">
        <v>-7.3953132000000005E-2</v>
      </c>
      <c r="X148">
        <v>-7.3959691999999994E-2</v>
      </c>
      <c r="Y148" t="s">
        <v>364</v>
      </c>
      <c r="Z148" t="s">
        <v>381</v>
      </c>
      <c r="AA148">
        <v>1</v>
      </c>
      <c r="AB148" t="s">
        <v>57</v>
      </c>
      <c r="AC148" t="s">
        <v>155</v>
      </c>
    </row>
    <row r="149" spans="1:29" x14ac:dyDescent="0.25">
      <c r="A149">
        <v>1979</v>
      </c>
      <c r="B149" t="s">
        <v>156</v>
      </c>
      <c r="C149" t="s">
        <v>107</v>
      </c>
      <c r="D149" t="s">
        <v>36</v>
      </c>
      <c r="E149" t="s">
        <v>382</v>
      </c>
      <c r="F149" t="s">
        <v>383</v>
      </c>
      <c r="G149">
        <v>618</v>
      </c>
      <c r="H149" t="s">
        <v>312</v>
      </c>
      <c r="I149" t="s">
        <v>209</v>
      </c>
      <c r="L149">
        <v>0.49</v>
      </c>
      <c r="M149">
        <v>618</v>
      </c>
      <c r="O149">
        <v>585</v>
      </c>
      <c r="P149">
        <v>2.0254851000000001E-2</v>
      </c>
      <c r="Q149">
        <v>2.0257621E-2</v>
      </c>
      <c r="R149">
        <v>4.0323892E-2</v>
      </c>
      <c r="S149">
        <v>9.9292449000000005E-2</v>
      </c>
      <c r="T149">
        <v>-5.8777206999999998E-2</v>
      </c>
      <c r="U149">
        <v>4.0241968000000003E-2</v>
      </c>
      <c r="V149">
        <v>1.6199999999999999E-3</v>
      </c>
      <c r="W149">
        <v>2.3427638000000001E-2</v>
      </c>
      <c r="X149">
        <v>1.7082063000000001E-2</v>
      </c>
      <c r="Y149" t="s">
        <v>364</v>
      </c>
      <c r="Z149" t="s">
        <v>384</v>
      </c>
      <c r="AA149">
        <v>1</v>
      </c>
      <c r="AB149" t="s">
        <v>57</v>
      </c>
      <c r="AC149" t="s">
        <v>155</v>
      </c>
    </row>
    <row r="150" spans="1:29" x14ac:dyDescent="0.25">
      <c r="A150">
        <v>1990</v>
      </c>
      <c r="B150" t="s">
        <v>156</v>
      </c>
      <c r="C150" t="s">
        <v>107</v>
      </c>
      <c r="D150" t="s">
        <v>36</v>
      </c>
      <c r="E150" t="s">
        <v>382</v>
      </c>
      <c r="F150" t="s">
        <v>383</v>
      </c>
      <c r="G150">
        <v>1996</v>
      </c>
      <c r="H150" t="s">
        <v>312</v>
      </c>
      <c r="I150" t="s">
        <v>209</v>
      </c>
      <c r="L150">
        <v>-6.8622880000000004</v>
      </c>
      <c r="M150">
        <v>1996</v>
      </c>
      <c r="O150">
        <v>1978</v>
      </c>
      <c r="P150">
        <v>-0.15249186300000001</v>
      </c>
      <c r="Q150">
        <v>-0.15369063699999999</v>
      </c>
      <c r="R150">
        <v>2.2399914E-2</v>
      </c>
      <c r="S150">
        <v>-0.109786805</v>
      </c>
      <c r="T150">
        <v>-0.197594468</v>
      </c>
      <c r="U150">
        <v>2.1868062000000001E-2</v>
      </c>
      <c r="V150">
        <v>4.8899999999999996E-4</v>
      </c>
      <c r="W150">
        <v>-0.15153249299999999</v>
      </c>
      <c r="X150">
        <v>-0.15345123299999999</v>
      </c>
      <c r="Y150" t="s">
        <v>364</v>
      </c>
      <c r="Z150" t="s">
        <v>385</v>
      </c>
      <c r="AA150">
        <v>1</v>
      </c>
      <c r="AB150" t="s">
        <v>57</v>
      </c>
      <c r="AC150" t="s">
        <v>155</v>
      </c>
    </row>
    <row r="151" spans="1:29" x14ac:dyDescent="0.25">
      <c r="A151">
        <v>2000</v>
      </c>
      <c r="B151" t="s">
        <v>156</v>
      </c>
      <c r="C151" t="s">
        <v>108</v>
      </c>
      <c r="D151" t="s">
        <v>36</v>
      </c>
      <c r="E151" t="s">
        <v>382</v>
      </c>
      <c r="F151" t="s">
        <v>386</v>
      </c>
      <c r="G151">
        <v>153</v>
      </c>
      <c r="H151" t="s">
        <v>312</v>
      </c>
      <c r="I151" t="s">
        <v>209</v>
      </c>
      <c r="J151">
        <v>-0.124</v>
      </c>
      <c r="K151">
        <v>4.2999999999999997E-2</v>
      </c>
      <c r="L151">
        <v>-2.88372093</v>
      </c>
      <c r="M151">
        <v>306</v>
      </c>
      <c r="N151">
        <v>1</v>
      </c>
      <c r="O151">
        <v>304</v>
      </c>
      <c r="P151">
        <v>-0.163175976</v>
      </c>
      <c r="Q151">
        <v>-0.164647826</v>
      </c>
      <c r="R151">
        <v>5.7448499E-2</v>
      </c>
      <c r="S151">
        <v>-5.2048768000000002E-2</v>
      </c>
      <c r="T151">
        <v>-0.27724688400000003</v>
      </c>
      <c r="U151">
        <v>5.573521E-2</v>
      </c>
      <c r="V151">
        <v>3.1900000000000001E-3</v>
      </c>
      <c r="W151">
        <v>-0.156931083</v>
      </c>
      <c r="X151">
        <v>-0.169420869</v>
      </c>
      <c r="Y151" t="s">
        <v>387</v>
      </c>
      <c r="Z151" t="s">
        <v>388</v>
      </c>
      <c r="AA151">
        <v>1</v>
      </c>
      <c r="AB151" t="s">
        <v>51</v>
      </c>
      <c r="AC151" t="s">
        <v>155</v>
      </c>
    </row>
    <row r="152" spans="1:29" x14ac:dyDescent="0.25">
      <c r="A152">
        <v>2006</v>
      </c>
      <c r="B152" t="s">
        <v>156</v>
      </c>
      <c r="C152" t="s">
        <v>108</v>
      </c>
      <c r="D152" t="s">
        <v>36</v>
      </c>
      <c r="E152" t="s">
        <v>382</v>
      </c>
      <c r="F152" t="s">
        <v>383</v>
      </c>
      <c r="G152">
        <v>3340428</v>
      </c>
      <c r="H152" t="s">
        <v>312</v>
      </c>
      <c r="I152" t="s">
        <v>209</v>
      </c>
      <c r="L152">
        <v>-60.502780000000001</v>
      </c>
      <c r="M152">
        <v>3340428</v>
      </c>
      <c r="O152">
        <v>3340406</v>
      </c>
      <c r="P152">
        <v>-3.3085512999999997E-2</v>
      </c>
      <c r="Q152">
        <v>-3.3097593000000002E-2</v>
      </c>
      <c r="R152">
        <v>5.4714100000000001E-4</v>
      </c>
      <c r="S152">
        <v>-3.2025196999999998E-2</v>
      </c>
      <c r="T152">
        <v>-3.4169988999999998E-2</v>
      </c>
      <c r="U152">
        <v>5.4654200000000001E-4</v>
      </c>
      <c r="V152">
        <v>2.9900000000000002E-7</v>
      </c>
      <c r="W152">
        <v>-3.3084927E-2</v>
      </c>
      <c r="X152">
        <v>-3.3086099000000001E-2</v>
      </c>
      <c r="Y152" t="s">
        <v>364</v>
      </c>
      <c r="Z152" t="s">
        <v>368</v>
      </c>
      <c r="AA152">
        <v>1</v>
      </c>
      <c r="AB152" t="s">
        <v>57</v>
      </c>
      <c r="AC152" t="s">
        <v>155</v>
      </c>
    </row>
    <row r="153" spans="1:29" x14ac:dyDescent="0.25">
      <c r="A153" t="s">
        <v>389</v>
      </c>
      <c r="B153" t="s">
        <v>156</v>
      </c>
      <c r="C153" t="s">
        <v>107</v>
      </c>
      <c r="D153" t="s">
        <v>36</v>
      </c>
      <c r="E153" t="s">
        <v>382</v>
      </c>
      <c r="F153" t="s">
        <v>390</v>
      </c>
      <c r="G153">
        <v>9235</v>
      </c>
      <c r="H153" t="s">
        <v>312</v>
      </c>
      <c r="I153" t="s">
        <v>209</v>
      </c>
      <c r="L153">
        <v>0.55349289999999995</v>
      </c>
      <c r="M153">
        <v>9235</v>
      </c>
      <c r="O153">
        <v>9218</v>
      </c>
      <c r="P153">
        <v>5.7648300000000003E-3</v>
      </c>
      <c r="Q153">
        <v>5.7648939999999996E-3</v>
      </c>
      <c r="R153">
        <v>1.0407636E-2</v>
      </c>
      <c r="S153">
        <v>2.6163861E-2</v>
      </c>
      <c r="T153">
        <v>-1.4634072999999999E-2</v>
      </c>
      <c r="U153">
        <v>1.0406163E-2</v>
      </c>
      <c r="V153">
        <v>1.08E-4</v>
      </c>
      <c r="W153">
        <v>5.9770700000000001E-3</v>
      </c>
      <c r="X153">
        <v>5.5525890000000001E-3</v>
      </c>
      <c r="Y153" t="s">
        <v>364</v>
      </c>
      <c r="Z153" t="s">
        <v>391</v>
      </c>
      <c r="AA153">
        <v>1</v>
      </c>
      <c r="AB153" t="s">
        <v>57</v>
      </c>
      <c r="AC153" t="s">
        <v>155</v>
      </c>
    </row>
    <row r="154" spans="1:29" x14ac:dyDescent="0.25">
      <c r="A154" t="s">
        <v>392</v>
      </c>
      <c r="B154" t="s">
        <v>156</v>
      </c>
      <c r="C154" t="s">
        <v>107</v>
      </c>
      <c r="D154" t="s">
        <v>36</v>
      </c>
      <c r="E154" t="s">
        <v>382</v>
      </c>
      <c r="F154" t="s">
        <v>383</v>
      </c>
      <c r="G154">
        <v>1160728</v>
      </c>
      <c r="H154" t="s">
        <v>312</v>
      </c>
      <c r="I154" t="s">
        <v>209</v>
      </c>
      <c r="L154">
        <v>2.56</v>
      </c>
      <c r="M154">
        <v>1160728</v>
      </c>
      <c r="O154">
        <v>1160699</v>
      </c>
      <c r="P154">
        <v>2.3761780000000001E-3</v>
      </c>
      <c r="Q154">
        <v>2.3761820000000001E-3</v>
      </c>
      <c r="R154">
        <v>9.2818700000000002E-4</v>
      </c>
      <c r="S154">
        <v>4.1954280000000002E-3</v>
      </c>
      <c r="T154">
        <v>5.5693599999999995E-4</v>
      </c>
      <c r="U154">
        <v>9.2818100000000004E-4</v>
      </c>
      <c r="V154">
        <v>8.6199999999999996E-7</v>
      </c>
      <c r="W154">
        <v>2.3778660000000002E-3</v>
      </c>
      <c r="X154">
        <v>2.374489E-3</v>
      </c>
      <c r="Y154" t="s">
        <v>364</v>
      </c>
      <c r="Z154" t="s">
        <v>393</v>
      </c>
      <c r="AA154">
        <v>1</v>
      </c>
      <c r="AB154" t="s">
        <v>57</v>
      </c>
      <c r="AC154" t="s">
        <v>155</v>
      </c>
    </row>
    <row r="155" spans="1:29" x14ac:dyDescent="0.25">
      <c r="A155" t="s">
        <v>380</v>
      </c>
      <c r="B155" t="s">
        <v>156</v>
      </c>
      <c r="C155" t="s">
        <v>108</v>
      </c>
      <c r="D155" t="s">
        <v>36</v>
      </c>
      <c r="E155" t="s">
        <v>382</v>
      </c>
      <c r="F155" t="s">
        <v>394</v>
      </c>
      <c r="G155">
        <v>6452279</v>
      </c>
      <c r="H155" t="s">
        <v>312</v>
      </c>
      <c r="I155" t="s">
        <v>209</v>
      </c>
      <c r="L155">
        <v>26.73</v>
      </c>
      <c r="M155">
        <v>6452279</v>
      </c>
      <c r="O155">
        <v>6452273</v>
      </c>
      <c r="P155">
        <v>1.0522491E-2</v>
      </c>
      <c r="Q155">
        <v>1.0522879000000001E-2</v>
      </c>
      <c r="R155">
        <v>3.9367999999999998E-4</v>
      </c>
      <c r="S155">
        <v>1.1294492E-2</v>
      </c>
      <c r="T155">
        <v>9.7512659999999998E-3</v>
      </c>
      <c r="U155">
        <v>3.9399999999999998E-4</v>
      </c>
      <c r="V155">
        <v>1.55E-7</v>
      </c>
      <c r="W155">
        <v>1.0522794E-2</v>
      </c>
      <c r="X155">
        <v>1.0522187000000001E-2</v>
      </c>
      <c r="Y155" t="s">
        <v>364</v>
      </c>
      <c r="Z155" t="s">
        <v>381</v>
      </c>
      <c r="AA155">
        <v>1</v>
      </c>
      <c r="AB155" t="s">
        <v>57</v>
      </c>
      <c r="AC155" t="s">
        <v>155</v>
      </c>
    </row>
    <row r="156" spans="1:29" x14ac:dyDescent="0.25">
      <c r="A156">
        <v>2012</v>
      </c>
      <c r="B156" t="s">
        <v>156</v>
      </c>
      <c r="C156" t="s">
        <v>108</v>
      </c>
      <c r="D156" t="s">
        <v>36</v>
      </c>
      <c r="E156" t="s">
        <v>395</v>
      </c>
      <c r="F156" t="s">
        <v>396</v>
      </c>
      <c r="G156">
        <v>3752</v>
      </c>
      <c r="H156" t="s">
        <v>397</v>
      </c>
      <c r="I156" t="s">
        <v>398</v>
      </c>
      <c r="J156">
        <v>-17.762</v>
      </c>
      <c r="K156">
        <v>3.47</v>
      </c>
      <c r="L156">
        <v>-5.1187319880000004</v>
      </c>
      <c r="M156">
        <v>3752</v>
      </c>
      <c r="N156">
        <v>20</v>
      </c>
      <c r="O156">
        <v>3731</v>
      </c>
      <c r="P156">
        <v>-8.3508397999999998E-2</v>
      </c>
      <c r="Q156">
        <v>-8.3703334000000004E-2</v>
      </c>
      <c r="R156">
        <v>1.6332109000000001E-2</v>
      </c>
      <c r="S156">
        <v>-5.1692399E-2</v>
      </c>
      <c r="T156">
        <v>-0.115714268</v>
      </c>
      <c r="U156">
        <v>1.6213891000000001E-2</v>
      </c>
      <c r="V156">
        <v>2.6499999999999999E-4</v>
      </c>
      <c r="W156">
        <v>-8.2989584000000005E-2</v>
      </c>
      <c r="X156">
        <v>-8.4027212000000004E-2</v>
      </c>
      <c r="Y156" t="s">
        <v>399</v>
      </c>
      <c r="Z156" t="s">
        <v>400</v>
      </c>
      <c r="AA156">
        <v>1</v>
      </c>
      <c r="AB156" t="s">
        <v>57</v>
      </c>
      <c r="AC156" t="s">
        <v>155</v>
      </c>
    </row>
    <row r="157" spans="1:29" x14ac:dyDescent="0.25">
      <c r="A157">
        <v>1924</v>
      </c>
      <c r="B157" t="s">
        <v>147</v>
      </c>
      <c r="C157" t="s">
        <v>106</v>
      </c>
      <c r="D157" t="s">
        <v>36</v>
      </c>
      <c r="E157" t="s">
        <v>401</v>
      </c>
      <c r="F157" t="s">
        <v>343</v>
      </c>
      <c r="G157">
        <v>84</v>
      </c>
      <c r="H157" t="s">
        <v>402</v>
      </c>
      <c r="I157" t="s">
        <v>403</v>
      </c>
      <c r="J157">
        <v>0.48</v>
      </c>
      <c r="K157">
        <v>1.7664E-3</v>
      </c>
      <c r="L157">
        <v>271.73913040000002</v>
      </c>
      <c r="M157">
        <v>100000</v>
      </c>
      <c r="N157">
        <v>1</v>
      </c>
      <c r="O157">
        <v>99998</v>
      </c>
      <c r="P157">
        <v>0.65174413399999997</v>
      </c>
      <c r="Q157">
        <v>0.77832480100000001</v>
      </c>
      <c r="R157">
        <v>3.1623250000000001E-3</v>
      </c>
      <c r="S157">
        <v>0.78452295900000002</v>
      </c>
      <c r="T157">
        <v>0.77212664399999997</v>
      </c>
      <c r="U157">
        <v>1.819045E-3</v>
      </c>
      <c r="V157">
        <v>5.75E-6</v>
      </c>
      <c r="W157">
        <v>0.65175540899999995</v>
      </c>
      <c r="X157">
        <v>0.65173285999999997</v>
      </c>
      <c r="Y157" t="s">
        <v>404</v>
      </c>
      <c r="Z157" t="s">
        <v>405</v>
      </c>
      <c r="AA157">
        <v>0</v>
      </c>
      <c r="AB157" t="s">
        <v>63</v>
      </c>
      <c r="AC157" t="s">
        <v>155</v>
      </c>
    </row>
    <row r="158" spans="1:29" x14ac:dyDescent="0.25">
      <c r="A158">
        <v>1948</v>
      </c>
      <c r="B158" t="s">
        <v>147</v>
      </c>
      <c r="C158" t="s">
        <v>106</v>
      </c>
      <c r="D158" t="s">
        <v>36</v>
      </c>
      <c r="E158" t="s">
        <v>401</v>
      </c>
      <c r="F158" t="s">
        <v>343</v>
      </c>
      <c r="G158">
        <v>30000</v>
      </c>
      <c r="H158" t="s">
        <v>402</v>
      </c>
      <c r="I158" t="s">
        <v>406</v>
      </c>
      <c r="J158">
        <v>0.99</v>
      </c>
      <c r="K158">
        <v>4.0000000000000002E-4</v>
      </c>
      <c r="L158">
        <v>2475</v>
      </c>
      <c r="M158">
        <v>100000</v>
      </c>
      <c r="N158">
        <v>1</v>
      </c>
      <c r="O158">
        <v>99998</v>
      </c>
      <c r="P158">
        <v>0.99193632399999998</v>
      </c>
      <c r="Q158">
        <v>2.7547464979999998</v>
      </c>
      <c r="R158">
        <v>3.1623250000000001E-3</v>
      </c>
      <c r="S158">
        <v>2.7609446559999999</v>
      </c>
      <c r="T158">
        <v>2.7485483409999998</v>
      </c>
      <c r="U158">
        <v>5.0800000000000002E-5</v>
      </c>
      <c r="V158">
        <v>1.61E-7</v>
      </c>
      <c r="W158">
        <v>0.99193663899999995</v>
      </c>
      <c r="X158">
        <v>0.99193600999999998</v>
      </c>
      <c r="Y158" t="s">
        <v>407</v>
      </c>
      <c r="Z158" t="s">
        <v>408</v>
      </c>
      <c r="AA158">
        <v>0</v>
      </c>
      <c r="AB158" t="s">
        <v>63</v>
      </c>
      <c r="AC158" t="s">
        <v>155</v>
      </c>
    </row>
    <row r="159" spans="1:29" x14ac:dyDescent="0.25">
      <c r="A159" t="s">
        <v>409</v>
      </c>
      <c r="B159" t="s">
        <v>147</v>
      </c>
      <c r="C159" t="s">
        <v>106</v>
      </c>
      <c r="D159" t="s">
        <v>36</v>
      </c>
      <c r="E159" t="s">
        <v>401</v>
      </c>
      <c r="F159" t="s">
        <v>343</v>
      </c>
      <c r="G159">
        <v>8599</v>
      </c>
      <c r="H159" t="s">
        <v>402</v>
      </c>
      <c r="I159" t="s">
        <v>410</v>
      </c>
      <c r="J159">
        <v>0.77</v>
      </c>
      <c r="K159">
        <v>1.5E-3</v>
      </c>
      <c r="L159">
        <v>513.33333330000005</v>
      </c>
      <c r="M159">
        <v>100000</v>
      </c>
      <c r="N159">
        <v>1</v>
      </c>
      <c r="O159">
        <v>99998</v>
      </c>
      <c r="P159">
        <v>0.85141601700000002</v>
      </c>
      <c r="Q159">
        <v>1.2612778490000001</v>
      </c>
      <c r="R159">
        <v>3.1623250000000001E-3</v>
      </c>
      <c r="S159">
        <v>1.2674760060000001</v>
      </c>
      <c r="T159">
        <v>1.2550796909999999</v>
      </c>
      <c r="U159">
        <v>8.6991800000000002E-4</v>
      </c>
      <c r="V159">
        <v>2.7499999999999999E-6</v>
      </c>
      <c r="W159">
        <v>0.85142140899999996</v>
      </c>
      <c r="X159">
        <v>0.85141062499999998</v>
      </c>
      <c r="Y159" t="s">
        <v>411</v>
      </c>
      <c r="Z159" t="s">
        <v>412</v>
      </c>
      <c r="AA159">
        <v>0</v>
      </c>
      <c r="AB159" t="s">
        <v>63</v>
      </c>
      <c r="AC159" t="s">
        <v>155</v>
      </c>
    </row>
    <row r="160" spans="1:29" x14ac:dyDescent="0.25">
      <c r="A160" t="s">
        <v>413</v>
      </c>
      <c r="B160" t="s">
        <v>147</v>
      </c>
      <c r="C160" t="s">
        <v>106</v>
      </c>
      <c r="D160" t="s">
        <v>36</v>
      </c>
      <c r="E160" t="s">
        <v>401</v>
      </c>
      <c r="F160" t="s">
        <v>343</v>
      </c>
      <c r="G160">
        <v>435765</v>
      </c>
      <c r="H160" t="s">
        <v>402</v>
      </c>
      <c r="I160" t="s">
        <v>414</v>
      </c>
      <c r="J160">
        <v>0.05</v>
      </c>
      <c r="K160">
        <v>8.0000000000000004E-4</v>
      </c>
      <c r="L160">
        <v>62.5</v>
      </c>
      <c r="M160">
        <v>100000</v>
      </c>
      <c r="N160">
        <v>1</v>
      </c>
      <c r="O160">
        <v>99998</v>
      </c>
      <c r="P160">
        <v>0.19389355</v>
      </c>
      <c r="Q160">
        <v>0.19637966500000001</v>
      </c>
      <c r="R160">
        <v>3.1623250000000001E-3</v>
      </c>
      <c r="S160">
        <v>0.20257782199999999</v>
      </c>
      <c r="T160">
        <v>0.190181507</v>
      </c>
      <c r="U160">
        <v>3.0434080000000001E-3</v>
      </c>
      <c r="V160">
        <v>9.6199999999999994E-6</v>
      </c>
      <c r="W160">
        <v>0.19391241300000001</v>
      </c>
      <c r="X160">
        <v>0.19387468599999999</v>
      </c>
      <c r="Y160" t="s">
        <v>415</v>
      </c>
      <c r="Z160" t="s">
        <v>416</v>
      </c>
      <c r="AA160">
        <v>0</v>
      </c>
      <c r="AB160" t="s">
        <v>63</v>
      </c>
      <c r="AC160" t="s">
        <v>155</v>
      </c>
    </row>
    <row r="161" spans="1:30" x14ac:dyDescent="0.25">
      <c r="A161" t="s">
        <v>417</v>
      </c>
      <c r="B161" t="s">
        <v>147</v>
      </c>
      <c r="C161" t="s">
        <v>106</v>
      </c>
      <c r="D161" t="s">
        <v>36</v>
      </c>
      <c r="E161" t="s">
        <v>401</v>
      </c>
      <c r="F161" t="s">
        <v>343</v>
      </c>
      <c r="G161">
        <v>192</v>
      </c>
      <c r="H161" t="s">
        <v>402</v>
      </c>
      <c r="I161" t="s">
        <v>418</v>
      </c>
      <c r="J161">
        <v>0.53</v>
      </c>
      <c r="K161">
        <v>1.8E-3</v>
      </c>
      <c r="L161">
        <v>294.44444440000001</v>
      </c>
      <c r="M161">
        <v>100000</v>
      </c>
      <c r="N161">
        <v>1</v>
      </c>
      <c r="O161">
        <v>99998</v>
      </c>
      <c r="P161">
        <v>0.68145377799999995</v>
      </c>
      <c r="Q161">
        <v>0.831823227</v>
      </c>
      <c r="R161">
        <v>3.1623250000000001E-3</v>
      </c>
      <c r="S161">
        <v>0.83802138400000004</v>
      </c>
      <c r="T161">
        <v>0.82562506899999999</v>
      </c>
      <c r="U161">
        <v>1.6937899999999999E-3</v>
      </c>
      <c r="V161">
        <v>5.3600000000000004E-6</v>
      </c>
      <c r="W161">
        <v>0.68146427600000004</v>
      </c>
      <c r="X161">
        <v>0.68144327999999998</v>
      </c>
      <c r="Y161" t="s">
        <v>419</v>
      </c>
      <c r="Z161" t="s">
        <v>420</v>
      </c>
      <c r="AA161">
        <v>0</v>
      </c>
      <c r="AB161" t="s">
        <v>63</v>
      </c>
      <c r="AC161" t="s">
        <v>155</v>
      </c>
    </row>
    <row r="162" spans="1:30" x14ac:dyDescent="0.25">
      <c r="A162" t="s">
        <v>421</v>
      </c>
      <c r="B162" t="s">
        <v>147</v>
      </c>
      <c r="C162" t="s">
        <v>106</v>
      </c>
      <c r="D162" t="s">
        <v>36</v>
      </c>
      <c r="E162" t="s">
        <v>401</v>
      </c>
      <c r="F162" t="s">
        <v>343</v>
      </c>
      <c r="G162">
        <v>949744</v>
      </c>
      <c r="H162" t="s">
        <v>402</v>
      </c>
      <c r="I162" t="s">
        <v>422</v>
      </c>
      <c r="J162">
        <v>0.1</v>
      </c>
      <c r="K162">
        <v>1.1000000000000001E-3</v>
      </c>
      <c r="L162">
        <v>90.909090910000003</v>
      </c>
      <c r="M162">
        <v>100000</v>
      </c>
      <c r="N162">
        <v>1</v>
      </c>
      <c r="O162">
        <v>99998</v>
      </c>
      <c r="P162">
        <v>0.27629203400000002</v>
      </c>
      <c r="Q162">
        <v>0.28366317800000002</v>
      </c>
      <c r="R162">
        <v>3.1623250000000001E-3</v>
      </c>
      <c r="S162">
        <v>0.289861335</v>
      </c>
      <c r="T162">
        <v>0.27746502099999998</v>
      </c>
      <c r="U162">
        <v>2.9208929999999999E-3</v>
      </c>
      <c r="V162">
        <v>9.2399999999999996E-6</v>
      </c>
      <c r="W162">
        <v>0.27631013799999998</v>
      </c>
      <c r="X162">
        <v>0.27627393</v>
      </c>
      <c r="Y162" t="s">
        <v>423</v>
      </c>
      <c r="Z162" t="s">
        <v>424</v>
      </c>
      <c r="AA162">
        <v>0</v>
      </c>
      <c r="AB162" t="s">
        <v>63</v>
      </c>
      <c r="AC162" t="s">
        <v>155</v>
      </c>
    </row>
    <row r="163" spans="1:30" x14ac:dyDescent="0.25">
      <c r="A163" t="s">
        <v>425</v>
      </c>
      <c r="B163" t="s">
        <v>147</v>
      </c>
      <c r="C163" t="s">
        <v>106</v>
      </c>
      <c r="D163" t="s">
        <v>36</v>
      </c>
      <c r="E163" t="s">
        <v>401</v>
      </c>
      <c r="F163" t="s">
        <v>343</v>
      </c>
      <c r="G163">
        <v>1029</v>
      </c>
      <c r="H163" t="s">
        <v>402</v>
      </c>
      <c r="I163" t="s">
        <v>418</v>
      </c>
      <c r="J163">
        <v>0.53</v>
      </c>
      <c r="K163">
        <v>1.8E-3</v>
      </c>
      <c r="L163">
        <v>294.44444440000001</v>
      </c>
      <c r="M163">
        <v>100000</v>
      </c>
      <c r="N163">
        <v>1</v>
      </c>
      <c r="O163">
        <v>99998</v>
      </c>
      <c r="P163">
        <v>0.68145377799999995</v>
      </c>
      <c r="Q163">
        <v>0.831823227</v>
      </c>
      <c r="R163">
        <v>3.1623250000000001E-3</v>
      </c>
      <c r="S163">
        <v>0.83802138400000004</v>
      </c>
      <c r="T163">
        <v>0.82562506899999999</v>
      </c>
      <c r="U163">
        <v>1.6937899999999999E-3</v>
      </c>
      <c r="V163">
        <v>5.3600000000000004E-6</v>
      </c>
      <c r="W163">
        <v>0.68146427600000004</v>
      </c>
      <c r="X163">
        <v>0.68144327999999998</v>
      </c>
      <c r="Y163" t="s">
        <v>419</v>
      </c>
      <c r="Z163" t="s">
        <v>420</v>
      </c>
      <c r="AA163">
        <v>0</v>
      </c>
      <c r="AB163" t="s">
        <v>63</v>
      </c>
      <c r="AC163" t="s">
        <v>155</v>
      </c>
    </row>
    <row r="164" spans="1:30" x14ac:dyDescent="0.25">
      <c r="A164" t="s">
        <v>426</v>
      </c>
      <c r="B164" t="s">
        <v>147</v>
      </c>
      <c r="C164" t="s">
        <v>106</v>
      </c>
      <c r="D164" t="s">
        <v>36</v>
      </c>
      <c r="E164" t="s">
        <v>401</v>
      </c>
      <c r="F164" t="s">
        <v>343</v>
      </c>
      <c r="G164">
        <v>11300</v>
      </c>
      <c r="H164" t="s">
        <v>402</v>
      </c>
      <c r="I164" t="s">
        <v>427</v>
      </c>
      <c r="J164">
        <v>0.55000000000000004</v>
      </c>
      <c r="K164">
        <v>1.8E-3</v>
      </c>
      <c r="L164">
        <v>305.55555559999999</v>
      </c>
      <c r="M164">
        <v>100000</v>
      </c>
      <c r="N164">
        <v>1</v>
      </c>
      <c r="O164">
        <v>99998</v>
      </c>
      <c r="P164">
        <v>0.69487133700000003</v>
      </c>
      <c r="Q164">
        <v>0.85731428799999998</v>
      </c>
      <c r="R164">
        <v>3.1623250000000001E-3</v>
      </c>
      <c r="S164">
        <v>0.86351244599999999</v>
      </c>
      <c r="T164">
        <v>0.85111613100000005</v>
      </c>
      <c r="U164">
        <v>1.6353920000000001E-3</v>
      </c>
      <c r="V164">
        <v>5.1699999999999996E-6</v>
      </c>
      <c r="W164">
        <v>0.694881474</v>
      </c>
      <c r="X164">
        <v>0.69486120100000004</v>
      </c>
      <c r="Y164" t="s">
        <v>428</v>
      </c>
      <c r="Z164" t="s">
        <v>429</v>
      </c>
      <c r="AA164">
        <v>0</v>
      </c>
      <c r="AB164" t="s">
        <v>63</v>
      </c>
      <c r="AC164" t="s">
        <v>155</v>
      </c>
    </row>
    <row r="165" spans="1:30" x14ac:dyDescent="0.25">
      <c r="A165" t="s">
        <v>430</v>
      </c>
      <c r="B165" t="s">
        <v>147</v>
      </c>
      <c r="C165" t="s">
        <v>106</v>
      </c>
      <c r="D165" t="s">
        <v>36</v>
      </c>
      <c r="E165" t="s">
        <v>401</v>
      </c>
      <c r="F165" t="s">
        <v>343</v>
      </c>
      <c r="G165">
        <v>416</v>
      </c>
      <c r="H165" t="s">
        <v>402</v>
      </c>
      <c r="I165" t="s">
        <v>418</v>
      </c>
      <c r="J165">
        <v>0.18</v>
      </c>
      <c r="K165">
        <v>1.4E-3</v>
      </c>
      <c r="L165">
        <v>128.57142859999999</v>
      </c>
      <c r="M165">
        <v>100000</v>
      </c>
      <c r="N165">
        <v>1</v>
      </c>
      <c r="O165">
        <v>99998</v>
      </c>
      <c r="P165">
        <v>0.37664151000000001</v>
      </c>
      <c r="Q165">
        <v>0.39614017200000001</v>
      </c>
      <c r="R165">
        <v>3.1623250000000001E-3</v>
      </c>
      <c r="S165">
        <v>0.40233833000000002</v>
      </c>
      <c r="T165">
        <v>0.38994201499999998</v>
      </c>
      <c r="U165">
        <v>2.713694E-3</v>
      </c>
      <c r="V165">
        <v>8.5799999999999992E-6</v>
      </c>
      <c r="W165">
        <v>0.37665832999999999</v>
      </c>
      <c r="X165">
        <v>0.37662468999999998</v>
      </c>
      <c r="Y165" t="s">
        <v>431</v>
      </c>
      <c r="Z165" t="s">
        <v>420</v>
      </c>
      <c r="AA165">
        <v>0</v>
      </c>
      <c r="AB165" t="s">
        <v>63</v>
      </c>
      <c r="AC165" t="s">
        <v>155</v>
      </c>
    </row>
    <row r="166" spans="1:30" x14ac:dyDescent="0.25">
      <c r="A166" t="s">
        <v>329</v>
      </c>
      <c r="B166" t="s">
        <v>156</v>
      </c>
      <c r="C166" t="s">
        <v>108</v>
      </c>
      <c r="D166" t="s">
        <v>36</v>
      </c>
      <c r="E166" t="s">
        <v>432</v>
      </c>
      <c r="F166" t="s">
        <v>433</v>
      </c>
      <c r="G166">
        <v>384111</v>
      </c>
      <c r="H166" t="s">
        <v>325</v>
      </c>
      <c r="I166" t="s">
        <v>335</v>
      </c>
      <c r="J166">
        <v>-2.4E-2</v>
      </c>
      <c r="K166">
        <v>1.4319809999999999E-3</v>
      </c>
      <c r="L166">
        <v>-16.760000000000002</v>
      </c>
      <c r="M166">
        <v>384111</v>
      </c>
      <c r="N166">
        <v>30</v>
      </c>
      <c r="O166">
        <v>384080</v>
      </c>
      <c r="P166">
        <v>-2.7033633000000001E-2</v>
      </c>
      <c r="Q166">
        <v>-2.7040221999999999E-2</v>
      </c>
      <c r="R166">
        <v>1.613516E-3</v>
      </c>
      <c r="S166">
        <v>-2.387773E-2</v>
      </c>
      <c r="T166">
        <v>-3.0202712999999999E-2</v>
      </c>
      <c r="U166">
        <v>1.6123330000000001E-3</v>
      </c>
      <c r="V166">
        <v>2.6000000000000001E-6</v>
      </c>
      <c r="W166">
        <v>-2.7028534E-2</v>
      </c>
      <c r="X166">
        <v>-2.7038731999999999E-2</v>
      </c>
      <c r="Y166" t="s">
        <v>332</v>
      </c>
      <c r="Z166" t="s">
        <v>333</v>
      </c>
      <c r="AA166">
        <v>1</v>
      </c>
      <c r="AB166" t="s">
        <v>57</v>
      </c>
      <c r="AC166" t="s">
        <v>336</v>
      </c>
    </row>
    <row r="167" spans="1:30" x14ac:dyDescent="0.25">
      <c r="A167">
        <v>1944</v>
      </c>
      <c r="B167" t="s">
        <v>147</v>
      </c>
      <c r="C167" t="s">
        <v>106</v>
      </c>
      <c r="D167" t="s">
        <v>36</v>
      </c>
      <c r="E167" t="s">
        <v>434</v>
      </c>
      <c r="F167" t="s">
        <v>343</v>
      </c>
      <c r="G167">
        <v>45</v>
      </c>
      <c r="H167" t="s">
        <v>435</v>
      </c>
      <c r="I167" t="s">
        <v>436</v>
      </c>
      <c r="J167">
        <v>0.6</v>
      </c>
      <c r="K167">
        <v>1.6999999999999999E-3</v>
      </c>
      <c r="L167">
        <v>352.94117649999998</v>
      </c>
      <c r="M167">
        <v>100000</v>
      </c>
      <c r="N167">
        <v>1</v>
      </c>
      <c r="O167">
        <v>99998</v>
      </c>
      <c r="P167">
        <v>0.74478485299999997</v>
      </c>
      <c r="Q167">
        <v>0.96113981599999998</v>
      </c>
      <c r="R167">
        <v>3.1623250000000001E-3</v>
      </c>
      <c r="S167">
        <v>0.96733797300000002</v>
      </c>
      <c r="T167">
        <v>0.95494165900000005</v>
      </c>
      <c r="U167">
        <v>1.4081549999999999E-3</v>
      </c>
      <c r="V167">
        <v>4.4499999999999997E-6</v>
      </c>
      <c r="W167">
        <v>0.74479358100000004</v>
      </c>
      <c r="X167">
        <v>0.74477612599999998</v>
      </c>
      <c r="Y167" t="s">
        <v>437</v>
      </c>
      <c r="Z167" t="s">
        <v>438</v>
      </c>
      <c r="AA167">
        <v>1</v>
      </c>
      <c r="AB167" t="s">
        <v>173</v>
      </c>
      <c r="AC167" t="s">
        <v>155</v>
      </c>
      <c r="AD167" t="s">
        <v>439</v>
      </c>
    </row>
    <row r="168" spans="1:30" x14ac:dyDescent="0.25">
      <c r="A168">
        <v>1944</v>
      </c>
      <c r="B168" t="s">
        <v>147</v>
      </c>
      <c r="C168" t="s">
        <v>106</v>
      </c>
      <c r="D168" t="s">
        <v>36</v>
      </c>
      <c r="E168" t="s">
        <v>434</v>
      </c>
      <c r="F168" t="s">
        <v>343</v>
      </c>
      <c r="G168">
        <v>45</v>
      </c>
      <c r="H168" t="s">
        <v>435</v>
      </c>
      <c r="I168" t="s">
        <v>440</v>
      </c>
      <c r="J168">
        <v>0.87</v>
      </c>
      <c r="K168">
        <v>1.1999999999999999E-3</v>
      </c>
      <c r="L168">
        <v>725</v>
      </c>
      <c r="M168">
        <v>100000</v>
      </c>
      <c r="N168">
        <v>1</v>
      </c>
      <c r="O168">
        <v>99998</v>
      </c>
      <c r="P168">
        <v>0.91660379999999997</v>
      </c>
      <c r="Q168">
        <v>1.567353649</v>
      </c>
      <c r="R168">
        <v>3.1623250000000001E-3</v>
      </c>
      <c r="S168">
        <v>1.573551806</v>
      </c>
      <c r="T168">
        <v>1.5611554919999999</v>
      </c>
      <c r="U168">
        <v>5.05453E-4</v>
      </c>
      <c r="V168">
        <v>1.5999999999999999E-6</v>
      </c>
      <c r="W168">
        <v>0.91660693299999996</v>
      </c>
      <c r="X168">
        <v>0.91660066699999998</v>
      </c>
      <c r="Y168" t="s">
        <v>441</v>
      </c>
      <c r="Z168" t="s">
        <v>438</v>
      </c>
      <c r="AA168">
        <v>1</v>
      </c>
      <c r="AB168" t="s">
        <v>173</v>
      </c>
      <c r="AC168" t="s">
        <v>155</v>
      </c>
      <c r="AD168" t="s">
        <v>442</v>
      </c>
    </row>
    <row r="169" spans="1:30" x14ac:dyDescent="0.25">
      <c r="A169">
        <v>1977</v>
      </c>
      <c r="B169" t="s">
        <v>156</v>
      </c>
      <c r="C169" t="s">
        <v>107</v>
      </c>
      <c r="D169" t="s">
        <v>36</v>
      </c>
      <c r="E169" t="s">
        <v>443</v>
      </c>
      <c r="F169" t="s">
        <v>444</v>
      </c>
      <c r="G169">
        <v>6080</v>
      </c>
      <c r="H169" t="s">
        <v>445</v>
      </c>
      <c r="I169" t="s">
        <v>209</v>
      </c>
      <c r="K169">
        <v>1.5495999999999999E-2</v>
      </c>
      <c r="L169">
        <v>-8.9948899999999998</v>
      </c>
      <c r="M169">
        <v>6080</v>
      </c>
      <c r="P169">
        <v>-0.16083700000000001</v>
      </c>
      <c r="Q169">
        <v>-0.16224580499999999</v>
      </c>
      <c r="R169">
        <v>1.2827895000000001E-2</v>
      </c>
      <c r="S169">
        <v>-0.13710313099999999</v>
      </c>
      <c r="T169">
        <v>-0.187388478</v>
      </c>
      <c r="U169">
        <v>1.2494E-2</v>
      </c>
      <c r="V169">
        <v>1.6000000000000001E-4</v>
      </c>
      <c r="W169">
        <v>-0.160522945</v>
      </c>
      <c r="X169">
        <v>-0.16115105499999999</v>
      </c>
      <c r="Y169" t="s">
        <v>364</v>
      </c>
      <c r="Z169" t="s">
        <v>446</v>
      </c>
      <c r="AA169">
        <v>1</v>
      </c>
      <c r="AB169" t="s">
        <v>57</v>
      </c>
      <c r="AC169" t="s">
        <v>155</v>
      </c>
    </row>
    <row r="170" spans="1:30" x14ac:dyDescent="0.25">
      <c r="A170">
        <v>1982</v>
      </c>
      <c r="B170" t="s">
        <v>156</v>
      </c>
      <c r="C170" t="s">
        <v>107</v>
      </c>
      <c r="D170" t="s">
        <v>36</v>
      </c>
      <c r="E170" t="s">
        <v>443</v>
      </c>
      <c r="F170" t="s">
        <v>444</v>
      </c>
      <c r="G170">
        <v>238</v>
      </c>
      <c r="H170" t="s">
        <v>445</v>
      </c>
      <c r="I170" t="s">
        <v>209</v>
      </c>
      <c r="K170">
        <v>6.8972000000000006E-2</v>
      </c>
      <c r="L170">
        <v>-0.78645299999999996</v>
      </c>
      <c r="M170">
        <v>238</v>
      </c>
      <c r="P170">
        <v>-6.9426000000000002E-2</v>
      </c>
      <c r="Q170">
        <v>-6.9537867000000003E-2</v>
      </c>
      <c r="R170">
        <v>6.5232807000000004E-2</v>
      </c>
      <c r="S170">
        <v>5.8318435000000002E-2</v>
      </c>
      <c r="T170">
        <v>-0.19739417000000001</v>
      </c>
      <c r="U170">
        <v>6.4643889999999996E-2</v>
      </c>
      <c r="V170">
        <v>4.1900000000000001E-3</v>
      </c>
      <c r="W170">
        <v>-6.1213127999999999E-2</v>
      </c>
      <c r="X170">
        <v>-7.7638871999999998E-2</v>
      </c>
      <c r="Y170" t="s">
        <v>364</v>
      </c>
      <c r="Z170" t="s">
        <v>447</v>
      </c>
      <c r="AA170">
        <v>1</v>
      </c>
      <c r="AB170" t="s">
        <v>57</v>
      </c>
      <c r="AC170" t="s">
        <v>155</v>
      </c>
    </row>
    <row r="171" spans="1:30" x14ac:dyDescent="0.25">
      <c r="A171">
        <v>1999</v>
      </c>
      <c r="B171" t="s">
        <v>156</v>
      </c>
      <c r="C171" t="s">
        <v>107</v>
      </c>
      <c r="D171" t="s">
        <v>36</v>
      </c>
      <c r="E171" t="s">
        <v>443</v>
      </c>
      <c r="F171" t="s">
        <v>444</v>
      </c>
      <c r="G171">
        <v>1264</v>
      </c>
      <c r="H171" t="s">
        <v>445</v>
      </c>
      <c r="I171" t="s">
        <v>209</v>
      </c>
      <c r="K171">
        <v>5.7943000000000001E-2</v>
      </c>
      <c r="L171">
        <v>-1.8024100000000001</v>
      </c>
      <c r="M171">
        <v>1264</v>
      </c>
      <c r="P171">
        <v>-0.12094299999999999</v>
      </c>
      <c r="Q171">
        <v>-0.121537916</v>
      </c>
      <c r="R171">
        <v>2.8160635999999999E-2</v>
      </c>
      <c r="S171">
        <v>-6.6343070000000004E-2</v>
      </c>
      <c r="T171">
        <v>-0.17673276199999999</v>
      </c>
      <c r="U171">
        <v>2.7726745000000001E-2</v>
      </c>
      <c r="V171">
        <v>7.7999999999999999E-4</v>
      </c>
      <c r="W171">
        <v>-0.11941444399999999</v>
      </c>
      <c r="X171">
        <v>-0.122471556</v>
      </c>
      <c r="Y171" t="s">
        <v>364</v>
      </c>
      <c r="Z171" t="s">
        <v>448</v>
      </c>
      <c r="AA171">
        <v>1</v>
      </c>
      <c r="AB171" t="s">
        <v>57</v>
      </c>
      <c r="AC171" t="s">
        <v>155</v>
      </c>
    </row>
    <row r="172" spans="1:30" x14ac:dyDescent="0.25">
      <c r="A172">
        <v>2000</v>
      </c>
      <c r="B172" t="s">
        <v>156</v>
      </c>
      <c r="C172" t="s">
        <v>108</v>
      </c>
      <c r="D172" t="s">
        <v>36</v>
      </c>
      <c r="E172" t="s">
        <v>443</v>
      </c>
      <c r="F172" t="s">
        <v>444</v>
      </c>
      <c r="G172">
        <v>6912</v>
      </c>
      <c r="H172" t="s">
        <v>445</v>
      </c>
      <c r="I172" t="s">
        <v>209</v>
      </c>
      <c r="K172">
        <v>2.0005999999999999E-2</v>
      </c>
      <c r="L172">
        <v>-2.5154899999999998</v>
      </c>
      <c r="M172">
        <v>6912</v>
      </c>
      <c r="P172">
        <v>-5.2326999999999999E-2</v>
      </c>
      <c r="Q172">
        <v>-5.2374838E-2</v>
      </c>
      <c r="R172">
        <v>1.2030742000000001E-2</v>
      </c>
      <c r="S172">
        <v>-2.8794584000000002E-2</v>
      </c>
      <c r="T172">
        <v>-7.5955092000000002E-2</v>
      </c>
      <c r="U172">
        <v>1.1996064000000001E-2</v>
      </c>
      <c r="V172">
        <v>1.44E-4</v>
      </c>
      <c r="W172">
        <v>-5.2044190999999997E-2</v>
      </c>
      <c r="X172">
        <v>-5.2609809E-2</v>
      </c>
      <c r="Y172" t="s">
        <v>364</v>
      </c>
      <c r="Z172" t="s">
        <v>449</v>
      </c>
      <c r="AA172">
        <v>1</v>
      </c>
      <c r="AB172" t="s">
        <v>51</v>
      </c>
      <c r="AC172" t="s">
        <v>155</v>
      </c>
    </row>
    <row r="173" spans="1:30" x14ac:dyDescent="0.25">
      <c r="A173">
        <v>2003</v>
      </c>
      <c r="B173" t="s">
        <v>156</v>
      </c>
      <c r="C173" t="s">
        <v>108</v>
      </c>
      <c r="D173" t="s">
        <v>36</v>
      </c>
      <c r="E173" t="s">
        <v>443</v>
      </c>
      <c r="F173" t="s">
        <v>444</v>
      </c>
      <c r="G173">
        <v>1482</v>
      </c>
      <c r="H173" t="s">
        <v>445</v>
      </c>
      <c r="I173" t="s">
        <v>209</v>
      </c>
      <c r="K173">
        <v>3.0661999999999998E-2</v>
      </c>
      <c r="L173">
        <v>-9.8774099999999994</v>
      </c>
      <c r="M173">
        <v>1482</v>
      </c>
      <c r="P173">
        <v>-0.34147300000000003</v>
      </c>
      <c r="Q173">
        <v>-0.35575900999999999</v>
      </c>
      <c r="R173">
        <v>2.6002548E-2</v>
      </c>
      <c r="S173">
        <v>-0.30479401499999997</v>
      </c>
      <c r="T173">
        <v>-0.406724005</v>
      </c>
      <c r="U173">
        <v>2.2955037000000001E-2</v>
      </c>
      <c r="V173">
        <v>5.9599999999999996E-4</v>
      </c>
      <c r="W173">
        <v>-0.34030428099999999</v>
      </c>
      <c r="X173">
        <v>-0.34264171900000001</v>
      </c>
      <c r="Y173" t="s">
        <v>364</v>
      </c>
      <c r="Z173" t="s">
        <v>450</v>
      </c>
      <c r="AA173">
        <v>1</v>
      </c>
      <c r="AB173" t="s">
        <v>51</v>
      </c>
      <c r="AC173" t="s">
        <v>247</v>
      </c>
    </row>
    <row r="174" spans="1:30" x14ac:dyDescent="0.25">
      <c r="A174">
        <v>2009</v>
      </c>
      <c r="B174" t="s">
        <v>156</v>
      </c>
      <c r="C174" t="s">
        <v>108</v>
      </c>
      <c r="D174" t="s">
        <v>36</v>
      </c>
      <c r="E174" t="s">
        <v>443</v>
      </c>
      <c r="F174" t="s">
        <v>444</v>
      </c>
      <c r="G174">
        <v>35160</v>
      </c>
      <c r="H174" t="s">
        <v>445</v>
      </c>
      <c r="I174" t="s">
        <v>209</v>
      </c>
      <c r="K174">
        <v>1.7193E-2</v>
      </c>
      <c r="L174">
        <v>-1.9672700000000001</v>
      </c>
      <c r="M174">
        <v>35160</v>
      </c>
      <c r="P174">
        <v>-4.2507999999999997E-2</v>
      </c>
      <c r="Q174">
        <v>-4.2533631000000002E-2</v>
      </c>
      <c r="R174">
        <v>5.3332759999999996E-3</v>
      </c>
      <c r="S174">
        <v>-3.2080408999999997E-2</v>
      </c>
      <c r="T174">
        <v>-5.2986853E-2</v>
      </c>
      <c r="U174">
        <v>5.3234880000000004E-3</v>
      </c>
      <c r="V174">
        <v>2.8399999999999999E-5</v>
      </c>
      <c r="W174">
        <v>-4.2452354999999997E-2</v>
      </c>
      <c r="X174">
        <v>-4.2563644999999997E-2</v>
      </c>
      <c r="Y174" t="s">
        <v>364</v>
      </c>
      <c r="Z174" t="s">
        <v>451</v>
      </c>
      <c r="AA174">
        <v>1</v>
      </c>
      <c r="AB174" t="s">
        <v>51</v>
      </c>
      <c r="AC174" t="s">
        <v>155</v>
      </c>
    </row>
    <row r="175" spans="1:30" x14ac:dyDescent="0.25">
      <c r="A175">
        <v>2009</v>
      </c>
      <c r="B175" t="s">
        <v>156</v>
      </c>
      <c r="C175" t="s">
        <v>108</v>
      </c>
      <c r="D175" t="s">
        <v>36</v>
      </c>
      <c r="E175" t="s">
        <v>443</v>
      </c>
      <c r="F175" t="s">
        <v>444</v>
      </c>
      <c r="G175">
        <v>21772</v>
      </c>
      <c r="H175" t="s">
        <v>445</v>
      </c>
      <c r="I175" t="s">
        <v>209</v>
      </c>
      <c r="K175">
        <v>3.1026000000000001E-2</v>
      </c>
      <c r="L175">
        <v>-1.5105299999999999</v>
      </c>
      <c r="M175">
        <v>21772</v>
      </c>
      <c r="P175">
        <v>-3.0002000000000001E-2</v>
      </c>
      <c r="Q175">
        <v>-3.0011006999999999E-2</v>
      </c>
      <c r="R175">
        <v>6.7776750000000004E-3</v>
      </c>
      <c r="S175">
        <v>-1.6726762999999999E-2</v>
      </c>
      <c r="T175">
        <v>-4.329525E-2</v>
      </c>
      <c r="U175">
        <v>6.7712639999999999E-3</v>
      </c>
      <c r="V175">
        <v>4.5899999999999998E-5</v>
      </c>
      <c r="W175">
        <v>-2.9912055E-2</v>
      </c>
      <c r="X175">
        <v>-3.0091944999999998E-2</v>
      </c>
      <c r="Y175" t="s">
        <v>364</v>
      </c>
      <c r="Z175" t="s">
        <v>452</v>
      </c>
      <c r="AA175">
        <v>1</v>
      </c>
      <c r="AB175" t="s">
        <v>51</v>
      </c>
      <c r="AC175" t="s">
        <v>155</v>
      </c>
    </row>
    <row r="176" spans="1:30" x14ac:dyDescent="0.25">
      <c r="A176">
        <v>2009</v>
      </c>
      <c r="B176" t="s">
        <v>156</v>
      </c>
      <c r="C176" t="s">
        <v>108</v>
      </c>
      <c r="D176" t="s">
        <v>36</v>
      </c>
      <c r="E176" t="s">
        <v>443</v>
      </c>
      <c r="F176" t="s">
        <v>444</v>
      </c>
      <c r="G176">
        <v>12612</v>
      </c>
      <c r="H176" t="s">
        <v>445</v>
      </c>
      <c r="I176" t="s">
        <v>209</v>
      </c>
      <c r="K176">
        <v>9.9000000000000008E-3</v>
      </c>
      <c r="L176">
        <v>-1.2177199999999999</v>
      </c>
      <c r="M176">
        <v>12612</v>
      </c>
      <c r="P176">
        <v>-1.5334E-2</v>
      </c>
      <c r="Q176">
        <v>-1.5335201999999999E-2</v>
      </c>
      <c r="R176">
        <v>8.9055279999999994E-3</v>
      </c>
      <c r="S176">
        <v>2.1196330000000001E-3</v>
      </c>
      <c r="T176">
        <v>-3.2790037000000001E-2</v>
      </c>
      <c r="U176">
        <v>8.9027280000000004E-3</v>
      </c>
      <c r="V176">
        <v>7.9300000000000003E-5</v>
      </c>
      <c r="W176">
        <v>-1.5178623E-2</v>
      </c>
      <c r="X176">
        <v>-1.5489377E-2</v>
      </c>
      <c r="Y176" t="s">
        <v>364</v>
      </c>
      <c r="Z176" t="s">
        <v>453</v>
      </c>
      <c r="AA176">
        <v>1</v>
      </c>
      <c r="AB176" t="s">
        <v>51</v>
      </c>
      <c r="AC176" t="s">
        <v>155</v>
      </c>
    </row>
    <row r="177" spans="1:30" x14ac:dyDescent="0.25">
      <c r="A177">
        <v>2009</v>
      </c>
      <c r="B177" t="s">
        <v>156</v>
      </c>
      <c r="C177" t="s">
        <v>108</v>
      </c>
      <c r="D177" t="s">
        <v>36</v>
      </c>
      <c r="E177" t="s">
        <v>443</v>
      </c>
      <c r="F177" t="s">
        <v>444</v>
      </c>
      <c r="G177">
        <v>32700</v>
      </c>
      <c r="H177" t="s">
        <v>445</v>
      </c>
      <c r="I177" t="s">
        <v>209</v>
      </c>
      <c r="J177">
        <v>-9.2999999999999999E-2</v>
      </c>
      <c r="K177">
        <v>1.4999999999999999E-2</v>
      </c>
      <c r="L177">
        <v>-6.2</v>
      </c>
      <c r="M177">
        <v>4226</v>
      </c>
      <c r="N177">
        <v>1</v>
      </c>
      <c r="O177">
        <v>32700</v>
      </c>
      <c r="P177">
        <v>-3.4265944E-2</v>
      </c>
      <c r="Q177">
        <v>-3.4279364E-2</v>
      </c>
      <c r="R177">
        <v>1.5388258E-2</v>
      </c>
      <c r="S177">
        <v>-4.1183790000000001E-3</v>
      </c>
      <c r="T177">
        <v>-6.4440349999999993E-2</v>
      </c>
      <c r="U177">
        <v>1.5366551000000001E-2</v>
      </c>
      <c r="V177">
        <v>2.3599999999999999E-4</v>
      </c>
      <c r="W177">
        <v>-3.3802638000000003E-2</v>
      </c>
      <c r="X177">
        <v>-3.4729250000000003E-2</v>
      </c>
      <c r="Y177" t="s">
        <v>454</v>
      </c>
      <c r="Z177" t="s">
        <v>455</v>
      </c>
      <c r="AA177">
        <v>1</v>
      </c>
      <c r="AB177" t="s">
        <v>51</v>
      </c>
      <c r="AC177" t="s">
        <v>247</v>
      </c>
    </row>
    <row r="178" spans="1:30" x14ac:dyDescent="0.25">
      <c r="A178">
        <v>2012</v>
      </c>
      <c r="B178" t="s">
        <v>156</v>
      </c>
      <c r="C178" t="s">
        <v>108</v>
      </c>
      <c r="D178" t="s">
        <v>36</v>
      </c>
      <c r="E178" t="s">
        <v>443</v>
      </c>
      <c r="F178" t="s">
        <v>444</v>
      </c>
      <c r="G178">
        <v>137352</v>
      </c>
      <c r="H178" t="s">
        <v>445</v>
      </c>
      <c r="I178" t="s">
        <v>209</v>
      </c>
      <c r="K178">
        <v>1.3029000000000001E-2</v>
      </c>
      <c r="L178">
        <v>-0.513513</v>
      </c>
      <c r="M178">
        <v>137352</v>
      </c>
      <c r="P178">
        <v>-9.2399999999999999E-3</v>
      </c>
      <c r="Q178">
        <v>-9.2402630000000003E-3</v>
      </c>
      <c r="R178">
        <v>2.6982809999999999E-3</v>
      </c>
      <c r="S178">
        <v>-3.9516309999999997E-3</v>
      </c>
      <c r="T178">
        <v>-1.4528895E-2</v>
      </c>
      <c r="U178">
        <v>2.698031E-3</v>
      </c>
      <c r="V178">
        <v>7.2799999999999998E-6</v>
      </c>
      <c r="W178">
        <v>-9.2257309999999992E-3</v>
      </c>
      <c r="X178">
        <v>-9.2542690000000007E-3</v>
      </c>
      <c r="Y178" t="s">
        <v>364</v>
      </c>
      <c r="Z178" t="s">
        <v>456</v>
      </c>
      <c r="AA178">
        <v>1</v>
      </c>
      <c r="AB178" t="s">
        <v>51</v>
      </c>
      <c r="AC178" t="s">
        <v>155</v>
      </c>
    </row>
    <row r="179" spans="1:30" x14ac:dyDescent="0.25">
      <c r="A179">
        <v>2016</v>
      </c>
      <c r="B179" t="s">
        <v>156</v>
      </c>
      <c r="C179" t="s">
        <v>108</v>
      </c>
      <c r="D179" t="s">
        <v>36</v>
      </c>
      <c r="E179" t="s">
        <v>443</v>
      </c>
      <c r="F179" t="s">
        <v>444</v>
      </c>
      <c r="G179">
        <v>7013</v>
      </c>
      <c r="H179" t="s">
        <v>445</v>
      </c>
      <c r="I179" t="s">
        <v>209</v>
      </c>
      <c r="K179">
        <v>1.7881999999999999E-2</v>
      </c>
      <c r="L179">
        <v>2.56324</v>
      </c>
      <c r="M179">
        <v>7013</v>
      </c>
      <c r="P179">
        <v>2.5751E-2</v>
      </c>
      <c r="Q179">
        <v>2.5756694E-2</v>
      </c>
      <c r="R179">
        <v>1.1943758E-2</v>
      </c>
      <c r="S179">
        <v>4.9166460000000002E-2</v>
      </c>
      <c r="T179">
        <v>2.3469290000000002E-3</v>
      </c>
      <c r="U179">
        <v>1.1900000000000001E-2</v>
      </c>
      <c r="V179">
        <v>1.4300000000000001E-4</v>
      </c>
      <c r="W179">
        <v>2.6030316000000001E-2</v>
      </c>
      <c r="X179">
        <v>2.5471684000000001E-2</v>
      </c>
      <c r="Y179" t="s">
        <v>364</v>
      </c>
      <c r="Z179" t="s">
        <v>457</v>
      </c>
      <c r="AA179">
        <v>1</v>
      </c>
      <c r="AB179" t="s">
        <v>51</v>
      </c>
      <c r="AC179" t="s">
        <v>155</v>
      </c>
    </row>
    <row r="180" spans="1:30" x14ac:dyDescent="0.25">
      <c r="A180" t="s">
        <v>458</v>
      </c>
      <c r="B180" t="s">
        <v>156</v>
      </c>
      <c r="C180" t="s">
        <v>108</v>
      </c>
      <c r="D180" t="s">
        <v>36</v>
      </c>
      <c r="E180" t="s">
        <v>443</v>
      </c>
      <c r="F180" t="s">
        <v>444</v>
      </c>
      <c r="G180">
        <v>1116</v>
      </c>
      <c r="H180" t="s">
        <v>445</v>
      </c>
      <c r="I180" t="s">
        <v>209</v>
      </c>
      <c r="K180">
        <v>2.9545999999999999E-2</v>
      </c>
      <c r="L180">
        <v>-1.06297</v>
      </c>
      <c r="M180">
        <v>1116</v>
      </c>
      <c r="P180">
        <v>-4.5027999999999999E-2</v>
      </c>
      <c r="Q180">
        <v>-4.5058468999999997E-2</v>
      </c>
      <c r="R180">
        <v>2.9974532000000002E-2</v>
      </c>
      <c r="S180">
        <v>1.3691615000000001E-2</v>
      </c>
      <c r="T180">
        <v>-0.103808552</v>
      </c>
      <c r="U180">
        <v>2.9899999999999999E-2</v>
      </c>
      <c r="V180">
        <v>8.9499999999999996E-4</v>
      </c>
      <c r="W180">
        <v>-4.3274502999999999E-2</v>
      </c>
      <c r="X180">
        <v>-4.6781496999999998E-2</v>
      </c>
      <c r="Y180" t="s">
        <v>364</v>
      </c>
      <c r="Z180" t="s">
        <v>459</v>
      </c>
      <c r="AA180">
        <v>1</v>
      </c>
      <c r="AB180" t="s">
        <v>51</v>
      </c>
      <c r="AC180" t="s">
        <v>155</v>
      </c>
    </row>
    <row r="181" spans="1:30" x14ac:dyDescent="0.25">
      <c r="A181">
        <v>1980</v>
      </c>
      <c r="B181" t="s">
        <v>147</v>
      </c>
      <c r="C181" t="s">
        <v>107</v>
      </c>
      <c r="D181" t="s">
        <v>42</v>
      </c>
      <c r="E181" t="s">
        <v>460</v>
      </c>
      <c r="F181" t="s">
        <v>461</v>
      </c>
      <c r="G181">
        <v>25884</v>
      </c>
      <c r="H181" t="s">
        <v>462</v>
      </c>
      <c r="I181" t="s">
        <v>462</v>
      </c>
      <c r="J181">
        <v>-0.12</v>
      </c>
      <c r="K181">
        <v>4.6399999999999997E-2</v>
      </c>
      <c r="L181">
        <v>-2.5849000000000002</v>
      </c>
      <c r="M181">
        <v>100</v>
      </c>
      <c r="N181">
        <v>1</v>
      </c>
      <c r="O181">
        <v>98</v>
      </c>
      <c r="P181">
        <v>-0.25264362600000001</v>
      </c>
      <c r="Q181">
        <v>-0.25823467700000002</v>
      </c>
      <c r="R181">
        <v>0.10153461699999999</v>
      </c>
      <c r="S181">
        <v>-5.9226828000000002E-2</v>
      </c>
      <c r="T181">
        <v>-0.45724252500000001</v>
      </c>
      <c r="U181">
        <v>9.4100000000000003E-2</v>
      </c>
      <c r="V181">
        <v>9.41E-3</v>
      </c>
      <c r="W181">
        <v>-0.23420223200000001</v>
      </c>
      <c r="X181">
        <v>-0.27108502099999998</v>
      </c>
      <c r="Y181" t="s">
        <v>463</v>
      </c>
      <c r="Z181" t="s">
        <v>464</v>
      </c>
      <c r="AA181">
        <v>0</v>
      </c>
      <c r="AB181" t="s">
        <v>173</v>
      </c>
      <c r="AC181" t="s">
        <v>155</v>
      </c>
      <c r="AD181" t="s">
        <v>465</v>
      </c>
    </row>
    <row r="182" spans="1:30" x14ac:dyDescent="0.25">
      <c r="A182">
        <v>1987</v>
      </c>
      <c r="B182" t="s">
        <v>147</v>
      </c>
      <c r="C182" t="s">
        <v>107</v>
      </c>
      <c r="D182" t="s">
        <v>42</v>
      </c>
      <c r="E182" t="s">
        <v>460</v>
      </c>
      <c r="F182" t="s">
        <v>461</v>
      </c>
      <c r="G182">
        <v>21220</v>
      </c>
      <c r="H182" t="s">
        <v>462</v>
      </c>
      <c r="I182" t="s">
        <v>462</v>
      </c>
      <c r="J182">
        <v>-0.12</v>
      </c>
      <c r="K182">
        <v>4.6399999999999997E-2</v>
      </c>
      <c r="L182">
        <v>-2.5849000000000002</v>
      </c>
      <c r="M182">
        <v>100</v>
      </c>
      <c r="N182">
        <v>1</v>
      </c>
      <c r="O182">
        <v>98</v>
      </c>
      <c r="P182">
        <v>-0.25264362600000001</v>
      </c>
      <c r="Q182">
        <v>-0.25823467700000002</v>
      </c>
      <c r="R182">
        <v>0.10153461699999999</v>
      </c>
      <c r="S182">
        <v>-5.9226828000000002E-2</v>
      </c>
      <c r="T182">
        <v>-0.45724252500000001</v>
      </c>
      <c r="U182">
        <v>9.4100000000000003E-2</v>
      </c>
      <c r="V182">
        <v>9.41E-3</v>
      </c>
      <c r="W182">
        <v>-0.23420223200000001</v>
      </c>
      <c r="X182">
        <v>-0.27108502099999998</v>
      </c>
      <c r="Y182" t="s">
        <v>463</v>
      </c>
      <c r="Z182" t="s">
        <v>466</v>
      </c>
      <c r="AA182">
        <v>0</v>
      </c>
      <c r="AB182" t="s">
        <v>173</v>
      </c>
      <c r="AC182" t="s">
        <v>155</v>
      </c>
      <c r="AD182" t="s">
        <v>467</v>
      </c>
    </row>
    <row r="183" spans="1:30" x14ac:dyDescent="0.25">
      <c r="A183">
        <v>1988</v>
      </c>
      <c r="B183" t="s">
        <v>147</v>
      </c>
      <c r="C183" t="s">
        <v>107</v>
      </c>
      <c r="D183" t="s">
        <v>42</v>
      </c>
      <c r="E183" t="s">
        <v>460</v>
      </c>
      <c r="F183" t="s">
        <v>461</v>
      </c>
      <c r="G183">
        <v>15105</v>
      </c>
      <c r="H183" t="s">
        <v>462</v>
      </c>
      <c r="I183" t="s">
        <v>462</v>
      </c>
      <c r="J183">
        <v>-0.12</v>
      </c>
      <c r="K183">
        <v>4.6399999999999997E-2</v>
      </c>
      <c r="L183">
        <v>-2.5849000000000002</v>
      </c>
      <c r="M183">
        <v>100</v>
      </c>
      <c r="N183">
        <v>1</v>
      </c>
      <c r="O183">
        <v>98</v>
      </c>
      <c r="P183">
        <v>-0.25264362600000001</v>
      </c>
      <c r="Q183">
        <v>-0.25823467700000002</v>
      </c>
      <c r="R183">
        <v>0.10153461699999999</v>
      </c>
      <c r="S183">
        <v>-5.9226828000000002E-2</v>
      </c>
      <c r="T183">
        <v>-0.45724252500000001</v>
      </c>
      <c r="U183">
        <v>9.4100000000000003E-2</v>
      </c>
      <c r="V183">
        <v>9.41E-3</v>
      </c>
      <c r="W183">
        <v>-0.23420223200000001</v>
      </c>
      <c r="X183">
        <v>-0.27108502099999998</v>
      </c>
      <c r="Y183" t="s">
        <v>463</v>
      </c>
      <c r="Z183" t="s">
        <v>466</v>
      </c>
      <c r="AA183">
        <v>0</v>
      </c>
      <c r="AB183" t="s">
        <v>173</v>
      </c>
      <c r="AC183" t="s">
        <v>155</v>
      </c>
      <c r="AD183" t="s">
        <v>468</v>
      </c>
    </row>
    <row r="184" spans="1:30" x14ac:dyDescent="0.25">
      <c r="A184">
        <v>1989</v>
      </c>
      <c r="B184" t="s">
        <v>147</v>
      </c>
      <c r="C184" t="s">
        <v>107</v>
      </c>
      <c r="D184" t="s">
        <v>42</v>
      </c>
      <c r="E184" t="s">
        <v>460</v>
      </c>
      <c r="F184" t="s">
        <v>461</v>
      </c>
      <c r="G184">
        <v>15883</v>
      </c>
      <c r="H184" t="s">
        <v>462</v>
      </c>
      <c r="I184" t="s">
        <v>462</v>
      </c>
      <c r="J184">
        <v>-0.12</v>
      </c>
      <c r="K184">
        <v>4.6399999999999997E-2</v>
      </c>
      <c r="L184">
        <v>-2.5849000000000002</v>
      </c>
      <c r="M184">
        <v>100</v>
      </c>
      <c r="N184">
        <v>1</v>
      </c>
      <c r="O184">
        <v>98</v>
      </c>
      <c r="P184">
        <v>-0.25264362600000001</v>
      </c>
      <c r="Q184">
        <v>-0.25823467700000002</v>
      </c>
      <c r="R184">
        <v>0.10153461699999999</v>
      </c>
      <c r="S184">
        <v>-5.9226828000000002E-2</v>
      </c>
      <c r="T184">
        <v>-0.45724252500000001</v>
      </c>
      <c r="U184">
        <v>9.4100000000000003E-2</v>
      </c>
      <c r="V184">
        <v>9.41E-3</v>
      </c>
      <c r="W184">
        <v>-0.23420223200000001</v>
      </c>
      <c r="X184">
        <v>-0.27108502099999998</v>
      </c>
      <c r="Y184" t="s">
        <v>463</v>
      </c>
      <c r="Z184" t="s">
        <v>466</v>
      </c>
      <c r="AA184">
        <v>0</v>
      </c>
      <c r="AB184" t="s">
        <v>173</v>
      </c>
      <c r="AC184" t="s">
        <v>155</v>
      </c>
      <c r="AD184" t="s">
        <v>469</v>
      </c>
    </row>
    <row r="185" spans="1:30" x14ac:dyDescent="0.25">
      <c r="A185">
        <v>1990</v>
      </c>
      <c r="B185" t="s">
        <v>147</v>
      </c>
      <c r="C185" t="s">
        <v>107</v>
      </c>
      <c r="D185" t="s">
        <v>42</v>
      </c>
      <c r="E185" t="s">
        <v>460</v>
      </c>
      <c r="F185" t="s">
        <v>461</v>
      </c>
      <c r="G185">
        <v>15020</v>
      </c>
      <c r="H185" t="s">
        <v>462</v>
      </c>
      <c r="I185" t="s">
        <v>462</v>
      </c>
      <c r="J185">
        <v>-0.12</v>
      </c>
      <c r="K185">
        <v>4.6399999999999997E-2</v>
      </c>
      <c r="L185">
        <v>-2.5849000000000002</v>
      </c>
      <c r="M185">
        <v>100</v>
      </c>
      <c r="N185">
        <v>1</v>
      </c>
      <c r="O185">
        <v>98</v>
      </c>
      <c r="P185">
        <v>-0.25264362600000001</v>
      </c>
      <c r="Q185">
        <v>-0.25823467700000002</v>
      </c>
      <c r="R185">
        <v>0.10153461699999999</v>
      </c>
      <c r="S185">
        <v>-5.9226828000000002E-2</v>
      </c>
      <c r="T185">
        <v>-0.45724252500000001</v>
      </c>
      <c r="U185">
        <v>9.4100000000000003E-2</v>
      </c>
      <c r="V185">
        <v>9.41E-3</v>
      </c>
      <c r="W185">
        <v>-0.23420223200000001</v>
      </c>
      <c r="X185">
        <v>-0.27108502099999998</v>
      </c>
      <c r="Y185" t="s">
        <v>463</v>
      </c>
      <c r="Z185" t="s">
        <v>470</v>
      </c>
      <c r="AA185">
        <v>0</v>
      </c>
      <c r="AB185" t="s">
        <v>173</v>
      </c>
      <c r="AC185" t="s">
        <v>155</v>
      </c>
      <c r="AD185" t="s">
        <v>471</v>
      </c>
    </row>
    <row r="186" spans="1:30" x14ac:dyDescent="0.25">
      <c r="A186">
        <v>1991</v>
      </c>
      <c r="B186" t="s">
        <v>147</v>
      </c>
      <c r="C186" t="s">
        <v>107</v>
      </c>
      <c r="D186" t="s">
        <v>42</v>
      </c>
      <c r="E186" t="s">
        <v>460</v>
      </c>
      <c r="F186" t="s">
        <v>461</v>
      </c>
      <c r="G186">
        <v>6060</v>
      </c>
      <c r="H186" t="s">
        <v>462</v>
      </c>
      <c r="I186" t="s">
        <v>462</v>
      </c>
      <c r="J186">
        <v>-0.22</v>
      </c>
      <c r="K186">
        <v>5.9200000000000003E-2</v>
      </c>
      <c r="L186">
        <v>-3.7176</v>
      </c>
      <c r="M186">
        <v>100</v>
      </c>
      <c r="N186">
        <v>1</v>
      </c>
      <c r="O186">
        <v>98</v>
      </c>
      <c r="P186">
        <v>-0.35156193600000002</v>
      </c>
      <c r="Q186">
        <v>-0.36722484999999999</v>
      </c>
      <c r="R186">
        <v>0.10153461699999999</v>
      </c>
      <c r="S186">
        <v>-0.168217002</v>
      </c>
      <c r="T186">
        <v>-0.56623269899999995</v>
      </c>
      <c r="U186">
        <v>8.8099999999999998E-2</v>
      </c>
      <c r="V186">
        <v>8.8100000000000001E-3</v>
      </c>
      <c r="W186">
        <v>-0.33429787700000002</v>
      </c>
      <c r="X186">
        <v>-0.36882599599999999</v>
      </c>
      <c r="Y186" t="s">
        <v>463</v>
      </c>
      <c r="Z186" t="s">
        <v>472</v>
      </c>
      <c r="AA186">
        <v>0</v>
      </c>
      <c r="AB186" t="s">
        <v>173</v>
      </c>
      <c r="AC186" t="s">
        <v>155</v>
      </c>
      <c r="AD186" t="s">
        <v>473</v>
      </c>
    </row>
    <row r="187" spans="1:30" x14ac:dyDescent="0.25">
      <c r="A187">
        <v>1992</v>
      </c>
      <c r="B187" t="s">
        <v>147</v>
      </c>
      <c r="C187" t="s">
        <v>107</v>
      </c>
      <c r="D187" t="s">
        <v>42</v>
      </c>
      <c r="E187" t="s">
        <v>460</v>
      </c>
      <c r="F187" t="s">
        <v>461</v>
      </c>
      <c r="G187">
        <v>3972</v>
      </c>
      <c r="H187" t="s">
        <v>462</v>
      </c>
      <c r="I187" t="s">
        <v>462</v>
      </c>
      <c r="J187">
        <v>-0.42</v>
      </c>
      <c r="K187">
        <v>7.0499999999999993E-2</v>
      </c>
      <c r="L187">
        <v>-5.9566999999999997</v>
      </c>
      <c r="M187">
        <v>100</v>
      </c>
      <c r="N187">
        <v>1</v>
      </c>
      <c r="O187">
        <v>98</v>
      </c>
      <c r="P187">
        <v>-0.51557746699999996</v>
      </c>
      <c r="Q187">
        <v>-0.57029714099999995</v>
      </c>
      <c r="R187">
        <v>0.10153461699999999</v>
      </c>
      <c r="S187">
        <v>-0.37128929300000002</v>
      </c>
      <c r="T187">
        <v>-0.76930498999999997</v>
      </c>
      <c r="U187">
        <v>7.3800000000000004E-2</v>
      </c>
      <c r="V187">
        <v>7.3800000000000003E-3</v>
      </c>
      <c r="W187">
        <v>-0.50111504699999998</v>
      </c>
      <c r="X187">
        <v>-0.53003988599999996</v>
      </c>
      <c r="Y187" t="s">
        <v>463</v>
      </c>
      <c r="Z187" t="s">
        <v>474</v>
      </c>
      <c r="AA187">
        <v>0</v>
      </c>
      <c r="AB187" t="s">
        <v>173</v>
      </c>
      <c r="AC187" t="s">
        <v>155</v>
      </c>
      <c r="AD187" t="s">
        <v>475</v>
      </c>
    </row>
    <row r="188" spans="1:30" x14ac:dyDescent="0.25">
      <c r="A188">
        <v>1993</v>
      </c>
      <c r="B188" t="s">
        <v>147</v>
      </c>
      <c r="C188" t="s">
        <v>107</v>
      </c>
      <c r="D188" t="s">
        <v>42</v>
      </c>
      <c r="E188" t="s">
        <v>460</v>
      </c>
      <c r="F188" t="s">
        <v>461</v>
      </c>
      <c r="G188">
        <v>7535</v>
      </c>
      <c r="H188" t="s">
        <v>462</v>
      </c>
      <c r="I188" t="s">
        <v>462</v>
      </c>
      <c r="J188">
        <v>-0.16</v>
      </c>
      <c r="K188">
        <v>5.2400000000000002E-2</v>
      </c>
      <c r="L188">
        <v>-3.0550999999999999</v>
      </c>
      <c r="M188">
        <v>100</v>
      </c>
      <c r="N188">
        <v>1</v>
      </c>
      <c r="O188">
        <v>98</v>
      </c>
      <c r="P188">
        <v>-0.294888278</v>
      </c>
      <c r="Q188">
        <v>-0.30391171900000002</v>
      </c>
      <c r="R188">
        <v>0.10153461699999999</v>
      </c>
      <c r="S188">
        <v>-0.10490387</v>
      </c>
      <c r="T188">
        <v>-0.50291956699999996</v>
      </c>
      <c r="U188">
        <v>9.1800000000000007E-2</v>
      </c>
      <c r="V188">
        <v>9.1800000000000007E-3</v>
      </c>
      <c r="W188">
        <v>-0.27690252199999998</v>
      </c>
      <c r="X188">
        <v>-0.31287403400000002</v>
      </c>
      <c r="Y188" t="s">
        <v>463</v>
      </c>
      <c r="Z188" t="s">
        <v>466</v>
      </c>
      <c r="AA188">
        <v>0</v>
      </c>
      <c r="AB188" t="s">
        <v>173</v>
      </c>
      <c r="AC188" t="s">
        <v>155</v>
      </c>
      <c r="AD188" t="s">
        <v>476</v>
      </c>
    </row>
    <row r="189" spans="1:30" x14ac:dyDescent="0.25">
      <c r="A189">
        <v>1994</v>
      </c>
      <c r="B189" t="s">
        <v>147</v>
      </c>
      <c r="C189" t="s">
        <v>107</v>
      </c>
      <c r="D189" t="s">
        <v>42</v>
      </c>
      <c r="E189" t="s">
        <v>460</v>
      </c>
      <c r="F189" t="s">
        <v>461</v>
      </c>
      <c r="G189">
        <v>5045</v>
      </c>
      <c r="H189" t="s">
        <v>462</v>
      </c>
      <c r="I189" t="s">
        <v>462</v>
      </c>
      <c r="J189">
        <v>-0.14000000000000001</v>
      </c>
      <c r="K189">
        <v>4.9599999999999998E-2</v>
      </c>
      <c r="L189">
        <v>-2.8243</v>
      </c>
      <c r="M189">
        <v>100</v>
      </c>
      <c r="N189">
        <v>1</v>
      </c>
      <c r="O189">
        <v>98</v>
      </c>
      <c r="P189">
        <v>-0.27435045899999999</v>
      </c>
      <c r="Q189">
        <v>-0.28156235499999999</v>
      </c>
      <c r="R189">
        <v>0.10153461699999999</v>
      </c>
      <c r="S189">
        <v>-8.2554506999999999E-2</v>
      </c>
      <c r="T189">
        <v>-0.480570204</v>
      </c>
      <c r="U189">
        <v>9.2899999999999996E-2</v>
      </c>
      <c r="V189">
        <v>9.2899999999999996E-3</v>
      </c>
      <c r="W189">
        <v>-0.25613440599999998</v>
      </c>
      <c r="X189">
        <v>-0.292566512</v>
      </c>
      <c r="Y189" t="s">
        <v>463</v>
      </c>
      <c r="Z189" t="s">
        <v>477</v>
      </c>
      <c r="AA189">
        <v>0</v>
      </c>
      <c r="AB189" t="s">
        <v>173</v>
      </c>
      <c r="AC189" t="s">
        <v>155</v>
      </c>
      <c r="AD189" t="s">
        <v>478</v>
      </c>
    </row>
    <row r="190" spans="1:30" x14ac:dyDescent="0.25">
      <c r="A190">
        <v>1995</v>
      </c>
      <c r="B190" t="s">
        <v>147</v>
      </c>
      <c r="C190" t="s">
        <v>107</v>
      </c>
      <c r="D190" t="s">
        <v>42</v>
      </c>
      <c r="E190" t="s">
        <v>460</v>
      </c>
      <c r="F190" t="s">
        <v>461</v>
      </c>
      <c r="G190">
        <v>4092</v>
      </c>
      <c r="H190" t="s">
        <v>462</v>
      </c>
      <c r="I190" t="s">
        <v>462</v>
      </c>
      <c r="J190">
        <v>-0.44</v>
      </c>
      <c r="K190">
        <v>7.0900000000000005E-2</v>
      </c>
      <c r="L190">
        <v>-6.2047999999999996</v>
      </c>
      <c r="M190">
        <v>100</v>
      </c>
      <c r="N190">
        <v>1</v>
      </c>
      <c r="O190">
        <v>98</v>
      </c>
      <c r="P190">
        <v>-0.53108274200000005</v>
      </c>
      <c r="Q190">
        <v>-0.59165205399999998</v>
      </c>
      <c r="R190">
        <v>0.10153461699999999</v>
      </c>
      <c r="S190">
        <v>-0.39264420500000002</v>
      </c>
      <c r="T190">
        <v>-0.79065990200000003</v>
      </c>
      <c r="U190">
        <v>7.22E-2</v>
      </c>
      <c r="V190">
        <v>7.2199999999999999E-3</v>
      </c>
      <c r="W190">
        <v>-0.51694000799999995</v>
      </c>
      <c r="X190">
        <v>-0.54522547499999996</v>
      </c>
      <c r="Y190" t="s">
        <v>463</v>
      </c>
      <c r="Z190" t="s">
        <v>479</v>
      </c>
      <c r="AA190">
        <v>0</v>
      </c>
      <c r="AB190" t="s">
        <v>173</v>
      </c>
      <c r="AC190" t="s">
        <v>155</v>
      </c>
      <c r="AD190" t="s">
        <v>480</v>
      </c>
    </row>
    <row r="191" spans="1:30" x14ac:dyDescent="0.25">
      <c r="A191">
        <v>1997</v>
      </c>
      <c r="B191" t="s">
        <v>147</v>
      </c>
      <c r="C191" t="s">
        <v>107</v>
      </c>
      <c r="D191" t="s">
        <v>42</v>
      </c>
      <c r="E191" t="s">
        <v>460</v>
      </c>
      <c r="F191" t="s">
        <v>461</v>
      </c>
      <c r="G191">
        <v>5825</v>
      </c>
      <c r="H191" t="s">
        <v>462</v>
      </c>
      <c r="I191" t="s">
        <v>462</v>
      </c>
      <c r="J191">
        <v>-0.16</v>
      </c>
      <c r="K191">
        <v>5.2400000000000002E-2</v>
      </c>
      <c r="L191">
        <v>-3.0550999999999999</v>
      </c>
      <c r="M191">
        <v>100</v>
      </c>
      <c r="N191">
        <v>1</v>
      </c>
      <c r="O191">
        <v>98</v>
      </c>
      <c r="P191">
        <v>-0.294888278</v>
      </c>
      <c r="Q191">
        <v>-0.30391171900000002</v>
      </c>
      <c r="R191">
        <v>0.10153461699999999</v>
      </c>
      <c r="S191">
        <v>-0.10490387</v>
      </c>
      <c r="T191">
        <v>-0.50291956699999996</v>
      </c>
      <c r="U191">
        <v>9.1800000000000007E-2</v>
      </c>
      <c r="V191">
        <v>9.1800000000000007E-3</v>
      </c>
      <c r="W191">
        <v>-0.27690252199999998</v>
      </c>
      <c r="X191">
        <v>-0.31287403400000002</v>
      </c>
      <c r="Y191" t="s">
        <v>463</v>
      </c>
      <c r="Z191" t="s">
        <v>481</v>
      </c>
      <c r="AA191">
        <v>0</v>
      </c>
      <c r="AB191" t="s">
        <v>173</v>
      </c>
      <c r="AC191" t="s">
        <v>155</v>
      </c>
      <c r="AD191" t="s">
        <v>482</v>
      </c>
    </row>
    <row r="192" spans="1:30" x14ac:dyDescent="0.25">
      <c r="A192">
        <v>1999</v>
      </c>
      <c r="B192" t="s">
        <v>147</v>
      </c>
      <c r="C192" t="s">
        <v>107</v>
      </c>
      <c r="D192" t="s">
        <v>42</v>
      </c>
      <c r="E192" t="s">
        <v>460</v>
      </c>
      <c r="F192" t="s">
        <v>461</v>
      </c>
      <c r="G192">
        <v>4925</v>
      </c>
      <c r="H192" t="s">
        <v>462</v>
      </c>
      <c r="I192" t="s">
        <v>462</v>
      </c>
      <c r="J192">
        <v>-0.16</v>
      </c>
      <c r="K192">
        <v>5.2400000000000002E-2</v>
      </c>
      <c r="L192">
        <v>-3.0550999999999999</v>
      </c>
      <c r="M192">
        <v>100</v>
      </c>
      <c r="N192">
        <v>1</v>
      </c>
      <c r="O192">
        <v>98</v>
      </c>
      <c r="P192">
        <v>-0.294888278</v>
      </c>
      <c r="Q192">
        <v>-0.30391171900000002</v>
      </c>
      <c r="R192">
        <v>0.10153461699999999</v>
      </c>
      <c r="S192">
        <v>-0.10490387</v>
      </c>
      <c r="T192">
        <v>-0.50291956699999996</v>
      </c>
      <c r="U192">
        <v>9.1800000000000007E-2</v>
      </c>
      <c r="V192">
        <v>9.1800000000000007E-3</v>
      </c>
      <c r="W192">
        <v>-0.27690252199999998</v>
      </c>
      <c r="X192">
        <v>-0.31287403400000002</v>
      </c>
      <c r="Y192" t="s">
        <v>463</v>
      </c>
      <c r="Z192" t="s">
        <v>481</v>
      </c>
      <c r="AA192">
        <v>0</v>
      </c>
      <c r="AB192" t="s">
        <v>173</v>
      </c>
      <c r="AC192" t="s">
        <v>155</v>
      </c>
      <c r="AD192" t="s">
        <v>482</v>
      </c>
    </row>
    <row r="193" spans="1:30" x14ac:dyDescent="0.25">
      <c r="A193">
        <v>2003</v>
      </c>
      <c r="B193" t="s">
        <v>147</v>
      </c>
      <c r="C193" t="s">
        <v>108</v>
      </c>
      <c r="D193" t="s">
        <v>42</v>
      </c>
      <c r="E193" t="s">
        <v>460</v>
      </c>
      <c r="F193" t="s">
        <v>461</v>
      </c>
      <c r="G193">
        <v>12640</v>
      </c>
      <c r="H193" t="s">
        <v>462</v>
      </c>
      <c r="I193" t="s">
        <v>462</v>
      </c>
      <c r="J193">
        <v>-0.14000000000000001</v>
      </c>
      <c r="K193">
        <v>4.9599999999999998E-2</v>
      </c>
      <c r="L193">
        <v>-2.8243</v>
      </c>
      <c r="M193">
        <v>100</v>
      </c>
      <c r="N193">
        <v>1</v>
      </c>
      <c r="O193">
        <v>98</v>
      </c>
      <c r="P193">
        <v>-0.27435045899999999</v>
      </c>
      <c r="Q193">
        <v>-0.28156235499999999</v>
      </c>
      <c r="R193">
        <v>0.10153461699999999</v>
      </c>
      <c r="S193">
        <v>-8.2554506999999999E-2</v>
      </c>
      <c r="T193">
        <v>-0.480570204</v>
      </c>
      <c r="U193">
        <v>9.2899999999999996E-2</v>
      </c>
      <c r="V193">
        <v>9.2899999999999996E-3</v>
      </c>
      <c r="W193">
        <v>-0.25613440599999998</v>
      </c>
      <c r="X193">
        <v>-0.292566512</v>
      </c>
      <c r="Y193" t="s">
        <v>463</v>
      </c>
      <c r="Z193" t="s">
        <v>481</v>
      </c>
      <c r="AA193">
        <v>0</v>
      </c>
      <c r="AB193" t="s">
        <v>173</v>
      </c>
      <c r="AC193" t="s">
        <v>155</v>
      </c>
      <c r="AD193" t="s">
        <v>483</v>
      </c>
    </row>
    <row r="194" spans="1:30" x14ac:dyDescent="0.25">
      <c r="A194">
        <v>2006</v>
      </c>
      <c r="B194" t="s">
        <v>147</v>
      </c>
      <c r="C194" t="s">
        <v>108</v>
      </c>
      <c r="D194" t="s">
        <v>42</v>
      </c>
      <c r="E194" t="s">
        <v>460</v>
      </c>
      <c r="F194" t="s">
        <v>461</v>
      </c>
      <c r="G194">
        <v>10035</v>
      </c>
      <c r="H194" t="s">
        <v>462</v>
      </c>
      <c r="I194" t="s">
        <v>462</v>
      </c>
      <c r="J194">
        <v>-0.16</v>
      </c>
      <c r="K194">
        <v>5.2400000000000002E-2</v>
      </c>
      <c r="L194">
        <v>-3.0550999999999999</v>
      </c>
      <c r="M194">
        <v>100</v>
      </c>
      <c r="N194">
        <v>1</v>
      </c>
      <c r="O194">
        <v>98</v>
      </c>
      <c r="P194">
        <v>-0.294888278</v>
      </c>
      <c r="Q194">
        <v>-0.30391171900000002</v>
      </c>
      <c r="R194">
        <v>0.10153461699999999</v>
      </c>
      <c r="S194">
        <v>-0.10490387</v>
      </c>
      <c r="T194">
        <v>-0.50291956699999996</v>
      </c>
      <c r="U194">
        <v>9.1800000000000007E-2</v>
      </c>
      <c r="V194">
        <v>9.1800000000000007E-3</v>
      </c>
      <c r="W194">
        <v>-0.27690252199999998</v>
      </c>
      <c r="X194">
        <v>-0.31287403400000002</v>
      </c>
      <c r="Y194" t="s">
        <v>463</v>
      </c>
      <c r="Z194" t="s">
        <v>481</v>
      </c>
      <c r="AA194">
        <v>0</v>
      </c>
      <c r="AB194" t="s">
        <v>173</v>
      </c>
      <c r="AC194" t="s">
        <v>155</v>
      </c>
      <c r="AD194" t="s">
        <v>484</v>
      </c>
    </row>
    <row r="195" spans="1:30" x14ac:dyDescent="0.25">
      <c r="A195">
        <v>2009</v>
      </c>
      <c r="B195" t="s">
        <v>147</v>
      </c>
      <c r="C195" t="s">
        <v>108</v>
      </c>
      <c r="D195" t="s">
        <v>42</v>
      </c>
      <c r="E195" t="s">
        <v>460</v>
      </c>
      <c r="F195" t="s">
        <v>461</v>
      </c>
      <c r="G195">
        <v>15065</v>
      </c>
      <c r="H195" t="s">
        <v>462</v>
      </c>
      <c r="I195" t="s">
        <v>462</v>
      </c>
      <c r="J195">
        <v>-0.16</v>
      </c>
      <c r="K195">
        <v>5.2400000000000002E-2</v>
      </c>
      <c r="L195">
        <v>-3.0550999999999999</v>
      </c>
      <c r="M195">
        <v>100</v>
      </c>
      <c r="N195">
        <v>1</v>
      </c>
      <c r="O195">
        <v>98</v>
      </c>
      <c r="P195">
        <v>-0.294888278</v>
      </c>
      <c r="Q195">
        <v>-0.30391171900000002</v>
      </c>
      <c r="R195">
        <v>0.10153461699999999</v>
      </c>
      <c r="S195">
        <v>-0.10490387</v>
      </c>
      <c r="T195">
        <v>-0.50291956699999996</v>
      </c>
      <c r="U195">
        <v>9.1800000000000007E-2</v>
      </c>
      <c r="V195">
        <v>9.1800000000000007E-3</v>
      </c>
      <c r="W195">
        <v>-0.27690252199999998</v>
      </c>
      <c r="X195">
        <v>-0.31287403400000002</v>
      </c>
      <c r="Y195" t="s">
        <v>463</v>
      </c>
      <c r="Z195" t="s">
        <v>485</v>
      </c>
      <c r="AA195">
        <v>0</v>
      </c>
      <c r="AB195" t="s">
        <v>173</v>
      </c>
      <c r="AC195" t="s">
        <v>155</v>
      </c>
      <c r="AD195" t="s">
        <v>484</v>
      </c>
    </row>
    <row r="196" spans="1:30" x14ac:dyDescent="0.25">
      <c r="A196">
        <v>2012</v>
      </c>
      <c r="B196" t="s">
        <v>147</v>
      </c>
      <c r="C196" t="s">
        <v>108</v>
      </c>
      <c r="D196" t="s">
        <v>42</v>
      </c>
      <c r="E196" t="s">
        <v>460</v>
      </c>
      <c r="F196" t="s">
        <v>461</v>
      </c>
      <c r="G196">
        <v>15040</v>
      </c>
      <c r="H196" t="s">
        <v>462</v>
      </c>
      <c r="I196" t="s">
        <v>462</v>
      </c>
      <c r="J196">
        <v>-0.16</v>
      </c>
      <c r="K196">
        <v>5.2400000000000002E-2</v>
      </c>
      <c r="L196">
        <v>-3.0550999999999999</v>
      </c>
      <c r="M196">
        <v>100</v>
      </c>
      <c r="N196">
        <v>1</v>
      </c>
      <c r="O196">
        <v>98</v>
      </c>
      <c r="P196">
        <v>-0.294888278</v>
      </c>
      <c r="Q196">
        <v>-0.30391171900000002</v>
      </c>
      <c r="R196">
        <v>0.10199999999999999</v>
      </c>
      <c r="S196">
        <v>-0.10490387</v>
      </c>
      <c r="T196">
        <v>-0.50291956699999996</v>
      </c>
      <c r="U196">
        <v>9.1800000000000007E-2</v>
      </c>
      <c r="V196">
        <v>9.1800000000000007E-3</v>
      </c>
      <c r="W196">
        <v>-0.27690252199999998</v>
      </c>
      <c r="X196">
        <v>-0.31287403400000002</v>
      </c>
      <c r="Y196" t="s">
        <v>463</v>
      </c>
      <c r="Z196" t="s">
        <v>485</v>
      </c>
      <c r="AA196">
        <v>0</v>
      </c>
      <c r="AB196" t="s">
        <v>173</v>
      </c>
      <c r="AC196" t="s">
        <v>155</v>
      </c>
      <c r="AD196" t="s">
        <v>486</v>
      </c>
    </row>
    <row r="197" spans="1:30" x14ac:dyDescent="0.25">
      <c r="A197">
        <v>2013</v>
      </c>
      <c r="B197" t="s">
        <v>147</v>
      </c>
      <c r="C197" t="s">
        <v>108</v>
      </c>
      <c r="D197" t="s">
        <v>42</v>
      </c>
      <c r="E197" t="s">
        <v>460</v>
      </c>
      <c r="F197" t="s">
        <v>461</v>
      </c>
      <c r="G197">
        <v>6650</v>
      </c>
      <c r="H197" t="s">
        <v>462</v>
      </c>
      <c r="I197" t="s">
        <v>462</v>
      </c>
      <c r="J197">
        <v>-0.14000000000000001</v>
      </c>
      <c r="K197">
        <v>4.9599999999999998E-2</v>
      </c>
      <c r="L197">
        <v>-2.8243</v>
      </c>
      <c r="M197">
        <v>100</v>
      </c>
      <c r="N197">
        <v>1</v>
      </c>
      <c r="O197">
        <v>98</v>
      </c>
      <c r="P197">
        <v>-0.27435045899999999</v>
      </c>
      <c r="Q197">
        <v>-0.28156235499999999</v>
      </c>
      <c r="R197">
        <v>0.10153461699999999</v>
      </c>
      <c r="S197">
        <v>-8.2554506999999999E-2</v>
      </c>
      <c r="T197">
        <v>-0.480570204</v>
      </c>
      <c r="U197">
        <v>9.2899999999999996E-2</v>
      </c>
      <c r="V197">
        <v>9.2899999999999996E-3</v>
      </c>
      <c r="W197">
        <v>-0.25613440599999998</v>
      </c>
      <c r="X197">
        <v>-0.292566512</v>
      </c>
      <c r="Y197" t="s">
        <v>463</v>
      </c>
      <c r="Z197" t="s">
        <v>487</v>
      </c>
      <c r="AA197">
        <v>0</v>
      </c>
      <c r="AB197" t="s">
        <v>173</v>
      </c>
      <c r="AC197" t="s">
        <v>155</v>
      </c>
      <c r="AD197" t="s">
        <v>488</v>
      </c>
    </row>
    <row r="198" spans="1:30" x14ac:dyDescent="0.25">
      <c r="A198">
        <v>1941</v>
      </c>
      <c r="B198" t="s">
        <v>156</v>
      </c>
      <c r="C198" t="s">
        <v>106</v>
      </c>
      <c r="D198" t="s">
        <v>42</v>
      </c>
      <c r="E198" t="s">
        <v>489</v>
      </c>
      <c r="F198" t="s">
        <v>490</v>
      </c>
      <c r="G198">
        <v>282242</v>
      </c>
      <c r="H198" t="s">
        <v>491</v>
      </c>
      <c r="I198" t="s">
        <v>492</v>
      </c>
      <c r="J198">
        <v>-0.51</v>
      </c>
      <c r="K198">
        <v>9.9189999999999999E-4</v>
      </c>
      <c r="L198">
        <v>-514.16473429999996</v>
      </c>
      <c r="M198">
        <v>282242</v>
      </c>
      <c r="N198">
        <v>1</v>
      </c>
      <c r="O198">
        <v>282240</v>
      </c>
      <c r="P198">
        <v>-0.69544908000000005</v>
      </c>
      <c r="Q198">
        <v>-0.85843231600000003</v>
      </c>
      <c r="R198">
        <v>1.882311E-3</v>
      </c>
      <c r="S198">
        <v>-0.85474298599999998</v>
      </c>
      <c r="T198">
        <v>-0.86212164700000005</v>
      </c>
      <c r="U198">
        <v>9.7199999999999999E-4</v>
      </c>
      <c r="V198">
        <v>1.8300000000000001E-6</v>
      </c>
      <c r="W198">
        <v>-0.69544549499999997</v>
      </c>
      <c r="X198">
        <v>-0.695452666</v>
      </c>
      <c r="Y198" t="s">
        <v>493</v>
      </c>
      <c r="Z198" t="s">
        <v>196</v>
      </c>
      <c r="AA198">
        <v>1</v>
      </c>
      <c r="AB198" t="s">
        <v>100</v>
      </c>
      <c r="AC198" t="s">
        <v>155</v>
      </c>
    </row>
    <row r="199" spans="1:30" x14ac:dyDescent="0.25">
      <c r="A199">
        <v>1944</v>
      </c>
      <c r="B199" t="s">
        <v>156</v>
      </c>
      <c r="C199" t="s">
        <v>106</v>
      </c>
      <c r="D199" t="s">
        <v>42</v>
      </c>
      <c r="E199" t="s">
        <v>489</v>
      </c>
      <c r="F199" t="s">
        <v>494</v>
      </c>
      <c r="G199">
        <v>2521</v>
      </c>
      <c r="H199" t="s">
        <v>169</v>
      </c>
      <c r="I199" t="s">
        <v>495</v>
      </c>
      <c r="J199">
        <v>-0.45</v>
      </c>
      <c r="K199">
        <v>1.6999999999999999E-3</v>
      </c>
      <c r="L199">
        <v>-3.5</v>
      </c>
      <c r="M199">
        <v>100</v>
      </c>
      <c r="N199">
        <v>1</v>
      </c>
      <c r="O199">
        <v>98</v>
      </c>
      <c r="P199">
        <v>-0.33333333300000001</v>
      </c>
      <c r="Q199">
        <v>-0.34657358999999999</v>
      </c>
      <c r="R199">
        <v>0.10153461699999999</v>
      </c>
      <c r="S199">
        <v>-0.147565742</v>
      </c>
      <c r="T199">
        <v>-0.545581439</v>
      </c>
      <c r="U199">
        <v>8.9300000000000004E-2</v>
      </c>
      <c r="V199">
        <v>8.9300000000000004E-3</v>
      </c>
      <c r="W199">
        <v>-0.31582334099999998</v>
      </c>
      <c r="X199">
        <v>-0.35084332499999998</v>
      </c>
      <c r="Y199" t="s">
        <v>181</v>
      </c>
      <c r="Z199" t="s">
        <v>496</v>
      </c>
      <c r="AA199">
        <v>0</v>
      </c>
      <c r="AB199" t="s">
        <v>173</v>
      </c>
      <c r="AC199" t="s">
        <v>155</v>
      </c>
      <c r="AD199" t="s">
        <v>497</v>
      </c>
    </row>
    <row r="200" spans="1:30" x14ac:dyDescent="0.25">
      <c r="A200">
        <v>1944</v>
      </c>
      <c r="B200" t="s">
        <v>156</v>
      </c>
      <c r="C200" t="s">
        <v>106</v>
      </c>
      <c r="D200" t="s">
        <v>42</v>
      </c>
      <c r="E200" t="s">
        <v>489</v>
      </c>
      <c r="F200" t="s">
        <v>498</v>
      </c>
      <c r="G200">
        <v>10084</v>
      </c>
      <c r="H200" t="s">
        <v>499</v>
      </c>
      <c r="I200" t="s">
        <v>495</v>
      </c>
      <c r="J200">
        <v>-0.51</v>
      </c>
      <c r="K200">
        <v>1.8E-3</v>
      </c>
      <c r="L200">
        <v>-283.33333329999999</v>
      </c>
      <c r="M200">
        <v>100000</v>
      </c>
      <c r="N200">
        <v>1</v>
      </c>
      <c r="O200">
        <v>99998</v>
      </c>
      <c r="P200">
        <v>-0.66731207299999995</v>
      </c>
      <c r="Q200">
        <v>-0.80588158799999998</v>
      </c>
      <c r="R200">
        <v>3.1623250000000001E-3</v>
      </c>
      <c r="S200">
        <v>-0.79968343099999994</v>
      </c>
      <c r="T200">
        <v>-0.81207974500000002</v>
      </c>
      <c r="U200">
        <v>1.75E-3</v>
      </c>
      <c r="V200">
        <v>5.5500000000000002E-6</v>
      </c>
      <c r="W200">
        <v>-0.66730120100000001</v>
      </c>
      <c r="X200">
        <v>-0.667322945</v>
      </c>
      <c r="Y200" t="s">
        <v>500</v>
      </c>
      <c r="Z200" t="s">
        <v>501</v>
      </c>
      <c r="AA200">
        <v>0</v>
      </c>
      <c r="AB200" t="s">
        <v>173</v>
      </c>
      <c r="AC200" t="s">
        <v>155</v>
      </c>
      <c r="AD200" t="s">
        <v>502</v>
      </c>
    </row>
    <row r="201" spans="1:30" x14ac:dyDescent="0.25">
      <c r="A201">
        <v>1946</v>
      </c>
      <c r="B201" t="s">
        <v>156</v>
      </c>
      <c r="C201" t="s">
        <v>106</v>
      </c>
      <c r="D201" t="s">
        <v>42</v>
      </c>
      <c r="E201" t="s">
        <v>489</v>
      </c>
      <c r="F201" t="s">
        <v>498</v>
      </c>
      <c r="G201">
        <v>10356</v>
      </c>
      <c r="H201" t="s">
        <v>499</v>
      </c>
      <c r="I201" t="s">
        <v>495</v>
      </c>
      <c r="J201">
        <v>-0.23</v>
      </c>
      <c r="K201">
        <v>1.5E-3</v>
      </c>
      <c r="L201">
        <v>-153.33333329999999</v>
      </c>
      <c r="M201">
        <v>100000</v>
      </c>
      <c r="N201">
        <v>1</v>
      </c>
      <c r="O201">
        <v>99998</v>
      </c>
      <c r="P201">
        <v>-0.43630187500000001</v>
      </c>
      <c r="Q201">
        <v>-0.46765403799999999</v>
      </c>
      <c r="R201">
        <v>3.1623250000000001E-3</v>
      </c>
      <c r="S201">
        <v>-0.46145588100000001</v>
      </c>
      <c r="T201">
        <v>-0.473852196</v>
      </c>
      <c r="U201">
        <v>2.5600000000000002E-3</v>
      </c>
      <c r="V201">
        <v>8.1000000000000004E-6</v>
      </c>
      <c r="W201">
        <v>-0.43628600499999998</v>
      </c>
      <c r="X201">
        <v>-0.43631774400000001</v>
      </c>
      <c r="Y201" t="s">
        <v>500</v>
      </c>
      <c r="Z201" t="s">
        <v>503</v>
      </c>
      <c r="AA201">
        <v>0</v>
      </c>
      <c r="AB201" t="s">
        <v>173</v>
      </c>
      <c r="AC201" t="s">
        <v>155</v>
      </c>
      <c r="AD201" t="s">
        <v>502</v>
      </c>
    </row>
    <row r="202" spans="1:30" x14ac:dyDescent="0.25">
      <c r="A202">
        <v>1947</v>
      </c>
      <c r="B202" t="s">
        <v>156</v>
      </c>
      <c r="C202" t="s">
        <v>106</v>
      </c>
      <c r="D202" t="s">
        <v>42</v>
      </c>
      <c r="E202" t="s">
        <v>489</v>
      </c>
      <c r="F202" t="s">
        <v>498</v>
      </c>
      <c r="G202">
        <v>4590</v>
      </c>
      <c r="H202" t="s">
        <v>499</v>
      </c>
      <c r="I202" t="s">
        <v>495</v>
      </c>
      <c r="J202">
        <v>-0.45</v>
      </c>
      <c r="K202">
        <v>1.8E-3</v>
      </c>
      <c r="L202">
        <v>-250</v>
      </c>
      <c r="M202">
        <v>100000</v>
      </c>
      <c r="N202">
        <v>1</v>
      </c>
      <c r="O202">
        <v>99998</v>
      </c>
      <c r="P202">
        <v>-0.62017748900000003</v>
      </c>
      <c r="Q202">
        <v>-0.72529345899999997</v>
      </c>
      <c r="R202">
        <v>3.1623250000000001E-3</v>
      </c>
      <c r="S202">
        <v>-0.71909530200000005</v>
      </c>
      <c r="T202">
        <v>-0.73149161600000001</v>
      </c>
      <c r="U202">
        <v>1.9499999999999999E-3</v>
      </c>
      <c r="V202">
        <v>6.1500000000000004E-6</v>
      </c>
      <c r="W202">
        <v>-0.62016542799999996</v>
      </c>
      <c r="X202">
        <v>-0.62018955099999995</v>
      </c>
      <c r="Y202" t="s">
        <v>500</v>
      </c>
      <c r="Z202" t="s">
        <v>503</v>
      </c>
      <c r="AA202">
        <v>0</v>
      </c>
      <c r="AB202" t="s">
        <v>173</v>
      </c>
      <c r="AC202" t="s">
        <v>155</v>
      </c>
      <c r="AD202" t="s">
        <v>504</v>
      </c>
    </row>
    <row r="203" spans="1:30" x14ac:dyDescent="0.25">
      <c r="A203">
        <v>1963</v>
      </c>
      <c r="B203" t="s">
        <v>156</v>
      </c>
      <c r="C203" t="s">
        <v>106</v>
      </c>
      <c r="D203" t="s">
        <v>42</v>
      </c>
      <c r="E203" t="s">
        <v>489</v>
      </c>
      <c r="F203" t="s">
        <v>498</v>
      </c>
      <c r="G203">
        <v>4671</v>
      </c>
      <c r="H203" t="s">
        <v>499</v>
      </c>
      <c r="I203" t="s">
        <v>495</v>
      </c>
      <c r="J203">
        <v>-0.15</v>
      </c>
      <c r="K203">
        <v>1.2999999999999999E-3</v>
      </c>
      <c r="L203">
        <v>-115.3846154</v>
      </c>
      <c r="M203">
        <v>100000</v>
      </c>
      <c r="N203">
        <v>1</v>
      </c>
      <c r="O203">
        <v>99998</v>
      </c>
      <c r="P203">
        <v>-0.34300000000000003</v>
      </c>
      <c r="Q203">
        <v>-0.35699999999999998</v>
      </c>
      <c r="R203">
        <v>3.1623250000000001E-3</v>
      </c>
      <c r="S203">
        <v>-0.35103685200000001</v>
      </c>
      <c r="T203">
        <v>-0.36343316599999997</v>
      </c>
      <c r="U203">
        <v>2.7899999999999999E-3</v>
      </c>
      <c r="V203">
        <v>8.8300000000000002E-6</v>
      </c>
      <c r="W203">
        <v>-0.34300000000000003</v>
      </c>
      <c r="X203">
        <v>-0.34300000000000003</v>
      </c>
      <c r="Y203" t="s">
        <v>500</v>
      </c>
      <c r="Z203" t="s">
        <v>505</v>
      </c>
      <c r="AA203">
        <v>0</v>
      </c>
      <c r="AB203" t="s">
        <v>173</v>
      </c>
      <c r="AC203" t="s">
        <v>155</v>
      </c>
      <c r="AD203" t="s">
        <v>502</v>
      </c>
    </row>
    <row r="204" spans="1:30" x14ac:dyDescent="0.25">
      <c r="A204">
        <v>1966</v>
      </c>
      <c r="B204" t="s">
        <v>156</v>
      </c>
      <c r="C204" t="s">
        <v>107</v>
      </c>
      <c r="D204" t="s">
        <v>42</v>
      </c>
      <c r="E204" t="s">
        <v>489</v>
      </c>
      <c r="F204" t="s">
        <v>498</v>
      </c>
      <c r="G204">
        <v>4578</v>
      </c>
      <c r="H204" t="s">
        <v>499</v>
      </c>
      <c r="I204" t="s">
        <v>495</v>
      </c>
      <c r="J204">
        <v>-0.1</v>
      </c>
      <c r="K204">
        <v>1.1000000000000001E-3</v>
      </c>
      <c r="L204">
        <v>-90.909090910000003</v>
      </c>
      <c r="M204">
        <v>100000</v>
      </c>
      <c r="N204">
        <v>1</v>
      </c>
      <c r="O204">
        <v>99998</v>
      </c>
      <c r="P204">
        <v>-0.27629203400000002</v>
      </c>
      <c r="Q204">
        <v>-0.28366317800000002</v>
      </c>
      <c r="R204">
        <v>3.1623250000000001E-3</v>
      </c>
      <c r="S204">
        <v>-0.27746502099999998</v>
      </c>
      <c r="T204">
        <v>-0.289861335</v>
      </c>
      <c r="U204">
        <v>2.9199999999999999E-3</v>
      </c>
      <c r="V204">
        <v>9.2399999999999996E-6</v>
      </c>
      <c r="W204">
        <v>-0.27627393</v>
      </c>
      <c r="X204">
        <v>-0.27631013799999998</v>
      </c>
      <c r="Y204" t="s">
        <v>500</v>
      </c>
      <c r="Z204" t="s">
        <v>506</v>
      </c>
      <c r="AA204">
        <v>0</v>
      </c>
      <c r="AB204" t="s">
        <v>173</v>
      </c>
      <c r="AC204" t="s">
        <v>155</v>
      </c>
      <c r="AD204" t="s">
        <v>507</v>
      </c>
    </row>
    <row r="205" spans="1:30" x14ac:dyDescent="0.25">
      <c r="A205">
        <v>1972</v>
      </c>
      <c r="B205" t="s">
        <v>156</v>
      </c>
      <c r="C205" t="s">
        <v>107</v>
      </c>
      <c r="D205" t="s">
        <v>42</v>
      </c>
      <c r="E205" t="s">
        <v>489</v>
      </c>
      <c r="F205" t="s">
        <v>498</v>
      </c>
      <c r="G205">
        <v>4839</v>
      </c>
      <c r="H205" t="s">
        <v>499</v>
      </c>
      <c r="I205" t="s">
        <v>495</v>
      </c>
      <c r="J205">
        <v>-0.03</v>
      </c>
      <c r="K205">
        <v>5.9999999999999995E-4</v>
      </c>
      <c r="L205">
        <v>-50</v>
      </c>
      <c r="M205">
        <v>100000</v>
      </c>
      <c r="N205">
        <v>1</v>
      </c>
      <c r="O205">
        <v>99998</v>
      </c>
      <c r="P205">
        <v>-0.156175286</v>
      </c>
      <c r="Q205">
        <v>-0.15746394</v>
      </c>
      <c r="R205">
        <v>3.1623250000000001E-3</v>
      </c>
      <c r="S205">
        <v>-0.15126578299999999</v>
      </c>
      <c r="T205">
        <v>-0.16366209700000001</v>
      </c>
      <c r="U205">
        <v>3.0899999999999999E-3</v>
      </c>
      <c r="V205">
        <v>9.7599999999999997E-6</v>
      </c>
      <c r="W205">
        <v>-0.15615616399999999</v>
      </c>
      <c r="X205">
        <v>-0.15619440800000001</v>
      </c>
      <c r="Y205" t="s">
        <v>500</v>
      </c>
      <c r="Z205" t="s">
        <v>508</v>
      </c>
      <c r="AA205">
        <v>0</v>
      </c>
      <c r="AB205" t="s">
        <v>173</v>
      </c>
      <c r="AC205" t="s">
        <v>155</v>
      </c>
      <c r="AD205" t="s">
        <v>502</v>
      </c>
    </row>
    <row r="206" spans="1:30" x14ac:dyDescent="0.25">
      <c r="A206" t="s">
        <v>509</v>
      </c>
      <c r="B206" t="s">
        <v>156</v>
      </c>
      <c r="C206" t="s">
        <v>108</v>
      </c>
      <c r="D206" t="s">
        <v>42</v>
      </c>
      <c r="E206" t="s">
        <v>510</v>
      </c>
      <c r="F206" t="s">
        <v>511</v>
      </c>
      <c r="G206">
        <v>15612</v>
      </c>
      <c r="H206" t="s">
        <v>512</v>
      </c>
      <c r="I206" t="s">
        <v>513</v>
      </c>
      <c r="J206">
        <v>0.109</v>
      </c>
      <c r="K206">
        <v>2.0801527E-2</v>
      </c>
      <c r="L206">
        <v>5.24</v>
      </c>
      <c r="M206">
        <v>15612</v>
      </c>
      <c r="N206">
        <v>19</v>
      </c>
      <c r="O206">
        <v>15592</v>
      </c>
      <c r="P206">
        <v>4.1927436999999998E-2</v>
      </c>
      <c r="Q206">
        <v>4.1952031000000001E-2</v>
      </c>
      <c r="R206">
        <v>8.0040990000000006E-3</v>
      </c>
      <c r="S206">
        <v>5.7640064999999997E-2</v>
      </c>
      <c r="T206">
        <v>2.6263997000000001E-2</v>
      </c>
      <c r="U206">
        <v>7.9900000000000006E-3</v>
      </c>
      <c r="V206">
        <v>6.3899999999999995E-5</v>
      </c>
      <c r="W206">
        <v>4.2052764999999999E-2</v>
      </c>
      <c r="X206">
        <v>4.1802108999999997E-2</v>
      </c>
      <c r="Y206" t="s">
        <v>327</v>
      </c>
      <c r="Z206" t="s">
        <v>514</v>
      </c>
      <c r="AA206">
        <v>1</v>
      </c>
      <c r="AB206" t="s">
        <v>57</v>
      </c>
      <c r="AC206" t="s">
        <v>155</v>
      </c>
    </row>
    <row r="207" spans="1:30" x14ac:dyDescent="0.25">
      <c r="A207" t="s">
        <v>515</v>
      </c>
      <c r="B207" t="s">
        <v>156</v>
      </c>
      <c r="C207" t="s">
        <v>108</v>
      </c>
      <c r="D207" t="s">
        <v>42</v>
      </c>
      <c r="E207" t="s">
        <v>510</v>
      </c>
      <c r="F207" t="s">
        <v>511</v>
      </c>
      <c r="G207">
        <v>766</v>
      </c>
      <c r="H207" t="s">
        <v>516</v>
      </c>
      <c r="I207" t="s">
        <v>513</v>
      </c>
      <c r="J207">
        <v>-0.13100000000000001</v>
      </c>
      <c r="K207">
        <v>6.3902439000000005E-2</v>
      </c>
      <c r="L207">
        <v>-2.0499999999999998</v>
      </c>
      <c r="M207">
        <v>797</v>
      </c>
      <c r="N207">
        <v>30</v>
      </c>
      <c r="O207">
        <v>766</v>
      </c>
      <c r="P207">
        <v>-7.3867160000000001E-2</v>
      </c>
      <c r="Q207">
        <v>-7.4001949999999997E-2</v>
      </c>
      <c r="R207">
        <v>3.5488671999999999E-2</v>
      </c>
      <c r="S207">
        <v>-4.4441519999999998E-3</v>
      </c>
      <c r="T207">
        <v>-0.14355974699999999</v>
      </c>
      <c r="U207">
        <v>3.5299999999999998E-2</v>
      </c>
      <c r="V207">
        <v>1.25E-3</v>
      </c>
      <c r="W207">
        <v>-7.1419819999999995E-2</v>
      </c>
      <c r="X207">
        <v>-7.6314498999999994E-2</v>
      </c>
      <c r="Y207" t="s">
        <v>517</v>
      </c>
      <c r="Z207" t="s">
        <v>518</v>
      </c>
      <c r="AA207">
        <v>1</v>
      </c>
      <c r="AB207" t="s">
        <v>57</v>
      </c>
      <c r="AC207" t="s">
        <v>155</v>
      </c>
    </row>
    <row r="208" spans="1:30" x14ac:dyDescent="0.25">
      <c r="A208">
        <v>1944</v>
      </c>
      <c r="B208" t="s">
        <v>156</v>
      </c>
      <c r="C208" t="s">
        <v>106</v>
      </c>
      <c r="D208" t="s">
        <v>42</v>
      </c>
      <c r="E208" t="s">
        <v>519</v>
      </c>
      <c r="F208" t="s">
        <v>520</v>
      </c>
      <c r="G208">
        <v>50420</v>
      </c>
      <c r="H208" t="s">
        <v>521</v>
      </c>
      <c r="I208" t="s">
        <v>522</v>
      </c>
      <c r="J208">
        <v>-0.42</v>
      </c>
      <c r="K208">
        <v>1.6999999999999999E-3</v>
      </c>
      <c r="L208">
        <v>-247.05882349999999</v>
      </c>
      <c r="M208">
        <v>100000</v>
      </c>
      <c r="N208">
        <v>1</v>
      </c>
      <c r="O208">
        <v>99998</v>
      </c>
      <c r="P208">
        <v>-0.61565696599999997</v>
      </c>
      <c r="Q208">
        <v>-0.71798073600000001</v>
      </c>
      <c r="R208">
        <v>3.1623250000000001E-3</v>
      </c>
      <c r="S208">
        <v>-0.71178257899999997</v>
      </c>
      <c r="T208">
        <v>-0.72417889300000005</v>
      </c>
      <c r="U208">
        <v>1.9599999999999999E-3</v>
      </c>
      <c r="V208">
        <v>6.2099999999999998E-6</v>
      </c>
      <c r="W208">
        <v>-0.61564479500000002</v>
      </c>
      <c r="X208">
        <v>-0.61566913700000003</v>
      </c>
      <c r="Y208" t="s">
        <v>523</v>
      </c>
      <c r="Z208" t="s">
        <v>184</v>
      </c>
      <c r="AA208">
        <v>0</v>
      </c>
      <c r="AB208" t="s">
        <v>173</v>
      </c>
      <c r="AC208" t="s">
        <v>155</v>
      </c>
      <c r="AD208" t="s">
        <v>524</v>
      </c>
    </row>
    <row r="209" spans="1:31" x14ac:dyDescent="0.25">
      <c r="A209">
        <v>1968</v>
      </c>
      <c r="B209" t="s">
        <v>156</v>
      </c>
      <c r="C209" t="s">
        <v>107</v>
      </c>
      <c r="D209" t="s">
        <v>42</v>
      </c>
      <c r="E209" t="s">
        <v>525</v>
      </c>
      <c r="F209" t="s">
        <v>526</v>
      </c>
      <c r="G209">
        <v>1108</v>
      </c>
      <c r="H209" t="s">
        <v>527</v>
      </c>
      <c r="I209" t="s">
        <v>164</v>
      </c>
      <c r="J209">
        <v>0</v>
      </c>
      <c r="K209">
        <v>0</v>
      </c>
      <c r="L209">
        <v>0</v>
      </c>
      <c r="M209">
        <v>1108</v>
      </c>
      <c r="N209">
        <v>2</v>
      </c>
      <c r="O209">
        <v>1105</v>
      </c>
      <c r="P209">
        <v>0</v>
      </c>
      <c r="Q209">
        <v>0</v>
      </c>
      <c r="R209">
        <v>3.0082841999999999E-2</v>
      </c>
      <c r="S209">
        <v>5.896237E-2</v>
      </c>
      <c r="T209">
        <v>-5.896237E-2</v>
      </c>
      <c r="U209">
        <v>3.0099999999999998E-2</v>
      </c>
      <c r="V209">
        <v>9.0300000000000005E-4</v>
      </c>
      <c r="W209">
        <v>1.7697520000000001E-3</v>
      </c>
      <c r="X209">
        <v>-1.7697520000000001E-3</v>
      </c>
      <c r="Y209" t="s">
        <v>528</v>
      </c>
      <c r="Z209" t="s">
        <v>529</v>
      </c>
      <c r="AA209">
        <v>0</v>
      </c>
      <c r="AB209" t="s">
        <v>100</v>
      </c>
      <c r="AC209" t="s">
        <v>155</v>
      </c>
    </row>
    <row r="210" spans="1:31" x14ac:dyDescent="0.25">
      <c r="A210">
        <v>2019</v>
      </c>
      <c r="B210" t="s">
        <v>156</v>
      </c>
      <c r="C210" t="s">
        <v>108</v>
      </c>
      <c r="D210" t="s">
        <v>42</v>
      </c>
      <c r="E210" t="s">
        <v>530</v>
      </c>
      <c r="F210" t="s">
        <v>531</v>
      </c>
      <c r="G210">
        <v>595</v>
      </c>
      <c r="H210" t="s">
        <v>532</v>
      </c>
      <c r="I210" t="s">
        <v>533</v>
      </c>
      <c r="J210">
        <v>0.2</v>
      </c>
      <c r="K210">
        <v>0.16</v>
      </c>
      <c r="L210">
        <v>1.25</v>
      </c>
      <c r="M210">
        <v>595</v>
      </c>
      <c r="N210">
        <v>8</v>
      </c>
      <c r="O210">
        <v>586</v>
      </c>
      <c r="P210">
        <v>5.1568319000000001E-2</v>
      </c>
      <c r="Q210">
        <v>5.1614104000000001E-2</v>
      </c>
      <c r="R210">
        <v>4.1099746999999999E-2</v>
      </c>
      <c r="S210">
        <v>0.13216960799999999</v>
      </c>
      <c r="T210">
        <v>-2.8941399999999999E-2</v>
      </c>
      <c r="U210">
        <v>4.0899999999999999E-2</v>
      </c>
      <c r="V210">
        <v>1.6800000000000001E-3</v>
      </c>
      <c r="W210">
        <v>5.4856440999999999E-2</v>
      </c>
      <c r="X210">
        <v>4.8280196999999997E-2</v>
      </c>
      <c r="Y210" t="s">
        <v>534</v>
      </c>
      <c r="Z210" t="s">
        <v>535</v>
      </c>
      <c r="AA210">
        <v>1</v>
      </c>
      <c r="AB210" t="s">
        <v>51</v>
      </c>
      <c r="AC210" t="s">
        <v>247</v>
      </c>
    </row>
    <row r="211" spans="1:31" x14ac:dyDescent="0.25">
      <c r="A211">
        <v>2019</v>
      </c>
      <c r="B211" t="s">
        <v>156</v>
      </c>
      <c r="C211" t="s">
        <v>108</v>
      </c>
      <c r="D211" t="s">
        <v>42</v>
      </c>
      <c r="E211" t="s">
        <v>530</v>
      </c>
      <c r="F211" t="s">
        <v>536</v>
      </c>
      <c r="G211">
        <v>595</v>
      </c>
      <c r="H211" t="s">
        <v>532</v>
      </c>
      <c r="I211" t="s">
        <v>533</v>
      </c>
      <c r="J211">
        <v>0.02</v>
      </c>
      <c r="K211">
        <v>0.33</v>
      </c>
      <c r="L211">
        <v>6.0606061000000003E-2</v>
      </c>
      <c r="M211">
        <v>595</v>
      </c>
      <c r="N211">
        <v>8</v>
      </c>
      <c r="O211">
        <v>586</v>
      </c>
      <c r="P211">
        <v>2.5036049999999999E-3</v>
      </c>
      <c r="Q211">
        <v>2.5036110000000002E-3</v>
      </c>
      <c r="R211">
        <v>4.1099746999999999E-2</v>
      </c>
      <c r="S211">
        <v>8.3059114000000003E-2</v>
      </c>
      <c r="T211">
        <v>-7.8051892999999997E-2</v>
      </c>
      <c r="U211">
        <v>4.1000000000000002E-2</v>
      </c>
      <c r="V211">
        <v>1.6800000000000001E-3</v>
      </c>
      <c r="W211">
        <v>5.7999999999999996E-3</v>
      </c>
      <c r="X211">
        <v>-7.9299999999999998E-4</v>
      </c>
      <c r="Y211" t="s">
        <v>537</v>
      </c>
      <c r="Z211" t="s">
        <v>535</v>
      </c>
      <c r="AA211">
        <v>1</v>
      </c>
      <c r="AB211" t="s">
        <v>51</v>
      </c>
      <c r="AC211" t="s">
        <v>247</v>
      </c>
    </row>
    <row r="212" spans="1:31" x14ac:dyDescent="0.25">
      <c r="A212">
        <v>2019</v>
      </c>
      <c r="B212" t="s">
        <v>156</v>
      </c>
      <c r="C212" t="s">
        <v>108</v>
      </c>
      <c r="D212" t="s">
        <v>42</v>
      </c>
      <c r="E212" t="s">
        <v>530</v>
      </c>
      <c r="F212" t="s">
        <v>538</v>
      </c>
      <c r="G212">
        <v>595</v>
      </c>
      <c r="H212" t="s">
        <v>532</v>
      </c>
      <c r="I212" t="s">
        <v>533</v>
      </c>
      <c r="J212">
        <v>0.28999999999999998</v>
      </c>
      <c r="K212">
        <v>0.16</v>
      </c>
      <c r="L212">
        <v>1.8125</v>
      </c>
      <c r="M212">
        <v>595</v>
      </c>
      <c r="N212">
        <v>8</v>
      </c>
      <c r="O212">
        <v>586</v>
      </c>
      <c r="P212">
        <v>7.4664690000000006E-2</v>
      </c>
      <c r="Q212">
        <v>7.4803903000000005E-2</v>
      </c>
      <c r="R212">
        <v>4.1099746999999999E-2</v>
      </c>
      <c r="S212">
        <v>0.155359407</v>
      </c>
      <c r="T212">
        <v>-5.7516010000000003E-3</v>
      </c>
      <c r="U212">
        <v>4.0800000000000003E-2</v>
      </c>
      <c r="V212">
        <v>1.67E-3</v>
      </c>
      <c r="W212">
        <v>7.7943199000000005E-2</v>
      </c>
      <c r="X212">
        <v>7.1386179999999994E-2</v>
      </c>
      <c r="Y212" t="s">
        <v>539</v>
      </c>
      <c r="Z212" t="s">
        <v>535</v>
      </c>
      <c r="AA212">
        <v>1</v>
      </c>
      <c r="AB212" t="s">
        <v>51</v>
      </c>
      <c r="AC212" t="s">
        <v>247</v>
      </c>
    </row>
    <row r="213" spans="1:31" x14ac:dyDescent="0.25">
      <c r="A213">
        <v>2020</v>
      </c>
      <c r="B213" t="s">
        <v>156</v>
      </c>
      <c r="C213" t="s">
        <v>108</v>
      </c>
      <c r="D213" t="s">
        <v>42</v>
      </c>
      <c r="E213" t="s">
        <v>540</v>
      </c>
      <c r="F213" t="s">
        <v>541</v>
      </c>
      <c r="G213">
        <v>1000</v>
      </c>
      <c r="H213" t="s">
        <v>542</v>
      </c>
      <c r="I213" t="s">
        <v>543</v>
      </c>
      <c r="J213">
        <v>-2.4500000000000001E-2</v>
      </c>
      <c r="K213">
        <v>3.6999999999999998E-2</v>
      </c>
      <c r="L213">
        <v>-0.662162162</v>
      </c>
      <c r="M213">
        <v>1000</v>
      </c>
      <c r="N213">
        <v>3</v>
      </c>
      <c r="O213">
        <v>997</v>
      </c>
      <c r="P213">
        <v>-2.0966275999999999E-2</v>
      </c>
      <c r="Q213">
        <v>-2.0969349000000002E-2</v>
      </c>
      <c r="R213">
        <v>3.1699999999999999E-2</v>
      </c>
      <c r="S213">
        <v>4.1104474000000002E-2</v>
      </c>
      <c r="T213">
        <v>-8.3043171999999998E-2</v>
      </c>
      <c r="U213">
        <v>3.1600000000000003E-2</v>
      </c>
      <c r="V213">
        <v>1E-3</v>
      </c>
      <c r="W213">
        <v>-1.9006157999999999E-2</v>
      </c>
      <c r="X213">
        <v>-2.2926394999999999E-2</v>
      </c>
      <c r="Y213" t="s">
        <v>544</v>
      </c>
      <c r="Z213" t="s">
        <v>545</v>
      </c>
      <c r="AA213">
        <v>1</v>
      </c>
      <c r="AB213" t="s">
        <v>51</v>
      </c>
      <c r="AC213" t="s">
        <v>247</v>
      </c>
      <c r="AE213">
        <v>1</v>
      </c>
    </row>
    <row r="214" spans="1:31" x14ac:dyDescent="0.25">
      <c r="A214">
        <v>2020</v>
      </c>
      <c r="B214" t="s">
        <v>156</v>
      </c>
      <c r="C214" t="s">
        <v>108</v>
      </c>
      <c r="D214" t="s">
        <v>42</v>
      </c>
      <c r="E214" t="s">
        <v>540</v>
      </c>
      <c r="F214" t="s">
        <v>541</v>
      </c>
      <c r="G214">
        <v>1000</v>
      </c>
      <c r="H214" t="s">
        <v>542</v>
      </c>
      <c r="I214" t="s">
        <v>543</v>
      </c>
      <c r="J214">
        <v>-0.1333</v>
      </c>
      <c r="K214">
        <v>4.0399999999999998E-2</v>
      </c>
      <c r="L214">
        <v>-3.2995049500000002</v>
      </c>
      <c r="M214">
        <v>1000</v>
      </c>
      <c r="N214">
        <v>58</v>
      </c>
      <c r="O214">
        <v>942</v>
      </c>
      <c r="P214">
        <v>-0.106887801</v>
      </c>
      <c r="Q214">
        <v>-0.10729767900000001</v>
      </c>
      <c r="R214">
        <v>3.1670318000000003E-2</v>
      </c>
      <c r="S214">
        <v>-4.5223856E-2</v>
      </c>
      <c r="T214">
        <v>-0.16937150200000001</v>
      </c>
      <c r="U214">
        <v>3.1300000000000001E-2</v>
      </c>
      <c r="V214">
        <v>9.8900000000000008E-4</v>
      </c>
      <c r="W214">
        <v>-0.10494922499999999</v>
      </c>
      <c r="X214">
        <v>-0.108826378</v>
      </c>
      <c r="Y214" t="s">
        <v>546</v>
      </c>
      <c r="Z214" t="s">
        <v>545</v>
      </c>
      <c r="AA214">
        <v>1</v>
      </c>
      <c r="AB214" t="s">
        <v>51</v>
      </c>
      <c r="AC214" t="s">
        <v>247</v>
      </c>
    </row>
    <row r="215" spans="1:31" x14ac:dyDescent="0.25">
      <c r="A215">
        <v>2021</v>
      </c>
      <c r="B215" t="s">
        <v>156</v>
      </c>
      <c r="C215" t="s">
        <v>108</v>
      </c>
      <c r="D215" t="s">
        <v>42</v>
      </c>
      <c r="E215" t="s">
        <v>547</v>
      </c>
      <c r="F215" t="s">
        <v>548</v>
      </c>
      <c r="G215">
        <v>41419</v>
      </c>
      <c r="H215" t="s">
        <v>549</v>
      </c>
      <c r="I215" t="s">
        <v>550</v>
      </c>
      <c r="J215">
        <v>-2.3643899999999999E-2</v>
      </c>
      <c r="K215">
        <v>3.8788E-3</v>
      </c>
      <c r="L215">
        <v>-6.0956279999999996</v>
      </c>
      <c r="M215">
        <v>41419</v>
      </c>
      <c r="N215">
        <v>15</v>
      </c>
      <c r="O215">
        <v>41259</v>
      </c>
      <c r="P215">
        <v>-2.9996020000000002E-2</v>
      </c>
      <c r="Q215">
        <v>-3.0005021999999999E-2</v>
      </c>
      <c r="R215">
        <v>4.9137820000000002E-3</v>
      </c>
      <c r="S215">
        <v>-2.0374007999999999E-2</v>
      </c>
      <c r="T215">
        <v>-3.9636035E-2</v>
      </c>
      <c r="U215">
        <v>4.9100000000000003E-3</v>
      </c>
      <c r="V215">
        <v>2.41E-5</v>
      </c>
      <c r="W215">
        <v>-2.9948741000000001E-2</v>
      </c>
      <c r="X215">
        <v>-3.0043299999999998E-2</v>
      </c>
      <c r="Y215" t="s">
        <v>551</v>
      </c>
      <c r="Z215" t="s">
        <v>552</v>
      </c>
      <c r="AA215">
        <v>1</v>
      </c>
      <c r="AB215" t="s">
        <v>51</v>
      </c>
      <c r="AC215" t="s">
        <v>247</v>
      </c>
    </row>
    <row r="216" spans="1:31" x14ac:dyDescent="0.25">
      <c r="A216">
        <v>1944</v>
      </c>
      <c r="B216" t="s">
        <v>156</v>
      </c>
      <c r="C216" t="s">
        <v>106</v>
      </c>
      <c r="D216" t="s">
        <v>42</v>
      </c>
      <c r="E216" t="s">
        <v>553</v>
      </c>
      <c r="F216" t="s">
        <v>554</v>
      </c>
      <c r="G216">
        <v>50420</v>
      </c>
      <c r="H216" t="s">
        <v>521</v>
      </c>
      <c r="I216" t="s">
        <v>555</v>
      </c>
      <c r="J216">
        <v>-0.15</v>
      </c>
      <c r="K216">
        <v>1.2999999999999999E-3</v>
      </c>
      <c r="L216">
        <v>-115.3846154</v>
      </c>
      <c r="M216">
        <v>100000</v>
      </c>
      <c r="N216">
        <v>1</v>
      </c>
      <c r="O216">
        <v>99998</v>
      </c>
      <c r="P216">
        <v>-0.34277623400000001</v>
      </c>
      <c r="Q216">
        <v>-0.35723500899999999</v>
      </c>
      <c r="R216">
        <v>3.1623250000000001E-3</v>
      </c>
      <c r="S216">
        <v>-0.35103685200000001</v>
      </c>
      <c r="T216">
        <v>-0.36343316599999997</v>
      </c>
      <c r="U216">
        <v>2.7899999999999999E-3</v>
      </c>
      <c r="V216">
        <v>8.8300000000000002E-6</v>
      </c>
      <c r="W216">
        <v>-0.34275893699999999</v>
      </c>
      <c r="X216">
        <v>-0.34279353099999998</v>
      </c>
      <c r="Y216" t="s">
        <v>523</v>
      </c>
      <c r="Z216" t="s">
        <v>184</v>
      </c>
      <c r="AA216">
        <v>0</v>
      </c>
      <c r="AB216" t="s">
        <v>173</v>
      </c>
      <c r="AC216" t="s">
        <v>155</v>
      </c>
      <c r="AD216" t="s">
        <v>556</v>
      </c>
    </row>
    <row r="217" spans="1:31" x14ac:dyDescent="0.25">
      <c r="A217">
        <v>1957</v>
      </c>
      <c r="B217" t="s">
        <v>156</v>
      </c>
      <c r="C217" t="s">
        <v>106</v>
      </c>
      <c r="D217" t="s">
        <v>42</v>
      </c>
      <c r="E217" t="s">
        <v>553</v>
      </c>
      <c r="F217" t="s">
        <v>557</v>
      </c>
      <c r="G217">
        <v>2400</v>
      </c>
      <c r="H217" t="s">
        <v>521</v>
      </c>
      <c r="I217" t="s">
        <v>555</v>
      </c>
      <c r="J217">
        <v>-0.17</v>
      </c>
      <c r="K217">
        <v>1.2999999999999999E-3</v>
      </c>
      <c r="L217">
        <v>-130.7692308</v>
      </c>
      <c r="M217">
        <v>100000</v>
      </c>
      <c r="N217">
        <v>1</v>
      </c>
      <c r="O217">
        <v>99998</v>
      </c>
      <c r="P217">
        <v>-0.38214636499999999</v>
      </c>
      <c r="Q217">
        <v>-0.402570657</v>
      </c>
      <c r="R217">
        <v>3.1623250000000001E-3</v>
      </c>
      <c r="S217">
        <v>-0.39637250000000002</v>
      </c>
      <c r="T217">
        <v>-0.40876881399999998</v>
      </c>
      <c r="U217">
        <v>2.7000000000000001E-3</v>
      </c>
      <c r="V217">
        <v>8.5399999999999996E-6</v>
      </c>
      <c r="W217">
        <v>-0.38212962700000003</v>
      </c>
      <c r="X217">
        <v>-0.382163103</v>
      </c>
      <c r="Y217" t="s">
        <v>523</v>
      </c>
      <c r="Z217" t="s">
        <v>358</v>
      </c>
      <c r="AA217">
        <v>0</v>
      </c>
      <c r="AB217" t="s">
        <v>173</v>
      </c>
      <c r="AC217" t="s">
        <v>155</v>
      </c>
      <c r="AD217" t="s">
        <v>558</v>
      </c>
    </row>
    <row r="218" spans="1:31" x14ac:dyDescent="0.25">
      <c r="A218">
        <v>1965</v>
      </c>
      <c r="B218" t="s">
        <v>147</v>
      </c>
      <c r="C218" t="s">
        <v>107</v>
      </c>
      <c r="D218" t="s">
        <v>42</v>
      </c>
      <c r="E218" t="s">
        <v>559</v>
      </c>
      <c r="F218" t="s">
        <v>560</v>
      </c>
      <c r="G218">
        <v>278</v>
      </c>
      <c r="H218" t="s">
        <v>513</v>
      </c>
      <c r="I218" t="s">
        <v>561</v>
      </c>
      <c r="J218">
        <v>6.6473060000000004</v>
      </c>
      <c r="K218">
        <v>2.8651049999999998</v>
      </c>
      <c r="L218">
        <v>2.3200915850000001</v>
      </c>
      <c r="M218">
        <v>278</v>
      </c>
      <c r="N218">
        <v>1</v>
      </c>
      <c r="O218">
        <v>276</v>
      </c>
      <c r="P218">
        <v>0.138310877</v>
      </c>
      <c r="Q218">
        <v>0.139203098</v>
      </c>
      <c r="R218">
        <v>6.0302268999999999E-2</v>
      </c>
      <c r="S218">
        <v>0.25739554599999998</v>
      </c>
      <c r="T218">
        <v>2.1010651000000002E-2</v>
      </c>
      <c r="U218">
        <v>5.8900000000000001E-2</v>
      </c>
      <c r="V218">
        <v>3.5300000000000002E-3</v>
      </c>
      <c r="W218">
        <v>0.14523883600000001</v>
      </c>
      <c r="X218">
        <v>0.13138291899999999</v>
      </c>
      <c r="Y218" t="s">
        <v>562</v>
      </c>
      <c r="Z218" t="s">
        <v>563</v>
      </c>
      <c r="AA218">
        <v>1</v>
      </c>
      <c r="AB218" t="s">
        <v>57</v>
      </c>
      <c r="AC218" t="s">
        <v>155</v>
      </c>
    </row>
    <row r="219" spans="1:31" x14ac:dyDescent="0.25">
      <c r="A219">
        <v>1966</v>
      </c>
      <c r="B219" t="s">
        <v>147</v>
      </c>
      <c r="C219" t="s">
        <v>107</v>
      </c>
      <c r="D219" t="s">
        <v>42</v>
      </c>
      <c r="E219" t="s">
        <v>559</v>
      </c>
      <c r="F219" t="s">
        <v>560</v>
      </c>
      <c r="G219">
        <v>305</v>
      </c>
      <c r="H219" t="s">
        <v>513</v>
      </c>
      <c r="I219" t="s">
        <v>561</v>
      </c>
      <c r="J219">
        <v>0.7918113</v>
      </c>
      <c r="K219">
        <v>2.0679989999999999</v>
      </c>
      <c r="L219">
        <v>0.38288766099999999</v>
      </c>
      <c r="M219">
        <v>305</v>
      </c>
      <c r="N219">
        <v>1</v>
      </c>
      <c r="O219">
        <v>303</v>
      </c>
      <c r="P219">
        <v>2.1991001999999999E-2</v>
      </c>
      <c r="Q219">
        <v>2.1994547999999999E-2</v>
      </c>
      <c r="R219">
        <v>5.7543534E-2</v>
      </c>
      <c r="S219">
        <v>0.13477987399999999</v>
      </c>
      <c r="T219">
        <v>-9.0790778000000003E-2</v>
      </c>
      <c r="U219">
        <v>5.7299999999999997E-2</v>
      </c>
      <c r="V219">
        <v>3.2799999999999999E-3</v>
      </c>
      <c r="W219">
        <v>2.8424679000000001E-2</v>
      </c>
      <c r="X219">
        <v>1.5557325E-2</v>
      </c>
      <c r="Y219" t="s">
        <v>562</v>
      </c>
      <c r="Z219" t="s">
        <v>563</v>
      </c>
      <c r="AA219">
        <v>1</v>
      </c>
      <c r="AB219" t="s">
        <v>57</v>
      </c>
      <c r="AC219" t="s">
        <v>155</v>
      </c>
    </row>
    <row r="220" spans="1:31" x14ac:dyDescent="0.25">
      <c r="A220">
        <v>1969</v>
      </c>
      <c r="B220" t="s">
        <v>147</v>
      </c>
      <c r="C220" t="s">
        <v>107</v>
      </c>
      <c r="D220" t="s">
        <v>42</v>
      </c>
      <c r="E220" t="s">
        <v>559</v>
      </c>
      <c r="F220" t="s">
        <v>560</v>
      </c>
      <c r="G220">
        <v>487</v>
      </c>
      <c r="H220" t="s">
        <v>513</v>
      </c>
      <c r="I220" t="s">
        <v>564</v>
      </c>
      <c r="J220">
        <v>1.1369739999999999</v>
      </c>
      <c r="K220">
        <v>1.21129</v>
      </c>
      <c r="L220">
        <v>0.93864722700000003</v>
      </c>
      <c r="M220">
        <v>487</v>
      </c>
      <c r="N220">
        <v>1</v>
      </c>
      <c r="O220">
        <v>485</v>
      </c>
      <c r="P220">
        <v>4.2599999999999999E-2</v>
      </c>
      <c r="Q220">
        <v>4.2599999999999999E-2</v>
      </c>
      <c r="R220">
        <v>4.5454544999999999E-2</v>
      </c>
      <c r="S220">
        <v>0.13169979000000001</v>
      </c>
      <c r="T220">
        <v>-4.6482028000000002E-2</v>
      </c>
      <c r="U220">
        <v>4.53E-2</v>
      </c>
      <c r="V220">
        <v>2.0500000000000002E-3</v>
      </c>
      <c r="W220">
        <v>4.6600000000000003E-2</v>
      </c>
      <c r="X220">
        <v>3.8600000000000002E-2</v>
      </c>
      <c r="Y220" t="s">
        <v>565</v>
      </c>
      <c r="Z220" t="s">
        <v>566</v>
      </c>
      <c r="AA220">
        <v>1</v>
      </c>
      <c r="AB220" t="s">
        <v>57</v>
      </c>
      <c r="AC220" t="s">
        <v>155</v>
      </c>
    </row>
    <row r="221" spans="1:31" x14ac:dyDescent="0.25">
      <c r="A221">
        <v>1969</v>
      </c>
      <c r="B221" t="s">
        <v>147</v>
      </c>
      <c r="C221" t="s">
        <v>107</v>
      </c>
      <c r="D221" t="s">
        <v>42</v>
      </c>
      <c r="E221" t="s">
        <v>559</v>
      </c>
      <c r="F221" t="s">
        <v>560</v>
      </c>
      <c r="G221">
        <v>442</v>
      </c>
      <c r="H221" t="s">
        <v>513</v>
      </c>
      <c r="I221" t="s">
        <v>561</v>
      </c>
      <c r="J221">
        <v>8.6258820000000007</v>
      </c>
      <c r="K221">
        <v>2.163141</v>
      </c>
      <c r="L221">
        <v>3.9876651590000001</v>
      </c>
      <c r="M221">
        <v>442</v>
      </c>
      <c r="N221">
        <v>1</v>
      </c>
      <c r="O221">
        <v>440</v>
      </c>
      <c r="P221">
        <v>0.186759708</v>
      </c>
      <c r="Q221">
        <v>0.18897765499999999</v>
      </c>
      <c r="R221">
        <v>4.7727395999999998E-2</v>
      </c>
      <c r="S221">
        <v>0.28252335099999998</v>
      </c>
      <c r="T221">
        <v>9.5431958999999997E-2</v>
      </c>
      <c r="U221">
        <v>4.5999999999999999E-2</v>
      </c>
      <c r="V221">
        <v>2.1900000000000001E-3</v>
      </c>
      <c r="W221">
        <v>0.19104427900000001</v>
      </c>
      <c r="X221">
        <v>0.18247513700000001</v>
      </c>
      <c r="Y221" t="s">
        <v>562</v>
      </c>
      <c r="Z221" t="s">
        <v>563</v>
      </c>
      <c r="AA221">
        <v>1</v>
      </c>
      <c r="AB221" t="s">
        <v>57</v>
      </c>
      <c r="AC221" t="s">
        <v>155</v>
      </c>
    </row>
    <row r="222" spans="1:31" x14ac:dyDescent="0.25">
      <c r="A222">
        <v>1970</v>
      </c>
      <c r="B222" t="s">
        <v>147</v>
      </c>
      <c r="C222" t="s">
        <v>107</v>
      </c>
      <c r="D222" t="s">
        <v>42</v>
      </c>
      <c r="E222" t="s">
        <v>559</v>
      </c>
      <c r="F222" t="s">
        <v>560</v>
      </c>
      <c r="G222">
        <v>480</v>
      </c>
      <c r="H222" t="s">
        <v>513</v>
      </c>
      <c r="I222" t="s">
        <v>564</v>
      </c>
      <c r="J222">
        <v>0.22792860000000001</v>
      </c>
      <c r="K222">
        <v>0.92231479999999999</v>
      </c>
      <c r="L222">
        <v>0.24712668600000001</v>
      </c>
      <c r="M222">
        <v>480</v>
      </c>
      <c r="N222">
        <v>1</v>
      </c>
      <c r="O222">
        <v>478</v>
      </c>
      <c r="P222">
        <v>1.130259E-2</v>
      </c>
      <c r="Q222">
        <v>1.1303071E-2</v>
      </c>
      <c r="R222">
        <v>4.5786855000000001E-2</v>
      </c>
      <c r="S222">
        <v>0.101045306</v>
      </c>
      <c r="T222">
        <v>-7.8439164000000006E-2</v>
      </c>
      <c r="U222">
        <v>4.5699999999999998E-2</v>
      </c>
      <c r="V222">
        <v>2.0899999999999998E-3</v>
      </c>
      <c r="W222">
        <v>1.5389661000000001E-2</v>
      </c>
      <c r="X222">
        <v>7.2155179999999998E-3</v>
      </c>
      <c r="Y222" t="s">
        <v>565</v>
      </c>
      <c r="Z222" t="s">
        <v>566</v>
      </c>
      <c r="AA222">
        <v>1</v>
      </c>
      <c r="AB222" t="s">
        <v>57</v>
      </c>
      <c r="AC222" t="s">
        <v>155</v>
      </c>
    </row>
    <row r="223" spans="1:31" x14ac:dyDescent="0.25">
      <c r="A223">
        <v>1970</v>
      </c>
      <c r="B223" t="s">
        <v>147</v>
      </c>
      <c r="C223" t="s">
        <v>107</v>
      </c>
      <c r="D223" t="s">
        <v>42</v>
      </c>
      <c r="E223" t="s">
        <v>559</v>
      </c>
      <c r="F223" t="s">
        <v>560</v>
      </c>
      <c r="G223">
        <v>441</v>
      </c>
      <c r="H223" t="s">
        <v>513</v>
      </c>
      <c r="I223" t="s">
        <v>561</v>
      </c>
      <c r="J223">
        <v>4.2977049999999997</v>
      </c>
      <c r="K223">
        <v>1.5959429999999999</v>
      </c>
      <c r="L223">
        <v>2.6928937940000002</v>
      </c>
      <c r="M223">
        <v>441</v>
      </c>
      <c r="N223">
        <v>1</v>
      </c>
      <c r="O223">
        <v>439</v>
      </c>
      <c r="P223">
        <v>0.12747625500000001</v>
      </c>
      <c r="Q223">
        <v>0.12817357099999999</v>
      </c>
      <c r="R223">
        <v>4.7781848000000002E-2</v>
      </c>
      <c r="S223">
        <v>0.221825993</v>
      </c>
      <c r="T223">
        <v>3.4521148000000001E-2</v>
      </c>
      <c r="U223">
        <v>4.6899999999999997E-2</v>
      </c>
      <c r="V223">
        <v>2.2300000000000002E-3</v>
      </c>
      <c r="W223">
        <v>0.13185344199999999</v>
      </c>
      <c r="X223">
        <v>0.12309906800000001</v>
      </c>
      <c r="Y223" t="s">
        <v>562</v>
      </c>
      <c r="Z223" t="s">
        <v>563</v>
      </c>
      <c r="AA223">
        <v>1</v>
      </c>
      <c r="AB223" t="s">
        <v>57</v>
      </c>
      <c r="AC223" t="s">
        <v>155</v>
      </c>
    </row>
    <row r="224" spans="1:31" x14ac:dyDescent="0.25">
      <c r="A224">
        <v>1971</v>
      </c>
      <c r="B224" t="s">
        <v>147</v>
      </c>
      <c r="C224" t="s">
        <v>107</v>
      </c>
      <c r="D224" t="s">
        <v>42</v>
      </c>
      <c r="E224" t="s">
        <v>559</v>
      </c>
      <c r="F224" t="s">
        <v>567</v>
      </c>
      <c r="G224">
        <v>1330</v>
      </c>
      <c r="H224" t="s">
        <v>513</v>
      </c>
      <c r="I224" t="s">
        <v>513</v>
      </c>
      <c r="J224">
        <v>0.23542435</v>
      </c>
      <c r="K224">
        <v>0.12370176200000001</v>
      </c>
      <c r="L224">
        <v>1.903160846</v>
      </c>
      <c r="M224">
        <v>1330</v>
      </c>
      <c r="N224">
        <v>8</v>
      </c>
      <c r="O224">
        <v>1321</v>
      </c>
      <c r="P224">
        <v>5.2291308000000002E-2</v>
      </c>
      <c r="Q224">
        <v>5.2339047999999999E-2</v>
      </c>
      <c r="R224">
        <v>2.7451402999999999E-2</v>
      </c>
      <c r="S224">
        <v>0.106143797</v>
      </c>
      <c r="T224">
        <v>-1.465701E-3</v>
      </c>
      <c r="U224">
        <v>2.7400000000000001E-2</v>
      </c>
      <c r="V224">
        <v>7.5000000000000002E-4</v>
      </c>
      <c r="W224">
        <v>5.3761516000000002E-2</v>
      </c>
      <c r="X224">
        <v>5.0821101E-2</v>
      </c>
      <c r="Y224" t="s">
        <v>568</v>
      </c>
      <c r="Z224" t="s">
        <v>569</v>
      </c>
      <c r="AA224">
        <v>1</v>
      </c>
      <c r="AB224" t="s">
        <v>57</v>
      </c>
      <c r="AC224" t="s">
        <v>155</v>
      </c>
    </row>
    <row r="225" spans="1:29" x14ac:dyDescent="0.25">
      <c r="A225">
        <v>1971</v>
      </c>
      <c r="B225" t="s">
        <v>147</v>
      </c>
      <c r="C225" t="s">
        <v>107</v>
      </c>
      <c r="D225" t="s">
        <v>42</v>
      </c>
      <c r="E225" t="s">
        <v>559</v>
      </c>
      <c r="F225" t="s">
        <v>560</v>
      </c>
      <c r="G225">
        <v>441</v>
      </c>
      <c r="H225" t="s">
        <v>513</v>
      </c>
      <c r="I225" t="s">
        <v>564</v>
      </c>
      <c r="J225">
        <v>1.21417</v>
      </c>
      <c r="K225">
        <v>1.423678</v>
      </c>
      <c r="L225">
        <v>0.85284031900000001</v>
      </c>
      <c r="M225">
        <v>441</v>
      </c>
      <c r="N225">
        <v>1</v>
      </c>
      <c r="O225">
        <v>439</v>
      </c>
      <c r="P225">
        <v>4.0670169999999999E-2</v>
      </c>
      <c r="Q225">
        <v>4.0692616000000001E-2</v>
      </c>
      <c r="R225">
        <v>4.7781848000000002E-2</v>
      </c>
      <c r="S225">
        <v>0.134345039</v>
      </c>
      <c r="T225">
        <v>-5.2959805999999998E-2</v>
      </c>
      <c r="U225">
        <v>4.7600000000000003E-2</v>
      </c>
      <c r="V225">
        <v>2.2699999999999999E-3</v>
      </c>
      <c r="W225">
        <v>4.5112302999999999E-2</v>
      </c>
      <c r="X225">
        <v>3.6228037999999997E-2</v>
      </c>
      <c r="Y225" t="s">
        <v>565</v>
      </c>
      <c r="Z225" t="s">
        <v>566</v>
      </c>
      <c r="AA225">
        <v>1</v>
      </c>
      <c r="AB225" t="s">
        <v>57</v>
      </c>
      <c r="AC225" t="s">
        <v>155</v>
      </c>
    </row>
    <row r="226" spans="1:29" x14ac:dyDescent="0.25">
      <c r="A226">
        <v>1971</v>
      </c>
      <c r="B226" t="s">
        <v>147</v>
      </c>
      <c r="C226" t="s">
        <v>107</v>
      </c>
      <c r="D226" t="s">
        <v>42</v>
      </c>
      <c r="E226" t="s">
        <v>559</v>
      </c>
      <c r="F226" t="s">
        <v>560</v>
      </c>
      <c r="G226">
        <v>442</v>
      </c>
      <c r="H226" t="s">
        <v>513</v>
      </c>
      <c r="I226" t="s">
        <v>561</v>
      </c>
      <c r="J226">
        <v>2.5119790000000002</v>
      </c>
      <c r="K226">
        <v>2.0598830000000001</v>
      </c>
      <c r="L226">
        <v>1.2194765430000001</v>
      </c>
      <c r="M226">
        <v>442</v>
      </c>
      <c r="N226">
        <v>1</v>
      </c>
      <c r="O226">
        <v>440</v>
      </c>
      <c r="P226">
        <v>5.8038265999999998E-2</v>
      </c>
      <c r="Q226">
        <v>5.8103564000000003E-2</v>
      </c>
      <c r="R226">
        <v>4.7727395999999998E-2</v>
      </c>
      <c r="S226">
        <v>0.15164926100000001</v>
      </c>
      <c r="T226">
        <v>-3.5442132000000001E-2</v>
      </c>
      <c r="U226">
        <v>4.7500000000000001E-2</v>
      </c>
      <c r="V226">
        <v>2.2599999999999999E-3</v>
      </c>
      <c r="W226">
        <v>6.2462726000000003E-2</v>
      </c>
      <c r="X226">
        <v>5.3613806E-2</v>
      </c>
      <c r="Y226" t="s">
        <v>562</v>
      </c>
      <c r="Z226" t="s">
        <v>563</v>
      </c>
      <c r="AA226">
        <v>1</v>
      </c>
      <c r="AB226" t="s">
        <v>57</v>
      </c>
      <c r="AC226" t="s">
        <v>155</v>
      </c>
    </row>
    <row r="227" spans="1:29" x14ac:dyDescent="0.25">
      <c r="A227">
        <v>1975</v>
      </c>
      <c r="B227" t="s">
        <v>147</v>
      </c>
      <c r="C227" t="s">
        <v>107</v>
      </c>
      <c r="D227" t="s">
        <v>42</v>
      </c>
      <c r="E227" t="s">
        <v>559</v>
      </c>
      <c r="F227" t="s">
        <v>560</v>
      </c>
      <c r="G227">
        <v>404</v>
      </c>
      <c r="H227" t="s">
        <v>513</v>
      </c>
      <c r="I227" t="s">
        <v>564</v>
      </c>
      <c r="J227">
        <v>2.7795930000000002</v>
      </c>
      <c r="K227">
        <v>0.89057280000000005</v>
      </c>
      <c r="L227">
        <v>3.1211294569999999</v>
      </c>
      <c r="M227">
        <v>404</v>
      </c>
      <c r="N227">
        <v>1</v>
      </c>
      <c r="O227">
        <v>402</v>
      </c>
      <c r="P227">
        <v>0.153815283</v>
      </c>
      <c r="Q227">
        <v>0.15504584499999999</v>
      </c>
      <c r="R227">
        <v>4.9937616999999997E-2</v>
      </c>
      <c r="S227">
        <v>0.25292357399999998</v>
      </c>
      <c r="T227">
        <v>5.7168115999999998E-2</v>
      </c>
      <c r="U227">
        <v>4.8599999999999997E-2</v>
      </c>
      <c r="V227">
        <v>2.4199999999999998E-3</v>
      </c>
      <c r="W227">
        <v>0.158557859</v>
      </c>
      <c r="X227">
        <v>0.149072706</v>
      </c>
      <c r="Y227" t="s">
        <v>565</v>
      </c>
      <c r="Z227" t="s">
        <v>566</v>
      </c>
      <c r="AA227">
        <v>1</v>
      </c>
      <c r="AB227" t="s">
        <v>57</v>
      </c>
      <c r="AC227" t="s">
        <v>155</v>
      </c>
    </row>
    <row r="228" spans="1:29" x14ac:dyDescent="0.25">
      <c r="A228">
        <v>1975</v>
      </c>
      <c r="B228" t="s">
        <v>147</v>
      </c>
      <c r="C228" t="s">
        <v>107</v>
      </c>
      <c r="D228" t="s">
        <v>42</v>
      </c>
      <c r="E228" t="s">
        <v>559</v>
      </c>
      <c r="F228" t="s">
        <v>560</v>
      </c>
      <c r="G228">
        <v>437</v>
      </c>
      <c r="H228" t="s">
        <v>513</v>
      </c>
      <c r="I228" t="s">
        <v>561</v>
      </c>
      <c r="J228">
        <v>7.6479949999999999</v>
      </c>
      <c r="K228">
        <v>1.8909549999999999</v>
      </c>
      <c r="L228">
        <v>4.0445145440000001</v>
      </c>
      <c r="M228">
        <v>437</v>
      </c>
      <c r="N228">
        <v>1</v>
      </c>
      <c r="O228">
        <v>435</v>
      </c>
      <c r="P228">
        <v>0.190373188</v>
      </c>
      <c r="Q228">
        <v>0.19272436200000001</v>
      </c>
      <c r="R228">
        <v>4.8001535999999997E-2</v>
      </c>
      <c r="S228">
        <v>0.28680737299999998</v>
      </c>
      <c r="T228">
        <v>9.8641351000000002E-2</v>
      </c>
      <c r="U228">
        <v>4.6199999999999998E-2</v>
      </c>
      <c r="V228">
        <v>2.2100000000000002E-3</v>
      </c>
      <c r="W228">
        <v>0.19470071799999999</v>
      </c>
      <c r="X228">
        <v>0.186045657</v>
      </c>
      <c r="Y228" t="s">
        <v>562</v>
      </c>
      <c r="Z228" t="s">
        <v>563</v>
      </c>
      <c r="AA228">
        <v>1</v>
      </c>
      <c r="AB228" t="s">
        <v>57</v>
      </c>
      <c r="AC228" t="s">
        <v>155</v>
      </c>
    </row>
    <row r="229" spans="1:29" x14ac:dyDescent="0.25">
      <c r="A229">
        <v>1976</v>
      </c>
      <c r="B229" t="s">
        <v>147</v>
      </c>
      <c r="C229" t="s">
        <v>107</v>
      </c>
      <c r="D229" t="s">
        <v>42</v>
      </c>
      <c r="E229" t="s">
        <v>559</v>
      </c>
      <c r="F229" t="s">
        <v>560</v>
      </c>
      <c r="G229">
        <v>487</v>
      </c>
      <c r="H229" t="s">
        <v>513</v>
      </c>
      <c r="I229" t="s">
        <v>561</v>
      </c>
      <c r="J229">
        <v>4.4502670000000002</v>
      </c>
      <c r="K229">
        <v>1.6935560000000001</v>
      </c>
      <c r="L229">
        <v>2.6277648920000001</v>
      </c>
      <c r="M229">
        <v>487</v>
      </c>
      <c r="N229">
        <v>1</v>
      </c>
      <c r="O229">
        <v>485</v>
      </c>
      <c r="P229">
        <v>0.118480212</v>
      </c>
      <c r="Q229">
        <v>0.11903932</v>
      </c>
      <c r="R229">
        <v>4.5454544999999999E-2</v>
      </c>
      <c r="S229">
        <v>0.208130229</v>
      </c>
      <c r="T229">
        <v>2.9948411000000001E-2</v>
      </c>
      <c r="U229">
        <v>4.4699999999999997E-2</v>
      </c>
      <c r="V229">
        <v>2.0300000000000001E-3</v>
      </c>
      <c r="W229">
        <v>0.122452437</v>
      </c>
      <c r="X229">
        <v>0.11450798700000001</v>
      </c>
      <c r="Y229" t="s">
        <v>562</v>
      </c>
      <c r="Z229" t="s">
        <v>563</v>
      </c>
      <c r="AA229">
        <v>1</v>
      </c>
      <c r="AB229" t="s">
        <v>57</v>
      </c>
      <c r="AC229" t="s">
        <v>155</v>
      </c>
    </row>
    <row r="230" spans="1:29" x14ac:dyDescent="0.25">
      <c r="A230">
        <v>1979</v>
      </c>
      <c r="B230" t="s">
        <v>147</v>
      </c>
      <c r="C230" t="s">
        <v>107</v>
      </c>
      <c r="D230" t="s">
        <v>42</v>
      </c>
      <c r="E230" t="s">
        <v>559</v>
      </c>
      <c r="F230" t="s">
        <v>560</v>
      </c>
      <c r="G230">
        <v>479</v>
      </c>
      <c r="H230" t="s">
        <v>513</v>
      </c>
      <c r="I230" t="s">
        <v>564</v>
      </c>
      <c r="J230">
        <v>0.2107523</v>
      </c>
      <c r="K230">
        <v>0.94769689999999995</v>
      </c>
      <c r="L230">
        <v>0.22238365500000001</v>
      </c>
      <c r="M230">
        <v>479</v>
      </c>
      <c r="N230">
        <v>1</v>
      </c>
      <c r="O230">
        <v>477</v>
      </c>
      <c r="P230">
        <v>1.018172E-2</v>
      </c>
      <c r="Q230">
        <v>1.0182072E-2</v>
      </c>
      <c r="R230">
        <v>4.5834924999999999E-2</v>
      </c>
      <c r="S230">
        <v>0.100018525</v>
      </c>
      <c r="T230">
        <v>-7.9654380999999996E-2</v>
      </c>
      <c r="U230">
        <v>4.5699999999999998E-2</v>
      </c>
      <c r="V230">
        <v>2.0899999999999998E-3</v>
      </c>
      <c r="W230">
        <v>1.4277432E-2</v>
      </c>
      <c r="X230">
        <v>6.0860089999999999E-3</v>
      </c>
      <c r="Y230" t="s">
        <v>565</v>
      </c>
      <c r="Z230" t="s">
        <v>566</v>
      </c>
      <c r="AA230">
        <v>1</v>
      </c>
      <c r="AB230" t="s">
        <v>57</v>
      </c>
      <c r="AC230" t="s">
        <v>155</v>
      </c>
    </row>
    <row r="231" spans="1:29" x14ac:dyDescent="0.25">
      <c r="A231">
        <v>1979</v>
      </c>
      <c r="B231" t="s">
        <v>147</v>
      </c>
      <c r="C231" t="s">
        <v>107</v>
      </c>
      <c r="D231" t="s">
        <v>42</v>
      </c>
      <c r="E231" t="s">
        <v>559</v>
      </c>
      <c r="F231" t="s">
        <v>560</v>
      </c>
      <c r="G231">
        <v>329</v>
      </c>
      <c r="H231" t="s">
        <v>513</v>
      </c>
      <c r="I231" t="s">
        <v>561</v>
      </c>
      <c r="J231">
        <v>2.7903009999999999</v>
      </c>
      <c r="K231">
        <v>2.2710149999999998</v>
      </c>
      <c r="L231">
        <v>1.2286581110000001</v>
      </c>
      <c r="M231">
        <v>329</v>
      </c>
      <c r="N231">
        <v>1</v>
      </c>
      <c r="O231">
        <v>327</v>
      </c>
      <c r="P231">
        <v>6.7788655000000003E-2</v>
      </c>
      <c r="Q231">
        <v>6.7892779E-2</v>
      </c>
      <c r="R231">
        <v>5.5384877999999998E-2</v>
      </c>
      <c r="S231">
        <v>0.176447139</v>
      </c>
      <c r="T231">
        <v>-4.0661581000000002E-2</v>
      </c>
      <c r="U231">
        <v>5.5E-2</v>
      </c>
      <c r="V231">
        <v>3.0300000000000001E-3</v>
      </c>
      <c r="W231">
        <v>7.3727759000000004E-2</v>
      </c>
      <c r="X231">
        <v>6.1849552000000002E-2</v>
      </c>
      <c r="Y231" t="s">
        <v>562</v>
      </c>
      <c r="Z231" t="s">
        <v>563</v>
      </c>
      <c r="AA231">
        <v>1</v>
      </c>
      <c r="AB231" t="s">
        <v>57</v>
      </c>
      <c r="AC231" t="s">
        <v>155</v>
      </c>
    </row>
    <row r="232" spans="1:29" x14ac:dyDescent="0.25">
      <c r="A232">
        <v>1980</v>
      </c>
      <c r="B232" t="s">
        <v>147</v>
      </c>
      <c r="C232" t="s">
        <v>107</v>
      </c>
      <c r="D232" t="s">
        <v>42</v>
      </c>
      <c r="E232" t="s">
        <v>559</v>
      </c>
      <c r="F232" t="s">
        <v>560</v>
      </c>
      <c r="G232">
        <v>473</v>
      </c>
      <c r="H232" t="s">
        <v>513</v>
      </c>
      <c r="I232" t="s">
        <v>564</v>
      </c>
      <c r="J232">
        <v>1.24126</v>
      </c>
      <c r="K232">
        <v>0.55085150000000005</v>
      </c>
      <c r="L232">
        <v>2.2533477720000001</v>
      </c>
      <c r="M232">
        <v>473</v>
      </c>
      <c r="N232">
        <v>1</v>
      </c>
      <c r="O232">
        <v>471</v>
      </c>
      <c r="P232">
        <v>0.103273611</v>
      </c>
      <c r="Q232">
        <v>0.103643131</v>
      </c>
      <c r="R232">
        <v>4.6126559999999997E-2</v>
      </c>
      <c r="S232">
        <v>0.19405118900000001</v>
      </c>
      <c r="T232">
        <v>1.3235073E-2</v>
      </c>
      <c r="U232">
        <v>4.5499999999999999E-2</v>
      </c>
      <c r="V232">
        <v>2.0899999999999998E-3</v>
      </c>
      <c r="W232">
        <v>0.107377519</v>
      </c>
      <c r="X232">
        <v>9.9169701999999998E-2</v>
      </c>
      <c r="Y232" t="s">
        <v>565</v>
      </c>
      <c r="Z232" t="s">
        <v>566</v>
      </c>
      <c r="AA232">
        <v>1</v>
      </c>
      <c r="AB232" t="s">
        <v>57</v>
      </c>
      <c r="AC232" t="s">
        <v>155</v>
      </c>
    </row>
    <row r="233" spans="1:29" x14ac:dyDescent="0.25">
      <c r="A233">
        <v>1981</v>
      </c>
      <c r="B233" t="s">
        <v>147</v>
      </c>
      <c r="C233" t="s">
        <v>107</v>
      </c>
      <c r="D233" t="s">
        <v>42</v>
      </c>
      <c r="E233" t="s">
        <v>559</v>
      </c>
      <c r="F233" t="s">
        <v>560</v>
      </c>
      <c r="G233">
        <v>470</v>
      </c>
      <c r="H233" t="s">
        <v>513</v>
      </c>
      <c r="I233" t="s">
        <v>564</v>
      </c>
      <c r="J233">
        <v>3.7438310000000001</v>
      </c>
      <c r="K233">
        <v>1.5517840000000001</v>
      </c>
      <c r="L233">
        <v>2.412598016</v>
      </c>
      <c r="M233">
        <v>470</v>
      </c>
      <c r="N233">
        <v>1</v>
      </c>
      <c r="O233">
        <v>468</v>
      </c>
      <c r="P233">
        <v>0.11083527</v>
      </c>
      <c r="Q233">
        <v>0.11129249500000001</v>
      </c>
      <c r="R233">
        <v>4.6274480999999999E-2</v>
      </c>
      <c r="S233">
        <v>0.201990479</v>
      </c>
      <c r="T233">
        <v>2.0594511999999999E-2</v>
      </c>
      <c r="U233">
        <v>4.5600000000000002E-2</v>
      </c>
      <c r="V233">
        <v>2.0999999999999999E-3</v>
      </c>
      <c r="W233">
        <v>0.115</v>
      </c>
      <c r="X233">
        <v>0.107</v>
      </c>
      <c r="Y233" t="s">
        <v>565</v>
      </c>
      <c r="Z233" t="s">
        <v>566</v>
      </c>
      <c r="AA233">
        <v>1</v>
      </c>
      <c r="AB233" t="s">
        <v>57</v>
      </c>
      <c r="AC233" t="s">
        <v>155</v>
      </c>
    </row>
    <row r="234" spans="1:29" x14ac:dyDescent="0.25">
      <c r="A234">
        <v>1981</v>
      </c>
      <c r="B234" t="s">
        <v>147</v>
      </c>
      <c r="C234" t="s">
        <v>107</v>
      </c>
      <c r="D234" t="s">
        <v>42</v>
      </c>
      <c r="E234" t="s">
        <v>559</v>
      </c>
      <c r="F234" t="s">
        <v>560</v>
      </c>
      <c r="G234">
        <v>330</v>
      </c>
      <c r="H234" t="s">
        <v>513</v>
      </c>
      <c r="I234" t="s">
        <v>561</v>
      </c>
      <c r="J234">
        <v>8.3506879999999999</v>
      </c>
      <c r="K234">
        <v>2.4099879999999998</v>
      </c>
      <c r="L234">
        <v>3.465033021</v>
      </c>
      <c r="M234">
        <v>330</v>
      </c>
      <c r="N234">
        <v>1</v>
      </c>
      <c r="O234">
        <v>328</v>
      </c>
      <c r="P234">
        <v>0.18791601599999999</v>
      </c>
      <c r="Q234">
        <v>0.190176021</v>
      </c>
      <c r="R234">
        <v>5.5300125999999998E-2</v>
      </c>
      <c r="S234">
        <v>0.29856426800000002</v>
      </c>
      <c r="T234">
        <v>8.1787772999999994E-2</v>
      </c>
      <c r="U234">
        <v>5.3199999999999997E-2</v>
      </c>
      <c r="V234">
        <v>2.9299999999999999E-3</v>
      </c>
      <c r="W234">
        <v>0.19365437699999999</v>
      </c>
      <c r="X234">
        <v>0.18217765599999999</v>
      </c>
      <c r="Y234" t="s">
        <v>562</v>
      </c>
      <c r="Z234" t="s">
        <v>563</v>
      </c>
      <c r="AA234">
        <v>1</v>
      </c>
      <c r="AB234" t="s">
        <v>57</v>
      </c>
      <c r="AC234" t="s">
        <v>155</v>
      </c>
    </row>
    <row r="235" spans="1:29" x14ac:dyDescent="0.25">
      <c r="A235">
        <v>1985</v>
      </c>
      <c r="B235" t="s">
        <v>147</v>
      </c>
      <c r="C235" t="s">
        <v>107</v>
      </c>
      <c r="D235" t="s">
        <v>42</v>
      </c>
      <c r="E235" t="s">
        <v>559</v>
      </c>
      <c r="F235" t="s">
        <v>560</v>
      </c>
      <c r="G235">
        <v>465</v>
      </c>
      <c r="H235" t="s">
        <v>513</v>
      </c>
      <c r="I235" t="s">
        <v>564</v>
      </c>
      <c r="J235">
        <v>4.2922770000000003</v>
      </c>
      <c r="K235">
        <v>1.404776</v>
      </c>
      <c r="L235">
        <v>3.0554885619999999</v>
      </c>
      <c r="M235">
        <v>465</v>
      </c>
      <c r="N235">
        <v>1</v>
      </c>
      <c r="O235">
        <v>463</v>
      </c>
      <c r="P235">
        <v>0.14059022800000001</v>
      </c>
      <c r="Q235">
        <v>0.141527654</v>
      </c>
      <c r="R235">
        <v>4.6524211000000003E-2</v>
      </c>
      <c r="S235">
        <v>0.232715107</v>
      </c>
      <c r="T235">
        <v>5.0340202000000001E-2</v>
      </c>
      <c r="U235">
        <v>4.5499999999999999E-2</v>
      </c>
      <c r="V235">
        <v>2.1099999999999999E-3</v>
      </c>
      <c r="W235">
        <v>0.14499999999999999</v>
      </c>
      <c r="X235">
        <v>0.13600000000000001</v>
      </c>
      <c r="Y235" t="s">
        <v>565</v>
      </c>
      <c r="Z235" t="s">
        <v>566</v>
      </c>
      <c r="AA235">
        <v>1</v>
      </c>
      <c r="AB235" t="s">
        <v>57</v>
      </c>
      <c r="AC235" t="s">
        <v>155</v>
      </c>
    </row>
    <row r="236" spans="1:29" x14ac:dyDescent="0.25">
      <c r="A236">
        <v>1985</v>
      </c>
      <c r="B236" t="s">
        <v>147</v>
      </c>
      <c r="C236" t="s">
        <v>107</v>
      </c>
      <c r="D236" t="s">
        <v>42</v>
      </c>
      <c r="E236" t="s">
        <v>559</v>
      </c>
      <c r="F236" t="s">
        <v>560</v>
      </c>
      <c r="G236">
        <v>333</v>
      </c>
      <c r="H236" t="s">
        <v>513</v>
      </c>
      <c r="I236" t="s">
        <v>561</v>
      </c>
      <c r="J236">
        <v>4.4798359999999997</v>
      </c>
      <c r="K236">
        <v>2.5416530000000002</v>
      </c>
      <c r="L236">
        <v>1.762567904</v>
      </c>
      <c r="M236">
        <v>333</v>
      </c>
      <c r="N236">
        <v>1</v>
      </c>
      <c r="O236">
        <v>331</v>
      </c>
      <c r="P236">
        <v>9.6428030999999997E-2</v>
      </c>
      <c r="Q236">
        <v>9.6728584000000006E-2</v>
      </c>
      <c r="R236">
        <v>5.5048187999999998E-2</v>
      </c>
      <c r="S236">
        <v>0.20462303300000001</v>
      </c>
      <c r="T236">
        <v>-1.1165865000000001E-2</v>
      </c>
      <c r="U236">
        <v>5.4399999999999997E-2</v>
      </c>
      <c r="V236">
        <v>2.98E-3</v>
      </c>
      <c r="W236">
        <v>0.102267963</v>
      </c>
      <c r="X236">
        <v>9.0588099000000005E-2</v>
      </c>
      <c r="Y236" t="s">
        <v>562</v>
      </c>
      <c r="Z236" t="s">
        <v>563</v>
      </c>
      <c r="AA236">
        <v>1</v>
      </c>
      <c r="AB236" t="s">
        <v>57</v>
      </c>
      <c r="AC236" t="s">
        <v>155</v>
      </c>
    </row>
    <row r="237" spans="1:29" x14ac:dyDescent="0.25">
      <c r="A237">
        <v>1989</v>
      </c>
      <c r="B237" t="s">
        <v>147</v>
      </c>
      <c r="C237" t="s">
        <v>107</v>
      </c>
      <c r="D237" t="s">
        <v>42</v>
      </c>
      <c r="E237" t="s">
        <v>559</v>
      </c>
      <c r="F237" t="s">
        <v>560</v>
      </c>
      <c r="G237">
        <v>596</v>
      </c>
      <c r="H237" t="s">
        <v>513</v>
      </c>
      <c r="I237" t="s">
        <v>564</v>
      </c>
      <c r="J237">
        <v>-0.49284319999999998</v>
      </c>
      <c r="K237">
        <v>0.74846349999999995</v>
      </c>
      <c r="L237">
        <v>-0.65847325899999998</v>
      </c>
      <c r="M237">
        <v>596</v>
      </c>
      <c r="N237">
        <v>1</v>
      </c>
      <c r="O237">
        <v>594</v>
      </c>
      <c r="P237">
        <v>-2.7007630000000001E-2</v>
      </c>
      <c r="Q237">
        <v>-2.7014198999999999E-2</v>
      </c>
      <c r="R237">
        <v>4.1065077999999998E-2</v>
      </c>
      <c r="S237">
        <v>5.3473354000000001E-2</v>
      </c>
      <c r="T237">
        <v>-0.10750175200000001</v>
      </c>
      <c r="U237">
        <v>4.1000000000000002E-2</v>
      </c>
      <c r="V237">
        <v>1.6800000000000001E-3</v>
      </c>
      <c r="W237">
        <v>-2.3718678E-2</v>
      </c>
      <c r="X237">
        <v>-3.0296581999999999E-2</v>
      </c>
      <c r="Y237" t="s">
        <v>565</v>
      </c>
      <c r="Z237" t="s">
        <v>566</v>
      </c>
      <c r="AA237">
        <v>1</v>
      </c>
      <c r="AB237" t="s">
        <v>57</v>
      </c>
      <c r="AC237" t="s">
        <v>155</v>
      </c>
    </row>
    <row r="238" spans="1:29" x14ac:dyDescent="0.25">
      <c r="A238">
        <v>1989</v>
      </c>
      <c r="B238" t="s">
        <v>147</v>
      </c>
      <c r="C238" t="s">
        <v>107</v>
      </c>
      <c r="D238" t="s">
        <v>42</v>
      </c>
      <c r="E238" t="s">
        <v>559</v>
      </c>
      <c r="F238" t="s">
        <v>560</v>
      </c>
      <c r="G238">
        <v>334</v>
      </c>
      <c r="H238" t="s">
        <v>513</v>
      </c>
      <c r="I238" t="s">
        <v>561</v>
      </c>
      <c r="J238">
        <v>2.6342460000000001</v>
      </c>
      <c r="K238">
        <v>2.3613170000000001</v>
      </c>
      <c r="L238">
        <v>1.1155833799999999</v>
      </c>
      <c r="M238">
        <v>334</v>
      </c>
      <c r="N238">
        <v>1</v>
      </c>
      <c r="O238">
        <v>332</v>
      </c>
      <c r="P238">
        <v>6.1111158999999998E-2</v>
      </c>
      <c r="Q238">
        <v>6.1187405E-2</v>
      </c>
      <c r="R238">
        <v>5.4964971000000001E-2</v>
      </c>
      <c r="S238">
        <v>0.16891874800000001</v>
      </c>
      <c r="T238">
        <v>-4.6543938E-2</v>
      </c>
      <c r="U238">
        <v>5.4600000000000003E-2</v>
      </c>
      <c r="V238">
        <v>2.99E-3</v>
      </c>
      <c r="W238">
        <v>6.6966279000000004E-2</v>
      </c>
      <c r="X238">
        <v>5.5256039999999999E-2</v>
      </c>
      <c r="Y238" t="s">
        <v>562</v>
      </c>
      <c r="Z238" t="s">
        <v>563</v>
      </c>
      <c r="AA238">
        <v>1</v>
      </c>
      <c r="AB238" t="s">
        <v>57</v>
      </c>
      <c r="AC238" t="s">
        <v>155</v>
      </c>
    </row>
    <row r="239" spans="1:29" x14ac:dyDescent="0.25">
      <c r="A239">
        <v>1990</v>
      </c>
      <c r="B239" t="s">
        <v>147</v>
      </c>
      <c r="C239" t="s">
        <v>107</v>
      </c>
      <c r="D239" t="s">
        <v>42</v>
      </c>
      <c r="E239" t="s">
        <v>559</v>
      </c>
      <c r="F239" t="s">
        <v>560</v>
      </c>
      <c r="G239">
        <v>330</v>
      </c>
      <c r="H239" t="s">
        <v>513</v>
      </c>
      <c r="I239" t="s">
        <v>561</v>
      </c>
      <c r="J239">
        <v>2.235303</v>
      </c>
      <c r="K239">
        <v>2.7167759999999999</v>
      </c>
      <c r="L239">
        <v>0.82277780700000003</v>
      </c>
      <c r="M239">
        <v>330</v>
      </c>
      <c r="N239">
        <v>1</v>
      </c>
      <c r="O239">
        <v>328</v>
      </c>
      <c r="P239">
        <v>4.5383495000000003E-2</v>
      </c>
      <c r="Q239">
        <v>4.5414692E-2</v>
      </c>
      <c r="R239">
        <v>5.5300125999999998E-2</v>
      </c>
      <c r="S239">
        <v>0.153802939</v>
      </c>
      <c r="T239">
        <v>-6.2973556E-2</v>
      </c>
      <c r="U239">
        <v>5.5E-2</v>
      </c>
      <c r="V239">
        <v>3.0300000000000001E-3</v>
      </c>
      <c r="W239">
        <v>5.1319656999999998E-2</v>
      </c>
      <c r="X239">
        <v>3.9447333000000001E-2</v>
      </c>
      <c r="Y239" t="s">
        <v>562</v>
      </c>
      <c r="Z239" t="s">
        <v>563</v>
      </c>
      <c r="AA239">
        <v>1</v>
      </c>
      <c r="AB239" t="s">
        <v>57</v>
      </c>
      <c r="AC239" t="s">
        <v>155</v>
      </c>
    </row>
    <row r="240" spans="1:29" x14ac:dyDescent="0.25">
      <c r="A240">
        <v>1991</v>
      </c>
      <c r="B240" t="s">
        <v>147</v>
      </c>
      <c r="C240" t="s">
        <v>107</v>
      </c>
      <c r="D240" t="s">
        <v>42</v>
      </c>
      <c r="E240" t="s">
        <v>559</v>
      </c>
      <c r="F240" t="s">
        <v>560</v>
      </c>
      <c r="G240">
        <v>616</v>
      </c>
      <c r="H240" t="s">
        <v>513</v>
      </c>
      <c r="I240" t="s">
        <v>564</v>
      </c>
      <c r="J240">
        <v>0.2198744</v>
      </c>
      <c r="K240">
        <v>0.51330379999999998</v>
      </c>
      <c r="L240">
        <v>0.42835139700000002</v>
      </c>
      <c r="M240">
        <v>616</v>
      </c>
      <c r="N240">
        <v>1</v>
      </c>
      <c r="O240">
        <v>614</v>
      </c>
      <c r="P240">
        <v>1.7284272999999999E-2</v>
      </c>
      <c r="Q240">
        <v>1.7285994999999998E-2</v>
      </c>
      <c r="R240">
        <v>4.0389620000000001E-2</v>
      </c>
      <c r="S240">
        <v>9.6449648999999998E-2</v>
      </c>
      <c r="T240">
        <v>-6.1877660000000001E-2</v>
      </c>
      <c r="U240">
        <v>4.0300000000000002E-2</v>
      </c>
      <c r="V240">
        <v>1.6199999999999999E-3</v>
      </c>
      <c r="W240">
        <v>2.0467725999999999E-2</v>
      </c>
      <c r="X240">
        <v>1.410082E-2</v>
      </c>
      <c r="Y240" t="s">
        <v>565</v>
      </c>
      <c r="Z240" t="s">
        <v>566</v>
      </c>
      <c r="AA240">
        <v>1</v>
      </c>
      <c r="AB240" t="s">
        <v>57</v>
      </c>
      <c r="AC240" t="s">
        <v>155</v>
      </c>
    </row>
    <row r="241" spans="1:29" x14ac:dyDescent="0.25">
      <c r="A241">
        <v>1991</v>
      </c>
      <c r="B241" t="s">
        <v>147</v>
      </c>
      <c r="C241" t="s">
        <v>107</v>
      </c>
      <c r="D241" t="s">
        <v>42</v>
      </c>
      <c r="E241" t="s">
        <v>559</v>
      </c>
      <c r="F241" t="s">
        <v>560</v>
      </c>
      <c r="G241">
        <v>329</v>
      </c>
      <c r="H241" t="s">
        <v>513</v>
      </c>
      <c r="I241" t="s">
        <v>561</v>
      </c>
      <c r="J241">
        <v>6.0919400000000001</v>
      </c>
      <c r="K241">
        <v>2.6411709999999999</v>
      </c>
      <c r="L241">
        <v>2.3065299440000002</v>
      </c>
      <c r="M241">
        <v>329</v>
      </c>
      <c r="N241">
        <v>1</v>
      </c>
      <c r="O241">
        <v>327</v>
      </c>
      <c r="P241">
        <v>0.12652629900000001</v>
      </c>
      <c r="Q241">
        <v>0.12720804199999999</v>
      </c>
      <c r="R241">
        <v>5.5384877999999998E-2</v>
      </c>
      <c r="S241">
        <v>0.23576240200000001</v>
      </c>
      <c r="T241">
        <v>1.8653682000000001E-2</v>
      </c>
      <c r="U241">
        <v>5.4300000000000001E-2</v>
      </c>
      <c r="V241">
        <v>3.0000000000000001E-3</v>
      </c>
      <c r="W241">
        <v>0.13239730299999999</v>
      </c>
      <c r="X241">
        <v>0.120655295</v>
      </c>
      <c r="Y241" t="s">
        <v>562</v>
      </c>
      <c r="Z241" t="s">
        <v>563</v>
      </c>
      <c r="AA241">
        <v>1</v>
      </c>
      <c r="AB241" t="s">
        <v>57</v>
      </c>
      <c r="AC241" t="s">
        <v>155</v>
      </c>
    </row>
    <row r="242" spans="1:29" x14ac:dyDescent="0.25">
      <c r="A242">
        <v>1995</v>
      </c>
      <c r="B242" t="s">
        <v>147</v>
      </c>
      <c r="C242" t="s">
        <v>107</v>
      </c>
      <c r="D242" t="s">
        <v>42</v>
      </c>
      <c r="E242" t="s">
        <v>559</v>
      </c>
      <c r="F242" t="s">
        <v>560</v>
      </c>
      <c r="G242">
        <v>625</v>
      </c>
      <c r="H242" t="s">
        <v>513</v>
      </c>
      <c r="I242" t="s">
        <v>564</v>
      </c>
      <c r="J242">
        <v>-0.68335409999999996</v>
      </c>
      <c r="K242">
        <v>0.66214930000000005</v>
      </c>
      <c r="L242">
        <v>-1.032024198</v>
      </c>
      <c r="M242">
        <v>625</v>
      </c>
      <c r="N242">
        <v>1</v>
      </c>
      <c r="O242">
        <v>623</v>
      </c>
      <c r="P242">
        <v>-4.1311878000000003E-2</v>
      </c>
      <c r="Q242">
        <v>-4.1335403999999999E-2</v>
      </c>
      <c r="R242">
        <v>4.0096346999999997E-2</v>
      </c>
      <c r="S242">
        <v>3.7253436000000001E-2</v>
      </c>
      <c r="T242">
        <v>-0.119924244</v>
      </c>
      <c r="U242">
        <v>0.04</v>
      </c>
      <c r="V242">
        <v>1.6000000000000001E-3</v>
      </c>
      <c r="W242">
        <v>-3.8178722999999998E-2</v>
      </c>
      <c r="X242">
        <v>-4.4445034000000001E-2</v>
      </c>
      <c r="Y242" t="s">
        <v>565</v>
      </c>
      <c r="Z242" t="s">
        <v>566</v>
      </c>
      <c r="AA242">
        <v>1</v>
      </c>
      <c r="AB242" t="s">
        <v>57</v>
      </c>
      <c r="AC242" t="s">
        <v>155</v>
      </c>
    </row>
    <row r="243" spans="1:29" x14ac:dyDescent="0.25">
      <c r="A243">
        <v>1995</v>
      </c>
      <c r="B243" t="s">
        <v>147</v>
      </c>
      <c r="C243" t="s">
        <v>107</v>
      </c>
      <c r="D243" t="s">
        <v>42</v>
      </c>
      <c r="E243" t="s">
        <v>559</v>
      </c>
      <c r="F243" t="s">
        <v>560</v>
      </c>
      <c r="G243">
        <v>246</v>
      </c>
      <c r="H243" t="s">
        <v>513</v>
      </c>
      <c r="I243" t="s">
        <v>561</v>
      </c>
      <c r="J243">
        <v>-1.0655950000000001</v>
      </c>
      <c r="K243">
        <v>3.0606710000000001</v>
      </c>
      <c r="L243">
        <v>-0.34815731599999999</v>
      </c>
      <c r="M243">
        <v>246</v>
      </c>
      <c r="N243">
        <v>1</v>
      </c>
      <c r="O243">
        <v>244</v>
      </c>
      <c r="P243">
        <v>-2.2282954000000001E-2</v>
      </c>
      <c r="Q243">
        <v>-2.2286642999999998E-2</v>
      </c>
      <c r="R243">
        <v>6.4150029999999997E-2</v>
      </c>
      <c r="S243">
        <v>0.103447415</v>
      </c>
      <c r="T243">
        <v>-0.148020702</v>
      </c>
      <c r="U243">
        <v>6.3899999999999998E-2</v>
      </c>
      <c r="V243">
        <v>4.0699999999999998E-3</v>
      </c>
      <c r="W243">
        <v>-1.4303194999999999E-2</v>
      </c>
      <c r="X243">
        <v>-3.0262713E-2</v>
      </c>
      <c r="Y243" t="s">
        <v>562</v>
      </c>
      <c r="Z243" t="s">
        <v>563</v>
      </c>
      <c r="AA243">
        <v>1</v>
      </c>
      <c r="AB243" t="s">
        <v>57</v>
      </c>
      <c r="AC243" t="s">
        <v>155</v>
      </c>
    </row>
    <row r="244" spans="1:29" x14ac:dyDescent="0.25">
      <c r="A244">
        <v>1996</v>
      </c>
      <c r="B244" t="s">
        <v>147</v>
      </c>
      <c r="C244" t="s">
        <v>107</v>
      </c>
      <c r="D244" t="s">
        <v>42</v>
      </c>
      <c r="E244" t="s">
        <v>559</v>
      </c>
      <c r="F244" t="s">
        <v>560</v>
      </c>
      <c r="G244">
        <v>251</v>
      </c>
      <c r="H244" t="s">
        <v>513</v>
      </c>
      <c r="I244" t="s">
        <v>561</v>
      </c>
      <c r="J244">
        <v>2.406212</v>
      </c>
      <c r="K244">
        <v>3.9205199999999998</v>
      </c>
      <c r="L244">
        <v>0.61374817599999998</v>
      </c>
      <c r="M244">
        <v>251</v>
      </c>
      <c r="N244">
        <v>1</v>
      </c>
      <c r="O244">
        <v>249</v>
      </c>
      <c r="P244">
        <v>3.8865324E-2</v>
      </c>
      <c r="Q244">
        <v>3.8884910000000002E-2</v>
      </c>
      <c r="R244">
        <v>6.3500063999999995E-2</v>
      </c>
      <c r="S244">
        <v>0.163345035</v>
      </c>
      <c r="T244">
        <v>-8.5575213999999997E-2</v>
      </c>
      <c r="U244">
        <v>6.3200000000000006E-2</v>
      </c>
      <c r="V244">
        <v>3.9899999999999996E-3</v>
      </c>
      <c r="W244">
        <v>4.6677872000000002E-2</v>
      </c>
      <c r="X244">
        <v>3.1052776000000001E-2</v>
      </c>
      <c r="Y244" t="s">
        <v>562</v>
      </c>
      <c r="Z244" t="s">
        <v>563</v>
      </c>
      <c r="AA244">
        <v>1</v>
      </c>
      <c r="AB244" t="s">
        <v>57</v>
      </c>
      <c r="AC244" t="s">
        <v>155</v>
      </c>
    </row>
    <row r="245" spans="1:29" x14ac:dyDescent="0.25">
      <c r="A245">
        <v>1999</v>
      </c>
      <c r="B245" t="s">
        <v>147</v>
      </c>
      <c r="C245" t="s">
        <v>107</v>
      </c>
      <c r="D245" t="s">
        <v>42</v>
      </c>
      <c r="E245" t="s">
        <v>559</v>
      </c>
      <c r="F245" t="s">
        <v>560</v>
      </c>
      <c r="G245">
        <v>653</v>
      </c>
      <c r="H245" t="s">
        <v>513</v>
      </c>
      <c r="I245" t="s">
        <v>564</v>
      </c>
      <c r="J245">
        <v>1.465317</v>
      </c>
      <c r="K245">
        <v>0.62004440000000005</v>
      </c>
      <c r="L245">
        <v>2.3632452769999999</v>
      </c>
      <c r="M245">
        <v>653</v>
      </c>
      <c r="N245">
        <v>1</v>
      </c>
      <c r="O245">
        <v>651</v>
      </c>
      <c r="P245">
        <v>9.2228116999999998E-2</v>
      </c>
      <c r="Q245">
        <v>9.2490957999999998E-2</v>
      </c>
      <c r="R245">
        <v>3.9223226999999999E-2</v>
      </c>
      <c r="S245">
        <v>0.16936848299999999</v>
      </c>
      <c r="T245">
        <v>1.5613432999999999E-2</v>
      </c>
      <c r="U245">
        <v>3.8800000000000001E-2</v>
      </c>
      <c r="V245">
        <v>1.5200000000000001E-3</v>
      </c>
      <c r="W245">
        <v>9.5206398999999997E-2</v>
      </c>
      <c r="X245">
        <v>8.9249835999999999E-2</v>
      </c>
      <c r="Y245" t="s">
        <v>565</v>
      </c>
      <c r="Z245" t="s">
        <v>566</v>
      </c>
      <c r="AA245">
        <v>1</v>
      </c>
      <c r="AB245" t="s">
        <v>57</v>
      </c>
      <c r="AC245" t="s">
        <v>155</v>
      </c>
    </row>
    <row r="246" spans="1:29" x14ac:dyDescent="0.25">
      <c r="A246">
        <v>1999</v>
      </c>
      <c r="B246" t="s">
        <v>147</v>
      </c>
      <c r="C246" t="s">
        <v>107</v>
      </c>
      <c r="D246" t="s">
        <v>42</v>
      </c>
      <c r="E246" t="s">
        <v>559</v>
      </c>
      <c r="F246" t="s">
        <v>560</v>
      </c>
      <c r="G246">
        <v>249</v>
      </c>
      <c r="H246" t="s">
        <v>513</v>
      </c>
      <c r="I246" t="s">
        <v>561</v>
      </c>
      <c r="J246">
        <v>6.5241360000000004</v>
      </c>
      <c r="K246">
        <v>3.069102</v>
      </c>
      <c r="L246">
        <v>2.125747531</v>
      </c>
      <c r="M246">
        <v>249</v>
      </c>
      <c r="N246">
        <v>1</v>
      </c>
      <c r="O246">
        <v>247</v>
      </c>
      <c r="P246">
        <v>0.13403754200000001</v>
      </c>
      <c r="Q246">
        <v>0.13484901599999999</v>
      </c>
      <c r="R246">
        <v>6.3757671000000002E-2</v>
      </c>
      <c r="S246">
        <v>0.25981405200000002</v>
      </c>
      <c r="T246">
        <v>9.883981E-3</v>
      </c>
      <c r="U246">
        <v>6.2399999999999997E-2</v>
      </c>
      <c r="V246">
        <v>3.9500000000000004E-3</v>
      </c>
      <c r="W246">
        <v>0.14178317700000001</v>
      </c>
      <c r="X246">
        <v>0.12629190700000001</v>
      </c>
      <c r="Y246" t="s">
        <v>562</v>
      </c>
      <c r="Z246" t="s">
        <v>563</v>
      </c>
      <c r="AA246">
        <v>1</v>
      </c>
      <c r="AB246" t="s">
        <v>57</v>
      </c>
      <c r="AC246" t="s">
        <v>155</v>
      </c>
    </row>
    <row r="247" spans="1:29" x14ac:dyDescent="0.25">
      <c r="A247">
        <v>2000</v>
      </c>
      <c r="B247" t="s">
        <v>147</v>
      </c>
      <c r="C247" t="s">
        <v>108</v>
      </c>
      <c r="D247" t="s">
        <v>42</v>
      </c>
      <c r="E247" t="s">
        <v>559</v>
      </c>
      <c r="F247" t="s">
        <v>560</v>
      </c>
      <c r="G247">
        <v>624</v>
      </c>
      <c r="H247" t="s">
        <v>513</v>
      </c>
      <c r="I247" t="s">
        <v>564</v>
      </c>
      <c r="J247">
        <v>-0.45414939999999998</v>
      </c>
      <c r="K247">
        <v>0.68356899999999998</v>
      </c>
      <c r="L247">
        <v>-0.66437974799999999</v>
      </c>
      <c r="M247">
        <v>624</v>
      </c>
      <c r="N247">
        <v>1</v>
      </c>
      <c r="O247">
        <v>622</v>
      </c>
      <c r="P247">
        <v>-2.6629753999999999E-2</v>
      </c>
      <c r="Q247">
        <v>-2.6636051000000001E-2</v>
      </c>
      <c r="R247">
        <v>4.0128617999999998E-2</v>
      </c>
      <c r="S247">
        <v>5.2016039999999999E-2</v>
      </c>
      <c r="T247">
        <v>-0.105288142</v>
      </c>
      <c r="U247">
        <v>0.04</v>
      </c>
      <c r="V247">
        <v>1.6000000000000001E-3</v>
      </c>
      <c r="W247">
        <v>-2.35E-2</v>
      </c>
      <c r="X247">
        <v>-2.98E-2</v>
      </c>
      <c r="Y247" t="s">
        <v>565</v>
      </c>
      <c r="Z247" t="s">
        <v>566</v>
      </c>
      <c r="AA247">
        <v>1</v>
      </c>
      <c r="AB247" t="s">
        <v>57</v>
      </c>
      <c r="AC247" t="s">
        <v>155</v>
      </c>
    </row>
    <row r="248" spans="1:29" x14ac:dyDescent="0.25">
      <c r="A248">
        <v>2000</v>
      </c>
      <c r="B248" t="s">
        <v>147</v>
      </c>
      <c r="C248" t="s">
        <v>108</v>
      </c>
      <c r="D248" t="s">
        <v>42</v>
      </c>
      <c r="E248" t="s">
        <v>559</v>
      </c>
      <c r="F248" t="s">
        <v>560</v>
      </c>
      <c r="G248">
        <v>251</v>
      </c>
      <c r="H248" t="s">
        <v>513</v>
      </c>
      <c r="I248" t="s">
        <v>561</v>
      </c>
      <c r="J248">
        <v>-2.785663</v>
      </c>
      <c r="K248">
        <v>3.3547959999999999</v>
      </c>
      <c r="L248">
        <v>-0.830352427</v>
      </c>
      <c r="M248">
        <v>251</v>
      </c>
      <c r="N248">
        <v>1</v>
      </c>
      <c r="O248">
        <v>249</v>
      </c>
      <c r="P248">
        <v>-5.2548743000000002E-2</v>
      </c>
      <c r="Q248">
        <v>-5.2597192000000001E-2</v>
      </c>
      <c r="R248">
        <v>6.3500063999999995E-2</v>
      </c>
      <c r="S248">
        <v>7.1862932000000004E-2</v>
      </c>
      <c r="T248">
        <v>-0.17705731699999999</v>
      </c>
      <c r="U248">
        <v>6.3100000000000003E-2</v>
      </c>
      <c r="V248">
        <v>3.98E-3</v>
      </c>
      <c r="W248">
        <v>-4.4745981999999997E-2</v>
      </c>
      <c r="X248">
        <v>-6.0351504E-2</v>
      </c>
      <c r="Y248" t="s">
        <v>562</v>
      </c>
      <c r="Z248" t="s">
        <v>563</v>
      </c>
      <c r="AA248">
        <v>1</v>
      </c>
      <c r="AB248" t="s">
        <v>57</v>
      </c>
      <c r="AC248" t="s">
        <v>155</v>
      </c>
    </row>
    <row r="249" spans="1:29" x14ac:dyDescent="0.25">
      <c r="A249">
        <v>2001</v>
      </c>
      <c r="B249" t="s">
        <v>147</v>
      </c>
      <c r="C249" t="s">
        <v>108</v>
      </c>
      <c r="D249" t="s">
        <v>42</v>
      </c>
      <c r="E249" t="s">
        <v>559</v>
      </c>
      <c r="F249" t="s">
        <v>560</v>
      </c>
      <c r="G249">
        <v>766</v>
      </c>
      <c r="H249" t="s">
        <v>513</v>
      </c>
      <c r="I249" t="s">
        <v>564</v>
      </c>
      <c r="J249">
        <v>-0.23729529999999999</v>
      </c>
      <c r="K249">
        <v>0.58613990000000005</v>
      </c>
      <c r="L249">
        <v>-0.40484413400000002</v>
      </c>
      <c r="M249">
        <v>766</v>
      </c>
      <c r="N249">
        <v>1</v>
      </c>
      <c r="O249">
        <v>764</v>
      </c>
      <c r="P249">
        <v>-1.4645175999999999E-2</v>
      </c>
      <c r="Q249">
        <v>-1.4646223E-2</v>
      </c>
      <c r="R249">
        <v>3.6202431E-2</v>
      </c>
      <c r="S249">
        <v>5.6310540999999999E-2</v>
      </c>
      <c r="T249">
        <v>-8.5602987000000005E-2</v>
      </c>
      <c r="U249">
        <v>3.61E-2</v>
      </c>
      <c r="V249">
        <v>1.31E-3</v>
      </c>
      <c r="W249">
        <v>-1.2085306000000001E-2</v>
      </c>
      <c r="X249">
        <v>-1.7205044999999999E-2</v>
      </c>
      <c r="Y249" t="s">
        <v>565</v>
      </c>
      <c r="Z249" t="s">
        <v>566</v>
      </c>
      <c r="AA249">
        <v>1</v>
      </c>
      <c r="AB249" t="s">
        <v>57</v>
      </c>
      <c r="AC249" t="s">
        <v>155</v>
      </c>
    </row>
    <row r="250" spans="1:29" x14ac:dyDescent="0.25">
      <c r="A250">
        <v>2001</v>
      </c>
      <c r="B250" t="s">
        <v>147</v>
      </c>
      <c r="C250" t="s">
        <v>108</v>
      </c>
      <c r="D250" t="s">
        <v>42</v>
      </c>
      <c r="E250" t="s">
        <v>559</v>
      </c>
      <c r="F250" t="s">
        <v>560</v>
      </c>
      <c r="G250">
        <v>241</v>
      </c>
      <c r="H250" t="s">
        <v>513</v>
      </c>
      <c r="I250" t="s">
        <v>561</v>
      </c>
      <c r="J250">
        <v>-1.082694</v>
      </c>
      <c r="K250">
        <v>3.4280759999999999</v>
      </c>
      <c r="L250">
        <v>-0.31583138799999999</v>
      </c>
      <c r="M250">
        <v>241</v>
      </c>
      <c r="N250">
        <v>1</v>
      </c>
      <c r="O250">
        <v>239</v>
      </c>
      <c r="P250">
        <v>-2.0425171999999998E-2</v>
      </c>
      <c r="Q250">
        <v>-2.0428012999999998E-2</v>
      </c>
      <c r="R250">
        <v>6.4820372000000001E-2</v>
      </c>
      <c r="S250">
        <v>0.106619916</v>
      </c>
      <c r="T250">
        <v>-0.147475943</v>
      </c>
      <c r="U250">
        <v>6.4522792999999995E-2</v>
      </c>
      <c r="V250">
        <v>4.1599999999999996E-3</v>
      </c>
      <c r="W250">
        <v>-1.23E-2</v>
      </c>
      <c r="X250">
        <v>-2.86E-2</v>
      </c>
      <c r="Y250" t="s">
        <v>562</v>
      </c>
      <c r="Z250" t="s">
        <v>563</v>
      </c>
      <c r="AA250">
        <v>1</v>
      </c>
      <c r="AB250" t="s">
        <v>57</v>
      </c>
      <c r="AC250" t="s">
        <v>155</v>
      </c>
    </row>
    <row r="251" spans="1:29" x14ac:dyDescent="0.25">
      <c r="A251">
        <v>1911</v>
      </c>
      <c r="B251" t="s">
        <v>156</v>
      </c>
      <c r="C251" t="s">
        <v>106</v>
      </c>
      <c r="D251" t="s">
        <v>42</v>
      </c>
      <c r="E251" t="s">
        <v>570</v>
      </c>
      <c r="F251" t="s">
        <v>571</v>
      </c>
      <c r="G251">
        <v>30000</v>
      </c>
      <c r="H251" t="s">
        <v>572</v>
      </c>
      <c r="I251" t="s">
        <v>573</v>
      </c>
      <c r="J251">
        <v>-0.99399999999999999</v>
      </c>
      <c r="K251">
        <v>6.0559999999999998E-4</v>
      </c>
      <c r="L251">
        <v>-1634.88</v>
      </c>
      <c r="M251">
        <v>30000</v>
      </c>
      <c r="N251">
        <v>1</v>
      </c>
      <c r="O251">
        <v>29998</v>
      </c>
      <c r="P251">
        <v>-0.99443514899999996</v>
      </c>
      <c r="Q251">
        <v>-2.9408229600000002</v>
      </c>
      <c r="R251">
        <v>5.7737910000000003E-3</v>
      </c>
      <c r="S251">
        <v>-2.9295063290000001</v>
      </c>
      <c r="T251">
        <v>-2.9521395909999999</v>
      </c>
      <c r="U251">
        <v>6.41E-5</v>
      </c>
      <c r="V251">
        <v>3.7E-7</v>
      </c>
      <c r="W251">
        <v>-0.99443442400000004</v>
      </c>
      <c r="X251">
        <v>-0.994435874</v>
      </c>
      <c r="Y251" t="s">
        <v>574</v>
      </c>
      <c r="Z251" t="s">
        <v>575</v>
      </c>
      <c r="AA251">
        <v>0</v>
      </c>
      <c r="AB251" t="s">
        <v>63</v>
      </c>
      <c r="AC251" t="s">
        <v>155</v>
      </c>
    </row>
    <row r="252" spans="1:29" x14ac:dyDescent="0.25">
      <c r="A252">
        <v>1912</v>
      </c>
      <c r="B252" t="s">
        <v>156</v>
      </c>
      <c r="C252" t="s">
        <v>106</v>
      </c>
      <c r="D252" t="s">
        <v>42</v>
      </c>
      <c r="E252" t="s">
        <v>570</v>
      </c>
      <c r="F252" t="s">
        <v>571</v>
      </c>
      <c r="G252">
        <v>30000</v>
      </c>
      <c r="H252" t="s">
        <v>572</v>
      </c>
      <c r="I252" t="s">
        <v>573</v>
      </c>
      <c r="J252">
        <v>-0.99399999999999999</v>
      </c>
      <c r="K252">
        <v>6.0559999999999998E-4</v>
      </c>
      <c r="L252">
        <v>-1634.88</v>
      </c>
      <c r="M252">
        <v>30000</v>
      </c>
      <c r="N252">
        <v>1</v>
      </c>
      <c r="O252">
        <v>29998</v>
      </c>
      <c r="P252">
        <v>-0.99443514899999996</v>
      </c>
      <c r="Q252">
        <v>-2.9408229600000002</v>
      </c>
      <c r="R252">
        <v>5.7737910000000003E-3</v>
      </c>
      <c r="S252">
        <v>-2.9295063290000001</v>
      </c>
      <c r="T252">
        <v>-2.9521395909999999</v>
      </c>
      <c r="U252">
        <v>6.41E-5</v>
      </c>
      <c r="V252">
        <v>3.7E-7</v>
      </c>
      <c r="W252">
        <v>-0.99443442400000004</v>
      </c>
      <c r="X252">
        <v>-0.994435874</v>
      </c>
      <c r="Y252" t="s">
        <v>574</v>
      </c>
      <c r="Z252" t="s">
        <v>575</v>
      </c>
      <c r="AA252">
        <v>0</v>
      </c>
      <c r="AB252" t="s">
        <v>63</v>
      </c>
      <c r="AC252" t="s">
        <v>155</v>
      </c>
    </row>
    <row r="253" spans="1:29" x14ac:dyDescent="0.25">
      <c r="A253">
        <v>1913</v>
      </c>
      <c r="B253" t="s">
        <v>156</v>
      </c>
      <c r="C253" t="s">
        <v>106</v>
      </c>
      <c r="D253" t="s">
        <v>42</v>
      </c>
      <c r="E253" t="s">
        <v>570</v>
      </c>
      <c r="F253" t="s">
        <v>571</v>
      </c>
      <c r="G253">
        <v>30000</v>
      </c>
      <c r="H253" t="s">
        <v>572</v>
      </c>
      <c r="I253" t="s">
        <v>573</v>
      </c>
      <c r="J253">
        <v>-0.99399999999999999</v>
      </c>
      <c r="K253">
        <v>6.0559999999999998E-4</v>
      </c>
      <c r="L253">
        <v>-1634.88</v>
      </c>
      <c r="M253">
        <v>30000</v>
      </c>
      <c r="N253">
        <v>1</v>
      </c>
      <c r="O253">
        <v>29998</v>
      </c>
      <c r="P253">
        <v>-0.99443514899999996</v>
      </c>
      <c r="Q253">
        <v>-2.9408229600000002</v>
      </c>
      <c r="R253">
        <v>5.7737910000000003E-3</v>
      </c>
      <c r="S253">
        <v>-2.9295063290000001</v>
      </c>
      <c r="T253">
        <v>-2.9521395909999999</v>
      </c>
      <c r="U253">
        <v>6.41E-5</v>
      </c>
      <c r="V253">
        <v>3.7E-7</v>
      </c>
      <c r="W253">
        <v>-0.99443442400000004</v>
      </c>
      <c r="X253">
        <v>-0.994435874</v>
      </c>
      <c r="Y253" t="s">
        <v>574</v>
      </c>
      <c r="Z253" t="s">
        <v>575</v>
      </c>
      <c r="AA253">
        <v>0</v>
      </c>
      <c r="AB253" t="s">
        <v>63</v>
      </c>
      <c r="AC253" t="s">
        <v>155</v>
      </c>
    </row>
    <row r="254" spans="1:29" x14ac:dyDescent="0.25">
      <c r="A254">
        <v>1914</v>
      </c>
      <c r="B254" t="s">
        <v>156</v>
      </c>
      <c r="C254" t="s">
        <v>106</v>
      </c>
      <c r="D254" t="s">
        <v>42</v>
      </c>
      <c r="E254" t="s">
        <v>570</v>
      </c>
      <c r="F254" t="s">
        <v>571</v>
      </c>
      <c r="G254">
        <v>30000</v>
      </c>
      <c r="H254" t="s">
        <v>572</v>
      </c>
      <c r="I254" t="s">
        <v>573</v>
      </c>
      <c r="J254">
        <v>-0.99399999999999999</v>
      </c>
      <c r="K254">
        <v>6.0559999999999998E-4</v>
      </c>
      <c r="L254">
        <v>-1634.88</v>
      </c>
      <c r="M254">
        <v>30000</v>
      </c>
      <c r="N254">
        <v>1</v>
      </c>
      <c r="O254">
        <v>29998</v>
      </c>
      <c r="P254">
        <v>-0.99443514899999996</v>
      </c>
      <c r="Q254">
        <v>-2.9408229600000002</v>
      </c>
      <c r="R254">
        <v>5.7737910000000003E-3</v>
      </c>
      <c r="S254">
        <v>-2.9295063290000001</v>
      </c>
      <c r="T254">
        <v>-2.9521395909999999</v>
      </c>
      <c r="U254">
        <v>6.41E-5</v>
      </c>
      <c r="V254">
        <v>3.7E-7</v>
      </c>
      <c r="W254">
        <v>-0.99443442400000004</v>
      </c>
      <c r="X254">
        <v>-0.994435874</v>
      </c>
      <c r="Y254" t="s">
        <v>574</v>
      </c>
      <c r="Z254" t="s">
        <v>575</v>
      </c>
      <c r="AA254">
        <v>0</v>
      </c>
      <c r="AB254" t="s">
        <v>63</v>
      </c>
      <c r="AC254" t="s">
        <v>155</v>
      </c>
    </row>
    <row r="255" spans="1:29" x14ac:dyDescent="0.25">
      <c r="A255">
        <v>1915</v>
      </c>
      <c r="B255" t="s">
        <v>156</v>
      </c>
      <c r="C255" t="s">
        <v>106</v>
      </c>
      <c r="D255" t="s">
        <v>42</v>
      </c>
      <c r="E255" t="s">
        <v>570</v>
      </c>
      <c r="F255" t="s">
        <v>571</v>
      </c>
      <c r="G255">
        <v>30000</v>
      </c>
      <c r="H255" t="s">
        <v>572</v>
      </c>
      <c r="I255" t="s">
        <v>573</v>
      </c>
      <c r="J255">
        <v>-0.99399999999999999</v>
      </c>
      <c r="K255">
        <v>6.0559999999999998E-4</v>
      </c>
      <c r="L255">
        <v>-1634.88</v>
      </c>
      <c r="M255">
        <v>30000</v>
      </c>
      <c r="N255">
        <v>1</v>
      </c>
      <c r="O255">
        <v>29998</v>
      </c>
      <c r="P255">
        <v>-0.99443514899999996</v>
      </c>
      <c r="Q255">
        <v>-2.9408229600000002</v>
      </c>
      <c r="R255">
        <v>5.7737910000000003E-3</v>
      </c>
      <c r="S255">
        <v>-2.9295063290000001</v>
      </c>
      <c r="T255">
        <v>-2.9521395909999999</v>
      </c>
      <c r="U255">
        <v>6.41E-5</v>
      </c>
      <c r="V255">
        <v>3.7E-7</v>
      </c>
      <c r="W255">
        <v>-0.99443442400000004</v>
      </c>
      <c r="X255">
        <v>-0.994435874</v>
      </c>
      <c r="Y255" t="s">
        <v>574</v>
      </c>
      <c r="Z255" t="s">
        <v>575</v>
      </c>
      <c r="AA255">
        <v>0</v>
      </c>
      <c r="AB255" t="s">
        <v>63</v>
      </c>
      <c r="AC255" t="s">
        <v>155</v>
      </c>
    </row>
    <row r="256" spans="1:29" x14ac:dyDescent="0.25">
      <c r="A256">
        <v>1916</v>
      </c>
      <c r="B256" t="s">
        <v>156</v>
      </c>
      <c r="C256" t="s">
        <v>106</v>
      </c>
      <c r="D256" t="s">
        <v>42</v>
      </c>
      <c r="E256" t="s">
        <v>570</v>
      </c>
      <c r="F256" t="s">
        <v>571</v>
      </c>
      <c r="G256">
        <v>30000</v>
      </c>
      <c r="H256" t="s">
        <v>572</v>
      </c>
      <c r="I256" t="s">
        <v>573</v>
      </c>
      <c r="J256">
        <v>-0.99399999999999999</v>
      </c>
      <c r="K256">
        <v>6.0559999999999998E-4</v>
      </c>
      <c r="L256">
        <v>-1634.88</v>
      </c>
      <c r="M256">
        <v>30000</v>
      </c>
      <c r="N256">
        <v>1</v>
      </c>
      <c r="O256">
        <v>29998</v>
      </c>
      <c r="P256">
        <v>-0.99443514899999996</v>
      </c>
      <c r="Q256">
        <v>-2.9408229600000002</v>
      </c>
      <c r="R256">
        <v>5.7737910000000003E-3</v>
      </c>
      <c r="S256">
        <v>-2.9295063290000001</v>
      </c>
      <c r="T256">
        <v>-2.9521395909999999</v>
      </c>
      <c r="U256">
        <v>6.41E-5</v>
      </c>
      <c r="V256">
        <v>3.7E-7</v>
      </c>
      <c r="W256">
        <v>-0.99443442400000004</v>
      </c>
      <c r="X256">
        <v>-0.994435874</v>
      </c>
      <c r="Y256" t="s">
        <v>574</v>
      </c>
      <c r="Z256" t="s">
        <v>575</v>
      </c>
      <c r="AA256">
        <v>0</v>
      </c>
      <c r="AB256" t="s">
        <v>63</v>
      </c>
      <c r="AC256" t="s">
        <v>155</v>
      </c>
    </row>
    <row r="257" spans="1:29" x14ac:dyDescent="0.25">
      <c r="A257">
        <v>1917</v>
      </c>
      <c r="B257" t="s">
        <v>156</v>
      </c>
      <c r="C257" t="s">
        <v>106</v>
      </c>
      <c r="D257" t="s">
        <v>42</v>
      </c>
      <c r="E257" t="s">
        <v>570</v>
      </c>
      <c r="F257" t="s">
        <v>571</v>
      </c>
      <c r="G257">
        <v>30000</v>
      </c>
      <c r="H257" t="s">
        <v>572</v>
      </c>
      <c r="I257" t="s">
        <v>573</v>
      </c>
      <c r="J257">
        <v>-0.99399999999999999</v>
      </c>
      <c r="K257">
        <v>6.0559999999999998E-4</v>
      </c>
      <c r="L257">
        <v>-1634.88</v>
      </c>
      <c r="M257">
        <v>30000</v>
      </c>
      <c r="N257">
        <v>1</v>
      </c>
      <c r="O257">
        <v>29998</v>
      </c>
      <c r="P257">
        <v>-0.99443514899999996</v>
      </c>
      <c r="Q257">
        <v>-2.9408229600000002</v>
      </c>
      <c r="R257">
        <v>5.7737910000000003E-3</v>
      </c>
      <c r="S257">
        <v>-2.9295063290000001</v>
      </c>
      <c r="T257">
        <v>-2.9521395909999999</v>
      </c>
      <c r="U257">
        <v>6.41E-5</v>
      </c>
      <c r="V257">
        <v>3.7E-7</v>
      </c>
      <c r="W257">
        <v>-0.99443442400000004</v>
      </c>
      <c r="X257">
        <v>-0.994435874</v>
      </c>
      <c r="Y257" t="s">
        <v>574</v>
      </c>
      <c r="Z257" t="s">
        <v>575</v>
      </c>
      <c r="AA257">
        <v>0</v>
      </c>
      <c r="AB257" t="s">
        <v>63</v>
      </c>
      <c r="AC257" t="s">
        <v>155</v>
      </c>
    </row>
    <row r="258" spans="1:29" x14ac:dyDescent="0.25">
      <c r="A258">
        <v>1918</v>
      </c>
      <c r="B258" t="s">
        <v>156</v>
      </c>
      <c r="C258" t="s">
        <v>106</v>
      </c>
      <c r="D258" t="s">
        <v>42</v>
      </c>
      <c r="E258" t="s">
        <v>570</v>
      </c>
      <c r="F258" t="s">
        <v>571</v>
      </c>
      <c r="G258">
        <v>30000</v>
      </c>
      <c r="H258" t="s">
        <v>572</v>
      </c>
      <c r="I258" t="s">
        <v>573</v>
      </c>
      <c r="J258">
        <v>-0.99399999999999999</v>
      </c>
      <c r="K258">
        <v>6.0559999999999998E-4</v>
      </c>
      <c r="L258">
        <v>-1634.88</v>
      </c>
      <c r="M258">
        <v>30000</v>
      </c>
      <c r="N258">
        <v>1</v>
      </c>
      <c r="O258">
        <v>29998</v>
      </c>
      <c r="P258">
        <v>-0.99443514899999996</v>
      </c>
      <c r="Q258">
        <v>-2.9408229600000002</v>
      </c>
      <c r="R258">
        <v>5.7737910000000003E-3</v>
      </c>
      <c r="S258">
        <v>-2.9295063290000001</v>
      </c>
      <c r="T258">
        <v>-2.9521395909999999</v>
      </c>
      <c r="U258">
        <v>6.41E-5</v>
      </c>
      <c r="V258">
        <v>3.7E-7</v>
      </c>
      <c r="W258">
        <v>-0.99443442400000004</v>
      </c>
      <c r="X258">
        <v>-0.994435874</v>
      </c>
      <c r="Y258" t="s">
        <v>574</v>
      </c>
      <c r="Z258" t="s">
        <v>575</v>
      </c>
      <c r="AA258">
        <v>0</v>
      </c>
      <c r="AB258" t="s">
        <v>63</v>
      </c>
      <c r="AC258" t="s">
        <v>155</v>
      </c>
    </row>
    <row r="259" spans="1:29" x14ac:dyDescent="0.25">
      <c r="A259">
        <v>1919</v>
      </c>
      <c r="B259" t="s">
        <v>156</v>
      </c>
      <c r="C259" t="s">
        <v>106</v>
      </c>
      <c r="D259" t="s">
        <v>42</v>
      </c>
      <c r="E259" t="s">
        <v>570</v>
      </c>
      <c r="F259" t="s">
        <v>571</v>
      </c>
      <c r="G259">
        <v>30000</v>
      </c>
      <c r="H259" t="s">
        <v>572</v>
      </c>
      <c r="I259" t="s">
        <v>573</v>
      </c>
      <c r="J259">
        <v>-0.99399999999999999</v>
      </c>
      <c r="K259">
        <v>6.0559999999999998E-4</v>
      </c>
      <c r="L259">
        <v>-1634.88</v>
      </c>
      <c r="M259">
        <v>30000</v>
      </c>
      <c r="N259">
        <v>1</v>
      </c>
      <c r="O259">
        <v>29998</v>
      </c>
      <c r="P259">
        <v>-0.99443514899999996</v>
      </c>
      <c r="Q259">
        <v>-2.9408229600000002</v>
      </c>
      <c r="R259">
        <v>5.7737910000000003E-3</v>
      </c>
      <c r="S259">
        <v>-2.9295063290000001</v>
      </c>
      <c r="T259">
        <v>-2.9521395909999999</v>
      </c>
      <c r="U259">
        <v>6.41E-5</v>
      </c>
      <c r="V259">
        <v>3.7E-7</v>
      </c>
      <c r="W259">
        <v>-0.99443442400000004</v>
      </c>
      <c r="X259">
        <v>-0.994435874</v>
      </c>
      <c r="Y259" t="s">
        <v>574</v>
      </c>
      <c r="Z259" t="s">
        <v>575</v>
      </c>
      <c r="AA259">
        <v>0</v>
      </c>
      <c r="AB259" t="s">
        <v>63</v>
      </c>
      <c r="AC259" t="s">
        <v>155</v>
      </c>
    </row>
    <row r="260" spans="1:29" x14ac:dyDescent="0.25">
      <c r="A260">
        <v>1920</v>
      </c>
      <c r="B260" t="s">
        <v>156</v>
      </c>
      <c r="C260" t="s">
        <v>106</v>
      </c>
      <c r="D260" t="s">
        <v>42</v>
      </c>
      <c r="E260" t="s">
        <v>570</v>
      </c>
      <c r="F260" t="s">
        <v>571</v>
      </c>
      <c r="G260">
        <v>30000</v>
      </c>
      <c r="H260" t="s">
        <v>572</v>
      </c>
      <c r="I260" t="s">
        <v>573</v>
      </c>
      <c r="J260">
        <v>-0.99399999999999999</v>
      </c>
      <c r="K260">
        <v>6.0559999999999998E-4</v>
      </c>
      <c r="L260">
        <v>-1634.88</v>
      </c>
      <c r="M260">
        <v>30000</v>
      </c>
      <c r="N260">
        <v>1</v>
      </c>
      <c r="O260">
        <v>29998</v>
      </c>
      <c r="P260">
        <v>-0.99443514899999996</v>
      </c>
      <c r="Q260">
        <v>-2.9408229600000002</v>
      </c>
      <c r="R260">
        <v>5.7737910000000003E-3</v>
      </c>
      <c r="S260">
        <v>-2.9295063290000001</v>
      </c>
      <c r="T260">
        <v>-2.9521395909999999</v>
      </c>
      <c r="U260">
        <v>6.41E-5</v>
      </c>
      <c r="V260">
        <v>3.7E-7</v>
      </c>
      <c r="W260">
        <v>-0.99443442400000004</v>
      </c>
      <c r="X260">
        <v>-0.994435874</v>
      </c>
      <c r="Y260" t="s">
        <v>574</v>
      </c>
      <c r="Z260" t="s">
        <v>575</v>
      </c>
      <c r="AA260">
        <v>0</v>
      </c>
      <c r="AB260" t="s">
        <v>63</v>
      </c>
      <c r="AC260" t="s">
        <v>155</v>
      </c>
    </row>
    <row r="261" spans="1:29" x14ac:dyDescent="0.25">
      <c r="A261">
        <v>1921</v>
      </c>
      <c r="B261" t="s">
        <v>156</v>
      </c>
      <c r="C261" t="s">
        <v>106</v>
      </c>
      <c r="D261" t="s">
        <v>42</v>
      </c>
      <c r="E261" t="s">
        <v>570</v>
      </c>
      <c r="F261" t="s">
        <v>571</v>
      </c>
      <c r="G261">
        <v>30000</v>
      </c>
      <c r="H261" t="s">
        <v>572</v>
      </c>
      <c r="I261" t="s">
        <v>573</v>
      </c>
      <c r="J261">
        <v>-0.99399999999999999</v>
      </c>
      <c r="K261">
        <v>6.0559999999999998E-4</v>
      </c>
      <c r="L261">
        <v>-1634.88</v>
      </c>
      <c r="M261">
        <v>30000</v>
      </c>
      <c r="N261">
        <v>1</v>
      </c>
      <c r="O261">
        <v>29998</v>
      </c>
      <c r="P261">
        <v>-0.99443514899999996</v>
      </c>
      <c r="Q261">
        <v>-2.9408229600000002</v>
      </c>
      <c r="R261">
        <v>5.7737910000000003E-3</v>
      </c>
      <c r="S261">
        <v>-2.9295063290000001</v>
      </c>
      <c r="T261">
        <v>-2.9521395909999999</v>
      </c>
      <c r="U261">
        <v>6.41E-5</v>
      </c>
      <c r="V261">
        <v>3.7E-7</v>
      </c>
      <c r="W261">
        <v>-0.99443442400000004</v>
      </c>
      <c r="X261">
        <v>-0.994435874</v>
      </c>
      <c r="Y261" t="s">
        <v>574</v>
      </c>
      <c r="Z261" t="s">
        <v>575</v>
      </c>
      <c r="AA261">
        <v>0</v>
      </c>
      <c r="AB261" t="s">
        <v>63</v>
      </c>
      <c r="AC261" t="s">
        <v>155</v>
      </c>
    </row>
    <row r="262" spans="1:29" x14ac:dyDescent="0.25">
      <c r="A262">
        <v>1922</v>
      </c>
      <c r="B262" t="s">
        <v>156</v>
      </c>
      <c r="C262" t="s">
        <v>106</v>
      </c>
      <c r="D262" t="s">
        <v>42</v>
      </c>
      <c r="E262" t="s">
        <v>570</v>
      </c>
      <c r="F262" t="s">
        <v>571</v>
      </c>
      <c r="G262">
        <v>30000</v>
      </c>
      <c r="H262" t="s">
        <v>572</v>
      </c>
      <c r="I262" t="s">
        <v>573</v>
      </c>
      <c r="J262">
        <v>-0.99399999999999999</v>
      </c>
      <c r="K262">
        <v>6.0559999999999998E-4</v>
      </c>
      <c r="L262">
        <v>-1634.88</v>
      </c>
      <c r="M262">
        <v>30000</v>
      </c>
      <c r="N262">
        <v>1</v>
      </c>
      <c r="O262">
        <v>29998</v>
      </c>
      <c r="P262">
        <v>-0.99443514899999996</v>
      </c>
      <c r="Q262">
        <v>-2.9408229600000002</v>
      </c>
      <c r="R262">
        <v>5.7737910000000003E-3</v>
      </c>
      <c r="S262">
        <v>-2.9295063290000001</v>
      </c>
      <c r="T262">
        <v>-2.9521395909999999</v>
      </c>
      <c r="U262">
        <v>6.41E-5</v>
      </c>
      <c r="V262">
        <v>3.7E-7</v>
      </c>
      <c r="W262">
        <v>-0.99443442400000004</v>
      </c>
      <c r="X262">
        <v>-0.994435874</v>
      </c>
      <c r="Y262" t="s">
        <v>574</v>
      </c>
      <c r="Z262" t="s">
        <v>575</v>
      </c>
      <c r="AA262">
        <v>0</v>
      </c>
      <c r="AB262" t="s">
        <v>63</v>
      </c>
      <c r="AC262" t="s">
        <v>155</v>
      </c>
    </row>
    <row r="263" spans="1:29" x14ac:dyDescent="0.25">
      <c r="A263">
        <v>1923</v>
      </c>
      <c r="B263" t="s">
        <v>156</v>
      </c>
      <c r="C263" t="s">
        <v>106</v>
      </c>
      <c r="D263" t="s">
        <v>42</v>
      </c>
      <c r="E263" t="s">
        <v>570</v>
      </c>
      <c r="F263" t="s">
        <v>571</v>
      </c>
      <c r="G263">
        <v>30000</v>
      </c>
      <c r="H263" t="s">
        <v>572</v>
      </c>
      <c r="I263" t="s">
        <v>573</v>
      </c>
      <c r="J263">
        <v>-0.99399999999999999</v>
      </c>
      <c r="K263">
        <v>6.0559999999999998E-4</v>
      </c>
      <c r="L263">
        <v>-1634.88</v>
      </c>
      <c r="M263">
        <v>30000</v>
      </c>
      <c r="N263">
        <v>1</v>
      </c>
      <c r="O263">
        <v>29998</v>
      </c>
      <c r="P263">
        <v>-0.99443514899999996</v>
      </c>
      <c r="Q263">
        <v>-2.9408229600000002</v>
      </c>
      <c r="R263">
        <v>5.7737910000000003E-3</v>
      </c>
      <c r="S263">
        <v>-2.9295063290000001</v>
      </c>
      <c r="T263">
        <v>-2.9521395909999999</v>
      </c>
      <c r="U263">
        <v>6.41E-5</v>
      </c>
      <c r="V263">
        <v>3.7E-7</v>
      </c>
      <c r="W263">
        <v>-0.99443442400000004</v>
      </c>
      <c r="X263">
        <v>-0.994435874</v>
      </c>
      <c r="Y263" t="s">
        <v>574</v>
      </c>
      <c r="Z263" t="s">
        <v>575</v>
      </c>
      <c r="AA263">
        <v>0</v>
      </c>
      <c r="AB263" t="s">
        <v>63</v>
      </c>
      <c r="AC263" t="s">
        <v>155</v>
      </c>
    </row>
    <row r="264" spans="1:29" x14ac:dyDescent="0.25">
      <c r="A264">
        <v>1924</v>
      </c>
      <c r="B264" t="s">
        <v>156</v>
      </c>
      <c r="C264" t="s">
        <v>106</v>
      </c>
      <c r="D264" t="s">
        <v>42</v>
      </c>
      <c r="E264" t="s">
        <v>570</v>
      </c>
      <c r="F264" t="s">
        <v>571</v>
      </c>
      <c r="G264">
        <v>30000</v>
      </c>
      <c r="H264" t="s">
        <v>572</v>
      </c>
      <c r="I264" t="s">
        <v>573</v>
      </c>
      <c r="J264">
        <v>-0.99399999999999999</v>
      </c>
      <c r="K264">
        <v>6.0559999999999998E-4</v>
      </c>
      <c r="L264">
        <v>-1634.88</v>
      </c>
      <c r="M264">
        <v>30000</v>
      </c>
      <c r="N264">
        <v>1</v>
      </c>
      <c r="O264">
        <v>29998</v>
      </c>
      <c r="P264">
        <v>-0.99443514899999996</v>
      </c>
      <c r="Q264">
        <v>-2.9408229600000002</v>
      </c>
      <c r="R264">
        <v>5.77E-3</v>
      </c>
      <c r="S264">
        <v>-2.9295063290000001</v>
      </c>
      <c r="T264">
        <v>-2.9521395909999999</v>
      </c>
      <c r="U264">
        <v>6.41E-5</v>
      </c>
      <c r="V264">
        <v>3.7E-7</v>
      </c>
      <c r="W264">
        <v>-0.99443442400000004</v>
      </c>
      <c r="X264">
        <v>-0.994435874</v>
      </c>
      <c r="Y264" t="s">
        <v>574</v>
      </c>
      <c r="Z264" t="s">
        <v>575</v>
      </c>
      <c r="AA264">
        <v>0</v>
      </c>
      <c r="AB264" t="s">
        <v>63</v>
      </c>
      <c r="AC264" t="s">
        <v>155</v>
      </c>
    </row>
    <row r="265" spans="1:29" x14ac:dyDescent="0.25">
      <c r="A265">
        <v>1925</v>
      </c>
      <c r="B265" t="s">
        <v>156</v>
      </c>
      <c r="C265" t="s">
        <v>106</v>
      </c>
      <c r="D265" t="s">
        <v>42</v>
      </c>
      <c r="E265" t="s">
        <v>570</v>
      </c>
      <c r="F265" t="s">
        <v>571</v>
      </c>
      <c r="G265">
        <v>30000</v>
      </c>
      <c r="H265" t="s">
        <v>572</v>
      </c>
      <c r="I265" t="s">
        <v>573</v>
      </c>
      <c r="J265">
        <v>-0.99399999999999999</v>
      </c>
      <c r="K265">
        <v>6.0559999999999998E-4</v>
      </c>
      <c r="L265">
        <v>-1634.88</v>
      </c>
      <c r="M265">
        <v>30000</v>
      </c>
      <c r="N265">
        <v>1</v>
      </c>
      <c r="O265">
        <v>29998</v>
      </c>
      <c r="P265">
        <v>-0.99443514899999996</v>
      </c>
      <c r="Q265">
        <v>-2.9408229600000002</v>
      </c>
      <c r="R265">
        <v>5.7737910000000003E-3</v>
      </c>
      <c r="S265">
        <v>-2.9295063290000001</v>
      </c>
      <c r="T265">
        <v>-2.9521395909999999</v>
      </c>
      <c r="U265">
        <v>6.41E-5</v>
      </c>
      <c r="V265">
        <v>3.7E-7</v>
      </c>
      <c r="W265">
        <v>-0.99443442400000004</v>
      </c>
      <c r="X265">
        <v>-0.994435874</v>
      </c>
      <c r="Y265" t="s">
        <v>574</v>
      </c>
      <c r="Z265" t="s">
        <v>575</v>
      </c>
      <c r="AA265">
        <v>0</v>
      </c>
      <c r="AB265" t="s">
        <v>63</v>
      </c>
      <c r="AC265" t="s">
        <v>155</v>
      </c>
    </row>
    <row r="266" spans="1:29" x14ac:dyDescent="0.25">
      <c r="A266">
        <v>1926</v>
      </c>
      <c r="B266" t="s">
        <v>156</v>
      </c>
      <c r="C266" t="s">
        <v>106</v>
      </c>
      <c r="D266" t="s">
        <v>42</v>
      </c>
      <c r="E266" t="s">
        <v>570</v>
      </c>
      <c r="F266" t="s">
        <v>571</v>
      </c>
      <c r="G266">
        <v>30000</v>
      </c>
      <c r="H266" t="s">
        <v>572</v>
      </c>
      <c r="I266" t="s">
        <v>573</v>
      </c>
      <c r="J266">
        <v>-0.99399999999999999</v>
      </c>
      <c r="K266">
        <v>6.0559999999999998E-4</v>
      </c>
      <c r="L266">
        <v>-1634.88</v>
      </c>
      <c r="M266">
        <v>30000</v>
      </c>
      <c r="N266">
        <v>1</v>
      </c>
      <c r="O266">
        <v>29998</v>
      </c>
      <c r="P266">
        <v>-0.99443514899999996</v>
      </c>
      <c r="Q266">
        <v>-2.9408229600000002</v>
      </c>
      <c r="R266">
        <v>5.77E-3</v>
      </c>
      <c r="S266">
        <v>-2.9295063290000001</v>
      </c>
      <c r="T266">
        <v>-2.9521395909999999</v>
      </c>
      <c r="U266">
        <v>6.41E-5</v>
      </c>
      <c r="V266">
        <v>3.7E-7</v>
      </c>
      <c r="W266">
        <v>-0.99443442400000004</v>
      </c>
      <c r="X266">
        <v>-0.994435874</v>
      </c>
      <c r="Y266" t="s">
        <v>574</v>
      </c>
      <c r="Z266" t="s">
        <v>575</v>
      </c>
      <c r="AA266">
        <v>0</v>
      </c>
      <c r="AB266" t="s">
        <v>63</v>
      </c>
      <c r="AC266" t="s">
        <v>155</v>
      </c>
    </row>
    <row r="267" spans="1:29" x14ac:dyDescent="0.25">
      <c r="A267">
        <v>1927</v>
      </c>
      <c r="B267" t="s">
        <v>156</v>
      </c>
      <c r="C267" t="s">
        <v>106</v>
      </c>
      <c r="D267" t="s">
        <v>42</v>
      </c>
      <c r="E267" t="s">
        <v>570</v>
      </c>
      <c r="F267" t="s">
        <v>571</v>
      </c>
      <c r="G267">
        <v>30000</v>
      </c>
      <c r="H267" t="s">
        <v>572</v>
      </c>
      <c r="I267" t="s">
        <v>573</v>
      </c>
      <c r="J267">
        <v>-0.99399999999999999</v>
      </c>
      <c r="K267">
        <v>6.0559999999999998E-4</v>
      </c>
      <c r="L267">
        <v>-1634.88</v>
      </c>
      <c r="M267">
        <v>30000</v>
      </c>
      <c r="N267">
        <v>1</v>
      </c>
      <c r="O267">
        <v>29998</v>
      </c>
      <c r="P267">
        <v>-0.99443514899999996</v>
      </c>
      <c r="Q267">
        <v>-2.9408229600000002</v>
      </c>
      <c r="R267">
        <v>5.7737910000000003E-3</v>
      </c>
      <c r="S267">
        <v>-2.9295063290000001</v>
      </c>
      <c r="T267">
        <v>-2.9521395909999999</v>
      </c>
      <c r="U267">
        <v>6.41E-5</v>
      </c>
      <c r="V267">
        <v>3.7E-7</v>
      </c>
      <c r="W267">
        <v>-0.99443442400000004</v>
      </c>
      <c r="X267">
        <v>-0.994435874</v>
      </c>
      <c r="Y267" t="s">
        <v>574</v>
      </c>
      <c r="Z267" t="s">
        <v>575</v>
      </c>
      <c r="AA267">
        <v>0</v>
      </c>
      <c r="AB267" t="s">
        <v>63</v>
      </c>
      <c r="AC267" t="s">
        <v>155</v>
      </c>
    </row>
    <row r="268" spans="1:29" x14ac:dyDescent="0.25">
      <c r="A268">
        <v>1928</v>
      </c>
      <c r="B268" t="s">
        <v>156</v>
      </c>
      <c r="C268" t="s">
        <v>106</v>
      </c>
      <c r="D268" t="s">
        <v>42</v>
      </c>
      <c r="E268" t="s">
        <v>570</v>
      </c>
      <c r="F268" t="s">
        <v>571</v>
      </c>
      <c r="G268">
        <v>30000</v>
      </c>
      <c r="H268" t="s">
        <v>572</v>
      </c>
      <c r="I268" t="s">
        <v>573</v>
      </c>
      <c r="J268">
        <v>-0.99399999999999999</v>
      </c>
      <c r="K268">
        <v>6.0559999999999998E-4</v>
      </c>
      <c r="L268">
        <v>-1634.88</v>
      </c>
      <c r="M268">
        <v>30000</v>
      </c>
      <c r="N268">
        <v>1</v>
      </c>
      <c r="O268">
        <v>29998</v>
      </c>
      <c r="P268">
        <v>-0.99443514899999996</v>
      </c>
      <c r="Q268">
        <v>-2.9408229600000002</v>
      </c>
      <c r="R268">
        <v>5.77E-3</v>
      </c>
      <c r="S268">
        <v>-2.9295063290000001</v>
      </c>
      <c r="T268">
        <v>-2.9521395909999999</v>
      </c>
      <c r="U268">
        <v>6.41E-5</v>
      </c>
      <c r="V268">
        <v>3.7E-7</v>
      </c>
      <c r="W268">
        <v>-0.99443442400000004</v>
      </c>
      <c r="X268">
        <v>-0.994435874</v>
      </c>
      <c r="Y268" t="s">
        <v>574</v>
      </c>
      <c r="Z268" t="s">
        <v>575</v>
      </c>
      <c r="AA268">
        <v>0</v>
      </c>
      <c r="AB268" t="s">
        <v>63</v>
      </c>
      <c r="AC268" t="s">
        <v>155</v>
      </c>
    </row>
    <row r="269" spans="1:29" x14ac:dyDescent="0.25">
      <c r="A269">
        <v>1929</v>
      </c>
      <c r="B269" t="s">
        <v>156</v>
      </c>
      <c r="C269" t="s">
        <v>106</v>
      </c>
      <c r="D269" t="s">
        <v>42</v>
      </c>
      <c r="E269" t="s">
        <v>570</v>
      </c>
      <c r="F269" t="s">
        <v>571</v>
      </c>
      <c r="G269">
        <v>30000</v>
      </c>
      <c r="H269" t="s">
        <v>572</v>
      </c>
      <c r="I269" t="s">
        <v>573</v>
      </c>
      <c r="J269">
        <v>-0.99399999999999999</v>
      </c>
      <c r="K269">
        <v>6.0559999999999998E-4</v>
      </c>
      <c r="L269">
        <v>-1634.88</v>
      </c>
      <c r="M269">
        <v>30000</v>
      </c>
      <c r="N269">
        <v>1</v>
      </c>
      <c r="O269">
        <v>29998</v>
      </c>
      <c r="P269">
        <v>-0.99443514899999996</v>
      </c>
      <c r="Q269">
        <v>-2.9408229600000002</v>
      </c>
      <c r="R269">
        <v>5.7737910000000003E-3</v>
      </c>
      <c r="S269">
        <v>-2.9295063290000001</v>
      </c>
      <c r="T269">
        <v>-2.9521395909999999</v>
      </c>
      <c r="U269">
        <v>6.41E-5</v>
      </c>
      <c r="V269">
        <v>3.7E-7</v>
      </c>
      <c r="W269">
        <v>-0.99443442400000004</v>
      </c>
      <c r="X269">
        <v>-0.994435874</v>
      </c>
      <c r="Y269" t="s">
        <v>574</v>
      </c>
      <c r="Z269" t="s">
        <v>575</v>
      </c>
      <c r="AA269">
        <v>0</v>
      </c>
      <c r="AB269" t="s">
        <v>63</v>
      </c>
      <c r="AC269" t="s">
        <v>155</v>
      </c>
    </row>
    <row r="270" spans="1:29" x14ac:dyDescent="0.25">
      <c r="A270">
        <v>1930</v>
      </c>
      <c r="B270" t="s">
        <v>156</v>
      </c>
      <c r="C270" t="s">
        <v>106</v>
      </c>
      <c r="D270" t="s">
        <v>42</v>
      </c>
      <c r="E270" t="s">
        <v>570</v>
      </c>
      <c r="F270" t="s">
        <v>571</v>
      </c>
      <c r="G270">
        <v>30000</v>
      </c>
      <c r="H270" t="s">
        <v>572</v>
      </c>
      <c r="I270" t="s">
        <v>573</v>
      </c>
      <c r="J270">
        <v>-0.99399999999999999</v>
      </c>
      <c r="K270">
        <v>6.0559999999999998E-4</v>
      </c>
      <c r="L270">
        <v>-1634.88</v>
      </c>
      <c r="M270">
        <v>30000</v>
      </c>
      <c r="N270">
        <v>1</v>
      </c>
      <c r="O270">
        <v>29998</v>
      </c>
      <c r="P270">
        <v>-0.99443514899999996</v>
      </c>
      <c r="Q270">
        <v>-2.9408229600000002</v>
      </c>
      <c r="R270">
        <v>5.7737910000000003E-3</v>
      </c>
      <c r="S270">
        <v>-2.9295063290000001</v>
      </c>
      <c r="T270">
        <v>-2.9521395909999999</v>
      </c>
      <c r="U270">
        <v>6.41E-5</v>
      </c>
      <c r="V270">
        <v>3.7E-7</v>
      </c>
      <c r="W270">
        <v>-0.99443442400000004</v>
      </c>
      <c r="X270">
        <v>-0.994435874</v>
      </c>
      <c r="Y270" t="s">
        <v>574</v>
      </c>
      <c r="Z270" t="s">
        <v>575</v>
      </c>
      <c r="AA270">
        <v>0</v>
      </c>
      <c r="AB270" t="s">
        <v>63</v>
      </c>
      <c r="AC270" t="s">
        <v>155</v>
      </c>
    </row>
    <row r="271" spans="1:29" x14ac:dyDescent="0.25">
      <c r="A271">
        <v>1931</v>
      </c>
      <c r="B271" t="s">
        <v>156</v>
      </c>
      <c r="C271" t="s">
        <v>106</v>
      </c>
      <c r="D271" t="s">
        <v>42</v>
      </c>
      <c r="E271" t="s">
        <v>570</v>
      </c>
      <c r="F271" t="s">
        <v>571</v>
      </c>
      <c r="G271">
        <v>30000</v>
      </c>
      <c r="H271" t="s">
        <v>572</v>
      </c>
      <c r="I271" t="s">
        <v>573</v>
      </c>
      <c r="J271">
        <v>-0.99399999999999999</v>
      </c>
      <c r="K271">
        <v>6.0559999999999998E-4</v>
      </c>
      <c r="L271">
        <v>-1634.88</v>
      </c>
      <c r="M271">
        <v>30000</v>
      </c>
      <c r="N271">
        <v>1</v>
      </c>
      <c r="O271">
        <v>29998</v>
      </c>
      <c r="P271">
        <v>-0.99443514899999996</v>
      </c>
      <c r="Q271">
        <v>-2.9408229600000002</v>
      </c>
      <c r="R271">
        <v>5.7737910000000003E-3</v>
      </c>
      <c r="S271">
        <v>-2.9295063290000001</v>
      </c>
      <c r="T271">
        <v>-2.9521395909999999</v>
      </c>
      <c r="U271">
        <v>6.41E-5</v>
      </c>
      <c r="V271">
        <v>3.7E-7</v>
      </c>
      <c r="W271">
        <v>-0.99443442400000004</v>
      </c>
      <c r="X271">
        <v>-0.994435874</v>
      </c>
      <c r="Y271" t="s">
        <v>574</v>
      </c>
      <c r="Z271" t="s">
        <v>575</v>
      </c>
      <c r="AA271">
        <v>0</v>
      </c>
      <c r="AB271" t="s">
        <v>63</v>
      </c>
      <c r="AC271" t="s">
        <v>155</v>
      </c>
    </row>
    <row r="272" spans="1:29" x14ac:dyDescent="0.25">
      <c r="A272">
        <v>1932</v>
      </c>
      <c r="B272" t="s">
        <v>156</v>
      </c>
      <c r="C272" t="s">
        <v>106</v>
      </c>
      <c r="D272" t="s">
        <v>42</v>
      </c>
      <c r="E272" t="s">
        <v>570</v>
      </c>
      <c r="F272" t="s">
        <v>571</v>
      </c>
      <c r="G272">
        <v>30000</v>
      </c>
      <c r="H272" t="s">
        <v>572</v>
      </c>
      <c r="I272" t="s">
        <v>573</v>
      </c>
      <c r="J272">
        <v>-0.99399999999999999</v>
      </c>
      <c r="K272">
        <v>6.0559999999999998E-4</v>
      </c>
      <c r="L272">
        <v>-1634.88</v>
      </c>
      <c r="M272">
        <v>30000</v>
      </c>
      <c r="N272">
        <v>1</v>
      </c>
      <c r="O272">
        <v>29998</v>
      </c>
      <c r="P272">
        <v>-0.99443514899999996</v>
      </c>
      <c r="Q272">
        <v>-2.9408229600000002</v>
      </c>
      <c r="R272">
        <v>5.7737910000000003E-3</v>
      </c>
      <c r="S272">
        <v>-2.9295063290000001</v>
      </c>
      <c r="T272">
        <v>-2.9521395909999999</v>
      </c>
      <c r="U272">
        <v>6.41E-5</v>
      </c>
      <c r="V272">
        <v>3.7E-7</v>
      </c>
      <c r="W272">
        <v>-0.99443442400000004</v>
      </c>
      <c r="X272">
        <v>-0.994435874</v>
      </c>
      <c r="Y272" t="s">
        <v>574</v>
      </c>
      <c r="Z272" t="s">
        <v>575</v>
      </c>
      <c r="AA272">
        <v>0</v>
      </c>
      <c r="AB272" t="s">
        <v>63</v>
      </c>
      <c r="AC272" t="s">
        <v>155</v>
      </c>
    </row>
    <row r="273" spans="1:29" x14ac:dyDescent="0.25">
      <c r="A273">
        <v>1933</v>
      </c>
      <c r="B273" t="s">
        <v>156</v>
      </c>
      <c r="C273" t="s">
        <v>106</v>
      </c>
      <c r="D273" t="s">
        <v>42</v>
      </c>
      <c r="E273" t="s">
        <v>570</v>
      </c>
      <c r="F273" t="s">
        <v>571</v>
      </c>
      <c r="G273">
        <v>30000</v>
      </c>
      <c r="H273" t="s">
        <v>572</v>
      </c>
      <c r="I273" t="s">
        <v>573</v>
      </c>
      <c r="J273">
        <v>-0.99399999999999999</v>
      </c>
      <c r="K273">
        <v>6.0559999999999998E-4</v>
      </c>
      <c r="L273">
        <v>-1634.88</v>
      </c>
      <c r="M273">
        <v>30000</v>
      </c>
      <c r="N273">
        <v>1</v>
      </c>
      <c r="O273">
        <v>29998</v>
      </c>
      <c r="P273">
        <v>-0.99443514899999996</v>
      </c>
      <c r="Q273">
        <v>-2.9408229600000002</v>
      </c>
      <c r="R273">
        <v>5.7737910000000003E-3</v>
      </c>
      <c r="S273">
        <v>-2.9295063290000001</v>
      </c>
      <c r="T273">
        <v>-2.9521395909999999</v>
      </c>
      <c r="U273">
        <v>6.41E-5</v>
      </c>
      <c r="V273">
        <v>3.7E-7</v>
      </c>
      <c r="W273">
        <v>-0.99443442400000004</v>
      </c>
      <c r="X273">
        <v>-0.994435874</v>
      </c>
      <c r="Y273" t="s">
        <v>574</v>
      </c>
      <c r="Z273" t="s">
        <v>575</v>
      </c>
      <c r="AA273">
        <v>0</v>
      </c>
      <c r="AB273" t="s">
        <v>63</v>
      </c>
      <c r="AC273" t="s">
        <v>155</v>
      </c>
    </row>
    <row r="274" spans="1:29" x14ac:dyDescent="0.25">
      <c r="A274">
        <v>1934</v>
      </c>
      <c r="B274" t="s">
        <v>156</v>
      </c>
      <c r="C274" t="s">
        <v>106</v>
      </c>
      <c r="D274" t="s">
        <v>42</v>
      </c>
      <c r="E274" t="s">
        <v>570</v>
      </c>
      <c r="F274" t="s">
        <v>571</v>
      </c>
      <c r="G274">
        <v>30000</v>
      </c>
      <c r="H274" t="s">
        <v>572</v>
      </c>
      <c r="I274" t="s">
        <v>573</v>
      </c>
      <c r="J274">
        <v>-0.99399999999999999</v>
      </c>
      <c r="K274">
        <v>6.0559999999999998E-4</v>
      </c>
      <c r="L274">
        <v>-1634.88</v>
      </c>
      <c r="M274">
        <v>30000</v>
      </c>
      <c r="N274">
        <v>1</v>
      </c>
      <c r="O274">
        <v>29998</v>
      </c>
      <c r="P274">
        <v>-0.99443514899999996</v>
      </c>
      <c r="Q274">
        <v>-2.9408229600000002</v>
      </c>
      <c r="R274">
        <v>5.7737910000000003E-3</v>
      </c>
      <c r="S274">
        <v>-2.9295063290000001</v>
      </c>
      <c r="T274">
        <v>-2.9521395909999999</v>
      </c>
      <c r="U274">
        <v>6.41E-5</v>
      </c>
      <c r="V274">
        <v>3.7E-7</v>
      </c>
      <c r="W274">
        <v>-0.99443442400000004</v>
      </c>
      <c r="X274">
        <v>-0.994435874</v>
      </c>
      <c r="Y274" t="s">
        <v>574</v>
      </c>
      <c r="Z274" t="s">
        <v>575</v>
      </c>
      <c r="AA274">
        <v>0</v>
      </c>
      <c r="AB274" t="s">
        <v>63</v>
      </c>
      <c r="AC274" t="s">
        <v>155</v>
      </c>
    </row>
    <row r="275" spans="1:29" x14ac:dyDescent="0.25">
      <c r="A275">
        <v>1935</v>
      </c>
      <c r="B275" t="s">
        <v>156</v>
      </c>
      <c r="C275" t="s">
        <v>106</v>
      </c>
      <c r="D275" t="s">
        <v>42</v>
      </c>
      <c r="E275" t="s">
        <v>570</v>
      </c>
      <c r="F275" t="s">
        <v>571</v>
      </c>
      <c r="G275">
        <v>30000</v>
      </c>
      <c r="H275" t="s">
        <v>572</v>
      </c>
      <c r="I275" t="s">
        <v>573</v>
      </c>
      <c r="J275">
        <v>-0.99399999999999999</v>
      </c>
      <c r="K275">
        <v>6.0559999999999998E-4</v>
      </c>
      <c r="L275">
        <v>-1634.88</v>
      </c>
      <c r="M275">
        <v>30000</v>
      </c>
      <c r="N275">
        <v>1</v>
      </c>
      <c r="O275">
        <v>29998</v>
      </c>
      <c r="P275">
        <v>-0.99443514899999996</v>
      </c>
      <c r="Q275">
        <v>-2.9408229600000002</v>
      </c>
      <c r="R275">
        <v>5.7737910000000003E-3</v>
      </c>
      <c r="S275">
        <v>-2.9295063290000001</v>
      </c>
      <c r="T275">
        <v>-2.9521395909999999</v>
      </c>
      <c r="U275">
        <v>6.41E-5</v>
      </c>
      <c r="V275">
        <v>3.7E-7</v>
      </c>
      <c r="W275">
        <v>-0.99443442400000004</v>
      </c>
      <c r="X275">
        <v>-0.994435874</v>
      </c>
      <c r="Y275" t="s">
        <v>574</v>
      </c>
      <c r="Z275" t="s">
        <v>575</v>
      </c>
      <c r="AA275">
        <v>0</v>
      </c>
      <c r="AB275" t="s">
        <v>63</v>
      </c>
      <c r="AC275" t="s">
        <v>155</v>
      </c>
    </row>
    <row r="276" spans="1:29" x14ac:dyDescent="0.25">
      <c r="A276">
        <v>1936</v>
      </c>
      <c r="B276" t="s">
        <v>156</v>
      </c>
      <c r="C276" t="s">
        <v>106</v>
      </c>
      <c r="D276" t="s">
        <v>42</v>
      </c>
      <c r="E276" t="s">
        <v>570</v>
      </c>
      <c r="F276" t="s">
        <v>571</v>
      </c>
      <c r="G276">
        <v>30000</v>
      </c>
      <c r="H276" t="s">
        <v>572</v>
      </c>
      <c r="I276" t="s">
        <v>573</v>
      </c>
      <c r="J276">
        <v>-0.99399999999999999</v>
      </c>
      <c r="K276">
        <v>6.0559999999999998E-4</v>
      </c>
      <c r="L276">
        <v>-1634.88</v>
      </c>
      <c r="M276">
        <v>30000</v>
      </c>
      <c r="N276">
        <v>1</v>
      </c>
      <c r="O276">
        <v>29998</v>
      </c>
      <c r="P276">
        <v>-0.99443514899999996</v>
      </c>
      <c r="Q276">
        <v>-2.9408229600000002</v>
      </c>
      <c r="R276">
        <v>5.7737910000000003E-3</v>
      </c>
      <c r="S276">
        <v>-2.9295063290000001</v>
      </c>
      <c r="T276">
        <v>-2.9521395909999999</v>
      </c>
      <c r="U276">
        <v>6.41E-5</v>
      </c>
      <c r="V276">
        <v>3.7E-7</v>
      </c>
      <c r="W276">
        <v>-0.99443442400000004</v>
      </c>
      <c r="X276">
        <v>-0.994435874</v>
      </c>
      <c r="Y276" t="s">
        <v>574</v>
      </c>
      <c r="Z276" t="s">
        <v>575</v>
      </c>
      <c r="AA276">
        <v>0</v>
      </c>
      <c r="AB276" t="s">
        <v>63</v>
      </c>
      <c r="AC276" t="s">
        <v>155</v>
      </c>
    </row>
    <row r="277" spans="1:29" x14ac:dyDescent="0.25">
      <c r="A277">
        <v>1937</v>
      </c>
      <c r="B277" t="s">
        <v>156</v>
      </c>
      <c r="C277" t="s">
        <v>106</v>
      </c>
      <c r="D277" t="s">
        <v>42</v>
      </c>
      <c r="E277" t="s">
        <v>570</v>
      </c>
      <c r="F277" t="s">
        <v>571</v>
      </c>
      <c r="G277">
        <v>30000</v>
      </c>
      <c r="H277" t="s">
        <v>572</v>
      </c>
      <c r="I277" t="s">
        <v>573</v>
      </c>
      <c r="J277">
        <v>-0.99399999999999999</v>
      </c>
      <c r="K277">
        <v>6.0559999999999998E-4</v>
      </c>
      <c r="L277">
        <v>-1634.88</v>
      </c>
      <c r="M277">
        <v>30000</v>
      </c>
      <c r="N277">
        <v>1</v>
      </c>
      <c r="O277">
        <v>29998</v>
      </c>
      <c r="P277">
        <v>-0.99443514899999996</v>
      </c>
      <c r="Q277">
        <v>-2.9408229600000002</v>
      </c>
      <c r="R277">
        <v>5.7737910000000003E-3</v>
      </c>
      <c r="S277">
        <v>-2.9295063290000001</v>
      </c>
      <c r="T277">
        <v>-2.9521395909999999</v>
      </c>
      <c r="U277">
        <v>6.41E-5</v>
      </c>
      <c r="V277">
        <v>3.7E-7</v>
      </c>
      <c r="W277">
        <v>-0.99443442400000004</v>
      </c>
      <c r="X277">
        <v>-0.994435874</v>
      </c>
      <c r="Y277" t="s">
        <v>574</v>
      </c>
      <c r="Z277" t="s">
        <v>575</v>
      </c>
      <c r="AA277">
        <v>0</v>
      </c>
      <c r="AB277" t="s">
        <v>63</v>
      </c>
      <c r="AC277" t="s">
        <v>155</v>
      </c>
    </row>
    <row r="278" spans="1:29" x14ac:dyDescent="0.25">
      <c r="A278">
        <v>1938</v>
      </c>
      <c r="B278" t="s">
        <v>156</v>
      </c>
      <c r="C278" t="s">
        <v>106</v>
      </c>
      <c r="D278" t="s">
        <v>42</v>
      </c>
      <c r="E278" t="s">
        <v>570</v>
      </c>
      <c r="F278" t="s">
        <v>571</v>
      </c>
      <c r="G278">
        <v>30000</v>
      </c>
      <c r="H278" t="s">
        <v>572</v>
      </c>
      <c r="I278" t="s">
        <v>573</v>
      </c>
      <c r="J278">
        <v>-0.99399999999999999</v>
      </c>
      <c r="K278">
        <v>6.0559999999999998E-4</v>
      </c>
      <c r="L278">
        <v>-1634.88</v>
      </c>
      <c r="M278">
        <v>30000</v>
      </c>
      <c r="N278">
        <v>1</v>
      </c>
      <c r="O278">
        <v>29998</v>
      </c>
      <c r="P278">
        <v>-0.99443514899999996</v>
      </c>
      <c r="Q278">
        <v>-2.9408229600000002</v>
      </c>
      <c r="R278">
        <v>5.7737910000000003E-3</v>
      </c>
      <c r="S278">
        <v>-2.9295063290000001</v>
      </c>
      <c r="T278">
        <v>-2.9521395909999999</v>
      </c>
      <c r="U278">
        <v>6.41E-5</v>
      </c>
      <c r="V278">
        <v>3.7E-7</v>
      </c>
      <c r="W278">
        <v>-0.99443442400000004</v>
      </c>
      <c r="X278">
        <v>-0.994435874</v>
      </c>
      <c r="Y278" t="s">
        <v>574</v>
      </c>
      <c r="Z278" t="s">
        <v>575</v>
      </c>
      <c r="AA278">
        <v>0</v>
      </c>
      <c r="AB278" t="s">
        <v>63</v>
      </c>
      <c r="AC278" t="s">
        <v>155</v>
      </c>
    </row>
    <row r="279" spans="1:29" x14ac:dyDescent="0.25">
      <c r="A279">
        <v>1939</v>
      </c>
      <c r="B279" t="s">
        <v>156</v>
      </c>
      <c r="C279" t="s">
        <v>106</v>
      </c>
      <c r="D279" t="s">
        <v>42</v>
      </c>
      <c r="E279" t="s">
        <v>570</v>
      </c>
      <c r="F279" t="s">
        <v>571</v>
      </c>
      <c r="G279">
        <v>30000</v>
      </c>
      <c r="H279" t="s">
        <v>572</v>
      </c>
      <c r="I279" t="s">
        <v>573</v>
      </c>
      <c r="J279">
        <v>-0.99399999999999999</v>
      </c>
      <c r="K279">
        <v>6.0559999999999998E-4</v>
      </c>
      <c r="L279">
        <v>-1634.88</v>
      </c>
      <c r="M279">
        <v>30000</v>
      </c>
      <c r="N279">
        <v>1</v>
      </c>
      <c r="O279">
        <v>29998</v>
      </c>
      <c r="P279">
        <v>-0.99443514899999996</v>
      </c>
      <c r="Q279">
        <v>-2.9408229600000002</v>
      </c>
      <c r="R279">
        <v>5.7737910000000003E-3</v>
      </c>
      <c r="S279">
        <v>-2.9295063290000001</v>
      </c>
      <c r="T279">
        <v>-2.9521395909999999</v>
      </c>
      <c r="U279">
        <v>6.41E-5</v>
      </c>
      <c r="V279">
        <v>3.7E-7</v>
      </c>
      <c r="W279">
        <v>-0.99443442400000004</v>
      </c>
      <c r="X279">
        <v>-0.994435874</v>
      </c>
      <c r="Y279" t="s">
        <v>574</v>
      </c>
      <c r="Z279" t="s">
        <v>575</v>
      </c>
      <c r="AA279">
        <v>0</v>
      </c>
      <c r="AB279" t="s">
        <v>63</v>
      </c>
      <c r="AC279" t="s">
        <v>155</v>
      </c>
    </row>
    <row r="280" spans="1:29" x14ac:dyDescent="0.25">
      <c r="A280">
        <v>1940</v>
      </c>
      <c r="B280" t="s">
        <v>156</v>
      </c>
      <c r="C280" t="s">
        <v>106</v>
      </c>
      <c r="D280" t="s">
        <v>42</v>
      </c>
      <c r="E280" t="s">
        <v>570</v>
      </c>
      <c r="F280" t="s">
        <v>571</v>
      </c>
      <c r="G280">
        <v>30000</v>
      </c>
      <c r="H280" t="s">
        <v>572</v>
      </c>
      <c r="I280" t="s">
        <v>573</v>
      </c>
      <c r="J280">
        <v>-0.99399999999999999</v>
      </c>
      <c r="K280">
        <v>6.0559999999999998E-4</v>
      </c>
      <c r="L280">
        <v>-1634.88</v>
      </c>
      <c r="M280">
        <v>30000</v>
      </c>
      <c r="N280">
        <v>1</v>
      </c>
      <c r="O280">
        <v>29998</v>
      </c>
      <c r="P280">
        <v>-0.99443514899999996</v>
      </c>
      <c r="Q280">
        <v>-2.9408229600000002</v>
      </c>
      <c r="R280">
        <v>5.77E-3</v>
      </c>
      <c r="S280">
        <v>-2.9295063290000001</v>
      </c>
      <c r="T280">
        <v>-2.9521395909999999</v>
      </c>
      <c r="U280">
        <v>6.41E-5</v>
      </c>
      <c r="V280">
        <v>3.7E-7</v>
      </c>
      <c r="W280">
        <v>-0.99443442400000004</v>
      </c>
      <c r="X280">
        <v>-0.994435874</v>
      </c>
      <c r="Y280" t="s">
        <v>574</v>
      </c>
      <c r="Z280" t="s">
        <v>575</v>
      </c>
      <c r="AA280">
        <v>0</v>
      </c>
      <c r="AB280" t="s">
        <v>63</v>
      </c>
      <c r="AC280" t="s">
        <v>155</v>
      </c>
    </row>
    <row r="281" spans="1:29" x14ac:dyDescent="0.25">
      <c r="A281">
        <v>1941</v>
      </c>
      <c r="B281" t="s">
        <v>156</v>
      </c>
      <c r="C281" t="s">
        <v>106</v>
      </c>
      <c r="D281" t="s">
        <v>42</v>
      </c>
      <c r="E281" t="s">
        <v>570</v>
      </c>
      <c r="F281" t="s">
        <v>571</v>
      </c>
      <c r="G281">
        <v>30000</v>
      </c>
      <c r="H281" t="s">
        <v>572</v>
      </c>
      <c r="I281" t="s">
        <v>573</v>
      </c>
      <c r="J281">
        <v>-0.99399999999999999</v>
      </c>
      <c r="K281">
        <v>6.0559999999999998E-4</v>
      </c>
      <c r="L281">
        <v>-1634.88</v>
      </c>
      <c r="M281">
        <v>30000</v>
      </c>
      <c r="N281">
        <v>1</v>
      </c>
      <c r="O281">
        <v>29998</v>
      </c>
      <c r="P281">
        <v>-0.99443514899999996</v>
      </c>
      <c r="Q281">
        <v>-2.9408229600000002</v>
      </c>
      <c r="R281">
        <v>5.7737910000000003E-3</v>
      </c>
      <c r="S281">
        <v>-2.9295063290000001</v>
      </c>
      <c r="T281">
        <v>-2.9521395909999999</v>
      </c>
      <c r="U281">
        <v>6.41E-5</v>
      </c>
      <c r="V281">
        <v>3.7E-7</v>
      </c>
      <c r="W281">
        <v>-0.99443442400000004</v>
      </c>
      <c r="X281">
        <v>-0.994435874</v>
      </c>
      <c r="Y281" t="s">
        <v>574</v>
      </c>
      <c r="Z281" t="s">
        <v>575</v>
      </c>
      <c r="AA281">
        <v>0</v>
      </c>
      <c r="AB281" t="s">
        <v>63</v>
      </c>
      <c r="AC281" t="s">
        <v>155</v>
      </c>
    </row>
    <row r="282" spans="1:29" x14ac:dyDescent="0.25">
      <c r="A282">
        <v>1942</v>
      </c>
      <c r="B282" t="s">
        <v>156</v>
      </c>
      <c r="C282" t="s">
        <v>106</v>
      </c>
      <c r="D282" t="s">
        <v>42</v>
      </c>
      <c r="E282" t="s">
        <v>570</v>
      </c>
      <c r="F282" t="s">
        <v>571</v>
      </c>
      <c r="G282">
        <v>30000</v>
      </c>
      <c r="H282" t="s">
        <v>572</v>
      </c>
      <c r="I282" t="s">
        <v>573</v>
      </c>
      <c r="J282">
        <v>-0.99399999999999999</v>
      </c>
      <c r="K282">
        <v>6.0559999999999998E-4</v>
      </c>
      <c r="L282">
        <v>-1634.88</v>
      </c>
      <c r="M282">
        <v>30000</v>
      </c>
      <c r="N282">
        <v>1</v>
      </c>
      <c r="O282">
        <v>29998</v>
      </c>
      <c r="P282">
        <v>-0.99399999999999999</v>
      </c>
      <c r="Q282">
        <v>-2.94</v>
      </c>
      <c r="R282">
        <v>5.7737910000000003E-3</v>
      </c>
      <c r="S282">
        <v>-2.9295063290000001</v>
      </c>
      <c r="T282">
        <v>-2.9521395909999999</v>
      </c>
      <c r="U282">
        <v>6.41E-5</v>
      </c>
      <c r="V282">
        <v>3.7E-7</v>
      </c>
      <c r="W282">
        <v>-0.99399999999999999</v>
      </c>
      <c r="X282">
        <v>-0.99399999999999999</v>
      </c>
      <c r="Y282" t="s">
        <v>574</v>
      </c>
      <c r="Z282" t="s">
        <v>575</v>
      </c>
      <c r="AA282">
        <v>0</v>
      </c>
      <c r="AB282" t="s">
        <v>63</v>
      </c>
      <c r="AC282" t="s">
        <v>155</v>
      </c>
    </row>
    <row r="283" spans="1:29" x14ac:dyDescent="0.25">
      <c r="A283">
        <v>1943</v>
      </c>
      <c r="B283" t="s">
        <v>156</v>
      </c>
      <c r="C283" t="s">
        <v>106</v>
      </c>
      <c r="D283" t="s">
        <v>42</v>
      </c>
      <c r="E283" t="s">
        <v>570</v>
      </c>
      <c r="F283" t="s">
        <v>571</v>
      </c>
      <c r="G283">
        <v>30000</v>
      </c>
      <c r="H283" t="s">
        <v>572</v>
      </c>
      <c r="I283" t="s">
        <v>573</v>
      </c>
      <c r="J283">
        <v>0</v>
      </c>
      <c r="K283">
        <v>0</v>
      </c>
      <c r="L283">
        <v>0</v>
      </c>
      <c r="M283">
        <v>30000</v>
      </c>
      <c r="N283">
        <v>1</v>
      </c>
      <c r="O283">
        <v>29998</v>
      </c>
      <c r="P283">
        <v>0</v>
      </c>
      <c r="Q283">
        <v>0</v>
      </c>
      <c r="R283">
        <v>5.77E-3</v>
      </c>
      <c r="S283">
        <v>1.1316631000000001E-2</v>
      </c>
      <c r="T283">
        <v>-1.1316631000000001E-2</v>
      </c>
      <c r="U283">
        <v>5.77E-3</v>
      </c>
      <c r="V283">
        <v>3.3300000000000003E-5</v>
      </c>
      <c r="W283">
        <v>6.5300000000000002E-5</v>
      </c>
      <c r="X283">
        <v>-6.5300000000000002E-5</v>
      </c>
      <c r="Y283" t="s">
        <v>576</v>
      </c>
      <c r="Z283" t="s">
        <v>575</v>
      </c>
      <c r="AA283">
        <v>0</v>
      </c>
      <c r="AB283" t="s">
        <v>63</v>
      </c>
      <c r="AC283" t="s">
        <v>155</v>
      </c>
    </row>
    <row r="284" spans="1:29" x14ac:dyDescent="0.25">
      <c r="A284">
        <v>1971</v>
      </c>
      <c r="B284" t="s">
        <v>156</v>
      </c>
      <c r="C284" t="s">
        <v>107</v>
      </c>
      <c r="D284" t="s">
        <v>42</v>
      </c>
      <c r="E284" t="s">
        <v>577</v>
      </c>
      <c r="F284" t="s">
        <v>578</v>
      </c>
      <c r="G284">
        <v>1330</v>
      </c>
      <c r="H284" t="s">
        <v>513</v>
      </c>
      <c r="I284" t="s">
        <v>513</v>
      </c>
      <c r="J284">
        <v>1.456832138</v>
      </c>
      <c r="K284">
        <v>3.7867702620000001</v>
      </c>
      <c r="L284">
        <v>0.38471627200000003</v>
      </c>
      <c r="M284">
        <v>1330</v>
      </c>
      <c r="N284">
        <v>8</v>
      </c>
      <c r="O284">
        <v>1321</v>
      </c>
      <c r="P284">
        <v>1.0584365E-2</v>
      </c>
      <c r="Q284">
        <v>1.0584761E-2</v>
      </c>
      <c r="R284">
        <v>2.7451402999999999E-2</v>
      </c>
      <c r="S284">
        <v>6.4389509999999997E-2</v>
      </c>
      <c r="T284">
        <v>-4.3219988000000001E-2</v>
      </c>
      <c r="U284">
        <v>2.7427666E-2</v>
      </c>
      <c r="V284">
        <v>7.5199999999999996E-4</v>
      </c>
      <c r="W284">
        <v>1.2058439000000001E-2</v>
      </c>
      <c r="X284">
        <v>9.1102920000000007E-3</v>
      </c>
      <c r="Y284" t="s">
        <v>579</v>
      </c>
      <c r="Z284" t="s">
        <v>569</v>
      </c>
      <c r="AA284">
        <v>1</v>
      </c>
      <c r="AB284" t="s">
        <v>57</v>
      </c>
      <c r="AC284" t="s">
        <v>155</v>
      </c>
    </row>
    <row r="285" spans="1:29" x14ac:dyDescent="0.25">
      <c r="A285">
        <v>2000</v>
      </c>
      <c r="B285" t="s">
        <v>156</v>
      </c>
      <c r="C285" t="s">
        <v>108</v>
      </c>
      <c r="D285" t="s">
        <v>42</v>
      </c>
      <c r="E285" t="s">
        <v>577</v>
      </c>
      <c r="F285" t="s">
        <v>580</v>
      </c>
      <c r="G285">
        <v>5105</v>
      </c>
      <c r="H285" t="s">
        <v>513</v>
      </c>
      <c r="I285" t="s">
        <v>513</v>
      </c>
      <c r="J285">
        <v>-5.0000000000000001E-3</v>
      </c>
      <c r="K285">
        <v>1.5E-3</v>
      </c>
      <c r="L285">
        <v>-3.3333333330000001</v>
      </c>
      <c r="M285">
        <v>5105</v>
      </c>
      <c r="N285">
        <v>14</v>
      </c>
      <c r="O285">
        <v>5090</v>
      </c>
      <c r="P285">
        <v>-4.6670918999999998E-2</v>
      </c>
      <c r="Q285">
        <v>-4.6704849E-2</v>
      </c>
      <c r="R285">
        <v>1.4E-2</v>
      </c>
      <c r="S285">
        <v>-1.9264738999999999E-2</v>
      </c>
      <c r="T285">
        <v>-7.4144958999999996E-2</v>
      </c>
      <c r="U285">
        <v>1.4E-2</v>
      </c>
      <c r="V285">
        <v>1.95E-4</v>
      </c>
      <c r="W285">
        <v>-4.6287781E-2</v>
      </c>
      <c r="X285">
        <v>-4.7054058000000003E-2</v>
      </c>
      <c r="Y285" t="s">
        <v>581</v>
      </c>
      <c r="Z285" t="s">
        <v>582</v>
      </c>
      <c r="AA285">
        <v>1</v>
      </c>
      <c r="AB285" t="s">
        <v>57</v>
      </c>
      <c r="AC285" t="s">
        <v>155</v>
      </c>
    </row>
    <row r="286" spans="1:29" x14ac:dyDescent="0.25">
      <c r="A286">
        <v>2006</v>
      </c>
      <c r="B286" t="s">
        <v>156</v>
      </c>
      <c r="C286" t="s">
        <v>108</v>
      </c>
      <c r="D286" t="s">
        <v>42</v>
      </c>
      <c r="E286" t="s">
        <v>577</v>
      </c>
      <c r="F286" t="s">
        <v>580</v>
      </c>
      <c r="G286">
        <v>5719</v>
      </c>
      <c r="H286" t="s">
        <v>513</v>
      </c>
      <c r="I286" t="s">
        <v>513</v>
      </c>
      <c r="J286">
        <v>-2E-3</v>
      </c>
      <c r="K286">
        <v>1.1000000000000001E-3</v>
      </c>
      <c r="L286">
        <v>-1.818181818</v>
      </c>
      <c r="M286">
        <v>5719</v>
      </c>
      <c r="N286">
        <v>14</v>
      </c>
      <c r="O286">
        <v>5704</v>
      </c>
      <c r="P286">
        <v>-2.4066988000000001E-2</v>
      </c>
      <c r="Q286">
        <v>-2.4071636E-2</v>
      </c>
      <c r="R286">
        <v>1.3226773000000001E-2</v>
      </c>
      <c r="S286">
        <v>1.8528380000000001E-3</v>
      </c>
      <c r="T286">
        <v>-4.9996111000000003E-2</v>
      </c>
      <c r="U286">
        <v>1.3216799E-2</v>
      </c>
      <c r="V286">
        <v>1.75E-4</v>
      </c>
      <c r="W286">
        <v>-2.3724439E-2</v>
      </c>
      <c r="X286">
        <v>-2.4409536999999999E-2</v>
      </c>
      <c r="Y286" t="s">
        <v>583</v>
      </c>
      <c r="Z286" t="s">
        <v>582</v>
      </c>
      <c r="AA286">
        <v>1</v>
      </c>
      <c r="AB286" t="s">
        <v>57</v>
      </c>
      <c r="AC286" t="s">
        <v>155</v>
      </c>
    </row>
    <row r="287" spans="1:29" x14ac:dyDescent="0.25">
      <c r="A287" t="s">
        <v>584</v>
      </c>
      <c r="B287" t="s">
        <v>156</v>
      </c>
      <c r="C287" t="s">
        <v>107</v>
      </c>
      <c r="D287" t="s">
        <v>42</v>
      </c>
      <c r="E287" t="s">
        <v>577</v>
      </c>
      <c r="F287" t="s">
        <v>580</v>
      </c>
      <c r="G287">
        <v>166106</v>
      </c>
      <c r="H287" t="s">
        <v>513</v>
      </c>
      <c r="I287" t="s">
        <v>585</v>
      </c>
      <c r="J287">
        <v>0.13600000000000001</v>
      </c>
      <c r="K287">
        <v>5.8999999999999997E-2</v>
      </c>
      <c r="L287">
        <v>2.3050847459999999</v>
      </c>
      <c r="M287">
        <v>166106</v>
      </c>
      <c r="N287">
        <v>36</v>
      </c>
      <c r="O287">
        <v>166069</v>
      </c>
      <c r="P287">
        <v>5.656342E-3</v>
      </c>
      <c r="Q287">
        <v>5.6564019999999996E-3</v>
      </c>
      <c r="R287">
        <v>2.4536419999999998E-3</v>
      </c>
      <c r="S287">
        <v>1.0465541E-2</v>
      </c>
      <c r="T287">
        <v>8.4726300000000001E-4</v>
      </c>
      <c r="U287">
        <v>2.4535490000000002E-3</v>
      </c>
      <c r="V287">
        <v>6.02E-6</v>
      </c>
      <c r="W287">
        <v>5.6681409999999998E-3</v>
      </c>
      <c r="X287">
        <v>5.6445430000000001E-3</v>
      </c>
      <c r="Y287" t="s">
        <v>586</v>
      </c>
      <c r="Z287" t="s">
        <v>587</v>
      </c>
      <c r="AA287">
        <v>1</v>
      </c>
      <c r="AB287" t="s">
        <v>57</v>
      </c>
      <c r="AC287" t="s">
        <v>155</v>
      </c>
    </row>
    <row r="288" spans="1:29" x14ac:dyDescent="0.25">
      <c r="A288" t="s">
        <v>588</v>
      </c>
      <c r="B288" t="s">
        <v>156</v>
      </c>
      <c r="C288" t="s">
        <v>107</v>
      </c>
      <c r="D288" t="s">
        <v>42</v>
      </c>
      <c r="E288" t="s">
        <v>577</v>
      </c>
      <c r="F288" t="s">
        <v>580</v>
      </c>
      <c r="G288">
        <v>1282</v>
      </c>
      <c r="H288" t="s">
        <v>513</v>
      </c>
      <c r="I288" t="s">
        <v>589</v>
      </c>
      <c r="J288">
        <v>1.2500000000000001E-2</v>
      </c>
      <c r="K288">
        <v>1.6556291000000001E-2</v>
      </c>
      <c r="L288">
        <v>0.755</v>
      </c>
      <c r="M288">
        <v>1282</v>
      </c>
      <c r="N288">
        <v>36</v>
      </c>
      <c r="O288">
        <v>1245</v>
      </c>
      <c r="P288">
        <v>2.1392565999999998E-2</v>
      </c>
      <c r="Q288">
        <v>2.1395830000000001E-2</v>
      </c>
      <c r="R288">
        <v>2.7961773999999998E-2</v>
      </c>
      <c r="S288">
        <v>7.6200907999999998E-2</v>
      </c>
      <c r="T288">
        <v>-3.3409248000000002E-2</v>
      </c>
      <c r="U288">
        <v>2.7927151000000001E-2</v>
      </c>
      <c r="V288">
        <v>7.7999999999999999E-4</v>
      </c>
      <c r="W288">
        <v>2.2921324E-2</v>
      </c>
      <c r="X288">
        <v>1.9863808E-2</v>
      </c>
      <c r="Y288" t="s">
        <v>590</v>
      </c>
      <c r="Z288" t="s">
        <v>591</v>
      </c>
      <c r="AA288">
        <v>1</v>
      </c>
      <c r="AB288" t="s">
        <v>57</v>
      </c>
      <c r="AC288" t="s">
        <v>155</v>
      </c>
    </row>
    <row r="289" spans="1:29" x14ac:dyDescent="0.25">
      <c r="A289" t="s">
        <v>592</v>
      </c>
      <c r="B289" t="s">
        <v>156</v>
      </c>
      <c r="C289" t="s">
        <v>107</v>
      </c>
      <c r="D289" t="s">
        <v>42</v>
      </c>
      <c r="E289" t="s">
        <v>577</v>
      </c>
      <c r="F289" t="s">
        <v>578</v>
      </c>
      <c r="G289">
        <v>62057</v>
      </c>
      <c r="H289" t="s">
        <v>513</v>
      </c>
      <c r="I289" t="s">
        <v>593</v>
      </c>
      <c r="J289">
        <v>-3.0000000000000001E-3</v>
      </c>
      <c r="K289">
        <v>7.0000000000000001E-3</v>
      </c>
      <c r="L289">
        <v>-0.428571429</v>
      </c>
      <c r="M289">
        <v>62057</v>
      </c>
      <c r="N289">
        <v>66</v>
      </c>
      <c r="O289">
        <v>61990</v>
      </c>
      <c r="P289">
        <v>-1.721321E-3</v>
      </c>
      <c r="Q289">
        <v>-1.721322E-3</v>
      </c>
      <c r="R289">
        <v>4.0143490000000004E-3</v>
      </c>
      <c r="S289">
        <v>6.1468010000000003E-3</v>
      </c>
      <c r="T289">
        <v>-9.5894459999999997E-3</v>
      </c>
      <c r="U289">
        <v>4.0142720000000002E-3</v>
      </c>
      <c r="V289">
        <v>1.6099999999999998E-5</v>
      </c>
      <c r="W289">
        <v>-1.689737E-3</v>
      </c>
      <c r="X289">
        <v>-1.7529049999999999E-3</v>
      </c>
      <c r="Y289" t="s">
        <v>594</v>
      </c>
      <c r="Z289" t="s">
        <v>595</v>
      </c>
      <c r="AA289">
        <v>1</v>
      </c>
      <c r="AB289" t="s">
        <v>57</v>
      </c>
      <c r="AC289" t="s">
        <v>155</v>
      </c>
    </row>
    <row r="290" spans="1:29" x14ac:dyDescent="0.25">
      <c r="A290" t="s">
        <v>596</v>
      </c>
      <c r="B290" t="s">
        <v>156</v>
      </c>
      <c r="C290" t="s">
        <v>108</v>
      </c>
      <c r="D290" t="s">
        <v>42</v>
      </c>
      <c r="E290" t="s">
        <v>577</v>
      </c>
      <c r="F290" t="s">
        <v>597</v>
      </c>
      <c r="G290">
        <v>2611</v>
      </c>
      <c r="H290" t="s">
        <v>598</v>
      </c>
      <c r="I290" t="s">
        <v>599</v>
      </c>
      <c r="J290">
        <v>-0.16200000000000001</v>
      </c>
      <c r="K290">
        <v>0.04</v>
      </c>
      <c r="L290">
        <v>-4.05</v>
      </c>
      <c r="M290">
        <v>2611</v>
      </c>
      <c r="N290">
        <v>1</v>
      </c>
      <c r="O290">
        <v>2609</v>
      </c>
      <c r="P290">
        <v>-7.9041845999999999E-2</v>
      </c>
      <c r="Q290">
        <v>-7.9207074000000002E-2</v>
      </c>
      <c r="R290">
        <v>1.9581510999999999E-2</v>
      </c>
      <c r="S290">
        <v>-4.0827311999999998E-2</v>
      </c>
      <c r="T290">
        <v>-0.117586836</v>
      </c>
      <c r="U290">
        <v>1.9451716000000001E-2</v>
      </c>
      <c r="V290">
        <v>3.8099999999999999E-4</v>
      </c>
      <c r="W290">
        <v>-7.8295722999999998E-2</v>
      </c>
      <c r="X290">
        <v>-7.978797E-2</v>
      </c>
      <c r="Y290" t="s">
        <v>600</v>
      </c>
      <c r="Z290" t="s">
        <v>601</v>
      </c>
      <c r="AA290">
        <v>1</v>
      </c>
      <c r="AB290" t="s">
        <v>57</v>
      </c>
      <c r="AC290" t="s">
        <v>155</v>
      </c>
    </row>
    <row r="291" spans="1:29" x14ac:dyDescent="0.25">
      <c r="A291">
        <v>1971</v>
      </c>
      <c r="B291" t="s">
        <v>147</v>
      </c>
      <c r="C291" t="s">
        <v>107</v>
      </c>
      <c r="D291" t="s">
        <v>42</v>
      </c>
      <c r="E291" t="s">
        <v>602</v>
      </c>
      <c r="F291" t="s">
        <v>603</v>
      </c>
      <c r="G291">
        <v>1330</v>
      </c>
      <c r="H291" t="s">
        <v>513</v>
      </c>
      <c r="I291" t="s">
        <v>513</v>
      </c>
      <c r="J291">
        <v>1.2337303000000001E-2</v>
      </c>
      <c r="K291">
        <v>9.5613225999999996E-2</v>
      </c>
      <c r="L291">
        <v>0.129033436</v>
      </c>
      <c r="M291">
        <v>1330</v>
      </c>
      <c r="N291">
        <v>8</v>
      </c>
      <c r="O291">
        <v>1321</v>
      </c>
      <c r="P291">
        <v>3.5501619999999999E-3</v>
      </c>
      <c r="Q291">
        <v>3.5501759999999999E-3</v>
      </c>
      <c r="R291">
        <v>2.7451402999999999E-2</v>
      </c>
      <c r="S291">
        <v>5.7354925000000001E-2</v>
      </c>
      <c r="T291">
        <v>-5.0254572999999997E-2</v>
      </c>
      <c r="U291">
        <v>2.7430393000000001E-2</v>
      </c>
      <c r="V291">
        <v>7.5199999999999996E-4</v>
      </c>
      <c r="W291">
        <v>5.024382E-3</v>
      </c>
      <c r="X291">
        <v>2.0759419999999999E-3</v>
      </c>
      <c r="Y291" t="s">
        <v>604</v>
      </c>
      <c r="Z291" t="s">
        <v>569</v>
      </c>
      <c r="AA291">
        <v>1</v>
      </c>
      <c r="AB291" t="s">
        <v>57</v>
      </c>
      <c r="AC291" t="s">
        <v>155</v>
      </c>
    </row>
    <row r="292" spans="1:29" x14ac:dyDescent="0.25">
      <c r="A292">
        <v>1990</v>
      </c>
      <c r="B292" t="s">
        <v>156</v>
      </c>
      <c r="C292" t="s">
        <v>107</v>
      </c>
      <c r="D292" t="s">
        <v>42</v>
      </c>
      <c r="E292" t="s">
        <v>602</v>
      </c>
      <c r="F292" t="s">
        <v>605</v>
      </c>
      <c r="G292">
        <v>1001</v>
      </c>
      <c r="H292" t="s">
        <v>606</v>
      </c>
      <c r="I292" t="s">
        <v>513</v>
      </c>
      <c r="J292">
        <v>-0.495</v>
      </c>
      <c r="K292">
        <v>0.37354999999999999</v>
      </c>
      <c r="L292">
        <v>-1.325123812</v>
      </c>
      <c r="M292">
        <v>1001</v>
      </c>
      <c r="N292">
        <v>18</v>
      </c>
      <c r="O292">
        <v>982</v>
      </c>
      <c r="P292">
        <v>-4.2248644000000002E-2</v>
      </c>
      <c r="Q292">
        <v>-4.2273808000000003E-2</v>
      </c>
      <c r="R292">
        <v>3.1654447000000002E-2</v>
      </c>
      <c r="S292">
        <v>1.9768908000000002E-2</v>
      </c>
      <c r="T292">
        <v>-0.10431652399999999</v>
      </c>
      <c r="U292">
        <v>3.1566332000000003E-2</v>
      </c>
      <c r="V292">
        <v>9.9799999999999997E-4</v>
      </c>
      <c r="W292">
        <v>-4.0293120000000002E-2</v>
      </c>
      <c r="X292">
        <v>-4.4204168000000002E-2</v>
      </c>
      <c r="Y292" t="s">
        <v>607</v>
      </c>
      <c r="Z292" t="s">
        <v>608</v>
      </c>
      <c r="AA292">
        <v>1</v>
      </c>
      <c r="AB292" t="s">
        <v>57</v>
      </c>
      <c r="AC292" t="s">
        <v>155</v>
      </c>
    </row>
    <row r="293" spans="1:29" x14ac:dyDescent="0.25">
      <c r="A293">
        <v>1990</v>
      </c>
      <c r="B293" t="s">
        <v>156</v>
      </c>
      <c r="C293" t="s">
        <v>107</v>
      </c>
      <c r="D293" t="s">
        <v>42</v>
      </c>
      <c r="E293" t="s">
        <v>602</v>
      </c>
      <c r="F293" t="s">
        <v>609</v>
      </c>
      <c r="G293">
        <v>338</v>
      </c>
      <c r="H293" t="s">
        <v>610</v>
      </c>
      <c r="I293" t="s">
        <v>610</v>
      </c>
      <c r="J293">
        <v>1.26</v>
      </c>
      <c r="K293">
        <v>1.26</v>
      </c>
      <c r="L293">
        <v>1</v>
      </c>
      <c r="M293">
        <v>338</v>
      </c>
      <c r="N293">
        <v>8</v>
      </c>
      <c r="O293">
        <v>329</v>
      </c>
      <c r="P293">
        <v>5.5048187999999998E-2</v>
      </c>
      <c r="Q293">
        <v>5.5103894E-2</v>
      </c>
      <c r="R293">
        <v>5.4635836E-2</v>
      </c>
      <c r="S293">
        <v>0.16219013299999999</v>
      </c>
      <c r="T293">
        <v>-5.1982345999999999E-2</v>
      </c>
      <c r="U293">
        <v>5.43084E-2</v>
      </c>
      <c r="V293">
        <v>2.9499999999999999E-3</v>
      </c>
      <c r="W293">
        <v>6.0838004000000001E-2</v>
      </c>
      <c r="X293">
        <v>4.9258373000000001E-2</v>
      </c>
      <c r="Y293" t="s">
        <v>611</v>
      </c>
      <c r="Z293" t="s">
        <v>612</v>
      </c>
      <c r="AA293">
        <v>1</v>
      </c>
      <c r="AB293" t="s">
        <v>57</v>
      </c>
      <c r="AC293" t="s">
        <v>155</v>
      </c>
    </row>
    <row r="294" spans="1:29" x14ac:dyDescent="0.25">
      <c r="A294" t="s">
        <v>584</v>
      </c>
      <c r="B294" t="s">
        <v>156</v>
      </c>
      <c r="C294" t="s">
        <v>107</v>
      </c>
      <c r="D294" t="s">
        <v>42</v>
      </c>
      <c r="E294" t="s">
        <v>602</v>
      </c>
      <c r="F294" t="s">
        <v>613</v>
      </c>
      <c r="G294">
        <v>228409</v>
      </c>
      <c r="H294" t="s">
        <v>513</v>
      </c>
      <c r="I294" t="s">
        <v>585</v>
      </c>
      <c r="J294">
        <v>2.7E-2</v>
      </c>
      <c r="K294">
        <v>4.2999999999999997E-2</v>
      </c>
      <c r="L294">
        <v>0.62790697699999998</v>
      </c>
      <c r="M294">
        <v>166106</v>
      </c>
      <c r="N294">
        <v>36</v>
      </c>
      <c r="O294">
        <v>166069</v>
      </c>
      <c r="P294">
        <v>1.5408150000000001E-3</v>
      </c>
      <c r="Q294">
        <v>1.540816E-3</v>
      </c>
      <c r="R294">
        <v>2.4536419999999998E-3</v>
      </c>
      <c r="S294">
        <v>6.349955E-3</v>
      </c>
      <c r="T294">
        <v>-3.2683230000000001E-3</v>
      </c>
      <c r="U294">
        <v>2.4536219999999999E-3</v>
      </c>
      <c r="V294">
        <v>6.02E-6</v>
      </c>
      <c r="W294">
        <v>1.552615E-3</v>
      </c>
      <c r="X294">
        <v>1.5290150000000001E-3</v>
      </c>
      <c r="Y294" t="s">
        <v>614</v>
      </c>
      <c r="Z294" t="s">
        <v>587</v>
      </c>
      <c r="AA294">
        <v>1</v>
      </c>
      <c r="AB294" t="s">
        <v>57</v>
      </c>
      <c r="AC294" t="s">
        <v>155</v>
      </c>
    </row>
    <row r="295" spans="1:29" x14ac:dyDescent="0.25">
      <c r="A295" t="s">
        <v>588</v>
      </c>
      <c r="B295" t="s">
        <v>156</v>
      </c>
      <c r="C295" t="s">
        <v>107</v>
      </c>
      <c r="D295" t="s">
        <v>42</v>
      </c>
      <c r="E295" t="s">
        <v>602</v>
      </c>
      <c r="F295" t="s">
        <v>605</v>
      </c>
      <c r="G295">
        <v>1826</v>
      </c>
      <c r="H295" t="s">
        <v>513</v>
      </c>
      <c r="I295" t="s">
        <v>589</v>
      </c>
      <c r="J295">
        <v>4.5999999999999999E-2</v>
      </c>
      <c r="K295">
        <v>2.1596244000000001E-2</v>
      </c>
      <c r="L295">
        <v>2.13</v>
      </c>
      <c r="M295">
        <v>1826</v>
      </c>
      <c r="N295">
        <v>36</v>
      </c>
      <c r="O295">
        <v>1789</v>
      </c>
      <c r="P295">
        <v>5.0294957000000001E-2</v>
      </c>
      <c r="Q295">
        <v>5.0337430000000002E-2</v>
      </c>
      <c r="R295">
        <v>2.3421066000000001E-2</v>
      </c>
      <c r="S295">
        <v>9.6242721000000003E-2</v>
      </c>
      <c r="T295">
        <v>4.4321400000000002E-3</v>
      </c>
      <c r="U295">
        <v>2.3349016E-2</v>
      </c>
      <c r="V295">
        <v>5.4600000000000004E-4</v>
      </c>
      <c r="W295">
        <v>5.1365920000000002E-2</v>
      </c>
      <c r="X295">
        <v>4.9223995E-2</v>
      </c>
      <c r="Y295" t="s">
        <v>615</v>
      </c>
      <c r="Z295" t="s">
        <v>591</v>
      </c>
      <c r="AA295">
        <v>1</v>
      </c>
      <c r="AB295" t="s">
        <v>57</v>
      </c>
      <c r="AC295" t="s">
        <v>155</v>
      </c>
    </row>
    <row r="296" spans="1:29" x14ac:dyDescent="0.25">
      <c r="A296" t="s">
        <v>592</v>
      </c>
      <c r="B296" t="s">
        <v>156</v>
      </c>
      <c r="C296" t="s">
        <v>107</v>
      </c>
      <c r="D296" t="s">
        <v>42</v>
      </c>
      <c r="E296" t="s">
        <v>602</v>
      </c>
      <c r="F296" t="s">
        <v>613</v>
      </c>
      <c r="G296">
        <v>62057</v>
      </c>
      <c r="H296" t="s">
        <v>513</v>
      </c>
      <c r="I296" t="s">
        <v>593</v>
      </c>
      <c r="J296">
        <v>-8.2000000000000003E-2</v>
      </c>
      <c r="K296">
        <v>0.308</v>
      </c>
      <c r="L296">
        <v>-0.26623376599999998</v>
      </c>
      <c r="M296">
        <v>62057</v>
      </c>
      <c r="N296">
        <v>66</v>
      </c>
      <c r="O296">
        <v>61990</v>
      </c>
      <c r="P296">
        <v>-1.0693059999999999E-3</v>
      </c>
      <c r="Q296">
        <v>-1.069307E-3</v>
      </c>
      <c r="R296">
        <v>4.0143490000000004E-3</v>
      </c>
      <c r="S296">
        <v>6.7988170000000004E-3</v>
      </c>
      <c r="T296">
        <v>-8.9374299999999997E-3</v>
      </c>
      <c r="U296">
        <v>4.0142800000000003E-3</v>
      </c>
      <c r="V296">
        <v>1.6099999999999998E-5</v>
      </c>
      <c r="W296">
        <v>-1.037722E-3</v>
      </c>
      <c r="X296">
        <v>-1.10089E-3</v>
      </c>
      <c r="Y296" t="s">
        <v>616</v>
      </c>
      <c r="Z296" t="s">
        <v>595</v>
      </c>
      <c r="AA296">
        <v>1</v>
      </c>
      <c r="AB296" t="s">
        <v>57</v>
      </c>
      <c r="AC296" t="s">
        <v>155</v>
      </c>
    </row>
    <row r="297" spans="1:29" x14ac:dyDescent="0.25">
      <c r="A297">
        <v>1962</v>
      </c>
      <c r="B297" t="s">
        <v>156</v>
      </c>
      <c r="C297" t="s">
        <v>106</v>
      </c>
      <c r="D297" t="s">
        <v>42</v>
      </c>
      <c r="E297" t="s">
        <v>617</v>
      </c>
      <c r="F297" t="s">
        <v>618</v>
      </c>
      <c r="G297">
        <v>32</v>
      </c>
      <c r="H297" t="s">
        <v>619</v>
      </c>
      <c r="I297" t="s">
        <v>620</v>
      </c>
      <c r="M297">
        <v>32</v>
      </c>
      <c r="P297">
        <v>-0.30331501799999999</v>
      </c>
      <c r="Q297">
        <v>-0.313166483</v>
      </c>
      <c r="R297">
        <v>0.18569533799999999</v>
      </c>
      <c r="S297">
        <v>5.0796380000000002E-2</v>
      </c>
      <c r="T297">
        <v>-0.67712934499999999</v>
      </c>
      <c r="U297">
        <v>0.16308161400000001</v>
      </c>
      <c r="V297">
        <v>2.8799999999999999E-2</v>
      </c>
      <c r="W297">
        <v>-0.24681012099999999</v>
      </c>
      <c r="X297">
        <v>-0.35981991400000002</v>
      </c>
      <c r="Y297" t="s">
        <v>621</v>
      </c>
      <c r="Z297" t="s">
        <v>622</v>
      </c>
      <c r="AA297">
        <v>1</v>
      </c>
      <c r="AB297" t="s">
        <v>51</v>
      </c>
      <c r="AC297" t="s">
        <v>155</v>
      </c>
    </row>
    <row r="298" spans="1:29" x14ac:dyDescent="0.25">
      <c r="A298">
        <v>1977</v>
      </c>
      <c r="B298" t="s">
        <v>156</v>
      </c>
      <c r="C298" t="s">
        <v>107</v>
      </c>
      <c r="D298" t="s">
        <v>42</v>
      </c>
      <c r="E298" t="s">
        <v>617</v>
      </c>
      <c r="F298" t="s">
        <v>618</v>
      </c>
      <c r="G298">
        <v>1600</v>
      </c>
      <c r="H298" t="s">
        <v>549</v>
      </c>
      <c r="I298" t="s">
        <v>623</v>
      </c>
      <c r="J298">
        <v>0.02</v>
      </c>
      <c r="K298">
        <v>7.0000000000000007E-2</v>
      </c>
      <c r="L298">
        <v>0.28571428599999998</v>
      </c>
      <c r="M298">
        <v>1600</v>
      </c>
      <c r="N298">
        <v>2</v>
      </c>
      <c r="O298">
        <v>1598</v>
      </c>
      <c r="P298">
        <v>7.1471429999999999E-3</v>
      </c>
      <c r="Q298">
        <v>7.1472649999999999E-3</v>
      </c>
      <c r="R298">
        <v>2.5023470999999999E-2</v>
      </c>
      <c r="S298">
        <v>5.6193266999999998E-2</v>
      </c>
      <c r="T298">
        <v>-4.1898736999999998E-2</v>
      </c>
      <c r="U298">
        <v>2.5006539000000001E-2</v>
      </c>
      <c r="V298">
        <v>6.2500000000000001E-4</v>
      </c>
      <c r="W298">
        <v>8.3724630000000001E-3</v>
      </c>
      <c r="X298">
        <v>5.9218229999999997E-3</v>
      </c>
      <c r="Y298" t="s">
        <v>624</v>
      </c>
      <c r="Z298" t="s">
        <v>625</v>
      </c>
      <c r="AA298">
        <v>1</v>
      </c>
      <c r="AB298" t="s">
        <v>51</v>
      </c>
      <c r="AC298" t="s">
        <v>155</v>
      </c>
    </row>
    <row r="299" spans="1:29" x14ac:dyDescent="0.25">
      <c r="A299">
        <v>1977</v>
      </c>
      <c r="B299" t="s">
        <v>156</v>
      </c>
      <c r="C299" t="s">
        <v>107</v>
      </c>
      <c r="D299" t="s">
        <v>42</v>
      </c>
      <c r="E299" t="s">
        <v>617</v>
      </c>
      <c r="F299" t="s">
        <v>618</v>
      </c>
      <c r="G299">
        <v>204</v>
      </c>
      <c r="H299" t="s">
        <v>549</v>
      </c>
      <c r="I299" t="s">
        <v>620</v>
      </c>
      <c r="J299">
        <v>5.8823500000000001E-2</v>
      </c>
      <c r="K299">
        <v>4.3451999999999998E-2</v>
      </c>
      <c r="L299">
        <v>1.3537581700000001</v>
      </c>
      <c r="M299">
        <v>204</v>
      </c>
      <c r="N299">
        <v>2</v>
      </c>
      <c r="O299">
        <v>202</v>
      </c>
      <c r="P299">
        <v>9.4820927999999999E-2</v>
      </c>
      <c r="Q299">
        <v>9.5106650000000001E-2</v>
      </c>
      <c r="R299">
        <v>7.0534561999999995E-2</v>
      </c>
      <c r="S299">
        <v>0.23335439099999999</v>
      </c>
      <c r="T299">
        <v>-4.3141090999999999E-2</v>
      </c>
      <c r="U299">
        <v>6.9555196E-2</v>
      </c>
      <c r="V299">
        <v>4.8700000000000002E-3</v>
      </c>
      <c r="W299">
        <v>0.10436581</v>
      </c>
      <c r="X299">
        <v>8.5276045999999994E-2</v>
      </c>
      <c r="Y299" t="s">
        <v>626</v>
      </c>
      <c r="Z299" t="s">
        <v>627</v>
      </c>
      <c r="AA299">
        <v>1</v>
      </c>
      <c r="AB299" t="s">
        <v>51</v>
      </c>
      <c r="AC299" t="s">
        <v>155</v>
      </c>
    </row>
    <row r="300" spans="1:29" x14ac:dyDescent="0.25">
      <c r="A300">
        <v>1980</v>
      </c>
      <c r="B300" t="s">
        <v>156</v>
      </c>
      <c r="C300" t="s">
        <v>107</v>
      </c>
      <c r="D300" t="s">
        <v>42</v>
      </c>
      <c r="E300" t="s">
        <v>617</v>
      </c>
      <c r="F300" t="s">
        <v>628</v>
      </c>
      <c r="G300">
        <v>915</v>
      </c>
      <c r="H300" t="s">
        <v>549</v>
      </c>
      <c r="I300" t="s">
        <v>629</v>
      </c>
      <c r="J300">
        <v>7.6419200000000007E-2</v>
      </c>
      <c r="K300">
        <v>2.3457599999999999E-2</v>
      </c>
      <c r="L300">
        <v>3.2577586790000002</v>
      </c>
      <c r="M300">
        <v>916</v>
      </c>
      <c r="N300">
        <v>1</v>
      </c>
      <c r="O300">
        <v>915</v>
      </c>
      <c r="P300">
        <v>0.107078971</v>
      </c>
      <c r="Q300">
        <v>0.107491062</v>
      </c>
      <c r="R300">
        <v>3.309517E-2</v>
      </c>
      <c r="S300">
        <v>0.172357595</v>
      </c>
      <c r="T300">
        <v>4.2624530000000001E-2</v>
      </c>
      <c r="U300">
        <v>3.2679929000000003E-2</v>
      </c>
      <c r="V300">
        <v>1.08E-3</v>
      </c>
      <c r="W300">
        <v>0.10919533100000001</v>
      </c>
      <c r="X300">
        <v>0.104962612</v>
      </c>
      <c r="Y300" t="s">
        <v>630</v>
      </c>
      <c r="Z300" t="s">
        <v>631</v>
      </c>
      <c r="AA300">
        <v>1</v>
      </c>
      <c r="AB300" t="s">
        <v>51</v>
      </c>
      <c r="AC300" t="s">
        <v>632</v>
      </c>
    </row>
    <row r="301" spans="1:29" x14ac:dyDescent="0.25">
      <c r="A301">
        <v>1990</v>
      </c>
      <c r="B301" t="s">
        <v>156</v>
      </c>
      <c r="C301" t="s">
        <v>107</v>
      </c>
      <c r="D301" t="s">
        <v>42</v>
      </c>
      <c r="E301" t="s">
        <v>617</v>
      </c>
      <c r="F301" t="s">
        <v>548</v>
      </c>
      <c r="G301">
        <v>583</v>
      </c>
      <c r="H301" t="s">
        <v>549</v>
      </c>
      <c r="I301" t="s">
        <v>495</v>
      </c>
      <c r="J301">
        <v>-6.2067499999999998E-2</v>
      </c>
      <c r="K301">
        <v>2.3916400000000001E-2</v>
      </c>
      <c r="L301">
        <v>-2.5951857299999999</v>
      </c>
      <c r="M301">
        <v>583</v>
      </c>
      <c r="N301">
        <v>1</v>
      </c>
      <c r="O301">
        <v>581</v>
      </c>
      <c r="P301">
        <v>-0.10704778199999999</v>
      </c>
      <c r="Q301">
        <v>-0.10745951099999999</v>
      </c>
      <c r="R301">
        <v>4.1522740000000002E-2</v>
      </c>
      <c r="S301">
        <v>-2.6074941000000001E-2</v>
      </c>
      <c r="T301">
        <v>-0.188844081</v>
      </c>
      <c r="U301">
        <v>4.0976332999999997E-2</v>
      </c>
      <c r="V301">
        <v>1.6999999999999999E-3</v>
      </c>
      <c r="W301">
        <v>-0.10372153200000001</v>
      </c>
      <c r="X301">
        <v>-0.110374032</v>
      </c>
      <c r="Y301" t="s">
        <v>633</v>
      </c>
      <c r="Z301" t="s">
        <v>634</v>
      </c>
      <c r="AA301">
        <v>1</v>
      </c>
      <c r="AB301" t="s">
        <v>51</v>
      </c>
      <c r="AC301" t="s">
        <v>635</v>
      </c>
    </row>
    <row r="302" spans="1:29" x14ac:dyDescent="0.25">
      <c r="A302">
        <v>1990</v>
      </c>
      <c r="B302" t="s">
        <v>156</v>
      </c>
      <c r="C302" t="s">
        <v>107</v>
      </c>
      <c r="D302" t="s">
        <v>42</v>
      </c>
      <c r="E302" t="s">
        <v>617</v>
      </c>
      <c r="F302" t="s">
        <v>636</v>
      </c>
      <c r="G302">
        <v>145</v>
      </c>
      <c r="H302" t="s">
        <v>549</v>
      </c>
      <c r="I302" t="s">
        <v>637</v>
      </c>
      <c r="J302">
        <v>-2.56849E-2</v>
      </c>
      <c r="K302">
        <v>5.7633200000000002E-2</v>
      </c>
      <c r="L302">
        <v>-0.44566152799999997</v>
      </c>
      <c r="M302">
        <v>145</v>
      </c>
      <c r="N302">
        <v>1</v>
      </c>
      <c r="O302">
        <v>143</v>
      </c>
      <c r="P302">
        <v>-3.7242234999999999E-2</v>
      </c>
      <c r="Q302">
        <v>-3.7259467999999997E-2</v>
      </c>
      <c r="R302">
        <v>8.3918136000000004E-2</v>
      </c>
      <c r="S302">
        <v>0.12722007900000001</v>
      </c>
      <c r="T302">
        <v>-0.20173901399999999</v>
      </c>
      <c r="U302">
        <v>8.3217751000000006E-2</v>
      </c>
      <c r="V302">
        <v>6.9100000000000003E-3</v>
      </c>
      <c r="W302">
        <v>-2.3696953E-2</v>
      </c>
      <c r="X302">
        <v>-5.0787516999999997E-2</v>
      </c>
      <c r="Y302" t="s">
        <v>638</v>
      </c>
      <c r="Z302" t="s">
        <v>639</v>
      </c>
      <c r="AA302">
        <v>1</v>
      </c>
      <c r="AB302" t="s">
        <v>51</v>
      </c>
      <c r="AC302" t="s">
        <v>640</v>
      </c>
    </row>
    <row r="303" spans="1:29" x14ac:dyDescent="0.25">
      <c r="A303">
        <v>2001</v>
      </c>
      <c r="B303" t="s">
        <v>156</v>
      </c>
      <c r="C303" t="s">
        <v>108</v>
      </c>
      <c r="D303" t="s">
        <v>42</v>
      </c>
      <c r="E303" t="s">
        <v>617</v>
      </c>
      <c r="F303" t="s">
        <v>548</v>
      </c>
      <c r="G303">
        <v>4784</v>
      </c>
      <c r="H303" t="s">
        <v>549</v>
      </c>
      <c r="I303" t="s">
        <v>495</v>
      </c>
      <c r="J303">
        <v>-3.18248E-2</v>
      </c>
      <c r="K303">
        <v>7.7204999999999999E-3</v>
      </c>
      <c r="L303">
        <v>-4.1221199999999998</v>
      </c>
      <c r="M303">
        <v>4784</v>
      </c>
      <c r="N303">
        <v>25</v>
      </c>
      <c r="O303">
        <v>4759</v>
      </c>
      <c r="P303">
        <v>-5.9647032000000003E-2</v>
      </c>
      <c r="Q303">
        <v>-5.9717921E-2</v>
      </c>
      <c r="R303">
        <v>1.4462409000000001E-2</v>
      </c>
      <c r="S303">
        <v>-3.1371599999999999E-2</v>
      </c>
      <c r="T303">
        <v>-8.8064241000000001E-2</v>
      </c>
      <c r="U303">
        <v>1.4407941E-2</v>
      </c>
      <c r="V303">
        <v>2.0799999999999999E-4</v>
      </c>
      <c r="W303">
        <v>-5.9238748000000001E-2</v>
      </c>
      <c r="X303">
        <v>-6.0055315999999997E-2</v>
      </c>
      <c r="Y303" t="s">
        <v>641</v>
      </c>
      <c r="Z303" t="s">
        <v>642</v>
      </c>
      <c r="AA303">
        <v>1</v>
      </c>
      <c r="AB303" t="s">
        <v>51</v>
      </c>
      <c r="AC303" t="s">
        <v>247</v>
      </c>
    </row>
    <row r="304" spans="1:29" x14ac:dyDescent="0.25">
      <c r="A304">
        <v>2001</v>
      </c>
      <c r="B304" t="s">
        <v>156</v>
      </c>
      <c r="C304" t="s">
        <v>108</v>
      </c>
      <c r="D304" t="s">
        <v>42</v>
      </c>
      <c r="E304" t="s">
        <v>617</v>
      </c>
      <c r="F304" t="s">
        <v>548</v>
      </c>
      <c r="G304">
        <v>350</v>
      </c>
      <c r="H304" t="s">
        <v>549</v>
      </c>
      <c r="I304" t="s">
        <v>495</v>
      </c>
      <c r="J304">
        <v>0.1628</v>
      </c>
      <c r="K304">
        <v>3.9286300000000003E-2</v>
      </c>
      <c r="L304">
        <v>4.1439382179999997</v>
      </c>
      <c r="M304">
        <v>350</v>
      </c>
      <c r="N304">
        <v>1</v>
      </c>
      <c r="O304">
        <v>348</v>
      </c>
      <c r="P304">
        <v>0.21685248500000001</v>
      </c>
      <c r="Q304">
        <v>0.22035089899999999</v>
      </c>
      <c r="R304">
        <v>5.3682813000000003E-2</v>
      </c>
      <c r="S304">
        <v>0.325569212</v>
      </c>
      <c r="T304">
        <v>0.115132586</v>
      </c>
      <c r="U304">
        <v>5.1011582E-2</v>
      </c>
      <c r="V304">
        <v>2.7299999999999998E-3</v>
      </c>
      <c r="W304">
        <v>0.22219678500000001</v>
      </c>
      <c r="X304">
        <v>0.21150818499999999</v>
      </c>
      <c r="Y304" t="s">
        <v>643</v>
      </c>
      <c r="Z304" t="s">
        <v>644</v>
      </c>
      <c r="AA304">
        <v>1</v>
      </c>
      <c r="AB304" t="s">
        <v>51</v>
      </c>
      <c r="AC304" t="s">
        <v>155</v>
      </c>
    </row>
    <row r="305" spans="1:31" x14ac:dyDescent="0.25">
      <c r="A305">
        <v>2004</v>
      </c>
      <c r="B305" t="s">
        <v>156</v>
      </c>
      <c r="C305" t="s">
        <v>108</v>
      </c>
      <c r="D305" t="s">
        <v>42</v>
      </c>
      <c r="E305" t="s">
        <v>617</v>
      </c>
      <c r="F305" t="s">
        <v>548</v>
      </c>
      <c r="G305">
        <v>342</v>
      </c>
      <c r="H305" t="s">
        <v>549</v>
      </c>
      <c r="I305" t="s">
        <v>495</v>
      </c>
      <c r="J305">
        <v>-0.1578947</v>
      </c>
      <c r="K305">
        <v>4.4905500000000001E-2</v>
      </c>
      <c r="L305">
        <v>-3.5161550369999999</v>
      </c>
      <c r="M305">
        <v>342</v>
      </c>
      <c r="N305">
        <v>1</v>
      </c>
      <c r="O305">
        <v>340</v>
      </c>
      <c r="P305">
        <v>-0.18731504199999999</v>
      </c>
      <c r="Q305">
        <v>-0.18955311999999999</v>
      </c>
      <c r="R305">
        <v>5.4312544999999997E-2</v>
      </c>
      <c r="S305">
        <v>-8.3100532000000005E-2</v>
      </c>
      <c r="T305">
        <v>-0.29600570799999998</v>
      </c>
      <c r="U305">
        <v>5.2252973000000001E-2</v>
      </c>
      <c r="V305">
        <v>2.8300000000000001E-3</v>
      </c>
      <c r="W305">
        <v>-0.18177702800000001</v>
      </c>
      <c r="X305">
        <v>-0.192853055</v>
      </c>
      <c r="Y305" t="s">
        <v>645</v>
      </c>
      <c r="Z305" t="s">
        <v>646</v>
      </c>
      <c r="AA305">
        <v>1</v>
      </c>
      <c r="AB305" t="s">
        <v>51</v>
      </c>
      <c r="AC305" t="s">
        <v>155</v>
      </c>
    </row>
    <row r="306" spans="1:31" x14ac:dyDescent="0.25">
      <c r="A306">
        <v>2008</v>
      </c>
      <c r="B306" t="s">
        <v>156</v>
      </c>
      <c r="C306" t="s">
        <v>108</v>
      </c>
      <c r="D306" t="s">
        <v>42</v>
      </c>
      <c r="E306" t="s">
        <v>617</v>
      </c>
      <c r="F306" t="s">
        <v>548</v>
      </c>
      <c r="G306">
        <v>300</v>
      </c>
      <c r="H306" t="s">
        <v>549</v>
      </c>
      <c r="I306" t="s">
        <v>495</v>
      </c>
      <c r="J306">
        <v>-3.3333300000000003E-2</v>
      </c>
      <c r="K306">
        <v>4.1000000000000002E-2</v>
      </c>
      <c r="L306">
        <v>-0.81300731699999995</v>
      </c>
      <c r="M306">
        <v>300</v>
      </c>
      <c r="N306">
        <v>1</v>
      </c>
      <c r="O306">
        <v>298</v>
      </c>
      <c r="P306">
        <v>-4.7044105000000003E-2</v>
      </c>
      <c r="Q306">
        <v>-4.7078856000000002E-2</v>
      </c>
      <c r="R306">
        <v>5.8025884999999999E-2</v>
      </c>
      <c r="S306">
        <v>6.6651878999999997E-2</v>
      </c>
      <c r="T306">
        <v>-0.160809592</v>
      </c>
      <c r="U306">
        <v>5.7703504000000003E-2</v>
      </c>
      <c r="V306">
        <v>3.3300000000000001E-3</v>
      </c>
      <c r="W306">
        <v>-4.0514339000000003E-2</v>
      </c>
      <c r="X306">
        <v>-5.3573871000000002E-2</v>
      </c>
      <c r="Y306" t="s">
        <v>647</v>
      </c>
      <c r="Z306" t="s">
        <v>648</v>
      </c>
      <c r="AA306">
        <v>1</v>
      </c>
      <c r="AB306" t="s">
        <v>51</v>
      </c>
      <c r="AC306" t="s">
        <v>247</v>
      </c>
    </row>
    <row r="307" spans="1:31" x14ac:dyDescent="0.25">
      <c r="A307">
        <v>2008</v>
      </c>
      <c r="B307" t="s">
        <v>156</v>
      </c>
      <c r="C307" t="s">
        <v>108</v>
      </c>
      <c r="D307" t="s">
        <v>42</v>
      </c>
      <c r="E307" t="s">
        <v>617</v>
      </c>
      <c r="F307" t="s">
        <v>548</v>
      </c>
      <c r="G307">
        <v>605</v>
      </c>
      <c r="H307" t="s">
        <v>549</v>
      </c>
      <c r="I307" t="s">
        <v>649</v>
      </c>
      <c r="J307">
        <v>1.5488500000000001E-2</v>
      </c>
      <c r="K307">
        <v>2.546E-2</v>
      </c>
      <c r="L307">
        <v>0.608346426</v>
      </c>
      <c r="M307">
        <v>605</v>
      </c>
      <c r="N307">
        <v>1</v>
      </c>
      <c r="O307">
        <v>603</v>
      </c>
      <c r="P307">
        <v>2.4766183000000001E-2</v>
      </c>
      <c r="Q307">
        <v>2.4771247999999999E-2</v>
      </c>
      <c r="R307">
        <v>4.0756957000000003E-2</v>
      </c>
      <c r="S307">
        <v>0.104654884</v>
      </c>
      <c r="T307">
        <v>-5.5112387999999998E-2</v>
      </c>
      <c r="U307">
        <v>4.0664466000000003E-2</v>
      </c>
      <c r="V307">
        <v>1.65E-3</v>
      </c>
      <c r="W307">
        <v>2.8006544000000001E-2</v>
      </c>
      <c r="X307">
        <v>2.1525821000000001E-2</v>
      </c>
      <c r="Y307" t="s">
        <v>650</v>
      </c>
      <c r="Z307" t="s">
        <v>651</v>
      </c>
      <c r="AA307">
        <v>1</v>
      </c>
      <c r="AB307" t="s">
        <v>51</v>
      </c>
      <c r="AC307" t="s">
        <v>247</v>
      </c>
    </row>
    <row r="308" spans="1:31" x14ac:dyDescent="0.25">
      <c r="A308">
        <v>2011</v>
      </c>
      <c r="B308" t="s">
        <v>156</v>
      </c>
      <c r="C308" t="s">
        <v>108</v>
      </c>
      <c r="D308" t="s">
        <v>42</v>
      </c>
      <c r="E308" t="s">
        <v>617</v>
      </c>
      <c r="F308" t="s">
        <v>548</v>
      </c>
      <c r="G308">
        <v>3108</v>
      </c>
      <c r="H308" t="s">
        <v>549</v>
      </c>
      <c r="I308" t="s">
        <v>495</v>
      </c>
      <c r="J308">
        <v>-0.17</v>
      </c>
      <c r="K308">
        <v>0.24</v>
      </c>
      <c r="L308">
        <v>-0.70833333300000001</v>
      </c>
      <c r="M308">
        <v>3108</v>
      </c>
      <c r="N308">
        <v>7</v>
      </c>
      <c r="O308">
        <v>3100</v>
      </c>
      <c r="P308">
        <v>-1.2721013E-2</v>
      </c>
      <c r="Q308">
        <v>-1.2721699E-2</v>
      </c>
      <c r="R308">
        <v>1.7946063000000002E-2</v>
      </c>
      <c r="S308">
        <v>2.2452585000000001E-2</v>
      </c>
      <c r="T308">
        <v>-4.7895983000000003E-2</v>
      </c>
      <c r="U308">
        <v>1.7937383000000001E-2</v>
      </c>
      <c r="V308">
        <v>3.2200000000000002E-4</v>
      </c>
      <c r="W308">
        <v>-1.2090383E-2</v>
      </c>
      <c r="X308">
        <v>-1.3351643E-2</v>
      </c>
      <c r="Y308" t="s">
        <v>652</v>
      </c>
      <c r="Z308" t="s">
        <v>653</v>
      </c>
      <c r="AA308">
        <v>1</v>
      </c>
      <c r="AB308" t="s">
        <v>51</v>
      </c>
      <c r="AC308" t="s">
        <v>247</v>
      </c>
    </row>
    <row r="309" spans="1:31" x14ac:dyDescent="0.25">
      <c r="A309">
        <v>2011</v>
      </c>
      <c r="B309" t="s">
        <v>156</v>
      </c>
      <c r="C309" t="s">
        <v>108</v>
      </c>
      <c r="D309" t="s">
        <v>42</v>
      </c>
      <c r="E309" t="s">
        <v>617</v>
      </c>
      <c r="F309" t="s">
        <v>548</v>
      </c>
      <c r="G309">
        <v>288</v>
      </c>
      <c r="H309" t="s">
        <v>549</v>
      </c>
      <c r="I309" t="s">
        <v>495</v>
      </c>
      <c r="J309">
        <v>-1.32</v>
      </c>
      <c r="K309">
        <v>0.63</v>
      </c>
      <c r="L309">
        <v>-2.095238095</v>
      </c>
      <c r="M309">
        <v>288</v>
      </c>
      <c r="N309">
        <v>7</v>
      </c>
      <c r="O309">
        <v>280</v>
      </c>
      <c r="P309">
        <v>-0.124244223</v>
      </c>
      <c r="Q309">
        <v>-0.12488951399999999</v>
      </c>
      <c r="R309">
        <v>5.9234887999999999E-2</v>
      </c>
      <c r="S309">
        <v>-8.7891340000000005E-3</v>
      </c>
      <c r="T309">
        <v>-0.24098989400000001</v>
      </c>
      <c r="U309">
        <v>5.8116938E-2</v>
      </c>
      <c r="V309">
        <v>3.4199999999999999E-3</v>
      </c>
      <c r="W309">
        <v>-0.11753205899999999</v>
      </c>
      <c r="X309">
        <v>-0.13095638700000001</v>
      </c>
      <c r="Y309" t="s">
        <v>654</v>
      </c>
      <c r="Z309" t="s">
        <v>653</v>
      </c>
      <c r="AA309">
        <v>1</v>
      </c>
      <c r="AB309" t="s">
        <v>51</v>
      </c>
      <c r="AC309" t="s">
        <v>640</v>
      </c>
    </row>
    <row r="310" spans="1:31" x14ac:dyDescent="0.25">
      <c r="A310">
        <v>2011</v>
      </c>
      <c r="B310" t="s">
        <v>156</v>
      </c>
      <c r="C310" t="s">
        <v>108</v>
      </c>
      <c r="D310" t="s">
        <v>42</v>
      </c>
      <c r="E310" t="s">
        <v>617</v>
      </c>
      <c r="F310" t="s">
        <v>548</v>
      </c>
      <c r="G310">
        <v>3090</v>
      </c>
      <c r="H310" t="s">
        <v>549</v>
      </c>
      <c r="I310" t="s">
        <v>495</v>
      </c>
      <c r="J310">
        <v>-0.52</v>
      </c>
      <c r="K310">
        <v>0.23</v>
      </c>
      <c r="L310">
        <v>-2.2608695650000001</v>
      </c>
      <c r="M310">
        <v>3090</v>
      </c>
      <c r="N310">
        <v>7</v>
      </c>
      <c r="O310">
        <v>3082</v>
      </c>
      <c r="P310">
        <v>-4.0691091999999998E-2</v>
      </c>
      <c r="Q310">
        <v>-4.0713573000000003E-2</v>
      </c>
      <c r="R310">
        <v>1.7998308000000001E-2</v>
      </c>
      <c r="S310">
        <v>-5.4368890000000003E-3</v>
      </c>
      <c r="T310">
        <v>-7.5990257000000005E-2</v>
      </c>
      <c r="U310">
        <v>1.7962689E-2</v>
      </c>
      <c r="V310">
        <v>3.2299999999999999E-4</v>
      </c>
      <c r="W310">
        <v>-4.0057735999999997E-2</v>
      </c>
      <c r="X310">
        <v>-4.1324448999999999E-2</v>
      </c>
      <c r="Y310" t="s">
        <v>655</v>
      </c>
      <c r="Z310" t="s">
        <v>653</v>
      </c>
      <c r="AA310">
        <v>1</v>
      </c>
      <c r="AB310" t="s">
        <v>51</v>
      </c>
      <c r="AC310" t="s">
        <v>247</v>
      </c>
    </row>
    <row r="311" spans="1:31" x14ac:dyDescent="0.25">
      <c r="A311">
        <v>2011</v>
      </c>
      <c r="B311" t="s">
        <v>156</v>
      </c>
      <c r="C311" t="s">
        <v>108</v>
      </c>
      <c r="D311" t="s">
        <v>42</v>
      </c>
      <c r="E311" t="s">
        <v>617</v>
      </c>
      <c r="F311" t="s">
        <v>548</v>
      </c>
      <c r="G311">
        <v>252</v>
      </c>
      <c r="H311" t="s">
        <v>549</v>
      </c>
      <c r="I311" t="s">
        <v>495</v>
      </c>
      <c r="J311">
        <v>-0.27</v>
      </c>
      <c r="K311">
        <v>0.97</v>
      </c>
      <c r="L311">
        <v>-0.27835051500000002</v>
      </c>
      <c r="M311">
        <v>252</v>
      </c>
      <c r="N311">
        <v>7</v>
      </c>
      <c r="O311">
        <v>244</v>
      </c>
      <c r="P311">
        <v>-1.7816736999999999E-2</v>
      </c>
      <c r="Q311">
        <v>-1.7818622999999999E-2</v>
      </c>
      <c r="R311">
        <v>6.3372424999999996E-2</v>
      </c>
      <c r="S311">
        <v>0.10639133000000001</v>
      </c>
      <c r="T311">
        <v>-0.14202857599999999</v>
      </c>
      <c r="U311">
        <v>6.3099403999999998E-2</v>
      </c>
      <c r="V311">
        <v>3.9699999999999996E-3</v>
      </c>
      <c r="W311">
        <v>-1.0025955E-2</v>
      </c>
      <c r="X311">
        <v>-2.5607518999999999E-2</v>
      </c>
      <c r="Y311" t="s">
        <v>656</v>
      </c>
      <c r="Z311" t="s">
        <v>653</v>
      </c>
      <c r="AA311">
        <v>1</v>
      </c>
      <c r="AB311" t="s">
        <v>51</v>
      </c>
      <c r="AC311" t="s">
        <v>640</v>
      </c>
    </row>
    <row r="312" spans="1:31" x14ac:dyDescent="0.25">
      <c r="A312">
        <v>2011</v>
      </c>
      <c r="B312" t="s">
        <v>156</v>
      </c>
      <c r="C312" t="s">
        <v>108</v>
      </c>
      <c r="D312" t="s">
        <v>42</v>
      </c>
      <c r="E312" t="s">
        <v>617</v>
      </c>
      <c r="F312" t="s">
        <v>548</v>
      </c>
      <c r="G312">
        <v>1904</v>
      </c>
      <c r="H312" t="s">
        <v>549</v>
      </c>
      <c r="I312" t="s">
        <v>495</v>
      </c>
      <c r="J312">
        <v>-4.8319300000000003E-2</v>
      </c>
      <c r="K312">
        <v>1.4904000000000001E-2</v>
      </c>
      <c r="L312">
        <v>-3.2420356950000002</v>
      </c>
      <c r="M312">
        <v>1904</v>
      </c>
      <c r="N312">
        <v>1</v>
      </c>
      <c r="O312">
        <v>1902</v>
      </c>
      <c r="P312">
        <v>-7.4133728999999995E-2</v>
      </c>
      <c r="Q312">
        <v>-7.4269986999999996E-2</v>
      </c>
      <c r="R312">
        <v>2.2935539000000001E-2</v>
      </c>
      <c r="S312">
        <v>-2.9316331000000001E-2</v>
      </c>
      <c r="T312">
        <v>-0.119223642</v>
      </c>
      <c r="U312">
        <v>2.2797499999999998E-2</v>
      </c>
      <c r="V312">
        <v>5.22E-4</v>
      </c>
      <c r="W312">
        <v>-7.3109704999999997E-2</v>
      </c>
      <c r="X312">
        <v>-7.5157751999999994E-2</v>
      </c>
      <c r="Y312" t="s">
        <v>657</v>
      </c>
      <c r="Z312" t="s">
        <v>658</v>
      </c>
      <c r="AA312">
        <v>1</v>
      </c>
      <c r="AB312" t="s">
        <v>51</v>
      </c>
      <c r="AC312" t="s">
        <v>247</v>
      </c>
    </row>
    <row r="313" spans="1:31" x14ac:dyDescent="0.25">
      <c r="A313">
        <v>2014</v>
      </c>
      <c r="B313" t="s">
        <v>156</v>
      </c>
      <c r="C313" t="s">
        <v>108</v>
      </c>
      <c r="D313" t="s">
        <v>42</v>
      </c>
      <c r="E313" t="s">
        <v>617</v>
      </c>
      <c r="F313" t="s">
        <v>548</v>
      </c>
      <c r="G313">
        <v>6382</v>
      </c>
      <c r="H313" t="s">
        <v>549</v>
      </c>
      <c r="I313" t="s">
        <v>495</v>
      </c>
      <c r="J313">
        <v>8.4259000000000001E-3</v>
      </c>
      <c r="K313">
        <v>1.23304E-2</v>
      </c>
      <c r="L313">
        <v>0.68334309999999998</v>
      </c>
      <c r="M313">
        <v>6382</v>
      </c>
      <c r="N313">
        <v>4787</v>
      </c>
      <c r="O313">
        <v>1595</v>
      </c>
      <c r="P313">
        <v>1.7107829000000001E-2</v>
      </c>
      <c r="Q313">
        <v>1.7109499E-2</v>
      </c>
      <c r="R313">
        <v>1.2520557999999999E-2</v>
      </c>
      <c r="S313">
        <v>4.1649792999999997E-2</v>
      </c>
      <c r="T313">
        <v>-7.4307959999999999E-3</v>
      </c>
      <c r="U313">
        <v>1.2514931999999999E-2</v>
      </c>
      <c r="V313">
        <v>1.5699999999999999E-4</v>
      </c>
      <c r="W313">
        <v>1.7414876999999999E-2</v>
      </c>
      <c r="X313">
        <v>1.6800781000000001E-2</v>
      </c>
      <c r="Y313" t="s">
        <v>551</v>
      </c>
      <c r="Z313" t="s">
        <v>659</v>
      </c>
      <c r="AA313">
        <v>1</v>
      </c>
      <c r="AB313" t="s">
        <v>51</v>
      </c>
      <c r="AC313" t="s">
        <v>247</v>
      </c>
    </row>
    <row r="314" spans="1:31" x14ac:dyDescent="0.25">
      <c r="A314">
        <v>2014</v>
      </c>
      <c r="B314" t="s">
        <v>156</v>
      </c>
      <c r="C314" t="s">
        <v>108</v>
      </c>
      <c r="D314" t="s">
        <v>42</v>
      </c>
      <c r="E314" t="s">
        <v>617</v>
      </c>
      <c r="F314" t="s">
        <v>548</v>
      </c>
      <c r="G314">
        <v>10484</v>
      </c>
      <c r="H314" t="s">
        <v>549</v>
      </c>
      <c r="I314" t="s">
        <v>495</v>
      </c>
      <c r="J314">
        <v>4.0000000000000001E-3</v>
      </c>
      <c r="K314">
        <v>5.3544999999999999E-3</v>
      </c>
      <c r="L314">
        <v>0.74703520400000001</v>
      </c>
      <c r="M314">
        <v>10484</v>
      </c>
      <c r="N314">
        <v>1</v>
      </c>
      <c r="O314">
        <v>10483</v>
      </c>
      <c r="P314">
        <v>7.296032E-3</v>
      </c>
      <c r="Q314">
        <v>7.2961609999999998E-3</v>
      </c>
      <c r="R314">
        <v>9.7678420000000005E-3</v>
      </c>
      <c r="S314">
        <v>2.6441131999999999E-2</v>
      </c>
      <c r="T314">
        <v>-1.184881E-2</v>
      </c>
      <c r="U314">
        <v>9.7663909999999993E-3</v>
      </c>
      <c r="V314">
        <v>9.5400000000000001E-5</v>
      </c>
      <c r="W314">
        <v>7.482982E-3</v>
      </c>
      <c r="X314">
        <v>7.1090809999999997E-3</v>
      </c>
      <c r="Y314" t="s">
        <v>551</v>
      </c>
      <c r="Z314" t="s">
        <v>659</v>
      </c>
      <c r="AA314">
        <v>1</v>
      </c>
      <c r="AB314" t="s">
        <v>51</v>
      </c>
      <c r="AC314" t="s">
        <v>247</v>
      </c>
      <c r="AE314">
        <v>1</v>
      </c>
    </row>
    <row r="315" spans="1:31" x14ac:dyDescent="0.25">
      <c r="A315">
        <v>2014</v>
      </c>
      <c r="B315" t="s">
        <v>156</v>
      </c>
      <c r="C315" t="s">
        <v>108</v>
      </c>
      <c r="D315" t="s">
        <v>42</v>
      </c>
      <c r="E315" t="s">
        <v>617</v>
      </c>
      <c r="F315" t="s">
        <v>548</v>
      </c>
      <c r="G315">
        <v>244</v>
      </c>
      <c r="H315" t="s">
        <v>549</v>
      </c>
      <c r="I315" t="s">
        <v>495</v>
      </c>
      <c r="J315">
        <v>-0.10634689999999999</v>
      </c>
      <c r="K315">
        <v>5.3151499999999997E-2</v>
      </c>
      <c r="L315">
        <v>-2.000825941</v>
      </c>
      <c r="M315">
        <v>244</v>
      </c>
      <c r="N315">
        <v>1</v>
      </c>
      <c r="O315">
        <v>242</v>
      </c>
      <c r="P315">
        <v>-0.12756714599999999</v>
      </c>
      <c r="Q315">
        <v>-0.12826596500000001</v>
      </c>
      <c r="R315">
        <v>6.4415662999999998E-2</v>
      </c>
      <c r="S315">
        <v>-2.0112659999999998E-3</v>
      </c>
      <c r="T315">
        <v>-0.25452066299999998</v>
      </c>
      <c r="U315">
        <v>6.3106092000000003E-2</v>
      </c>
      <c r="V315">
        <v>4.0400000000000002E-3</v>
      </c>
      <c r="W315">
        <v>-0.11964883699999999</v>
      </c>
      <c r="X315">
        <v>-0.135485455</v>
      </c>
      <c r="Y315" t="s">
        <v>313</v>
      </c>
      <c r="Z315" t="s">
        <v>660</v>
      </c>
      <c r="AA315">
        <v>1</v>
      </c>
      <c r="AB315" t="s">
        <v>51</v>
      </c>
      <c r="AC315" t="s">
        <v>247</v>
      </c>
    </row>
    <row r="316" spans="1:31" x14ac:dyDescent="0.25">
      <c r="A316">
        <v>2015</v>
      </c>
      <c r="B316" t="s">
        <v>156</v>
      </c>
      <c r="C316" t="s">
        <v>108</v>
      </c>
      <c r="D316" t="s">
        <v>42</v>
      </c>
      <c r="E316" t="s">
        <v>617</v>
      </c>
      <c r="F316" t="s">
        <v>548</v>
      </c>
      <c r="G316">
        <v>14637</v>
      </c>
      <c r="H316" t="s">
        <v>549</v>
      </c>
      <c r="I316" t="s">
        <v>661</v>
      </c>
      <c r="J316">
        <v>-2.4E-2</v>
      </c>
      <c r="K316">
        <v>6.0000000000000001E-3</v>
      </c>
      <c r="L316">
        <v>-4</v>
      </c>
      <c r="M316">
        <v>14637</v>
      </c>
      <c r="N316">
        <v>297</v>
      </c>
      <c r="O316">
        <v>14340</v>
      </c>
      <c r="P316">
        <v>-3.3384376E-2</v>
      </c>
      <c r="Q316">
        <v>-3.3396786999999997E-2</v>
      </c>
      <c r="R316">
        <v>8.2664390000000004E-3</v>
      </c>
      <c r="S316">
        <v>-1.7194566000000001E-2</v>
      </c>
      <c r="T316">
        <v>-4.9599008E-2</v>
      </c>
      <c r="U316">
        <v>8.2566619999999997E-3</v>
      </c>
      <c r="V316">
        <v>6.8200000000000004E-5</v>
      </c>
      <c r="W316">
        <v>-3.3250613999999998E-2</v>
      </c>
      <c r="X316">
        <v>-3.3518139000000002E-2</v>
      </c>
      <c r="Y316" t="s">
        <v>662</v>
      </c>
      <c r="Z316" t="s">
        <v>663</v>
      </c>
      <c r="AA316">
        <v>1</v>
      </c>
      <c r="AB316" t="s">
        <v>51</v>
      </c>
      <c r="AC316" t="s">
        <v>247</v>
      </c>
    </row>
    <row r="317" spans="1:31" x14ac:dyDescent="0.25">
      <c r="A317">
        <v>2015</v>
      </c>
      <c r="B317" t="s">
        <v>156</v>
      </c>
      <c r="C317" t="s">
        <v>108</v>
      </c>
      <c r="D317" t="s">
        <v>42</v>
      </c>
      <c r="E317" t="s">
        <v>617</v>
      </c>
      <c r="F317" t="s">
        <v>664</v>
      </c>
      <c r="G317">
        <v>9396</v>
      </c>
      <c r="H317" t="s">
        <v>549</v>
      </c>
      <c r="I317" t="s">
        <v>661</v>
      </c>
      <c r="J317">
        <v>-0.02</v>
      </c>
      <c r="K317">
        <v>6.0000000000000001E-3</v>
      </c>
      <c r="L317">
        <v>-3.3333333330000001</v>
      </c>
      <c r="M317">
        <v>9396</v>
      </c>
      <c r="N317">
        <v>100</v>
      </c>
      <c r="O317">
        <v>9296</v>
      </c>
      <c r="P317">
        <v>-3.4551849000000003E-2</v>
      </c>
      <c r="Q317">
        <v>-3.4565608999999997E-2</v>
      </c>
      <c r="R317">
        <v>1.0318055E-2</v>
      </c>
      <c r="S317">
        <v>-1.4342221E-2</v>
      </c>
      <c r="T317">
        <v>-5.4788996999999999E-2</v>
      </c>
      <c r="U317">
        <v>1.030464E-2</v>
      </c>
      <c r="V317">
        <v>1.06E-4</v>
      </c>
      <c r="W317">
        <v>-3.4343487999999998E-2</v>
      </c>
      <c r="X317">
        <v>-3.4760210999999999E-2</v>
      </c>
      <c r="Y317" t="s">
        <v>665</v>
      </c>
      <c r="Z317" t="s">
        <v>666</v>
      </c>
      <c r="AA317">
        <v>1</v>
      </c>
      <c r="AB317" t="s">
        <v>51</v>
      </c>
      <c r="AC317" t="s">
        <v>247</v>
      </c>
    </row>
    <row r="318" spans="1:31" x14ac:dyDescent="0.25">
      <c r="A318">
        <v>2015</v>
      </c>
      <c r="B318" t="s">
        <v>156</v>
      </c>
      <c r="C318" t="s">
        <v>108</v>
      </c>
      <c r="D318" t="s">
        <v>42</v>
      </c>
      <c r="E318" t="s">
        <v>617</v>
      </c>
      <c r="F318" t="s">
        <v>548</v>
      </c>
      <c r="G318">
        <v>300</v>
      </c>
      <c r="H318" t="s">
        <v>549</v>
      </c>
      <c r="I318" t="s">
        <v>495</v>
      </c>
      <c r="J318">
        <v>-0.05</v>
      </c>
      <c r="K318">
        <v>2.66903E-2</v>
      </c>
      <c r="L318">
        <v>-1.873339753</v>
      </c>
      <c r="M318">
        <v>800</v>
      </c>
      <c r="N318">
        <v>1</v>
      </c>
      <c r="O318">
        <v>798</v>
      </c>
      <c r="P318">
        <v>-6.6170168000000001E-2</v>
      </c>
      <c r="Q318">
        <v>-6.6266997999999994E-2</v>
      </c>
      <c r="R318">
        <v>3.5421817000000001E-2</v>
      </c>
      <c r="S318">
        <v>3.1597639999999998E-3</v>
      </c>
      <c r="T318">
        <v>-0.13569376</v>
      </c>
      <c r="U318">
        <v>3.5222557000000002E-2</v>
      </c>
      <c r="V318">
        <v>1.25E-3</v>
      </c>
      <c r="W318">
        <v>-6.3729369999999994E-2</v>
      </c>
      <c r="X318">
        <v>-6.8610966999999995E-2</v>
      </c>
      <c r="Y318" t="s">
        <v>667</v>
      </c>
      <c r="Z318" t="s">
        <v>668</v>
      </c>
      <c r="AA318">
        <v>1</v>
      </c>
      <c r="AB318" t="s">
        <v>51</v>
      </c>
      <c r="AC318" t="s">
        <v>247</v>
      </c>
    </row>
    <row r="319" spans="1:31" x14ac:dyDescent="0.25">
      <c r="A319">
        <v>2016</v>
      </c>
      <c r="B319" t="s">
        <v>156</v>
      </c>
      <c r="C319" t="s">
        <v>108</v>
      </c>
      <c r="D319" t="s">
        <v>42</v>
      </c>
      <c r="E319" t="s">
        <v>617</v>
      </c>
      <c r="F319" t="s">
        <v>548</v>
      </c>
      <c r="G319">
        <v>8914</v>
      </c>
      <c r="H319" t="s">
        <v>549</v>
      </c>
      <c r="I319" t="s">
        <v>495</v>
      </c>
      <c r="J319">
        <v>-1.12E-2</v>
      </c>
      <c r="K319">
        <v>8.0000000000000002E-3</v>
      </c>
      <c r="L319">
        <v>-1.4</v>
      </c>
      <c r="M319">
        <v>8914</v>
      </c>
      <c r="N319">
        <v>3</v>
      </c>
      <c r="O319">
        <v>8911</v>
      </c>
      <c r="P319">
        <v>-1.4829177000000001E-2</v>
      </c>
      <c r="Q319">
        <v>-1.4830263999999999E-2</v>
      </c>
      <c r="R319">
        <v>1.0593434000000001E-2</v>
      </c>
      <c r="S319">
        <v>5.9328669999999997E-3</v>
      </c>
      <c r="T319">
        <v>-3.5593395999999999E-2</v>
      </c>
      <c r="U319">
        <v>1.0589916E-2</v>
      </c>
      <c r="V319">
        <v>1.12E-4</v>
      </c>
      <c r="W319">
        <v>-1.4609334E-2</v>
      </c>
      <c r="X319">
        <v>-1.504902E-2</v>
      </c>
      <c r="Y319" t="s">
        <v>669</v>
      </c>
      <c r="Z319" t="s">
        <v>670</v>
      </c>
      <c r="AA319">
        <v>1</v>
      </c>
      <c r="AB319" t="s">
        <v>51</v>
      </c>
      <c r="AC319" t="s">
        <v>671</v>
      </c>
    </row>
    <row r="320" spans="1:31" x14ac:dyDescent="0.25">
      <c r="A320">
        <v>2017</v>
      </c>
      <c r="B320" t="s">
        <v>156</v>
      </c>
      <c r="C320" t="s">
        <v>108</v>
      </c>
      <c r="D320" t="s">
        <v>42</v>
      </c>
      <c r="E320" t="s">
        <v>617</v>
      </c>
      <c r="F320" t="s">
        <v>548</v>
      </c>
      <c r="G320">
        <v>2744</v>
      </c>
      <c r="H320" t="s">
        <v>549</v>
      </c>
      <c r="I320" t="s">
        <v>495</v>
      </c>
      <c r="J320">
        <v>-9.5000000000000001E-2</v>
      </c>
      <c r="K320">
        <v>2.4E-2</v>
      </c>
      <c r="L320">
        <v>-3.9583333330000001</v>
      </c>
      <c r="M320">
        <v>2744</v>
      </c>
      <c r="N320">
        <v>14</v>
      </c>
      <c r="O320">
        <v>2729</v>
      </c>
      <c r="P320">
        <v>-7.5555733E-2</v>
      </c>
      <c r="Q320">
        <v>-7.5700002000000002E-2</v>
      </c>
      <c r="R320">
        <v>1.9100532999999999E-2</v>
      </c>
      <c r="S320">
        <v>-3.8262957E-2</v>
      </c>
      <c r="T320">
        <v>-0.113137046</v>
      </c>
      <c r="U320">
        <v>1.8984569E-2</v>
      </c>
      <c r="V320">
        <v>3.6200000000000002E-4</v>
      </c>
      <c r="W320">
        <v>-7.4845394999999995E-2</v>
      </c>
      <c r="X320">
        <v>-7.6266070000000005E-2</v>
      </c>
      <c r="Y320" t="s">
        <v>672</v>
      </c>
      <c r="Z320" t="s">
        <v>673</v>
      </c>
      <c r="AA320">
        <v>1</v>
      </c>
      <c r="AB320" t="s">
        <v>51</v>
      </c>
      <c r="AC320" t="s">
        <v>247</v>
      </c>
    </row>
    <row r="321" spans="1:32" x14ac:dyDescent="0.25">
      <c r="A321">
        <v>2019</v>
      </c>
      <c r="B321" t="s">
        <v>156</v>
      </c>
      <c r="C321" t="s">
        <v>108</v>
      </c>
      <c r="D321" t="s">
        <v>42</v>
      </c>
      <c r="E321" t="s">
        <v>617</v>
      </c>
      <c r="F321" t="s">
        <v>548</v>
      </c>
      <c r="G321">
        <v>6949</v>
      </c>
      <c r="H321" t="s">
        <v>549</v>
      </c>
      <c r="I321" t="s">
        <v>550</v>
      </c>
      <c r="J321">
        <v>-1.99072E-2</v>
      </c>
      <c r="K321">
        <v>9.0115999999999998E-3</v>
      </c>
      <c r="L321">
        <v>-2.209076</v>
      </c>
      <c r="M321">
        <v>6949</v>
      </c>
      <c r="N321">
        <v>69</v>
      </c>
      <c r="O321">
        <v>6880</v>
      </c>
      <c r="P321">
        <v>-2.6623336000000001E-2</v>
      </c>
      <c r="Q321">
        <v>-2.6629628999999998E-2</v>
      </c>
      <c r="R321">
        <v>1.1998656E-2</v>
      </c>
      <c r="S321">
        <v>-3.1122620000000002E-3</v>
      </c>
      <c r="T321">
        <v>-5.0146995E-2</v>
      </c>
      <c r="U321">
        <v>1.1988426E-2</v>
      </c>
      <c r="V321">
        <v>1.44E-4</v>
      </c>
      <c r="W321">
        <v>-2.6341460000000001E-2</v>
      </c>
      <c r="X321">
        <v>-2.6905210999999998E-2</v>
      </c>
      <c r="Y321" t="s">
        <v>674</v>
      </c>
      <c r="Z321" t="s">
        <v>552</v>
      </c>
      <c r="AA321">
        <v>1</v>
      </c>
      <c r="AB321" t="s">
        <v>51</v>
      </c>
      <c r="AC321" t="s">
        <v>247</v>
      </c>
    </row>
    <row r="322" spans="1:32" x14ac:dyDescent="0.25">
      <c r="A322">
        <v>2019</v>
      </c>
      <c r="B322" t="s">
        <v>156</v>
      </c>
      <c r="C322" t="s">
        <v>108</v>
      </c>
      <c r="D322" t="s">
        <v>42</v>
      </c>
      <c r="E322" t="s">
        <v>617</v>
      </c>
      <c r="F322" t="s">
        <v>548</v>
      </c>
      <c r="G322">
        <v>1200</v>
      </c>
      <c r="H322" t="s">
        <v>549</v>
      </c>
      <c r="I322" t="s">
        <v>675</v>
      </c>
      <c r="J322">
        <v>7.6999999999999999E-2</v>
      </c>
      <c r="K322">
        <v>0.02</v>
      </c>
      <c r="L322">
        <v>3.85</v>
      </c>
      <c r="M322">
        <v>1200</v>
      </c>
      <c r="N322">
        <v>1</v>
      </c>
      <c r="O322">
        <v>1198</v>
      </c>
      <c r="P322">
        <v>0.110550855</v>
      </c>
      <c r="Q322">
        <v>0.11100455200000001</v>
      </c>
      <c r="R322">
        <v>2.8903666000000001E-2</v>
      </c>
      <c r="S322">
        <v>0.167655737</v>
      </c>
      <c r="T322">
        <v>5.4353367999999999E-2</v>
      </c>
      <c r="U322">
        <v>2.8526598E-2</v>
      </c>
      <c r="V322">
        <v>8.2299999999999995E-4</v>
      </c>
      <c r="W322">
        <v>0.1121649</v>
      </c>
      <c r="X322">
        <v>0.10893681099999999</v>
      </c>
      <c r="Y322" t="s">
        <v>676</v>
      </c>
      <c r="Z322" t="s">
        <v>677</v>
      </c>
      <c r="AA322">
        <v>1</v>
      </c>
      <c r="AB322" t="s">
        <v>51</v>
      </c>
      <c r="AC322" t="s">
        <v>640</v>
      </c>
    </row>
    <row r="323" spans="1:32" x14ac:dyDescent="0.25">
      <c r="A323">
        <v>2020</v>
      </c>
      <c r="B323" t="s">
        <v>156</v>
      </c>
      <c r="C323" t="s">
        <v>108</v>
      </c>
      <c r="D323" t="s">
        <v>42</v>
      </c>
      <c r="E323" t="s">
        <v>617</v>
      </c>
      <c r="F323" t="s">
        <v>548</v>
      </c>
      <c r="G323">
        <v>35275</v>
      </c>
      <c r="H323" t="s">
        <v>549</v>
      </c>
      <c r="I323" t="s">
        <v>550</v>
      </c>
      <c r="J323">
        <v>-1.6873099999999999E-2</v>
      </c>
      <c r="K323">
        <v>3.9969000000000003E-3</v>
      </c>
      <c r="L323">
        <v>-4.2215720000000001</v>
      </c>
      <c r="M323">
        <v>35275</v>
      </c>
      <c r="N323">
        <v>15</v>
      </c>
      <c r="O323">
        <v>35112</v>
      </c>
      <c r="P323">
        <v>-2.2523517999999999E-2</v>
      </c>
      <c r="Q323">
        <v>-2.2527327999999999E-2</v>
      </c>
      <c r="R323">
        <v>5.3245749999999998E-3</v>
      </c>
      <c r="S323">
        <v>-1.2091161E-2</v>
      </c>
      <c r="T323">
        <v>-3.2963495000000002E-2</v>
      </c>
      <c r="U323">
        <v>5.3217230000000004E-3</v>
      </c>
      <c r="V323">
        <v>2.83E-5</v>
      </c>
      <c r="W323">
        <v>-2.2467982000000001E-2</v>
      </c>
      <c r="X323">
        <v>-2.2579054000000001E-2</v>
      </c>
      <c r="Y323" t="s">
        <v>551</v>
      </c>
      <c r="Z323" t="s">
        <v>552</v>
      </c>
      <c r="AA323">
        <v>1</v>
      </c>
      <c r="AB323" t="s">
        <v>51</v>
      </c>
      <c r="AC323" t="s">
        <v>247</v>
      </c>
    </row>
    <row r="324" spans="1:32" x14ac:dyDescent="0.25">
      <c r="A324">
        <v>2024</v>
      </c>
      <c r="B324" t="s">
        <v>156</v>
      </c>
      <c r="C324" t="s">
        <v>108</v>
      </c>
      <c r="D324" t="s">
        <v>42</v>
      </c>
      <c r="E324" t="s">
        <v>617</v>
      </c>
      <c r="F324" t="s">
        <v>548</v>
      </c>
      <c r="G324">
        <v>11190</v>
      </c>
      <c r="H324" t="s">
        <v>549</v>
      </c>
      <c r="I324" t="s">
        <v>678</v>
      </c>
      <c r="J324">
        <v>-6.6845399999999999E-2</v>
      </c>
      <c r="K324">
        <v>8.9999999999999993E-3</v>
      </c>
      <c r="L324">
        <v>-7.4272666669999996</v>
      </c>
      <c r="M324">
        <v>11190</v>
      </c>
      <c r="O324">
        <v>11189</v>
      </c>
      <c r="P324">
        <v>-7.0043111000000005E-2</v>
      </c>
      <c r="Q324">
        <v>-7.0157994000000001E-2</v>
      </c>
      <c r="R324">
        <v>9.4546000000000005E-3</v>
      </c>
      <c r="S324">
        <v>-5.1626976999999998E-2</v>
      </c>
      <c r="T324">
        <v>-8.8689010999999998E-2</v>
      </c>
      <c r="U324">
        <v>9.4073750000000008E-3</v>
      </c>
      <c r="V324">
        <v>8.8900000000000006E-5</v>
      </c>
      <c r="W324">
        <v>-6.9868806000000006E-2</v>
      </c>
      <c r="X324">
        <v>-7.0217416000000005E-2</v>
      </c>
      <c r="Y324" t="s">
        <v>679</v>
      </c>
      <c r="Z324" t="s">
        <v>680</v>
      </c>
      <c r="AA324">
        <v>1</v>
      </c>
      <c r="AB324" t="s">
        <v>51</v>
      </c>
      <c r="AC324" t="s">
        <v>247</v>
      </c>
    </row>
    <row r="325" spans="1:32" x14ac:dyDescent="0.25">
      <c r="A325">
        <v>2024</v>
      </c>
      <c r="B325" t="s">
        <v>156</v>
      </c>
      <c r="C325" t="s">
        <v>108</v>
      </c>
      <c r="D325" t="s">
        <v>42</v>
      </c>
      <c r="E325" t="s">
        <v>617</v>
      </c>
      <c r="F325" t="s">
        <v>548</v>
      </c>
      <c r="G325">
        <v>864</v>
      </c>
      <c r="H325" t="s">
        <v>681</v>
      </c>
      <c r="I325" t="s">
        <v>495</v>
      </c>
      <c r="J325">
        <v>0.04</v>
      </c>
      <c r="K325">
        <v>0.04</v>
      </c>
      <c r="L325">
        <v>1</v>
      </c>
      <c r="M325">
        <v>145</v>
      </c>
      <c r="N325">
        <v>1</v>
      </c>
      <c r="O325">
        <v>143</v>
      </c>
      <c r="P325">
        <v>8.3333332999999996E-2</v>
      </c>
      <c r="Q325">
        <v>8.3527041999999996E-2</v>
      </c>
      <c r="R325">
        <v>8.3918136000000004E-2</v>
      </c>
      <c r="S325">
        <v>0.248006589</v>
      </c>
      <c r="T325">
        <v>-8.0952503999999995E-2</v>
      </c>
      <c r="U325">
        <v>8.2754629999999996E-2</v>
      </c>
      <c r="V325">
        <v>6.8700000000000002E-3</v>
      </c>
      <c r="W325">
        <v>9.6803233000000002E-2</v>
      </c>
      <c r="X325">
        <v>6.9863433000000003E-2</v>
      </c>
      <c r="Y325" t="s">
        <v>682</v>
      </c>
      <c r="Z325" t="s">
        <v>683</v>
      </c>
      <c r="AA325">
        <v>1</v>
      </c>
      <c r="AB325" t="s">
        <v>51</v>
      </c>
      <c r="AC325" t="s">
        <v>247</v>
      </c>
    </row>
    <row r="326" spans="1:32" x14ac:dyDescent="0.25">
      <c r="A326">
        <v>2024</v>
      </c>
      <c r="B326" t="s">
        <v>156</v>
      </c>
      <c r="C326" t="s">
        <v>108</v>
      </c>
      <c r="D326" t="s">
        <v>42</v>
      </c>
      <c r="E326" t="s">
        <v>617</v>
      </c>
      <c r="F326" t="s">
        <v>684</v>
      </c>
      <c r="G326">
        <v>864</v>
      </c>
      <c r="H326" t="s">
        <v>681</v>
      </c>
      <c r="I326" t="s">
        <v>495</v>
      </c>
      <c r="J326">
        <v>0.02</v>
      </c>
      <c r="K326">
        <v>0.01</v>
      </c>
      <c r="L326">
        <v>2</v>
      </c>
      <c r="M326">
        <v>145</v>
      </c>
      <c r="N326">
        <v>1</v>
      </c>
      <c r="O326">
        <v>143</v>
      </c>
      <c r="P326">
        <v>0.16495721999999999</v>
      </c>
      <c r="Q326">
        <v>0.166478343</v>
      </c>
      <c r="R326">
        <v>8.3918136000000004E-2</v>
      </c>
      <c r="S326">
        <v>0.33095788999999998</v>
      </c>
      <c r="T326">
        <v>1.9987970000000001E-3</v>
      </c>
      <c r="U326">
        <v>8.1065760000000001E-2</v>
      </c>
      <c r="V326">
        <v>6.7299999999999999E-3</v>
      </c>
      <c r="W326">
        <v>0.178152224</v>
      </c>
      <c r="X326">
        <v>0.15176221600000001</v>
      </c>
      <c r="Y326" t="s">
        <v>685</v>
      </c>
      <c r="Z326" t="s">
        <v>683</v>
      </c>
      <c r="AA326">
        <v>1</v>
      </c>
      <c r="AB326" t="s">
        <v>51</v>
      </c>
      <c r="AC326" t="s">
        <v>247</v>
      </c>
    </row>
    <row r="327" spans="1:32" x14ac:dyDescent="0.25">
      <c r="A327" t="s">
        <v>686</v>
      </c>
      <c r="B327" t="s">
        <v>156</v>
      </c>
      <c r="C327" t="s">
        <v>107</v>
      </c>
      <c r="D327" t="s">
        <v>42</v>
      </c>
      <c r="E327" t="s">
        <v>617</v>
      </c>
      <c r="F327" t="s">
        <v>687</v>
      </c>
      <c r="G327">
        <v>449</v>
      </c>
      <c r="H327" t="s">
        <v>549</v>
      </c>
      <c r="I327" t="s">
        <v>688</v>
      </c>
      <c r="J327">
        <v>-0.1699206</v>
      </c>
      <c r="K327">
        <v>3.25183E-2</v>
      </c>
      <c r="L327">
        <v>-5.2253838610000001</v>
      </c>
      <c r="M327">
        <v>449</v>
      </c>
      <c r="N327">
        <v>1</v>
      </c>
      <c r="O327">
        <v>447</v>
      </c>
      <c r="P327">
        <v>-0.239932741</v>
      </c>
      <c r="Q327">
        <v>-0.244702743</v>
      </c>
      <c r="R327">
        <v>4.7351372000000003E-2</v>
      </c>
      <c r="S327">
        <v>-0.151894054</v>
      </c>
      <c r="T327">
        <v>-0.33751143300000003</v>
      </c>
      <c r="U327">
        <v>4.4525740000000001E-2</v>
      </c>
      <c r="V327">
        <v>2.0999999999999999E-3</v>
      </c>
      <c r="W327">
        <v>-0.23581419300000001</v>
      </c>
      <c r="X327">
        <v>-0.24405128800000001</v>
      </c>
      <c r="Y327" t="s">
        <v>689</v>
      </c>
      <c r="Z327" t="s">
        <v>690</v>
      </c>
      <c r="AA327">
        <v>1</v>
      </c>
      <c r="AB327" t="s">
        <v>51</v>
      </c>
      <c r="AC327" t="s">
        <v>640</v>
      </c>
    </row>
    <row r="328" spans="1:32" x14ac:dyDescent="0.25">
      <c r="A328" t="s">
        <v>686</v>
      </c>
      <c r="B328" t="s">
        <v>156</v>
      </c>
      <c r="C328" t="s">
        <v>107</v>
      </c>
      <c r="D328" t="s">
        <v>42</v>
      </c>
      <c r="E328" t="s">
        <v>617</v>
      </c>
      <c r="F328" t="s">
        <v>636</v>
      </c>
      <c r="G328">
        <v>449</v>
      </c>
      <c r="H328" t="s">
        <v>549</v>
      </c>
      <c r="I328" t="s">
        <v>688</v>
      </c>
      <c r="J328">
        <v>-0.1028968</v>
      </c>
      <c r="K328">
        <v>2.79872E-2</v>
      </c>
      <c r="L328">
        <v>-3.6765664299999998</v>
      </c>
      <c r="M328">
        <v>449</v>
      </c>
      <c r="N328">
        <v>1</v>
      </c>
      <c r="O328">
        <v>447</v>
      </c>
      <c r="P328">
        <v>-0.17132451800000001</v>
      </c>
      <c r="Q328">
        <v>-0.17303091600000001</v>
      </c>
      <c r="R328">
        <v>4.7351372000000003E-2</v>
      </c>
      <c r="S328">
        <v>-8.0222225999999994E-2</v>
      </c>
      <c r="T328">
        <v>-0.26583960600000001</v>
      </c>
      <c r="U328">
        <v>4.5858802999999997E-2</v>
      </c>
      <c r="V328">
        <v>2.16E-3</v>
      </c>
      <c r="W328">
        <v>-0.16708266499999999</v>
      </c>
      <c r="X328">
        <v>-0.175566371</v>
      </c>
      <c r="Y328" t="s">
        <v>691</v>
      </c>
      <c r="Z328" t="s">
        <v>690</v>
      </c>
      <c r="AA328">
        <v>1</v>
      </c>
      <c r="AB328" t="s">
        <v>51</v>
      </c>
      <c r="AC328" t="s">
        <v>640</v>
      </c>
    </row>
    <row r="329" spans="1:32" x14ac:dyDescent="0.25">
      <c r="A329" t="s">
        <v>692</v>
      </c>
      <c r="B329" t="s">
        <v>156</v>
      </c>
      <c r="C329" t="s">
        <v>108</v>
      </c>
      <c r="D329" t="s">
        <v>42</v>
      </c>
      <c r="E329" t="s">
        <v>617</v>
      </c>
      <c r="F329" t="s">
        <v>548</v>
      </c>
      <c r="G329">
        <v>300</v>
      </c>
      <c r="H329" t="s">
        <v>549</v>
      </c>
      <c r="I329" t="s">
        <v>495</v>
      </c>
      <c r="J329">
        <v>-0.11324529999999999</v>
      </c>
      <c r="K329">
        <v>5.4091899999999998E-2</v>
      </c>
      <c r="L329">
        <v>-2.0935722349999999</v>
      </c>
      <c r="M329">
        <v>300</v>
      </c>
      <c r="N329">
        <v>1</v>
      </c>
      <c r="O329">
        <v>298</v>
      </c>
      <c r="P329">
        <v>-0.120395217</v>
      </c>
      <c r="Q329">
        <v>-0.120982039</v>
      </c>
      <c r="R329">
        <v>5.8025884999999999E-2</v>
      </c>
      <c r="S329">
        <v>-7.2513029999999997E-3</v>
      </c>
      <c r="T329">
        <v>-0.23471277400000001</v>
      </c>
      <c r="U329">
        <v>5.6993225000000002E-2</v>
      </c>
      <c r="V329">
        <v>3.29E-3</v>
      </c>
      <c r="W329">
        <v>-0.113945826</v>
      </c>
      <c r="X329">
        <v>-0.126844607</v>
      </c>
      <c r="Y329" t="s">
        <v>693</v>
      </c>
      <c r="Z329" t="s">
        <v>694</v>
      </c>
      <c r="AA329">
        <v>1</v>
      </c>
      <c r="AB329" t="s">
        <v>51</v>
      </c>
      <c r="AC329" t="s">
        <v>155</v>
      </c>
    </row>
    <row r="330" spans="1:32" x14ac:dyDescent="0.25">
      <c r="A330" t="s">
        <v>695</v>
      </c>
      <c r="B330" t="s">
        <v>156</v>
      </c>
      <c r="C330" t="s">
        <v>108</v>
      </c>
      <c r="D330" t="s">
        <v>42</v>
      </c>
      <c r="E330" t="s">
        <v>617</v>
      </c>
      <c r="F330" t="s">
        <v>548</v>
      </c>
      <c r="G330">
        <v>220</v>
      </c>
      <c r="H330" t="s">
        <v>549</v>
      </c>
      <c r="I330" t="s">
        <v>495</v>
      </c>
      <c r="J330">
        <v>-0.113071</v>
      </c>
      <c r="K330">
        <v>5.2367400000000001E-2</v>
      </c>
      <c r="L330">
        <v>-2.1591868220000001</v>
      </c>
      <c r="M330">
        <v>220</v>
      </c>
      <c r="N330">
        <v>1</v>
      </c>
      <c r="O330">
        <v>218</v>
      </c>
      <c r="P330">
        <v>-0.144699517</v>
      </c>
      <c r="Q330">
        <v>-0.145722301</v>
      </c>
      <c r="R330">
        <v>6.7884422999999999E-2</v>
      </c>
      <c r="S330">
        <v>-1.2668832E-2</v>
      </c>
      <c r="T330">
        <v>-0.27877577100000001</v>
      </c>
      <c r="U330">
        <v>6.6158882000000002E-2</v>
      </c>
      <c r="V330">
        <v>4.4600000000000004E-3</v>
      </c>
      <c r="W330">
        <v>-0.13595707300000001</v>
      </c>
      <c r="X330">
        <v>-0.15344196199999999</v>
      </c>
      <c r="Y330" t="s">
        <v>696</v>
      </c>
      <c r="Z330" t="s">
        <v>697</v>
      </c>
      <c r="AA330">
        <v>1</v>
      </c>
      <c r="AB330" t="s">
        <v>51</v>
      </c>
      <c r="AC330" t="s">
        <v>247</v>
      </c>
    </row>
    <row r="331" spans="1:32" x14ac:dyDescent="0.25">
      <c r="A331">
        <v>1913</v>
      </c>
      <c r="B331" t="s">
        <v>156</v>
      </c>
      <c r="C331" t="s">
        <v>106</v>
      </c>
      <c r="D331" t="s">
        <v>42</v>
      </c>
      <c r="E331" t="s">
        <v>698</v>
      </c>
      <c r="F331" t="s">
        <v>699</v>
      </c>
      <c r="G331">
        <v>60</v>
      </c>
      <c r="H331" t="s">
        <v>700</v>
      </c>
      <c r="I331" t="s">
        <v>291</v>
      </c>
      <c r="J331">
        <v>-0.15</v>
      </c>
      <c r="K331">
        <v>1.2625E-3</v>
      </c>
      <c r="L331">
        <v>-118.8118812</v>
      </c>
      <c r="M331">
        <v>100000</v>
      </c>
      <c r="N331">
        <v>1</v>
      </c>
      <c r="O331">
        <v>99998</v>
      </c>
      <c r="P331">
        <v>-0.35171420399999997</v>
      </c>
      <c r="Q331">
        <v>-0.36739860200000002</v>
      </c>
      <c r="R331">
        <v>3.1623250000000001E-3</v>
      </c>
      <c r="S331">
        <v>-0.36120044499999998</v>
      </c>
      <c r="T331">
        <v>-0.373596759</v>
      </c>
      <c r="U331">
        <v>2.7711089999999999E-3</v>
      </c>
      <c r="V331">
        <v>8.7600000000000008E-6</v>
      </c>
      <c r="W331">
        <v>-0.35169702800000002</v>
      </c>
      <c r="X331">
        <v>-0.35173137900000001</v>
      </c>
      <c r="Y331" t="s">
        <v>701</v>
      </c>
      <c r="Z331" t="s">
        <v>702</v>
      </c>
      <c r="AA331">
        <v>0</v>
      </c>
      <c r="AB331" t="s">
        <v>63</v>
      </c>
      <c r="AC331" t="s">
        <v>155</v>
      </c>
    </row>
    <row r="332" spans="1:32" x14ac:dyDescent="0.25">
      <c r="A332">
        <v>1946</v>
      </c>
      <c r="B332" t="s">
        <v>156</v>
      </c>
      <c r="C332" t="s">
        <v>106</v>
      </c>
      <c r="D332" t="s">
        <v>42</v>
      </c>
      <c r="E332" t="s">
        <v>698</v>
      </c>
      <c r="F332" t="s">
        <v>699</v>
      </c>
      <c r="G332">
        <v>13500000</v>
      </c>
      <c r="H332" t="s">
        <v>703</v>
      </c>
      <c r="I332" t="s">
        <v>291</v>
      </c>
      <c r="J332">
        <v>-0.1891892</v>
      </c>
      <c r="K332">
        <v>3.2369599999999998E-2</v>
      </c>
      <c r="L332">
        <v>-5.8446567150000002</v>
      </c>
      <c r="M332">
        <v>185</v>
      </c>
      <c r="N332">
        <v>1</v>
      </c>
      <c r="O332">
        <v>183</v>
      </c>
      <c r="P332">
        <v>-0.39700000000000002</v>
      </c>
      <c r="Q332">
        <v>-0.42</v>
      </c>
      <c r="R332">
        <v>7.4124932000000004E-2</v>
      </c>
      <c r="S332">
        <v>-0.27434070500000002</v>
      </c>
      <c r="T332">
        <v>-0.56491043699999999</v>
      </c>
      <c r="U332">
        <v>6.2124416000000002E-2</v>
      </c>
      <c r="V332">
        <v>4.5700000000000003E-3</v>
      </c>
      <c r="W332">
        <v>-0.38800000000000001</v>
      </c>
      <c r="X332">
        <v>-0.40600000000000003</v>
      </c>
      <c r="Y332" t="s">
        <v>704</v>
      </c>
      <c r="Z332" t="s">
        <v>705</v>
      </c>
      <c r="AA332">
        <v>0</v>
      </c>
      <c r="AB332" t="s">
        <v>63</v>
      </c>
      <c r="AC332" t="s">
        <v>155</v>
      </c>
    </row>
    <row r="333" spans="1:32" x14ac:dyDescent="0.25">
      <c r="A333">
        <v>1940</v>
      </c>
      <c r="B333" t="s">
        <v>156</v>
      </c>
      <c r="C333" t="s">
        <v>106</v>
      </c>
      <c r="D333" t="s">
        <v>706</v>
      </c>
      <c r="E333" t="s">
        <v>198</v>
      </c>
      <c r="F333" t="s">
        <v>199</v>
      </c>
      <c r="G333">
        <v>154463</v>
      </c>
      <c r="H333" t="s">
        <v>707</v>
      </c>
      <c r="I333" t="s">
        <v>201</v>
      </c>
      <c r="J333">
        <v>-145.91999999999999</v>
      </c>
      <c r="K333">
        <v>6.13</v>
      </c>
      <c r="L333">
        <v>-23.804241439999998</v>
      </c>
      <c r="M333">
        <v>154463</v>
      </c>
      <c r="N333">
        <v>1</v>
      </c>
      <c r="O333">
        <v>154461</v>
      </c>
      <c r="P333">
        <v>-6.0457443E-2</v>
      </c>
      <c r="Q333">
        <v>-6.0531264000000001E-2</v>
      </c>
      <c r="R333">
        <v>2.5444389999999999E-3</v>
      </c>
      <c r="S333">
        <v>-5.5544165E-2</v>
      </c>
      <c r="T333">
        <v>-6.5518363999999996E-2</v>
      </c>
      <c r="U333">
        <v>2.5351219999999999E-3</v>
      </c>
      <c r="V333">
        <v>6.4500000000000001E-6</v>
      </c>
      <c r="W333">
        <v>-6.04448E-2</v>
      </c>
      <c r="X333">
        <v>-6.0470085999999999E-2</v>
      </c>
      <c r="Y333" t="s">
        <v>202</v>
      </c>
      <c r="Z333" t="s">
        <v>203</v>
      </c>
      <c r="AA333">
        <v>1</v>
      </c>
      <c r="AB333" t="s">
        <v>204</v>
      </c>
      <c r="AC333" t="s">
        <v>155</v>
      </c>
      <c r="AF333">
        <v>1</v>
      </c>
    </row>
    <row r="334" spans="1:32" x14ac:dyDescent="0.25">
      <c r="A334">
        <v>2023</v>
      </c>
      <c r="B334" t="s">
        <v>156</v>
      </c>
      <c r="C334" t="s">
        <v>108</v>
      </c>
      <c r="D334" t="s">
        <v>706</v>
      </c>
      <c r="E334" t="s">
        <v>198</v>
      </c>
      <c r="F334" t="s">
        <v>199</v>
      </c>
      <c r="G334">
        <v>547189</v>
      </c>
      <c r="H334" t="s">
        <v>708</v>
      </c>
      <c r="I334" t="s">
        <v>201</v>
      </c>
      <c r="J334">
        <v>-12487.72</v>
      </c>
      <c r="K334">
        <v>1147.08</v>
      </c>
      <c r="L334">
        <v>-10.88652927</v>
      </c>
      <c r="M334">
        <v>547189</v>
      </c>
      <c r="N334">
        <v>1</v>
      </c>
      <c r="O334">
        <v>547187</v>
      </c>
      <c r="P334">
        <v>-1.4715483E-2</v>
      </c>
      <c r="Q334">
        <v>-1.4716546E-2</v>
      </c>
      <c r="R334">
        <v>1.3518619999999999E-3</v>
      </c>
      <c r="S334">
        <v>-1.2066894999999999E-2</v>
      </c>
      <c r="T334">
        <v>-1.7366196E-2</v>
      </c>
      <c r="U334">
        <v>1.3515669999999999E-3</v>
      </c>
      <c r="V334">
        <v>1.8300000000000001E-6</v>
      </c>
      <c r="W334">
        <v>-1.4711902000000001E-2</v>
      </c>
      <c r="X334">
        <v>-1.4719065E-2</v>
      </c>
      <c r="Y334" t="s">
        <v>709</v>
      </c>
      <c r="Z334" t="s">
        <v>203</v>
      </c>
      <c r="AA334">
        <v>1</v>
      </c>
      <c r="AB334" t="s">
        <v>204</v>
      </c>
      <c r="AC334" t="s">
        <v>155</v>
      </c>
      <c r="AF334">
        <v>1</v>
      </c>
    </row>
    <row r="335" spans="1:32" x14ac:dyDescent="0.25">
      <c r="A335">
        <v>2014</v>
      </c>
      <c r="B335" t="s">
        <v>147</v>
      </c>
      <c r="C335" t="s">
        <v>108</v>
      </c>
      <c r="D335" t="s">
        <v>39</v>
      </c>
      <c r="E335" t="s">
        <v>710</v>
      </c>
      <c r="F335" t="s">
        <v>711</v>
      </c>
      <c r="G335">
        <v>120000000</v>
      </c>
      <c r="H335" t="s">
        <v>712</v>
      </c>
      <c r="I335" t="s">
        <v>712</v>
      </c>
      <c r="J335">
        <v>0.81299999999999994</v>
      </c>
      <c r="K335">
        <v>3.0000000000000001E-3</v>
      </c>
      <c r="L335">
        <v>271</v>
      </c>
      <c r="M335">
        <v>120000000</v>
      </c>
      <c r="N335">
        <v>1</v>
      </c>
      <c r="O335">
        <v>119999999</v>
      </c>
      <c r="P335">
        <v>2.4731236E-2</v>
      </c>
      <c r="Q335">
        <v>2.4736279999999999E-2</v>
      </c>
      <c r="R335">
        <v>9.1299999999999997E-5</v>
      </c>
      <c r="S335">
        <v>2.4915202000000001E-2</v>
      </c>
      <c r="T335">
        <v>2.4557356999999998E-2</v>
      </c>
      <c r="U335">
        <v>9.1199999999999994E-5</v>
      </c>
      <c r="V335">
        <v>8.3300000000000008E-9</v>
      </c>
      <c r="W335">
        <v>2.4731251999999999E-2</v>
      </c>
      <c r="X335">
        <v>2.4731218999999999E-2</v>
      </c>
      <c r="Y335" t="s">
        <v>713</v>
      </c>
      <c r="Z335" t="s">
        <v>714</v>
      </c>
      <c r="AA335">
        <v>1</v>
      </c>
      <c r="AB335" t="s">
        <v>57</v>
      </c>
      <c r="AC335" t="s">
        <v>715</v>
      </c>
    </row>
    <row r="336" spans="1:32" x14ac:dyDescent="0.25">
      <c r="A336" t="s">
        <v>716</v>
      </c>
      <c r="B336" t="s">
        <v>156</v>
      </c>
      <c r="C336" t="s">
        <v>108</v>
      </c>
      <c r="D336" t="s">
        <v>39</v>
      </c>
      <c r="E336" t="s">
        <v>717</v>
      </c>
      <c r="F336" t="s">
        <v>718</v>
      </c>
      <c r="G336">
        <v>4809</v>
      </c>
      <c r="H336" t="s">
        <v>719</v>
      </c>
      <c r="I336" t="s">
        <v>720</v>
      </c>
      <c r="J336">
        <v>8.0000000000000002E-3</v>
      </c>
      <c r="K336">
        <v>1.4E-2</v>
      </c>
      <c r="L336">
        <v>0.571428571</v>
      </c>
      <c r="M336">
        <v>4809</v>
      </c>
      <c r="N336">
        <v>3</v>
      </c>
      <c r="O336">
        <v>4805</v>
      </c>
      <c r="P336">
        <v>8.2432879999999997E-3</v>
      </c>
      <c r="Q336">
        <v>8.2434750000000001E-3</v>
      </c>
      <c r="R336">
        <v>1.4424744E-2</v>
      </c>
      <c r="S336">
        <v>3.6515974E-2</v>
      </c>
      <c r="T336">
        <v>-2.0029023E-2</v>
      </c>
      <c r="U336">
        <v>1.4420764000000001E-2</v>
      </c>
      <c r="V336">
        <v>2.0799999999999999E-4</v>
      </c>
      <c r="W336">
        <v>8.6508720000000004E-3</v>
      </c>
      <c r="X336">
        <v>7.8357050000000001E-3</v>
      </c>
      <c r="Y336" t="s">
        <v>721</v>
      </c>
      <c r="Z336" t="s">
        <v>722</v>
      </c>
      <c r="AA336">
        <v>1</v>
      </c>
      <c r="AB336" t="s">
        <v>57</v>
      </c>
      <c r="AC336" t="s">
        <v>155</v>
      </c>
    </row>
    <row r="337" spans="1:29" x14ac:dyDescent="0.25">
      <c r="A337" t="s">
        <v>716</v>
      </c>
      <c r="B337" t="s">
        <v>156</v>
      </c>
      <c r="C337" t="s">
        <v>108</v>
      </c>
      <c r="D337" t="s">
        <v>39</v>
      </c>
      <c r="E337" t="s">
        <v>717</v>
      </c>
      <c r="F337" t="s">
        <v>723</v>
      </c>
      <c r="G337">
        <v>4809</v>
      </c>
      <c r="H337" t="s">
        <v>719</v>
      </c>
      <c r="I337" t="s">
        <v>720</v>
      </c>
      <c r="J337">
        <v>7.0000000000000001E-3</v>
      </c>
      <c r="K337">
        <v>2.1999999999999999E-2</v>
      </c>
      <c r="L337">
        <v>0.31818181800000001</v>
      </c>
      <c r="M337">
        <v>4809</v>
      </c>
      <c r="N337">
        <v>3</v>
      </c>
      <c r="O337">
        <v>4805</v>
      </c>
      <c r="P337">
        <v>4.5900000000000003E-3</v>
      </c>
      <c r="Q337">
        <v>4.5900000000000003E-3</v>
      </c>
      <c r="R337">
        <v>1.4424744E-2</v>
      </c>
      <c r="S337">
        <v>3.2862651E-2</v>
      </c>
      <c r="T337">
        <v>-2.3682346E-2</v>
      </c>
      <c r="U337">
        <v>1.4421440000000001E-2</v>
      </c>
      <c r="V337">
        <v>2.0799999999999999E-4</v>
      </c>
      <c r="W337">
        <v>5.0000000000000001E-3</v>
      </c>
      <c r="X337">
        <v>4.1799999999999997E-3</v>
      </c>
      <c r="Y337" t="s">
        <v>724</v>
      </c>
      <c r="Z337" t="s">
        <v>722</v>
      </c>
      <c r="AA337">
        <v>1</v>
      </c>
      <c r="AB337" t="s">
        <v>57</v>
      </c>
      <c r="AC337" t="s">
        <v>155</v>
      </c>
    </row>
    <row r="338" spans="1:29" x14ac:dyDescent="0.25">
      <c r="A338">
        <v>2001</v>
      </c>
      <c r="B338" t="s">
        <v>147</v>
      </c>
      <c r="C338" t="s">
        <v>108</v>
      </c>
      <c r="D338" t="s">
        <v>39</v>
      </c>
      <c r="E338" t="s">
        <v>725</v>
      </c>
      <c r="F338" t="s">
        <v>726</v>
      </c>
      <c r="G338">
        <v>26121.227999999999</v>
      </c>
      <c r="H338" t="s">
        <v>727</v>
      </c>
      <c r="I338" t="s">
        <v>728</v>
      </c>
      <c r="J338">
        <v>9.0217000000000006E-3</v>
      </c>
      <c r="K338">
        <v>5.2439000000000001E-3</v>
      </c>
      <c r="L338">
        <v>1.7204180090000001</v>
      </c>
      <c r="M338">
        <v>26121.227999999999</v>
      </c>
      <c r="N338">
        <v>1</v>
      </c>
      <c r="O338">
        <v>26119.227999999999</v>
      </c>
      <c r="P338">
        <v>1.0644597E-2</v>
      </c>
      <c r="Q338">
        <v>1.0644999E-2</v>
      </c>
      <c r="R338">
        <v>6.1876839999999997E-3</v>
      </c>
      <c r="S338">
        <v>2.2772859999999999E-2</v>
      </c>
      <c r="T338">
        <v>-1.4828630000000001E-3</v>
      </c>
      <c r="U338">
        <v>6.1867459999999999E-3</v>
      </c>
      <c r="V338">
        <v>3.8300000000000003E-5</v>
      </c>
      <c r="W338">
        <v>1.0719624000000001E-2</v>
      </c>
      <c r="X338">
        <v>1.0569568999999999E-2</v>
      </c>
      <c r="Y338" t="s">
        <v>729</v>
      </c>
      <c r="Z338" t="s">
        <v>730</v>
      </c>
      <c r="AA338">
        <v>1</v>
      </c>
      <c r="AB338" t="s">
        <v>54</v>
      </c>
      <c r="AC338" t="s">
        <v>155</v>
      </c>
    </row>
    <row r="339" spans="1:29" x14ac:dyDescent="0.25">
      <c r="A339">
        <v>2003</v>
      </c>
      <c r="B339" t="s">
        <v>147</v>
      </c>
      <c r="C339" t="s">
        <v>108</v>
      </c>
      <c r="D339" t="s">
        <v>39</v>
      </c>
      <c r="E339" t="s">
        <v>725</v>
      </c>
      <c r="F339" t="s">
        <v>726</v>
      </c>
      <c r="G339">
        <v>24021</v>
      </c>
      <c r="H339" t="s">
        <v>727</v>
      </c>
      <c r="I339" t="s">
        <v>731</v>
      </c>
      <c r="J339">
        <v>5.70506E-2</v>
      </c>
      <c r="K339">
        <v>5.2110999999999998E-3</v>
      </c>
      <c r="L339">
        <v>10.947899680000001</v>
      </c>
      <c r="M339">
        <v>24021</v>
      </c>
      <c r="N339">
        <v>1</v>
      </c>
      <c r="O339">
        <v>24019</v>
      </c>
      <c r="P339">
        <v>7.0499999999999993E-2</v>
      </c>
      <c r="Q339">
        <v>7.0599999999999996E-2</v>
      </c>
      <c r="R339">
        <v>6.4525529999999998E-3</v>
      </c>
      <c r="S339">
        <v>8.3228816999999997E-2</v>
      </c>
      <c r="T339">
        <v>5.7934810000000003E-2</v>
      </c>
      <c r="U339">
        <v>6.4202469999999996E-3</v>
      </c>
      <c r="V339">
        <v>4.1399999999999997E-5</v>
      </c>
      <c r="W339">
        <v>7.0499999999999993E-2</v>
      </c>
      <c r="X339">
        <v>7.0400000000000004E-2</v>
      </c>
      <c r="Y339" t="s">
        <v>732</v>
      </c>
      <c r="Z339" t="s">
        <v>733</v>
      </c>
      <c r="AA339">
        <v>1</v>
      </c>
      <c r="AB339" t="s">
        <v>54</v>
      </c>
      <c r="AC339" t="s">
        <v>155</v>
      </c>
    </row>
    <row r="340" spans="1:29" x14ac:dyDescent="0.25">
      <c r="A340">
        <v>2015</v>
      </c>
      <c r="B340" t="s">
        <v>147</v>
      </c>
      <c r="C340" t="s">
        <v>108</v>
      </c>
      <c r="D340" t="s">
        <v>39</v>
      </c>
      <c r="E340" t="s">
        <v>725</v>
      </c>
      <c r="F340" t="s">
        <v>726</v>
      </c>
      <c r="G340">
        <v>2520</v>
      </c>
      <c r="H340" t="s">
        <v>727</v>
      </c>
      <c r="I340" t="s">
        <v>734</v>
      </c>
      <c r="J340">
        <v>4.8586900000000002E-2</v>
      </c>
      <c r="K340">
        <v>2.1057900000000001E-2</v>
      </c>
      <c r="L340">
        <v>2.3073003480000001</v>
      </c>
      <c r="M340">
        <v>2520</v>
      </c>
      <c r="N340">
        <v>1</v>
      </c>
      <c r="O340">
        <v>2518</v>
      </c>
      <c r="P340">
        <v>4.5900000000000003E-2</v>
      </c>
      <c r="Q340">
        <v>4.5999999999999999E-2</v>
      </c>
      <c r="R340">
        <v>1.9932345000000001E-2</v>
      </c>
      <c r="S340">
        <v>8.5031982000000006E-2</v>
      </c>
      <c r="T340">
        <v>6.8971900000000001E-3</v>
      </c>
      <c r="U340">
        <v>1.9882394000000001E-2</v>
      </c>
      <c r="V340">
        <v>3.9599999999999998E-4</v>
      </c>
      <c r="W340">
        <v>4.6699999999999998E-2</v>
      </c>
      <c r="X340">
        <v>4.5199999999999997E-2</v>
      </c>
      <c r="Y340" t="s">
        <v>735</v>
      </c>
      <c r="Z340" t="s">
        <v>736</v>
      </c>
      <c r="AA340">
        <v>0</v>
      </c>
      <c r="AB340" t="s">
        <v>54</v>
      </c>
      <c r="AC340" t="s">
        <v>155</v>
      </c>
    </row>
    <row r="341" spans="1:29" x14ac:dyDescent="0.25">
      <c r="A341">
        <v>2016</v>
      </c>
      <c r="B341" t="s">
        <v>147</v>
      </c>
      <c r="C341" t="s">
        <v>108</v>
      </c>
      <c r="D341" t="s">
        <v>39</v>
      </c>
      <c r="E341" t="s">
        <v>725</v>
      </c>
      <c r="F341" t="s">
        <v>726</v>
      </c>
      <c r="G341">
        <v>1795</v>
      </c>
      <c r="H341" t="s">
        <v>727</v>
      </c>
      <c r="I341" t="s">
        <v>734</v>
      </c>
      <c r="J341">
        <v>1.08091E-2</v>
      </c>
      <c r="K341">
        <v>2.4324999999999999E-2</v>
      </c>
      <c r="L341">
        <v>0.44436176799999999</v>
      </c>
      <c r="M341">
        <v>1795</v>
      </c>
      <c r="N341">
        <v>1</v>
      </c>
      <c r="O341">
        <v>1793</v>
      </c>
      <c r="P341">
        <v>1.0493555E-2</v>
      </c>
      <c r="Q341">
        <v>1.049394E-2</v>
      </c>
      <c r="R341">
        <v>2.3622779999999999E-2</v>
      </c>
      <c r="S341">
        <v>5.6794588E-2</v>
      </c>
      <c r="T341">
        <v>-3.5806708E-2</v>
      </c>
      <c r="U341">
        <v>2.3607007999999999E-2</v>
      </c>
      <c r="V341">
        <v>5.5699999999999999E-4</v>
      </c>
      <c r="W341">
        <v>1.1585661000000001E-2</v>
      </c>
      <c r="X341">
        <v>9.4014489999999992E-3</v>
      </c>
      <c r="Y341" t="s">
        <v>735</v>
      </c>
      <c r="Z341" t="s">
        <v>736</v>
      </c>
      <c r="AA341">
        <v>0</v>
      </c>
      <c r="AB341" t="s">
        <v>54</v>
      </c>
      <c r="AC341" t="s">
        <v>155</v>
      </c>
    </row>
    <row r="342" spans="1:29" x14ac:dyDescent="0.25">
      <c r="A342">
        <v>2017</v>
      </c>
      <c r="B342" t="s">
        <v>147</v>
      </c>
      <c r="C342" t="s">
        <v>108</v>
      </c>
      <c r="D342" t="s">
        <v>39</v>
      </c>
      <c r="E342" t="s">
        <v>725</v>
      </c>
      <c r="F342" t="s">
        <v>726</v>
      </c>
      <c r="G342">
        <v>2125</v>
      </c>
      <c r="H342" t="s">
        <v>727</v>
      </c>
      <c r="I342" t="s">
        <v>734</v>
      </c>
      <c r="J342">
        <v>-1.76528E-2</v>
      </c>
      <c r="K342">
        <v>1.39458E-2</v>
      </c>
      <c r="L342">
        <v>-1.265814797</v>
      </c>
      <c r="M342">
        <v>2125</v>
      </c>
      <c r="N342">
        <v>1</v>
      </c>
      <c r="O342">
        <v>2123</v>
      </c>
      <c r="P342">
        <v>-2.7461948E-2</v>
      </c>
      <c r="Q342">
        <v>-2.7468855E-2</v>
      </c>
      <c r="R342">
        <v>2.1708374999999999E-2</v>
      </c>
      <c r="S342">
        <v>1.5079558999999999E-2</v>
      </c>
      <c r="T342">
        <v>-7.0017270000000006E-2</v>
      </c>
      <c r="U342">
        <v>2.1681788E-2</v>
      </c>
      <c r="V342">
        <v>4.6999999999999999E-4</v>
      </c>
      <c r="W342">
        <v>-2.6540074E-2</v>
      </c>
      <c r="X342">
        <v>-2.8383822999999999E-2</v>
      </c>
      <c r="Y342" t="s">
        <v>737</v>
      </c>
      <c r="Z342" t="s">
        <v>736</v>
      </c>
      <c r="AA342">
        <v>0</v>
      </c>
      <c r="AB342" t="s">
        <v>54</v>
      </c>
      <c r="AC342" t="s">
        <v>155</v>
      </c>
    </row>
    <row r="343" spans="1:29" x14ac:dyDescent="0.25">
      <c r="A343">
        <v>2018</v>
      </c>
      <c r="B343" t="s">
        <v>147</v>
      </c>
      <c r="C343" t="s">
        <v>108</v>
      </c>
      <c r="D343" t="s">
        <v>39</v>
      </c>
      <c r="E343" t="s">
        <v>725</v>
      </c>
      <c r="F343" t="s">
        <v>726</v>
      </c>
      <c r="G343">
        <v>2359</v>
      </c>
      <c r="H343" t="s">
        <v>727</v>
      </c>
      <c r="I343" t="s">
        <v>734</v>
      </c>
      <c r="J343">
        <v>-5.7725499999999999E-2</v>
      </c>
      <c r="K343">
        <v>1.4600999999999999E-2</v>
      </c>
      <c r="L343">
        <v>-3.9535305799999998</v>
      </c>
      <c r="M343">
        <v>2359</v>
      </c>
      <c r="N343">
        <v>1</v>
      </c>
      <c r="O343">
        <v>2357</v>
      </c>
      <c r="P343">
        <v>-8.1165236000000002E-2</v>
      </c>
      <c r="Q343">
        <v>-8.1344177000000004E-2</v>
      </c>
      <c r="R343">
        <v>2.0602141000000001E-2</v>
      </c>
      <c r="S343">
        <v>-4.0963980999999997E-2</v>
      </c>
      <c r="T343">
        <v>-0.121724374</v>
      </c>
      <c r="U343">
        <v>2.0457737E-2</v>
      </c>
      <c r="V343">
        <v>4.2099999999999999E-4</v>
      </c>
      <c r="W343">
        <v>-8.0339674E-2</v>
      </c>
      <c r="X343">
        <v>-8.1990798000000004E-2</v>
      </c>
      <c r="Y343" t="s">
        <v>737</v>
      </c>
      <c r="Z343" t="s">
        <v>736</v>
      </c>
      <c r="AA343">
        <v>0</v>
      </c>
      <c r="AB343" t="s">
        <v>54</v>
      </c>
      <c r="AC343" t="s">
        <v>155</v>
      </c>
    </row>
    <row r="344" spans="1:29" x14ac:dyDescent="0.25">
      <c r="A344">
        <v>2019</v>
      </c>
      <c r="B344" t="s">
        <v>147</v>
      </c>
      <c r="C344" t="s">
        <v>108</v>
      </c>
      <c r="D344" t="s">
        <v>39</v>
      </c>
      <c r="E344" t="s">
        <v>725</v>
      </c>
      <c r="F344" t="s">
        <v>726</v>
      </c>
      <c r="G344">
        <v>3334</v>
      </c>
      <c r="H344" t="s">
        <v>727</v>
      </c>
      <c r="I344" t="s">
        <v>734</v>
      </c>
      <c r="J344">
        <v>-4.6249699999999998E-2</v>
      </c>
      <c r="K344">
        <v>1.2312399999999999E-2</v>
      </c>
      <c r="L344">
        <v>-3.7563513209999999</v>
      </c>
      <c r="M344">
        <v>3334</v>
      </c>
      <c r="N344">
        <v>1</v>
      </c>
      <c r="O344">
        <v>3332</v>
      </c>
      <c r="P344">
        <v>-6.4937577999999996E-2</v>
      </c>
      <c r="Q344">
        <v>-6.5029087999999999E-2</v>
      </c>
      <c r="R344">
        <v>1.7326573000000001E-2</v>
      </c>
      <c r="S344">
        <v>-3.1069004000000001E-2</v>
      </c>
      <c r="T344">
        <v>-9.8989172E-2</v>
      </c>
      <c r="U344">
        <v>1.7248332000000002E-2</v>
      </c>
      <c r="V344">
        <v>2.99E-4</v>
      </c>
      <c r="W344">
        <v>-6.4352087000000002E-2</v>
      </c>
      <c r="X344">
        <v>-6.5523069000000003E-2</v>
      </c>
      <c r="Y344" t="s">
        <v>737</v>
      </c>
      <c r="Z344" t="s">
        <v>736</v>
      </c>
      <c r="AA344">
        <v>0</v>
      </c>
      <c r="AB344" t="s">
        <v>54</v>
      </c>
      <c r="AC344" t="s">
        <v>155</v>
      </c>
    </row>
    <row r="345" spans="1:29" x14ac:dyDescent="0.25">
      <c r="A345">
        <v>2020</v>
      </c>
      <c r="B345" t="s">
        <v>147</v>
      </c>
      <c r="C345" t="s">
        <v>108</v>
      </c>
      <c r="D345" t="s">
        <v>39</v>
      </c>
      <c r="E345" t="s">
        <v>725</v>
      </c>
      <c r="F345" t="s">
        <v>726</v>
      </c>
      <c r="G345">
        <v>2622</v>
      </c>
      <c r="H345" t="s">
        <v>727</v>
      </c>
      <c r="I345" t="s">
        <v>734</v>
      </c>
      <c r="J345">
        <v>-6.9031200000000001E-2</v>
      </c>
      <c r="K345">
        <v>1.5468600000000001E-2</v>
      </c>
      <c r="L345">
        <v>-4.4626663049999999</v>
      </c>
      <c r="M345">
        <v>2622</v>
      </c>
      <c r="N345">
        <v>1</v>
      </c>
      <c r="O345">
        <v>2620</v>
      </c>
      <c r="P345">
        <v>-8.6855917000000005E-2</v>
      </c>
      <c r="Q345">
        <v>-8.7075322999999996E-2</v>
      </c>
      <c r="R345">
        <v>1.9540346E-2</v>
      </c>
      <c r="S345">
        <v>-4.8776245000000003E-2</v>
      </c>
      <c r="T345">
        <v>-0.125374401</v>
      </c>
      <c r="U345">
        <v>1.9385533999999999E-2</v>
      </c>
      <c r="V345">
        <v>3.79E-4</v>
      </c>
      <c r="W345">
        <v>-8.6113893999999996E-2</v>
      </c>
      <c r="X345">
        <v>-8.7597939999999999E-2</v>
      </c>
      <c r="Y345" t="s">
        <v>737</v>
      </c>
      <c r="Z345" t="s">
        <v>736</v>
      </c>
      <c r="AA345">
        <v>0</v>
      </c>
      <c r="AB345" t="s">
        <v>54</v>
      </c>
      <c r="AC345" t="s">
        <v>155</v>
      </c>
    </row>
    <row r="346" spans="1:29" x14ac:dyDescent="0.25">
      <c r="A346">
        <v>2021</v>
      </c>
      <c r="B346" t="s">
        <v>147</v>
      </c>
      <c r="C346" t="s">
        <v>108</v>
      </c>
      <c r="D346" t="s">
        <v>39</v>
      </c>
      <c r="E346" t="s">
        <v>725</v>
      </c>
      <c r="F346" t="s">
        <v>726</v>
      </c>
      <c r="G346">
        <v>2702</v>
      </c>
      <c r="H346" t="s">
        <v>727</v>
      </c>
      <c r="I346" t="s">
        <v>734</v>
      </c>
      <c r="J346">
        <v>-0.10266309999999999</v>
      </c>
      <c r="K346">
        <v>1.6169200000000002E-2</v>
      </c>
      <c r="L346">
        <v>-6.3492999040000004</v>
      </c>
      <c r="M346">
        <v>2702</v>
      </c>
      <c r="N346">
        <v>1</v>
      </c>
      <c r="O346">
        <v>2700</v>
      </c>
      <c r="P346">
        <v>-0.121290199</v>
      </c>
      <c r="Q346">
        <v>-0.121890284</v>
      </c>
      <c r="R346">
        <v>1.9248574000000001E-2</v>
      </c>
      <c r="S346">
        <v>-8.4163079000000002E-2</v>
      </c>
      <c r="T346">
        <v>-0.159617489</v>
      </c>
      <c r="U346">
        <v>1.8958379000000001E-2</v>
      </c>
      <c r="V346">
        <v>3.6499999999999998E-4</v>
      </c>
      <c r="W346">
        <v>-0.120575349</v>
      </c>
      <c r="X346">
        <v>-0.122005048</v>
      </c>
      <c r="Y346" t="s">
        <v>737</v>
      </c>
      <c r="Z346" t="s">
        <v>736</v>
      </c>
      <c r="AA346">
        <v>0</v>
      </c>
      <c r="AB346" t="s">
        <v>54</v>
      </c>
      <c r="AC346" t="s">
        <v>155</v>
      </c>
    </row>
    <row r="347" spans="1:29" x14ac:dyDescent="0.25">
      <c r="A347">
        <v>2022</v>
      </c>
      <c r="B347" t="s">
        <v>147</v>
      </c>
      <c r="C347" t="s">
        <v>108</v>
      </c>
      <c r="D347" t="s">
        <v>39</v>
      </c>
      <c r="E347" t="s">
        <v>725</v>
      </c>
      <c r="F347" t="s">
        <v>738</v>
      </c>
      <c r="G347">
        <v>302384</v>
      </c>
      <c r="H347" t="s">
        <v>727</v>
      </c>
      <c r="I347" t="s">
        <v>739</v>
      </c>
      <c r="J347">
        <v>2.4997499999999999E-2</v>
      </c>
      <c r="K347">
        <v>1.6881999999999999E-3</v>
      </c>
      <c r="L347">
        <v>14.80719109</v>
      </c>
      <c r="M347">
        <v>302384</v>
      </c>
      <c r="N347">
        <v>10</v>
      </c>
      <c r="O347">
        <v>302373</v>
      </c>
      <c r="P347">
        <v>2.6918061E-2</v>
      </c>
      <c r="Q347">
        <v>2.6924566E-2</v>
      </c>
      <c r="R347">
        <v>1.81854E-3</v>
      </c>
      <c r="S347">
        <v>3.0488903000000001E-2</v>
      </c>
      <c r="T347">
        <v>2.3360228E-2</v>
      </c>
      <c r="U347">
        <v>1.817216E-3</v>
      </c>
      <c r="V347">
        <v>3.3000000000000002E-6</v>
      </c>
      <c r="W347">
        <v>2.6924538000000001E-2</v>
      </c>
      <c r="X347">
        <v>2.6911583999999999E-2</v>
      </c>
      <c r="Y347" t="s">
        <v>740</v>
      </c>
      <c r="Z347" t="s">
        <v>741</v>
      </c>
      <c r="AA347">
        <v>1</v>
      </c>
      <c r="AB347" t="s">
        <v>54</v>
      </c>
      <c r="AC347" t="s">
        <v>155</v>
      </c>
    </row>
    <row r="348" spans="1:29" x14ac:dyDescent="0.25">
      <c r="A348">
        <v>2022</v>
      </c>
      <c r="B348" t="s">
        <v>147</v>
      </c>
      <c r="C348" t="s">
        <v>108</v>
      </c>
      <c r="D348" t="s">
        <v>39</v>
      </c>
      <c r="E348" t="s">
        <v>725</v>
      </c>
      <c r="F348" t="s">
        <v>726</v>
      </c>
      <c r="G348">
        <v>4190</v>
      </c>
      <c r="H348" t="s">
        <v>727</v>
      </c>
      <c r="I348" t="s">
        <v>734</v>
      </c>
      <c r="J348">
        <v>-8.9732000000000006E-2</v>
      </c>
      <c r="K348">
        <v>1.35517E-2</v>
      </c>
      <c r="L348">
        <v>-6.6214570869999996</v>
      </c>
      <c r="M348">
        <v>4190</v>
      </c>
      <c r="N348">
        <v>1</v>
      </c>
      <c r="O348">
        <v>4188</v>
      </c>
      <c r="P348">
        <v>-0.101786167</v>
      </c>
      <c r="Q348">
        <v>-0.102139884</v>
      </c>
      <c r="R348">
        <v>1.5454271E-2</v>
      </c>
      <c r="S348">
        <v>-7.1849513000000004E-2</v>
      </c>
      <c r="T348">
        <v>-0.132430255</v>
      </c>
      <c r="U348">
        <v>1.5290507E-2</v>
      </c>
      <c r="V348">
        <v>2.3599999999999999E-4</v>
      </c>
      <c r="W348">
        <v>-0.101323178</v>
      </c>
      <c r="X348">
        <v>-0.10224915599999999</v>
      </c>
      <c r="Y348" t="s">
        <v>737</v>
      </c>
      <c r="Z348" t="s">
        <v>736</v>
      </c>
      <c r="AA348">
        <v>0</v>
      </c>
      <c r="AB348" t="s">
        <v>54</v>
      </c>
      <c r="AC348" t="s">
        <v>155</v>
      </c>
    </row>
    <row r="349" spans="1:29" x14ac:dyDescent="0.25">
      <c r="A349">
        <v>2023</v>
      </c>
      <c r="B349" t="s">
        <v>147</v>
      </c>
      <c r="C349" t="s">
        <v>108</v>
      </c>
      <c r="D349" t="s">
        <v>39</v>
      </c>
      <c r="E349" t="s">
        <v>725</v>
      </c>
      <c r="F349" t="s">
        <v>726</v>
      </c>
      <c r="G349">
        <v>4385</v>
      </c>
      <c r="H349" t="s">
        <v>727</v>
      </c>
      <c r="I349" t="s">
        <v>734</v>
      </c>
      <c r="J349">
        <v>-9.7633200000000003E-2</v>
      </c>
      <c r="K349">
        <v>1.4154999999999999E-2</v>
      </c>
      <c r="L349">
        <v>-6.8974355349999996</v>
      </c>
      <c r="M349">
        <v>4385</v>
      </c>
      <c r="N349">
        <v>1</v>
      </c>
      <c r="O349">
        <v>4383</v>
      </c>
      <c r="P349">
        <v>-0.103623349</v>
      </c>
      <c r="Q349">
        <v>-0.10399665199999999</v>
      </c>
      <c r="R349">
        <v>1.5106499000000001E-2</v>
      </c>
      <c r="S349">
        <v>-7.4387914999999999E-2</v>
      </c>
      <c r="T349">
        <v>-0.13360538899999999</v>
      </c>
      <c r="U349">
        <v>1.4940879000000001E-2</v>
      </c>
      <c r="V349">
        <v>2.2599999999999999E-4</v>
      </c>
      <c r="W349">
        <v>-0.103181119</v>
      </c>
      <c r="X349">
        <v>-0.10406557800000001</v>
      </c>
      <c r="Y349" t="s">
        <v>737</v>
      </c>
      <c r="Z349" t="s">
        <v>736</v>
      </c>
      <c r="AA349">
        <v>0</v>
      </c>
      <c r="AB349" t="s">
        <v>54</v>
      </c>
      <c r="AC349" t="s">
        <v>155</v>
      </c>
    </row>
    <row r="350" spans="1:29" x14ac:dyDescent="0.25">
      <c r="A350" t="s">
        <v>742</v>
      </c>
      <c r="B350" t="s">
        <v>147</v>
      </c>
      <c r="C350" t="s">
        <v>107</v>
      </c>
      <c r="D350" t="s">
        <v>39</v>
      </c>
      <c r="E350" t="s">
        <v>725</v>
      </c>
      <c r="F350" t="s">
        <v>726</v>
      </c>
      <c r="G350">
        <v>1193</v>
      </c>
      <c r="H350" t="s">
        <v>727</v>
      </c>
      <c r="I350" t="s">
        <v>743</v>
      </c>
      <c r="J350">
        <v>3.0761400000000001E-2</v>
      </c>
      <c r="K350">
        <v>2.02746E-2</v>
      </c>
      <c r="L350">
        <v>1.517238318</v>
      </c>
      <c r="M350">
        <v>1193</v>
      </c>
      <c r="N350">
        <v>1</v>
      </c>
      <c r="O350">
        <v>1191</v>
      </c>
      <c r="P350">
        <v>4.3921647000000001E-2</v>
      </c>
      <c r="Q350">
        <v>4.3949923000000002E-2</v>
      </c>
      <c r="R350">
        <v>2.8988552000000001E-2</v>
      </c>
      <c r="S350">
        <v>0.100767484</v>
      </c>
      <c r="T350">
        <v>-1.2867639E-2</v>
      </c>
      <c r="U350">
        <v>2.8908347000000001E-2</v>
      </c>
      <c r="V350">
        <v>8.3699999999999996E-4</v>
      </c>
      <c r="W350">
        <v>4.5562081999999997E-2</v>
      </c>
      <c r="X350">
        <v>4.2281211999999999E-2</v>
      </c>
      <c r="Y350" t="s">
        <v>744</v>
      </c>
      <c r="Z350" t="s">
        <v>745</v>
      </c>
      <c r="AA350">
        <v>1</v>
      </c>
      <c r="AB350" t="s">
        <v>54</v>
      </c>
      <c r="AC350" t="s">
        <v>155</v>
      </c>
    </row>
    <row r="351" spans="1:29" x14ac:dyDescent="0.25">
      <c r="A351" t="s">
        <v>746</v>
      </c>
      <c r="B351" t="s">
        <v>147</v>
      </c>
      <c r="C351" t="s">
        <v>107</v>
      </c>
      <c r="D351" t="s">
        <v>39</v>
      </c>
      <c r="E351" t="s">
        <v>725</v>
      </c>
      <c r="F351" t="s">
        <v>738</v>
      </c>
      <c r="G351">
        <v>1465</v>
      </c>
      <c r="H351" t="s">
        <v>727</v>
      </c>
      <c r="I351" t="s">
        <v>747</v>
      </c>
      <c r="J351">
        <v>-0.03</v>
      </c>
      <c r="K351">
        <v>3.2279000000000002E-2</v>
      </c>
      <c r="L351">
        <v>-0.92939682099999998</v>
      </c>
      <c r="M351">
        <v>1465</v>
      </c>
      <c r="N351">
        <v>1</v>
      </c>
      <c r="O351">
        <v>1463</v>
      </c>
      <c r="P351">
        <v>-2.4291304999999999E-2</v>
      </c>
      <c r="Q351">
        <v>-2.4296084999999999E-2</v>
      </c>
      <c r="R351">
        <v>2.6153289E-2</v>
      </c>
      <c r="S351">
        <v>2.6964361999999999E-2</v>
      </c>
      <c r="T351">
        <v>-7.5556530999999996E-2</v>
      </c>
      <c r="U351">
        <v>2.6119996999999999E-2</v>
      </c>
      <c r="V351">
        <v>6.8199999999999999E-4</v>
      </c>
      <c r="W351">
        <v>-2.2953754E-2</v>
      </c>
      <c r="X351">
        <v>-2.5628855999999998E-2</v>
      </c>
      <c r="Y351" t="s">
        <v>748</v>
      </c>
      <c r="Z351" t="s">
        <v>749</v>
      </c>
      <c r="AA351">
        <v>1</v>
      </c>
      <c r="AB351" t="s">
        <v>54</v>
      </c>
      <c r="AC351" t="s">
        <v>155</v>
      </c>
    </row>
    <row r="352" spans="1:29" x14ac:dyDescent="0.25">
      <c r="A352" t="s">
        <v>750</v>
      </c>
      <c r="B352" t="s">
        <v>147</v>
      </c>
      <c r="C352" t="s">
        <v>108</v>
      </c>
      <c r="D352" t="s">
        <v>39</v>
      </c>
      <c r="E352" t="s">
        <v>725</v>
      </c>
      <c r="F352" t="s">
        <v>726</v>
      </c>
      <c r="G352">
        <v>81643</v>
      </c>
      <c r="H352" t="s">
        <v>727</v>
      </c>
      <c r="I352" t="s">
        <v>751</v>
      </c>
      <c r="J352">
        <v>-2.1764000000000002E-3</v>
      </c>
      <c r="K352">
        <v>3.6556000000000002E-3</v>
      </c>
      <c r="L352">
        <v>-0.59536054299999996</v>
      </c>
      <c r="M352">
        <v>81643</v>
      </c>
      <c r="N352">
        <v>1</v>
      </c>
      <c r="O352">
        <v>81641</v>
      </c>
      <c r="P352">
        <v>-2.0799999999999998E-3</v>
      </c>
      <c r="Q352">
        <v>-2.0799999999999998E-3</v>
      </c>
      <c r="R352">
        <v>3.4998429999999999E-3</v>
      </c>
      <c r="S352">
        <v>4.7760370000000003E-3</v>
      </c>
      <c r="T352">
        <v>-8.9433450000000001E-3</v>
      </c>
      <c r="U352">
        <v>3.4997840000000001E-3</v>
      </c>
      <c r="V352">
        <v>1.22E-5</v>
      </c>
      <c r="W352">
        <v>-2.0600000000000002E-3</v>
      </c>
      <c r="X352">
        <v>-2.1099999999999999E-3</v>
      </c>
      <c r="Y352" t="s">
        <v>752</v>
      </c>
      <c r="Z352" t="s">
        <v>753</v>
      </c>
      <c r="AA352">
        <v>0</v>
      </c>
      <c r="AB352" t="s">
        <v>54</v>
      </c>
      <c r="AC352" t="s">
        <v>155</v>
      </c>
    </row>
    <row r="353" spans="1:29" x14ac:dyDescent="0.25">
      <c r="A353" t="s">
        <v>754</v>
      </c>
      <c r="B353" t="s">
        <v>147</v>
      </c>
      <c r="C353" t="s">
        <v>108</v>
      </c>
      <c r="D353" t="s">
        <v>39</v>
      </c>
      <c r="E353" t="s">
        <v>725</v>
      </c>
      <c r="F353" t="s">
        <v>726</v>
      </c>
      <c r="G353">
        <v>2298475</v>
      </c>
      <c r="H353" t="s">
        <v>727</v>
      </c>
      <c r="I353" t="s">
        <v>755</v>
      </c>
      <c r="J353">
        <v>3.9968799999999999E-2</v>
      </c>
      <c r="K353">
        <v>6.4139999999999998E-4</v>
      </c>
      <c r="L353">
        <v>62.314936080000003</v>
      </c>
      <c r="M353">
        <v>2298475</v>
      </c>
      <c r="N353">
        <v>1</v>
      </c>
      <c r="O353">
        <v>2298473</v>
      </c>
      <c r="P353">
        <v>4.1068222000000001E-2</v>
      </c>
      <c r="Q353">
        <v>4.1091334E-2</v>
      </c>
      <c r="R353">
        <v>6.5959999999999999E-4</v>
      </c>
      <c r="S353">
        <v>4.2384149000000003E-2</v>
      </c>
      <c r="T353">
        <v>3.9798518999999997E-2</v>
      </c>
      <c r="U353">
        <v>6.5848700000000003E-4</v>
      </c>
      <c r="V353">
        <v>4.34E-7</v>
      </c>
      <c r="W353">
        <v>4.1069072999999998E-2</v>
      </c>
      <c r="X353">
        <v>4.1067370999999998E-2</v>
      </c>
      <c r="Y353" t="s">
        <v>756</v>
      </c>
      <c r="Z353" t="s">
        <v>757</v>
      </c>
      <c r="AA353">
        <v>0</v>
      </c>
      <c r="AB353" t="s">
        <v>54</v>
      </c>
      <c r="AC353" t="s">
        <v>155</v>
      </c>
    </row>
    <row r="354" spans="1:29" x14ac:dyDescent="0.25">
      <c r="A354" t="s">
        <v>758</v>
      </c>
      <c r="B354" t="s">
        <v>147</v>
      </c>
      <c r="C354" t="s">
        <v>108</v>
      </c>
      <c r="D354" t="s">
        <v>39</v>
      </c>
      <c r="E354" t="s">
        <v>725</v>
      </c>
      <c r="F354" t="s">
        <v>726</v>
      </c>
      <c r="G354">
        <v>28321</v>
      </c>
      <c r="H354" t="s">
        <v>727</v>
      </c>
      <c r="I354" t="s">
        <v>759</v>
      </c>
      <c r="J354">
        <v>-2.2606899999999999E-2</v>
      </c>
      <c r="K354">
        <v>4.6604999999999997E-3</v>
      </c>
      <c r="L354">
        <v>-4.8507456280000003</v>
      </c>
      <c r="M354">
        <v>28321</v>
      </c>
      <c r="N354">
        <v>1</v>
      </c>
      <c r="O354">
        <v>28319</v>
      </c>
      <c r="P354">
        <v>-2.8813048000000001E-2</v>
      </c>
      <c r="Q354">
        <v>-2.8821025E-2</v>
      </c>
      <c r="R354">
        <v>5.9424930000000001E-3</v>
      </c>
      <c r="S354">
        <v>-1.7173738000000001E-2</v>
      </c>
      <c r="T354">
        <v>-4.0468311999999999E-2</v>
      </c>
      <c r="U354">
        <v>5.9373500000000001E-3</v>
      </c>
      <c r="V354">
        <v>3.5299999999999997E-5</v>
      </c>
      <c r="W354">
        <v>-2.8743897000000001E-2</v>
      </c>
      <c r="X354">
        <v>-2.8882198000000001E-2</v>
      </c>
      <c r="Y354" t="s">
        <v>760</v>
      </c>
      <c r="Z354" t="s">
        <v>761</v>
      </c>
      <c r="AA354">
        <v>0</v>
      </c>
      <c r="AB354" t="s">
        <v>54</v>
      </c>
      <c r="AC354" t="s">
        <v>155</v>
      </c>
    </row>
    <row r="355" spans="1:29" x14ac:dyDescent="0.25">
      <c r="A355" t="s">
        <v>762</v>
      </c>
      <c r="B355" t="s">
        <v>147</v>
      </c>
      <c r="C355" t="s">
        <v>108</v>
      </c>
      <c r="D355" t="s">
        <v>39</v>
      </c>
      <c r="E355" t="s">
        <v>725</v>
      </c>
      <c r="F355" t="s">
        <v>726</v>
      </c>
      <c r="G355">
        <v>69023</v>
      </c>
      <c r="H355" t="s">
        <v>727</v>
      </c>
      <c r="I355" t="s">
        <v>763</v>
      </c>
      <c r="J355">
        <v>1.65072E-2</v>
      </c>
      <c r="K355">
        <v>3.7380999999999998E-3</v>
      </c>
      <c r="L355">
        <v>4.4159332280000001</v>
      </c>
      <c r="M355">
        <v>69023</v>
      </c>
      <c r="N355">
        <v>1</v>
      </c>
      <c r="O355">
        <v>69021</v>
      </c>
      <c r="P355">
        <v>1.6799999999999999E-2</v>
      </c>
      <c r="Q355">
        <v>1.6799999999999999E-2</v>
      </c>
      <c r="R355">
        <v>3.806383E-3</v>
      </c>
      <c r="S355">
        <v>2.4268333E-2</v>
      </c>
      <c r="T355">
        <v>9.3473099999999993E-3</v>
      </c>
      <c r="U355">
        <v>3.8052530000000002E-3</v>
      </c>
      <c r="V355">
        <v>1.45E-5</v>
      </c>
      <c r="W355">
        <v>1.6799999999999999E-2</v>
      </c>
      <c r="X355">
        <v>1.6799999999999999E-2</v>
      </c>
      <c r="Y355" t="s">
        <v>764</v>
      </c>
      <c r="Z355" t="s">
        <v>765</v>
      </c>
      <c r="AA355">
        <v>1</v>
      </c>
      <c r="AB355" t="s">
        <v>54</v>
      </c>
      <c r="AC355" t="s">
        <v>155</v>
      </c>
    </row>
    <row r="356" spans="1:29" x14ac:dyDescent="0.25">
      <c r="A356" t="s">
        <v>762</v>
      </c>
      <c r="B356" t="s">
        <v>147</v>
      </c>
      <c r="C356" t="s">
        <v>108</v>
      </c>
      <c r="D356" t="s">
        <v>39</v>
      </c>
      <c r="E356" t="s">
        <v>725</v>
      </c>
      <c r="F356" t="s">
        <v>726</v>
      </c>
      <c r="G356">
        <v>37477</v>
      </c>
      <c r="H356" t="s">
        <v>727</v>
      </c>
      <c r="I356" t="s">
        <v>766</v>
      </c>
      <c r="J356">
        <v>-2.8811400000000001E-2</v>
      </c>
      <c r="K356">
        <v>4.3032000000000001E-3</v>
      </c>
      <c r="L356">
        <v>-6.6953430010000003</v>
      </c>
      <c r="M356">
        <v>37938</v>
      </c>
      <c r="N356">
        <v>1</v>
      </c>
      <c r="O356">
        <v>37936</v>
      </c>
      <c r="P356">
        <v>-3.4355053000000003E-2</v>
      </c>
      <c r="Q356">
        <v>-3.4368577999999997E-2</v>
      </c>
      <c r="R356">
        <v>5.1342849999999997E-3</v>
      </c>
      <c r="S356">
        <v>-2.4305380000000001E-2</v>
      </c>
      <c r="T356">
        <v>-4.4431776999999999E-2</v>
      </c>
      <c r="U356">
        <v>5.1280900000000001E-3</v>
      </c>
      <c r="V356">
        <v>2.6299999999999999E-5</v>
      </c>
      <c r="W356">
        <v>-3.4303449999999999E-2</v>
      </c>
      <c r="X356">
        <v>-3.4406656000000001E-2</v>
      </c>
      <c r="Y356" t="s">
        <v>767</v>
      </c>
      <c r="Z356" t="s">
        <v>765</v>
      </c>
      <c r="AA356">
        <v>1</v>
      </c>
      <c r="AB356" t="s">
        <v>54</v>
      </c>
      <c r="AC356" t="s">
        <v>155</v>
      </c>
    </row>
    <row r="357" spans="1:29" x14ac:dyDescent="0.25">
      <c r="A357" t="s">
        <v>762</v>
      </c>
      <c r="B357" t="s">
        <v>147</v>
      </c>
      <c r="C357" t="s">
        <v>108</v>
      </c>
      <c r="D357" t="s">
        <v>39</v>
      </c>
      <c r="E357" t="s">
        <v>725</v>
      </c>
      <c r="F357" t="s">
        <v>768</v>
      </c>
      <c r="G357">
        <v>69023</v>
      </c>
      <c r="H357" t="s">
        <v>727</v>
      </c>
      <c r="I357" t="s">
        <v>763</v>
      </c>
      <c r="J357">
        <v>3.1596300000000001E-2</v>
      </c>
      <c r="K357">
        <v>3.1338999999999998E-3</v>
      </c>
      <c r="L357">
        <v>10.082102170000001</v>
      </c>
      <c r="M357">
        <v>69023</v>
      </c>
      <c r="N357">
        <v>1</v>
      </c>
      <c r="O357">
        <v>69021</v>
      </c>
      <c r="P357">
        <v>3.8300000000000001E-2</v>
      </c>
      <c r="Q357">
        <v>3.8399999999999997E-2</v>
      </c>
      <c r="R357">
        <v>3.806383E-3</v>
      </c>
      <c r="S357">
        <v>4.5827166000000003E-2</v>
      </c>
      <c r="T357">
        <v>3.0906143000000001E-2</v>
      </c>
      <c r="U357">
        <v>3.8007309999999999E-3</v>
      </c>
      <c r="V357">
        <v>1.45E-5</v>
      </c>
      <c r="W357">
        <v>3.8399999999999997E-2</v>
      </c>
      <c r="X357">
        <v>3.8300000000000001E-2</v>
      </c>
      <c r="Y357" t="s">
        <v>769</v>
      </c>
      <c r="Z357" t="s">
        <v>765</v>
      </c>
      <c r="AA357">
        <v>1</v>
      </c>
      <c r="AB357" t="s">
        <v>54</v>
      </c>
      <c r="AC357" t="s">
        <v>155</v>
      </c>
    </row>
    <row r="358" spans="1:29" x14ac:dyDescent="0.25">
      <c r="A358" t="s">
        <v>762</v>
      </c>
      <c r="B358" t="s">
        <v>147</v>
      </c>
      <c r="C358" t="s">
        <v>108</v>
      </c>
      <c r="D358" t="s">
        <v>39</v>
      </c>
      <c r="E358" t="s">
        <v>725</v>
      </c>
      <c r="F358" t="s">
        <v>768</v>
      </c>
      <c r="G358">
        <v>37477</v>
      </c>
      <c r="H358" t="s">
        <v>727</v>
      </c>
      <c r="I358" t="s">
        <v>766</v>
      </c>
      <c r="J358">
        <v>5.9033599999999999E-2</v>
      </c>
      <c r="K358">
        <v>2.7423E-3</v>
      </c>
      <c r="L358">
        <v>21.527039349999999</v>
      </c>
      <c r="M358">
        <v>37938</v>
      </c>
      <c r="N358">
        <v>1</v>
      </c>
      <c r="O358">
        <v>37936</v>
      </c>
      <c r="P358">
        <v>0.109855552</v>
      </c>
      <c r="Q358">
        <v>0.110300701</v>
      </c>
      <c r="R358">
        <v>5.1342849999999997E-3</v>
      </c>
      <c r="S358">
        <v>0.120363899</v>
      </c>
      <c r="T358">
        <v>0.10023750200000001</v>
      </c>
      <c r="U358">
        <v>5.0721890000000004E-3</v>
      </c>
      <c r="V358">
        <v>2.5999999999999998E-5</v>
      </c>
      <c r="W358">
        <v>0.109906592</v>
      </c>
      <c r="X358">
        <v>0.10980451099999999</v>
      </c>
      <c r="Y358" t="s">
        <v>769</v>
      </c>
      <c r="Z358" t="s">
        <v>765</v>
      </c>
      <c r="AA358">
        <v>1</v>
      </c>
      <c r="AB358" t="s">
        <v>54</v>
      </c>
      <c r="AC358" t="s">
        <v>155</v>
      </c>
    </row>
    <row r="359" spans="1:29" x14ac:dyDescent="0.25">
      <c r="A359" t="s">
        <v>770</v>
      </c>
      <c r="B359" t="s">
        <v>147</v>
      </c>
      <c r="C359" t="s">
        <v>108</v>
      </c>
      <c r="D359" t="s">
        <v>39</v>
      </c>
      <c r="E359" t="s">
        <v>725</v>
      </c>
      <c r="F359" t="s">
        <v>726</v>
      </c>
      <c r="G359">
        <v>11845</v>
      </c>
      <c r="H359" t="s">
        <v>727</v>
      </c>
      <c r="I359" t="s">
        <v>771</v>
      </c>
      <c r="J359">
        <v>-1.33629E-2</v>
      </c>
      <c r="K359">
        <v>7.9749999999999995E-3</v>
      </c>
      <c r="L359">
        <v>-1.6755987459999999</v>
      </c>
      <c r="M359">
        <v>11845</v>
      </c>
      <c r="N359">
        <v>1</v>
      </c>
      <c r="O359">
        <v>11843</v>
      </c>
      <c r="P359">
        <v>-1.5395282999999999E-2</v>
      </c>
      <c r="Q359">
        <v>-1.53965E-2</v>
      </c>
      <c r="R359">
        <v>9.1894070000000001E-3</v>
      </c>
      <c r="S359">
        <v>2.6147369999999998E-3</v>
      </c>
      <c r="T359">
        <v>-3.3407737E-2</v>
      </c>
      <c r="U359">
        <v>9.1864530000000007E-3</v>
      </c>
      <c r="V359">
        <v>8.4400000000000005E-5</v>
      </c>
      <c r="W359">
        <v>-1.5229845000000001E-2</v>
      </c>
      <c r="X359">
        <v>-1.5560722000000001E-2</v>
      </c>
      <c r="Y359" t="s">
        <v>772</v>
      </c>
      <c r="Z359" t="s">
        <v>773</v>
      </c>
      <c r="AA359">
        <v>0</v>
      </c>
      <c r="AB359" t="s">
        <v>54</v>
      </c>
      <c r="AC359" t="s">
        <v>155</v>
      </c>
    </row>
    <row r="360" spans="1:29" x14ac:dyDescent="0.25">
      <c r="A360" t="s">
        <v>774</v>
      </c>
      <c r="B360" t="s">
        <v>147</v>
      </c>
      <c r="C360" t="s">
        <v>108</v>
      </c>
      <c r="D360" t="s">
        <v>39</v>
      </c>
      <c r="E360" t="s">
        <v>725</v>
      </c>
      <c r="F360" t="s">
        <v>726</v>
      </c>
      <c r="G360">
        <v>93341</v>
      </c>
      <c r="H360" t="s">
        <v>727</v>
      </c>
      <c r="I360" t="s">
        <v>775</v>
      </c>
      <c r="J360">
        <v>-7.6635000000000002E-3</v>
      </c>
      <c r="K360">
        <v>1.9618999999999999E-3</v>
      </c>
      <c r="L360">
        <v>-3.9061623939999999</v>
      </c>
      <c r="M360">
        <v>93341</v>
      </c>
      <c r="N360">
        <v>1</v>
      </c>
      <c r="O360">
        <v>93339</v>
      </c>
      <c r="P360">
        <v>-1.2784485E-2</v>
      </c>
      <c r="Q360">
        <v>-1.2785181E-2</v>
      </c>
      <c r="R360">
        <v>3.2731869999999999E-3</v>
      </c>
      <c r="S360">
        <v>-6.369736E-3</v>
      </c>
      <c r="T360">
        <v>-1.9200627000000001E-2</v>
      </c>
      <c r="U360">
        <v>3.2726159999999999E-3</v>
      </c>
      <c r="V360">
        <v>1.0699999999999999E-5</v>
      </c>
      <c r="W360">
        <v>-1.2763490000000001E-2</v>
      </c>
      <c r="X360">
        <v>-1.2805479999999999E-2</v>
      </c>
      <c r="Y360" t="s">
        <v>776</v>
      </c>
      <c r="Z360" t="s">
        <v>777</v>
      </c>
      <c r="AA360">
        <v>0</v>
      </c>
      <c r="AB360" t="s">
        <v>54</v>
      </c>
      <c r="AC360" t="s">
        <v>155</v>
      </c>
    </row>
    <row r="361" spans="1:29" x14ac:dyDescent="0.25">
      <c r="A361" t="s">
        <v>778</v>
      </c>
      <c r="B361" t="s">
        <v>147</v>
      </c>
      <c r="C361" t="s">
        <v>108</v>
      </c>
      <c r="D361" t="s">
        <v>39</v>
      </c>
      <c r="E361" t="s">
        <v>725</v>
      </c>
      <c r="F361" t="s">
        <v>726</v>
      </c>
      <c r="G361">
        <v>42863</v>
      </c>
      <c r="H361" t="s">
        <v>727</v>
      </c>
      <c r="I361" t="s">
        <v>779</v>
      </c>
      <c r="J361">
        <v>3.4702900000000002E-2</v>
      </c>
      <c r="K361">
        <v>6.0724999999999998E-3</v>
      </c>
      <c r="L361">
        <v>5.7147632770000003</v>
      </c>
      <c r="M361">
        <v>42863</v>
      </c>
      <c r="N361">
        <v>1</v>
      </c>
      <c r="O361">
        <v>42861</v>
      </c>
      <c r="P361">
        <v>2.7593177E-2</v>
      </c>
      <c r="Q361">
        <v>2.7600183E-2</v>
      </c>
      <c r="R361">
        <v>4.8302980000000002E-3</v>
      </c>
      <c r="S361">
        <v>3.7067567000000003E-2</v>
      </c>
      <c r="T361">
        <v>1.8132799000000002E-2</v>
      </c>
      <c r="U361">
        <v>4.8265080000000002E-3</v>
      </c>
      <c r="V361">
        <v>2.3300000000000001E-5</v>
      </c>
      <c r="W361">
        <v>2.7638869E-2</v>
      </c>
      <c r="X361">
        <v>2.7547484000000001E-2</v>
      </c>
      <c r="Y361" t="s">
        <v>780</v>
      </c>
      <c r="Z361" t="s">
        <v>781</v>
      </c>
      <c r="AA361">
        <v>0</v>
      </c>
      <c r="AB361" t="s">
        <v>54</v>
      </c>
      <c r="AC361" t="s">
        <v>155</v>
      </c>
    </row>
    <row r="362" spans="1:29" x14ac:dyDescent="0.25">
      <c r="A362" t="s">
        <v>782</v>
      </c>
      <c r="B362" t="s">
        <v>147</v>
      </c>
      <c r="C362" t="s">
        <v>108</v>
      </c>
      <c r="D362" t="s">
        <v>39</v>
      </c>
      <c r="E362" t="s">
        <v>725</v>
      </c>
      <c r="F362" t="s">
        <v>738</v>
      </c>
      <c r="G362">
        <v>166816.46599999999</v>
      </c>
      <c r="H362" t="s">
        <v>727</v>
      </c>
      <c r="I362" t="s">
        <v>759</v>
      </c>
      <c r="J362">
        <v>5.5098300000000003E-2</v>
      </c>
      <c r="K362">
        <v>2.2770999999999998E-3</v>
      </c>
      <c r="L362">
        <v>24.19669755</v>
      </c>
      <c r="M362">
        <v>166816.46599999999</v>
      </c>
      <c r="N362">
        <v>1</v>
      </c>
      <c r="O362">
        <v>166816.46599999999</v>
      </c>
      <c r="P362">
        <v>5.9139254000000002E-2</v>
      </c>
      <c r="Q362">
        <v>5.9208345000000003E-2</v>
      </c>
      <c r="R362">
        <v>2.4484120000000001E-3</v>
      </c>
      <c r="S362">
        <v>6.4007231999999997E-2</v>
      </c>
      <c r="T362">
        <v>5.4409458000000001E-2</v>
      </c>
      <c r="U362">
        <v>2.4398340000000001E-3</v>
      </c>
      <c r="V362">
        <v>5.9699999999999996E-6</v>
      </c>
      <c r="W362">
        <v>5.9150963000000001E-2</v>
      </c>
      <c r="X362">
        <v>5.9127546000000003E-2</v>
      </c>
      <c r="Y362" t="s">
        <v>783</v>
      </c>
      <c r="Z362" t="s">
        <v>784</v>
      </c>
      <c r="AA362">
        <v>1</v>
      </c>
      <c r="AB362" t="s">
        <v>54</v>
      </c>
      <c r="AC362" t="s">
        <v>155</v>
      </c>
    </row>
    <row r="363" spans="1:29" x14ac:dyDescent="0.25">
      <c r="A363" t="s">
        <v>785</v>
      </c>
      <c r="B363" t="s">
        <v>147</v>
      </c>
      <c r="C363" t="s">
        <v>108</v>
      </c>
      <c r="D363" t="s">
        <v>39</v>
      </c>
      <c r="E363" t="s">
        <v>725</v>
      </c>
      <c r="F363" t="s">
        <v>726</v>
      </c>
      <c r="G363">
        <v>81027</v>
      </c>
      <c r="H363" t="s">
        <v>727</v>
      </c>
      <c r="I363" t="s">
        <v>786</v>
      </c>
      <c r="J363">
        <v>5.1368000000000004E-3</v>
      </c>
      <c r="K363">
        <v>1.7798E-3</v>
      </c>
      <c r="L363">
        <v>2.886166985</v>
      </c>
      <c r="M363">
        <v>81027</v>
      </c>
      <c r="N363">
        <v>1</v>
      </c>
      <c r="O363">
        <v>81025</v>
      </c>
      <c r="P363">
        <v>1.0138871000000001E-2</v>
      </c>
      <c r="Q363">
        <v>1.0139219E-2</v>
      </c>
      <c r="R363">
        <v>3.5131210000000001E-3</v>
      </c>
      <c r="S363">
        <v>1.7024937E-2</v>
      </c>
      <c r="T363">
        <v>3.2535009999999998E-3</v>
      </c>
      <c r="U363">
        <v>3.5127169999999998E-3</v>
      </c>
      <c r="V363">
        <v>1.2300000000000001E-5</v>
      </c>
      <c r="W363">
        <v>1.0163058000000001E-2</v>
      </c>
      <c r="X363">
        <v>1.0114684000000001E-2</v>
      </c>
      <c r="Y363" t="s">
        <v>787</v>
      </c>
      <c r="Z363" t="s">
        <v>788</v>
      </c>
      <c r="AA363">
        <v>0</v>
      </c>
      <c r="AB363" t="s">
        <v>54</v>
      </c>
      <c r="AC363" t="s">
        <v>155</v>
      </c>
    </row>
    <row r="364" spans="1:29" x14ac:dyDescent="0.25">
      <c r="A364" t="s">
        <v>789</v>
      </c>
      <c r="B364" t="s">
        <v>147</v>
      </c>
      <c r="C364" t="s">
        <v>108</v>
      </c>
      <c r="D364" t="s">
        <v>39</v>
      </c>
      <c r="E364" t="s">
        <v>725</v>
      </c>
      <c r="F364" t="s">
        <v>726</v>
      </c>
      <c r="G364">
        <v>106834</v>
      </c>
      <c r="H364" t="s">
        <v>727</v>
      </c>
      <c r="I364" t="s">
        <v>790</v>
      </c>
      <c r="J364">
        <v>-4.7322299999999998E-2</v>
      </c>
      <c r="K364">
        <v>3.8088000000000002E-3</v>
      </c>
      <c r="L364">
        <v>-12.4244644</v>
      </c>
      <c r="M364">
        <v>106834</v>
      </c>
      <c r="N364">
        <v>1</v>
      </c>
      <c r="O364">
        <v>106832</v>
      </c>
      <c r="P364">
        <v>-3.7985115999999999E-2</v>
      </c>
      <c r="Q364">
        <v>-3.8003400999999999E-2</v>
      </c>
      <c r="R364">
        <v>3.059506E-3</v>
      </c>
      <c r="S364">
        <v>-3.2006767999999998E-2</v>
      </c>
      <c r="T364">
        <v>-4.4000033000000001E-2</v>
      </c>
      <c r="U364">
        <v>3.0550629999999998E-3</v>
      </c>
      <c r="V364">
        <v>9.3500000000000003E-6</v>
      </c>
      <c r="W364">
        <v>-3.7966795999999997E-2</v>
      </c>
      <c r="X364">
        <v>-3.8003436000000002E-2</v>
      </c>
      <c r="Y364" t="s">
        <v>791</v>
      </c>
      <c r="Z364" t="s">
        <v>792</v>
      </c>
      <c r="AA364">
        <v>0</v>
      </c>
      <c r="AB364" t="s">
        <v>54</v>
      </c>
      <c r="AC364" t="s">
        <v>155</v>
      </c>
    </row>
    <row r="365" spans="1:29" x14ac:dyDescent="0.25">
      <c r="A365" t="s">
        <v>793</v>
      </c>
      <c r="B365" t="s">
        <v>147</v>
      </c>
      <c r="C365" t="s">
        <v>108</v>
      </c>
      <c r="D365" t="s">
        <v>39</v>
      </c>
      <c r="E365" t="s">
        <v>725</v>
      </c>
      <c r="F365" t="s">
        <v>738</v>
      </c>
      <c r="G365">
        <v>5358</v>
      </c>
      <c r="H365" t="s">
        <v>727</v>
      </c>
      <c r="I365" t="s">
        <v>794</v>
      </c>
      <c r="J365">
        <v>2.2515400000000001E-2</v>
      </c>
      <c r="K365">
        <v>6.7095999999999996E-3</v>
      </c>
      <c r="L365">
        <v>3.3556992970000001</v>
      </c>
      <c r="M365">
        <v>5358</v>
      </c>
      <c r="N365">
        <v>1</v>
      </c>
      <c r="O365">
        <v>5356</v>
      </c>
      <c r="P365">
        <v>4.5804346000000003E-2</v>
      </c>
      <c r="Q365">
        <v>4.5836420000000003E-2</v>
      </c>
      <c r="R365">
        <v>1.3665333999999999E-2</v>
      </c>
      <c r="S365">
        <v>7.2620475000000004E-2</v>
      </c>
      <c r="T365">
        <v>1.9052365000000002E-2</v>
      </c>
      <c r="U365">
        <v>1.3634118000000001E-2</v>
      </c>
      <c r="V365">
        <v>1.8599999999999999E-4</v>
      </c>
      <c r="W365">
        <v>4.6169421000000002E-2</v>
      </c>
      <c r="X365">
        <v>4.5439272000000003E-2</v>
      </c>
      <c r="Y365" t="s">
        <v>795</v>
      </c>
      <c r="Z365" t="s">
        <v>796</v>
      </c>
      <c r="AA365">
        <v>0</v>
      </c>
      <c r="AB365" t="s">
        <v>54</v>
      </c>
      <c r="AC365" t="s">
        <v>155</v>
      </c>
    </row>
    <row r="366" spans="1:29" x14ac:dyDescent="0.25">
      <c r="A366" t="s">
        <v>793</v>
      </c>
      <c r="B366" t="s">
        <v>147</v>
      </c>
      <c r="C366" t="s">
        <v>108</v>
      </c>
      <c r="D366" t="s">
        <v>39</v>
      </c>
      <c r="E366" t="s">
        <v>725</v>
      </c>
      <c r="F366" t="s">
        <v>797</v>
      </c>
      <c r="G366">
        <v>331764</v>
      </c>
      <c r="H366" t="s">
        <v>727</v>
      </c>
      <c r="I366" t="s">
        <v>794</v>
      </c>
      <c r="J366">
        <v>7.0000000000000007E-2</v>
      </c>
      <c r="K366">
        <v>1.9856000000000001E-3</v>
      </c>
      <c r="L366">
        <v>35.253827559999998</v>
      </c>
      <c r="M366">
        <v>331764</v>
      </c>
      <c r="N366">
        <v>1</v>
      </c>
      <c r="O366">
        <v>331762</v>
      </c>
      <c r="P366">
        <v>6.1091530999999998E-2</v>
      </c>
      <c r="Q366">
        <v>6.1167702999999997E-2</v>
      </c>
      <c r="R366">
        <v>1.7361500000000001E-3</v>
      </c>
      <c r="S366">
        <v>6.4570558E-2</v>
      </c>
      <c r="T366">
        <v>5.7764848000000001E-2</v>
      </c>
      <c r="U366">
        <v>1.7296659999999999E-3</v>
      </c>
      <c r="V366">
        <v>3.0000000000000001E-6</v>
      </c>
      <c r="W366">
        <v>6.1097417000000001E-2</v>
      </c>
      <c r="X366">
        <v>6.1085645000000001E-2</v>
      </c>
      <c r="Y366" t="s">
        <v>795</v>
      </c>
      <c r="Z366" t="s">
        <v>796</v>
      </c>
      <c r="AA366">
        <v>0</v>
      </c>
      <c r="AB366" t="s">
        <v>54</v>
      </c>
      <c r="AC366" t="s">
        <v>155</v>
      </c>
    </row>
    <row r="367" spans="1:29" x14ac:dyDescent="0.25">
      <c r="A367" t="s">
        <v>793</v>
      </c>
      <c r="B367" t="s">
        <v>147</v>
      </c>
      <c r="C367" t="s">
        <v>108</v>
      </c>
      <c r="D367" t="s">
        <v>39</v>
      </c>
      <c r="E367" t="s">
        <v>725</v>
      </c>
      <c r="F367" t="s">
        <v>726</v>
      </c>
      <c r="G367">
        <v>93341</v>
      </c>
      <c r="H367" t="s">
        <v>727</v>
      </c>
      <c r="I367" t="s">
        <v>798</v>
      </c>
      <c r="J367">
        <v>0.12657479999999999</v>
      </c>
      <c r="K367">
        <v>2.26938E-2</v>
      </c>
      <c r="L367">
        <v>5.5775057500000003</v>
      </c>
      <c r="M367">
        <v>3014</v>
      </c>
      <c r="N367">
        <v>1</v>
      </c>
      <c r="O367">
        <v>3012</v>
      </c>
      <c r="P367">
        <v>0.10110701800000001</v>
      </c>
      <c r="Q367">
        <v>0.10145367399999999</v>
      </c>
      <c r="R367">
        <v>1.8224038000000001E-2</v>
      </c>
      <c r="S367">
        <v>0.13717278899999999</v>
      </c>
      <c r="T367">
        <v>6.5734557999999998E-2</v>
      </c>
      <c r="U367">
        <v>1.8031753000000001E-2</v>
      </c>
      <c r="V367">
        <v>3.28E-4</v>
      </c>
      <c r="W367">
        <v>0.101750776</v>
      </c>
      <c r="X367">
        <v>0.100463261</v>
      </c>
      <c r="Y367" t="s">
        <v>799</v>
      </c>
      <c r="Z367" t="s">
        <v>800</v>
      </c>
      <c r="AA367">
        <v>0</v>
      </c>
      <c r="AB367" t="s">
        <v>54</v>
      </c>
      <c r="AC367" t="s">
        <v>155</v>
      </c>
    </row>
    <row r="368" spans="1:29" x14ac:dyDescent="0.25">
      <c r="A368" t="s">
        <v>801</v>
      </c>
      <c r="B368" t="s">
        <v>147</v>
      </c>
      <c r="C368" t="s">
        <v>108</v>
      </c>
      <c r="D368" t="s">
        <v>39</v>
      </c>
      <c r="E368" t="s">
        <v>725</v>
      </c>
      <c r="F368" t="s">
        <v>797</v>
      </c>
      <c r="G368">
        <v>1173</v>
      </c>
      <c r="H368" t="s">
        <v>727</v>
      </c>
      <c r="I368" t="s">
        <v>802</v>
      </c>
      <c r="J368">
        <v>6.4731399999999994E-2</v>
      </c>
      <c r="K368">
        <v>4.92311E-2</v>
      </c>
      <c r="L368">
        <v>1.3148477279999999</v>
      </c>
      <c r="M368">
        <v>1173</v>
      </c>
      <c r="N368">
        <v>1</v>
      </c>
      <c r="O368">
        <v>1171</v>
      </c>
      <c r="P368">
        <v>3.8395176000000003E-2</v>
      </c>
      <c r="Q368">
        <v>3.841406E-2</v>
      </c>
      <c r="R368">
        <v>2.9235266999999999E-2</v>
      </c>
      <c r="S368">
        <v>9.5715183999999995E-2</v>
      </c>
      <c r="T368">
        <v>-1.8887063999999999E-2</v>
      </c>
      <c r="U368">
        <v>2.9167249999999999E-2</v>
      </c>
      <c r="V368">
        <v>8.52E-4</v>
      </c>
      <c r="W368">
        <v>4.0064352999999997E-2</v>
      </c>
      <c r="X368">
        <v>3.6725998000000003E-2</v>
      </c>
      <c r="Y368" t="s">
        <v>803</v>
      </c>
      <c r="Z368" t="s">
        <v>804</v>
      </c>
      <c r="AA368">
        <v>1</v>
      </c>
      <c r="AB368" t="s">
        <v>54</v>
      </c>
      <c r="AC368" t="s">
        <v>155</v>
      </c>
    </row>
    <row r="369" spans="1:29" x14ac:dyDescent="0.25">
      <c r="A369" t="s">
        <v>805</v>
      </c>
      <c r="B369" t="s">
        <v>147</v>
      </c>
      <c r="C369" t="s">
        <v>108</v>
      </c>
      <c r="D369" t="s">
        <v>39</v>
      </c>
      <c r="E369" t="s">
        <v>725</v>
      </c>
      <c r="F369" t="s">
        <v>726</v>
      </c>
      <c r="G369">
        <v>6461</v>
      </c>
      <c r="H369" t="s">
        <v>727</v>
      </c>
      <c r="I369" t="s">
        <v>806</v>
      </c>
      <c r="J369">
        <v>1.9484000000000001E-2</v>
      </c>
      <c r="K369">
        <v>8.0757999999999993E-3</v>
      </c>
      <c r="L369">
        <v>2.4126402339999999</v>
      </c>
      <c r="M369">
        <v>6461</v>
      </c>
      <c r="N369">
        <v>1</v>
      </c>
      <c r="O369">
        <v>6459</v>
      </c>
      <c r="P369">
        <v>3.0006429000000001E-2</v>
      </c>
      <c r="Q369">
        <v>3.0015440000000001E-2</v>
      </c>
      <c r="R369">
        <v>1.2443740999999999E-2</v>
      </c>
      <c r="S369">
        <v>5.4405173000000001E-2</v>
      </c>
      <c r="T369">
        <v>5.6257069999999998E-3</v>
      </c>
      <c r="U369">
        <v>1.2430613E-2</v>
      </c>
      <c r="V369">
        <v>1.55E-4</v>
      </c>
      <c r="W369">
        <v>3.0309538E-2</v>
      </c>
      <c r="X369">
        <v>2.9703319999999998E-2</v>
      </c>
      <c r="Y369" t="s">
        <v>807</v>
      </c>
      <c r="Z369" t="s">
        <v>808</v>
      </c>
      <c r="AA369">
        <v>0</v>
      </c>
      <c r="AB369" t="s">
        <v>54</v>
      </c>
      <c r="AC369" t="s">
        <v>155</v>
      </c>
    </row>
    <row r="370" spans="1:29" x14ac:dyDescent="0.25">
      <c r="A370" t="s">
        <v>805</v>
      </c>
      <c r="B370" t="s">
        <v>147</v>
      </c>
      <c r="C370" t="s">
        <v>108</v>
      </c>
      <c r="D370" t="s">
        <v>39</v>
      </c>
      <c r="E370" t="s">
        <v>725</v>
      </c>
      <c r="F370" t="s">
        <v>726</v>
      </c>
      <c r="G370">
        <v>93341</v>
      </c>
      <c r="H370" t="s">
        <v>727</v>
      </c>
      <c r="I370" t="s">
        <v>809</v>
      </c>
      <c r="J370">
        <v>0.09</v>
      </c>
      <c r="K370">
        <v>5.3466100000000003E-2</v>
      </c>
      <c r="L370">
        <v>1.6833096110000001</v>
      </c>
      <c r="M370">
        <v>400</v>
      </c>
      <c r="N370">
        <v>1</v>
      </c>
      <c r="O370">
        <v>398</v>
      </c>
      <c r="P370">
        <v>8.4077923999999998E-2</v>
      </c>
      <c r="Q370">
        <v>8.4276886999999995E-2</v>
      </c>
      <c r="R370">
        <v>5.0188561E-2</v>
      </c>
      <c r="S370">
        <v>0.18264646700000001</v>
      </c>
      <c r="T370">
        <v>-1.4092693E-2</v>
      </c>
      <c r="U370">
        <v>4.9708719999999998E-2</v>
      </c>
      <c r="V370">
        <v>2.49E-3</v>
      </c>
      <c r="W370">
        <v>8.8949378999999995E-2</v>
      </c>
      <c r="X370">
        <v>7.9206470000000001E-2</v>
      </c>
      <c r="Y370" t="s">
        <v>799</v>
      </c>
      <c r="Z370" t="s">
        <v>810</v>
      </c>
      <c r="AA370">
        <v>0</v>
      </c>
      <c r="AB370" t="s">
        <v>54</v>
      </c>
      <c r="AC370" t="s">
        <v>155</v>
      </c>
    </row>
    <row r="371" spans="1:29" x14ac:dyDescent="0.25">
      <c r="A371" t="s">
        <v>811</v>
      </c>
      <c r="B371" t="s">
        <v>147</v>
      </c>
      <c r="C371" t="s">
        <v>108</v>
      </c>
      <c r="D371" t="s">
        <v>39</v>
      </c>
      <c r="E371" t="s">
        <v>725</v>
      </c>
      <c r="F371" t="s">
        <v>726</v>
      </c>
      <c r="G371">
        <v>3742</v>
      </c>
      <c r="H371" t="s">
        <v>727</v>
      </c>
      <c r="I371" t="s">
        <v>812</v>
      </c>
      <c r="J371">
        <v>-4.8653999999999998E-3</v>
      </c>
      <c r="K371">
        <v>3.9855999999999997E-3</v>
      </c>
      <c r="L371">
        <v>-1.220744681</v>
      </c>
      <c r="M371">
        <v>3742</v>
      </c>
      <c r="N371">
        <v>1</v>
      </c>
      <c r="O371">
        <v>3740</v>
      </c>
      <c r="P371">
        <v>-1.9957334E-2</v>
      </c>
      <c r="Q371">
        <v>-1.9959985E-2</v>
      </c>
      <c r="R371">
        <v>1.6353935E-2</v>
      </c>
      <c r="S371">
        <v>1.2093728E-2</v>
      </c>
      <c r="T371">
        <v>-5.2013696999999998E-2</v>
      </c>
      <c r="U371">
        <v>1.6343051000000001E-2</v>
      </c>
      <c r="V371">
        <v>2.6699999999999998E-4</v>
      </c>
      <c r="W371">
        <v>-1.9433689000000001E-2</v>
      </c>
      <c r="X371">
        <v>-2.0480979999999999E-2</v>
      </c>
      <c r="Y371" t="s">
        <v>813</v>
      </c>
      <c r="Z371" t="s">
        <v>761</v>
      </c>
      <c r="AA371">
        <v>0</v>
      </c>
      <c r="AB371" t="s">
        <v>54</v>
      </c>
      <c r="AC371" t="s">
        <v>155</v>
      </c>
    </row>
    <row r="372" spans="1:29" x14ac:dyDescent="0.25">
      <c r="A372" t="s">
        <v>814</v>
      </c>
      <c r="B372" t="s">
        <v>147</v>
      </c>
      <c r="C372" t="s">
        <v>108</v>
      </c>
      <c r="D372" t="s">
        <v>39</v>
      </c>
      <c r="E372" t="s">
        <v>725</v>
      </c>
      <c r="F372" t="s">
        <v>726</v>
      </c>
      <c r="G372">
        <v>32424</v>
      </c>
      <c r="H372" t="s">
        <v>727</v>
      </c>
      <c r="I372" t="s">
        <v>815</v>
      </c>
      <c r="J372">
        <v>2.5899599999999998E-2</v>
      </c>
      <c r="K372">
        <v>7.5160000000000001E-3</v>
      </c>
      <c r="L372">
        <v>3.4459286850000002</v>
      </c>
      <c r="M372">
        <v>32424</v>
      </c>
      <c r="N372">
        <v>1</v>
      </c>
      <c r="O372">
        <v>32422</v>
      </c>
      <c r="P372">
        <v>1.9134048000000001E-2</v>
      </c>
      <c r="Q372">
        <v>1.9136383999999999E-2</v>
      </c>
      <c r="R372">
        <v>5.553756E-3</v>
      </c>
      <c r="S372">
        <v>3.0021745999999998E-2</v>
      </c>
      <c r="T372">
        <v>8.2510220000000002E-3</v>
      </c>
      <c r="U372">
        <v>5.5515510000000001E-3</v>
      </c>
      <c r="V372">
        <v>3.0800000000000003E-5</v>
      </c>
      <c r="W372">
        <v>1.9194475999999999E-2</v>
      </c>
      <c r="X372">
        <v>1.9073620999999999E-2</v>
      </c>
      <c r="Y372" t="s">
        <v>816</v>
      </c>
      <c r="Z372" t="s">
        <v>817</v>
      </c>
      <c r="AA372">
        <v>0</v>
      </c>
      <c r="AB372" t="s">
        <v>54</v>
      </c>
      <c r="AC372" t="s">
        <v>155</v>
      </c>
    </row>
    <row r="373" spans="1:29" x14ac:dyDescent="0.25">
      <c r="A373" t="s">
        <v>818</v>
      </c>
      <c r="B373" t="s">
        <v>147</v>
      </c>
      <c r="C373" t="s">
        <v>108</v>
      </c>
      <c r="D373" t="s">
        <v>39</v>
      </c>
      <c r="E373" t="s">
        <v>725</v>
      </c>
      <c r="F373" t="s">
        <v>726</v>
      </c>
      <c r="G373">
        <v>11155</v>
      </c>
      <c r="H373" t="s">
        <v>727</v>
      </c>
      <c r="I373" t="s">
        <v>819</v>
      </c>
      <c r="J373">
        <v>1.05568E-2</v>
      </c>
      <c r="K373">
        <v>7.5278000000000003E-3</v>
      </c>
      <c r="L373">
        <v>1.4023751959999999</v>
      </c>
      <c r="M373">
        <v>11155</v>
      </c>
      <c r="N373">
        <v>1</v>
      </c>
      <c r="O373">
        <v>11153</v>
      </c>
      <c r="P373">
        <v>1.3277921E-2</v>
      </c>
      <c r="Q373">
        <v>1.3278701E-2</v>
      </c>
      <c r="R373">
        <v>9.4694250000000001E-3</v>
      </c>
      <c r="S373">
        <v>3.1838775E-2</v>
      </c>
      <c r="T373">
        <v>-5.2813720000000003E-3</v>
      </c>
      <c r="U373">
        <v>9.4669070000000001E-3</v>
      </c>
      <c r="V373">
        <v>8.9599999999999996E-5</v>
      </c>
      <c r="W373">
        <v>1.3453603999999999E-2</v>
      </c>
      <c r="X373">
        <v>1.3102238E-2</v>
      </c>
      <c r="Y373" t="s">
        <v>816</v>
      </c>
      <c r="Z373" t="s">
        <v>820</v>
      </c>
      <c r="AA373">
        <v>0</v>
      </c>
      <c r="AB373" t="s">
        <v>54</v>
      </c>
      <c r="AC373" t="s">
        <v>155</v>
      </c>
    </row>
    <row r="374" spans="1:29" x14ac:dyDescent="0.25">
      <c r="A374" t="s">
        <v>821</v>
      </c>
      <c r="B374" t="s">
        <v>147</v>
      </c>
      <c r="C374" t="s">
        <v>108</v>
      </c>
      <c r="D374" t="s">
        <v>39</v>
      </c>
      <c r="E374" t="s">
        <v>725</v>
      </c>
      <c r="F374" t="s">
        <v>726</v>
      </c>
      <c r="G374">
        <v>4637</v>
      </c>
      <c r="H374" t="s">
        <v>727</v>
      </c>
      <c r="I374" t="s">
        <v>822</v>
      </c>
      <c r="J374">
        <v>-3.3880899999999999E-2</v>
      </c>
      <c r="K374">
        <v>1.4511700000000001E-2</v>
      </c>
      <c r="L374">
        <v>-2.3347299079999999</v>
      </c>
      <c r="M374">
        <v>4637</v>
      </c>
      <c r="N374">
        <v>1</v>
      </c>
      <c r="O374">
        <v>4635</v>
      </c>
      <c r="P374">
        <v>-3.4273350000000001E-2</v>
      </c>
      <c r="Q374">
        <v>-3.4286779000000003E-2</v>
      </c>
      <c r="R374">
        <v>1.4690006E-2</v>
      </c>
      <c r="S374">
        <v>-5.494367E-3</v>
      </c>
      <c r="T374">
        <v>-6.3079192000000006E-2</v>
      </c>
      <c r="U374">
        <v>1.4669585000000001E-2</v>
      </c>
      <c r="V374">
        <v>2.1499999999999999E-4</v>
      </c>
      <c r="W374">
        <v>-3.3851114000000002E-2</v>
      </c>
      <c r="X374">
        <v>-3.4695586E-2</v>
      </c>
      <c r="Y374" t="s">
        <v>823</v>
      </c>
      <c r="Z374" t="s">
        <v>824</v>
      </c>
      <c r="AA374">
        <v>0</v>
      </c>
      <c r="AB374" t="s">
        <v>54</v>
      </c>
      <c r="AC374" t="s">
        <v>155</v>
      </c>
    </row>
    <row r="375" spans="1:29" x14ac:dyDescent="0.25">
      <c r="A375" t="s">
        <v>825</v>
      </c>
      <c r="B375" t="s">
        <v>147</v>
      </c>
      <c r="C375" t="s">
        <v>108</v>
      </c>
      <c r="D375" t="s">
        <v>39</v>
      </c>
      <c r="E375" t="s">
        <v>725</v>
      </c>
      <c r="F375" t="s">
        <v>726</v>
      </c>
      <c r="G375">
        <v>9119</v>
      </c>
      <c r="H375" t="s">
        <v>727</v>
      </c>
      <c r="I375" t="s">
        <v>826</v>
      </c>
      <c r="J375">
        <v>9.1163599999999997E-2</v>
      </c>
      <c r="K375">
        <v>1.6228699999999999E-2</v>
      </c>
      <c r="L375">
        <v>5.6174308479999997</v>
      </c>
      <c r="M375">
        <v>9119</v>
      </c>
      <c r="N375">
        <v>1</v>
      </c>
      <c r="O375">
        <v>9117</v>
      </c>
      <c r="P375">
        <v>5.8730198999999997E-2</v>
      </c>
      <c r="Q375">
        <v>5.8797863999999998E-2</v>
      </c>
      <c r="R375">
        <v>1.0473645E-2</v>
      </c>
      <c r="S375">
        <v>7.9326206999999996E-2</v>
      </c>
      <c r="T375">
        <v>3.8269520000000001E-2</v>
      </c>
      <c r="U375">
        <v>1.0436374E-2</v>
      </c>
      <c r="V375">
        <v>1.0900000000000001E-4</v>
      </c>
      <c r="W375">
        <v>5.8944404999999998E-2</v>
      </c>
      <c r="X375">
        <v>5.8515993000000002E-2</v>
      </c>
      <c r="Y375" t="s">
        <v>827</v>
      </c>
      <c r="Z375" t="s">
        <v>828</v>
      </c>
      <c r="AA375">
        <v>0</v>
      </c>
      <c r="AB375" t="s">
        <v>54</v>
      </c>
      <c r="AC375" t="s">
        <v>155</v>
      </c>
    </row>
    <row r="376" spans="1:29" x14ac:dyDescent="0.25">
      <c r="A376" t="s">
        <v>829</v>
      </c>
      <c r="B376" t="s">
        <v>147</v>
      </c>
      <c r="C376" t="s">
        <v>108</v>
      </c>
      <c r="D376" t="s">
        <v>39</v>
      </c>
      <c r="E376" t="s">
        <v>725</v>
      </c>
      <c r="F376" t="s">
        <v>726</v>
      </c>
      <c r="G376">
        <v>344839</v>
      </c>
      <c r="H376" t="s">
        <v>727</v>
      </c>
      <c r="I376" t="s">
        <v>830</v>
      </c>
      <c r="J376">
        <v>-5.9413000000000001E-3</v>
      </c>
      <c r="K376">
        <v>1.7596000000000001E-3</v>
      </c>
      <c r="L376">
        <v>-3.3765060240000002</v>
      </c>
      <c r="M376">
        <v>344839</v>
      </c>
      <c r="N376">
        <v>1</v>
      </c>
      <c r="O376">
        <v>344837</v>
      </c>
      <c r="P376">
        <v>-5.7498089999999998E-3</v>
      </c>
      <c r="Q376">
        <v>-5.7498719999999996E-3</v>
      </c>
      <c r="R376">
        <v>1.7029180000000001E-3</v>
      </c>
      <c r="S376">
        <v>-2.4121530000000002E-3</v>
      </c>
      <c r="T376">
        <v>-9.0875910000000008E-3</v>
      </c>
      <c r="U376">
        <v>1.7028569999999999E-3</v>
      </c>
      <c r="V376">
        <v>2.9000000000000002E-6</v>
      </c>
      <c r="W376">
        <v>-5.7441250000000001E-3</v>
      </c>
      <c r="X376">
        <v>-5.7554930000000004E-3</v>
      </c>
      <c r="Y376" t="s">
        <v>831</v>
      </c>
      <c r="Z376" t="s">
        <v>832</v>
      </c>
      <c r="AA376">
        <v>0</v>
      </c>
      <c r="AB376" t="s">
        <v>54</v>
      </c>
      <c r="AC376" t="s">
        <v>155</v>
      </c>
    </row>
    <row r="377" spans="1:29" x14ac:dyDescent="0.25">
      <c r="A377" t="s">
        <v>833</v>
      </c>
      <c r="B377" t="s">
        <v>147</v>
      </c>
      <c r="C377" t="s">
        <v>108</v>
      </c>
      <c r="D377" t="s">
        <v>39</v>
      </c>
      <c r="E377" t="s">
        <v>725</v>
      </c>
      <c r="F377" t="s">
        <v>726</v>
      </c>
      <c r="G377">
        <v>33565</v>
      </c>
      <c r="H377" t="s">
        <v>727</v>
      </c>
      <c r="I377" t="s">
        <v>834</v>
      </c>
      <c r="J377">
        <v>3.5304099999999998E-2</v>
      </c>
      <c r="K377">
        <v>1.47644E-2</v>
      </c>
      <c r="L377">
        <v>2.3911638810000002</v>
      </c>
      <c r="M377">
        <v>33565</v>
      </c>
      <c r="N377">
        <v>1</v>
      </c>
      <c r="O377">
        <v>33563</v>
      </c>
      <c r="P377">
        <v>1.3050945E-2</v>
      </c>
      <c r="Q377">
        <v>1.3051686E-2</v>
      </c>
      <c r="R377">
        <v>5.4585349999999996E-3</v>
      </c>
      <c r="S377">
        <v>2.3750414000000001E-2</v>
      </c>
      <c r="T377">
        <v>2.352958E-3</v>
      </c>
      <c r="U377">
        <v>5.4574419999999998E-3</v>
      </c>
      <c r="V377">
        <v>2.9799999999999999E-5</v>
      </c>
      <c r="W377">
        <v>1.3109330000000001E-2</v>
      </c>
      <c r="X377">
        <v>1.299256E-2</v>
      </c>
      <c r="Y377" t="s">
        <v>835</v>
      </c>
      <c r="Z377" t="s">
        <v>836</v>
      </c>
      <c r="AA377">
        <v>0</v>
      </c>
      <c r="AB377" t="s">
        <v>54</v>
      </c>
      <c r="AC377" t="s">
        <v>155</v>
      </c>
    </row>
    <row r="378" spans="1:29" x14ac:dyDescent="0.25">
      <c r="A378" t="s">
        <v>837</v>
      </c>
      <c r="B378" t="s">
        <v>147</v>
      </c>
      <c r="C378" t="s">
        <v>108</v>
      </c>
      <c r="D378" t="s">
        <v>39</v>
      </c>
      <c r="E378" t="s">
        <v>725</v>
      </c>
      <c r="F378" t="s">
        <v>726</v>
      </c>
      <c r="G378">
        <v>10370</v>
      </c>
      <c r="H378" t="s">
        <v>727</v>
      </c>
      <c r="I378" t="s">
        <v>834</v>
      </c>
      <c r="J378">
        <v>2.1184600000000001E-2</v>
      </c>
      <c r="K378">
        <v>2.56802E-2</v>
      </c>
      <c r="L378">
        <v>0.824939058</v>
      </c>
      <c r="M378">
        <v>10370</v>
      </c>
      <c r="N378">
        <v>1</v>
      </c>
      <c r="O378">
        <v>10368</v>
      </c>
      <c r="P378">
        <v>8.1014009999999994E-3</v>
      </c>
      <c r="Q378">
        <v>8.1015779999999999E-3</v>
      </c>
      <c r="R378">
        <v>9.8214010000000004E-3</v>
      </c>
      <c r="S378">
        <v>2.7351523999999999E-2</v>
      </c>
      <c r="T378">
        <v>-1.1148368000000001E-2</v>
      </c>
      <c r="U378">
        <v>9.8198090000000005E-3</v>
      </c>
      <c r="V378">
        <v>9.6399999999999999E-5</v>
      </c>
      <c r="W378">
        <v>8.2904039999999995E-3</v>
      </c>
      <c r="X378">
        <v>7.9123969999999998E-3</v>
      </c>
      <c r="Y378" t="s">
        <v>838</v>
      </c>
      <c r="Z378" t="s">
        <v>839</v>
      </c>
      <c r="AA378">
        <v>0</v>
      </c>
      <c r="AB378" t="s">
        <v>54</v>
      </c>
      <c r="AC378" t="s">
        <v>155</v>
      </c>
    </row>
    <row r="379" spans="1:29" x14ac:dyDescent="0.25">
      <c r="A379">
        <v>2001</v>
      </c>
      <c r="B379" t="s">
        <v>147</v>
      </c>
      <c r="C379" t="s">
        <v>108</v>
      </c>
      <c r="D379" t="s">
        <v>39</v>
      </c>
      <c r="E379" t="s">
        <v>840</v>
      </c>
      <c r="F379" t="s">
        <v>841</v>
      </c>
      <c r="G379">
        <v>450366</v>
      </c>
      <c r="H379" t="s">
        <v>842</v>
      </c>
      <c r="I379" t="s">
        <v>728</v>
      </c>
      <c r="J379">
        <v>-2.1001599999999999E-2</v>
      </c>
      <c r="K379">
        <v>4.8329999999999998E-4</v>
      </c>
      <c r="L379">
        <v>-43.454583069999998</v>
      </c>
      <c r="M379">
        <v>450366</v>
      </c>
      <c r="N379">
        <v>1</v>
      </c>
      <c r="O379">
        <v>450364</v>
      </c>
      <c r="P379">
        <v>-6.4616762999999994E-2</v>
      </c>
      <c r="Q379">
        <v>-6.4706921000000001E-2</v>
      </c>
      <c r="R379">
        <v>1.4901109999999999E-3</v>
      </c>
      <c r="S379">
        <v>-6.1786303000000001E-2</v>
      </c>
      <c r="T379">
        <v>-6.7627538000000001E-2</v>
      </c>
      <c r="U379">
        <v>1.483886E-3</v>
      </c>
      <c r="V379">
        <v>2.21E-6</v>
      </c>
      <c r="W379">
        <v>-6.4612428999999999E-2</v>
      </c>
      <c r="X379">
        <v>-6.4621096000000003E-2</v>
      </c>
      <c r="Y379" t="s">
        <v>843</v>
      </c>
      <c r="Z379" t="s">
        <v>730</v>
      </c>
      <c r="AA379">
        <v>0</v>
      </c>
      <c r="AB379" t="s">
        <v>54</v>
      </c>
      <c r="AC379" t="s">
        <v>155</v>
      </c>
    </row>
    <row r="380" spans="1:29" x14ac:dyDescent="0.25">
      <c r="A380" t="s">
        <v>844</v>
      </c>
      <c r="B380" t="s">
        <v>147</v>
      </c>
      <c r="C380" t="s">
        <v>107</v>
      </c>
      <c r="D380" t="s">
        <v>39</v>
      </c>
      <c r="E380" t="s">
        <v>840</v>
      </c>
      <c r="F380" t="s">
        <v>845</v>
      </c>
      <c r="G380">
        <v>111073.565</v>
      </c>
      <c r="H380" t="s">
        <v>842</v>
      </c>
      <c r="I380" t="s">
        <v>747</v>
      </c>
      <c r="J380">
        <v>2.1988500000000001E-2</v>
      </c>
      <c r="K380">
        <v>2.3405000000000001E-3</v>
      </c>
      <c r="L380">
        <v>9.3947874389999999</v>
      </c>
      <c r="M380">
        <v>111073.565</v>
      </c>
      <c r="N380">
        <v>1</v>
      </c>
      <c r="O380">
        <v>111071.565</v>
      </c>
      <c r="P380">
        <v>2.8178186000000001E-2</v>
      </c>
      <c r="Q380">
        <v>2.8185647000000001E-2</v>
      </c>
      <c r="R380">
        <v>3.000548E-3</v>
      </c>
      <c r="S380">
        <v>3.4066720000000002E-2</v>
      </c>
      <c r="T380">
        <v>2.2304574000000001E-2</v>
      </c>
      <c r="U380">
        <v>2.998138E-3</v>
      </c>
      <c r="V380">
        <v>9.0000000000000002E-6</v>
      </c>
      <c r="W380">
        <v>2.8195818000000001E-2</v>
      </c>
      <c r="X380">
        <v>2.8160554000000001E-2</v>
      </c>
      <c r="Y380" t="s">
        <v>846</v>
      </c>
      <c r="Z380" t="s">
        <v>847</v>
      </c>
      <c r="AA380">
        <v>1</v>
      </c>
      <c r="AB380" t="s">
        <v>54</v>
      </c>
      <c r="AC380" t="s">
        <v>155</v>
      </c>
    </row>
    <row r="381" spans="1:29" x14ac:dyDescent="0.25">
      <c r="A381" t="s">
        <v>750</v>
      </c>
      <c r="B381" t="s">
        <v>147</v>
      </c>
      <c r="C381" t="s">
        <v>108</v>
      </c>
      <c r="D381" t="s">
        <v>39</v>
      </c>
      <c r="E381" t="s">
        <v>840</v>
      </c>
      <c r="F381" t="s">
        <v>848</v>
      </c>
      <c r="G381">
        <v>1382626</v>
      </c>
      <c r="H381" t="s">
        <v>849</v>
      </c>
      <c r="I381" t="s">
        <v>751</v>
      </c>
      <c r="J381">
        <v>-1.5764299999999998E-2</v>
      </c>
      <c r="K381">
        <v>3.0499999999999999E-4</v>
      </c>
      <c r="L381">
        <v>-51.686229509999997</v>
      </c>
      <c r="M381">
        <v>1382626</v>
      </c>
      <c r="N381">
        <v>1</v>
      </c>
      <c r="O381">
        <v>1382624</v>
      </c>
      <c r="P381">
        <v>-4.3914065000000002E-2</v>
      </c>
      <c r="Q381">
        <v>-4.3942327000000003E-2</v>
      </c>
      <c r="R381">
        <v>8.5044899999999997E-4</v>
      </c>
      <c r="S381">
        <v>-4.2275447000000001E-2</v>
      </c>
      <c r="T381">
        <v>-4.5609205999999999E-2</v>
      </c>
      <c r="U381">
        <v>8.4880800000000005E-4</v>
      </c>
      <c r="V381">
        <v>7.2200000000000003E-7</v>
      </c>
      <c r="W381">
        <v>-4.3912650999999997E-2</v>
      </c>
      <c r="X381">
        <v>-4.391548E-2</v>
      </c>
      <c r="Y381" t="s">
        <v>850</v>
      </c>
      <c r="Z381" t="s">
        <v>753</v>
      </c>
      <c r="AA381">
        <v>0</v>
      </c>
      <c r="AB381" t="s">
        <v>54</v>
      </c>
      <c r="AC381" t="s">
        <v>155</v>
      </c>
    </row>
    <row r="382" spans="1:29" x14ac:dyDescent="0.25">
      <c r="A382" t="s">
        <v>754</v>
      </c>
      <c r="B382" t="s">
        <v>147</v>
      </c>
      <c r="C382" t="s">
        <v>108</v>
      </c>
      <c r="D382" t="s">
        <v>39</v>
      </c>
      <c r="E382" t="s">
        <v>840</v>
      </c>
      <c r="F382" t="s">
        <v>848</v>
      </c>
      <c r="G382">
        <v>31075708</v>
      </c>
      <c r="H382" t="s">
        <v>849</v>
      </c>
      <c r="I382" t="s">
        <v>755</v>
      </c>
      <c r="J382">
        <v>-2.8999899999999999E-2</v>
      </c>
      <c r="K382">
        <v>1.217E-4</v>
      </c>
      <c r="L382">
        <v>-238.29005749999999</v>
      </c>
      <c r="M382">
        <v>31222503.829999998</v>
      </c>
      <c r="N382">
        <v>1</v>
      </c>
      <c r="O382">
        <v>31222501.829999998</v>
      </c>
      <c r="P382">
        <v>-4.2606663000000003E-2</v>
      </c>
      <c r="Q382">
        <v>-4.2632472999999997E-2</v>
      </c>
      <c r="R382">
        <v>1.7896399999999999E-4</v>
      </c>
      <c r="S382">
        <v>-4.2281702999999997E-2</v>
      </c>
      <c r="T382">
        <v>-4.2983242999999997E-2</v>
      </c>
      <c r="U382">
        <v>1.78639E-4</v>
      </c>
      <c r="V382">
        <v>3.2000000000000002E-8</v>
      </c>
      <c r="W382">
        <v>-4.2606600000000001E-2</v>
      </c>
      <c r="X382">
        <v>-4.2606725999999998E-2</v>
      </c>
      <c r="Y382" t="s">
        <v>851</v>
      </c>
      <c r="Z382" t="s">
        <v>757</v>
      </c>
      <c r="AA382">
        <v>0</v>
      </c>
      <c r="AB382" t="s">
        <v>54</v>
      </c>
      <c r="AC382" t="s">
        <v>155</v>
      </c>
    </row>
    <row r="383" spans="1:29" x14ac:dyDescent="0.25">
      <c r="A383" t="s">
        <v>758</v>
      </c>
      <c r="B383" t="s">
        <v>147</v>
      </c>
      <c r="C383" t="s">
        <v>108</v>
      </c>
      <c r="D383" t="s">
        <v>39</v>
      </c>
      <c r="E383" t="s">
        <v>840</v>
      </c>
      <c r="F383" t="s">
        <v>848</v>
      </c>
      <c r="G383">
        <v>744947</v>
      </c>
      <c r="H383" t="s">
        <v>849</v>
      </c>
      <c r="I383" t="s">
        <v>759</v>
      </c>
      <c r="J383">
        <v>-7.1818999999999997E-3</v>
      </c>
      <c r="K383">
        <v>3.6170000000000001E-4</v>
      </c>
      <c r="L383">
        <v>-19.855957979999999</v>
      </c>
      <c r="M383">
        <v>744947</v>
      </c>
      <c r="N383">
        <v>1</v>
      </c>
      <c r="O383">
        <v>744945</v>
      </c>
      <c r="P383">
        <v>-2.2999259000000001E-2</v>
      </c>
      <c r="Q383">
        <v>-2.3003315999999999E-2</v>
      </c>
      <c r="R383">
        <v>1.1586120000000001E-3</v>
      </c>
      <c r="S383">
        <v>-2.0732435E-2</v>
      </c>
      <c r="T383">
        <v>-2.5274195999999999E-2</v>
      </c>
      <c r="U383">
        <v>1.1579979999999999E-3</v>
      </c>
      <c r="V383">
        <v>1.3400000000000001E-6</v>
      </c>
      <c r="W383">
        <v>-2.2996629000000001E-2</v>
      </c>
      <c r="X383">
        <v>-2.3001889000000001E-2</v>
      </c>
      <c r="Y383" t="s">
        <v>852</v>
      </c>
      <c r="Z383" t="s">
        <v>761</v>
      </c>
      <c r="AA383">
        <v>0</v>
      </c>
      <c r="AB383" t="s">
        <v>54</v>
      </c>
      <c r="AC383" t="s">
        <v>155</v>
      </c>
    </row>
    <row r="384" spans="1:29" x14ac:dyDescent="0.25">
      <c r="A384" t="s">
        <v>853</v>
      </c>
      <c r="B384" t="s">
        <v>147</v>
      </c>
      <c r="C384" t="s">
        <v>108</v>
      </c>
      <c r="D384" t="s">
        <v>39</v>
      </c>
      <c r="E384" t="s">
        <v>840</v>
      </c>
      <c r="F384" t="s">
        <v>841</v>
      </c>
      <c r="G384">
        <v>4052868</v>
      </c>
      <c r="H384" t="s">
        <v>842</v>
      </c>
      <c r="I384" t="s">
        <v>734</v>
      </c>
      <c r="J384">
        <v>0.01</v>
      </c>
      <c r="K384">
        <v>3.0000000000000001E-3</v>
      </c>
      <c r="L384">
        <v>3.3333333330000001</v>
      </c>
      <c r="M384">
        <v>4052868</v>
      </c>
      <c r="N384">
        <v>50</v>
      </c>
      <c r="O384">
        <v>4052817</v>
      </c>
      <c r="P384">
        <v>1.6557690000000001E-3</v>
      </c>
      <c r="Q384">
        <v>1.65577E-3</v>
      </c>
      <c r="R384">
        <v>4.9672799999999999E-4</v>
      </c>
      <c r="S384">
        <v>2.629358E-3</v>
      </c>
      <c r="T384">
        <v>6.8218300000000005E-4</v>
      </c>
      <c r="U384">
        <v>4.9672699999999998E-4</v>
      </c>
      <c r="V384">
        <v>2.4699999999999998E-7</v>
      </c>
      <c r="W384">
        <v>1.656252E-3</v>
      </c>
      <c r="X384">
        <v>1.655285E-3</v>
      </c>
      <c r="Y384" t="s">
        <v>854</v>
      </c>
      <c r="Z384" t="s">
        <v>855</v>
      </c>
      <c r="AA384">
        <v>1</v>
      </c>
      <c r="AB384" t="s">
        <v>54</v>
      </c>
      <c r="AC384" t="s">
        <v>155</v>
      </c>
    </row>
    <row r="385" spans="1:29" x14ac:dyDescent="0.25">
      <c r="A385" t="s">
        <v>774</v>
      </c>
      <c r="B385" t="s">
        <v>147</v>
      </c>
      <c r="C385" t="s">
        <v>108</v>
      </c>
      <c r="D385" t="s">
        <v>39</v>
      </c>
      <c r="E385" t="s">
        <v>840</v>
      </c>
      <c r="F385" t="s">
        <v>848</v>
      </c>
      <c r="G385">
        <v>3060460</v>
      </c>
      <c r="H385" t="s">
        <v>849</v>
      </c>
      <c r="I385" t="s">
        <v>775</v>
      </c>
      <c r="J385">
        <v>-6.6359999999999998E-4</v>
      </c>
      <c r="K385">
        <v>1.5699999999999999E-4</v>
      </c>
      <c r="L385">
        <v>-4.2267515920000003</v>
      </c>
      <c r="M385">
        <v>3060460</v>
      </c>
      <c r="N385">
        <v>1</v>
      </c>
      <c r="O385">
        <v>3060458</v>
      </c>
      <c r="P385">
        <v>-2.4160850000000001E-3</v>
      </c>
      <c r="Q385">
        <v>-2.4160900000000001E-3</v>
      </c>
      <c r="R385">
        <v>5.7161899999999999E-4</v>
      </c>
      <c r="S385">
        <v>-1.2957159999999999E-3</v>
      </c>
      <c r="T385">
        <v>-3.536464E-3</v>
      </c>
      <c r="U385">
        <v>5.7161600000000005E-4</v>
      </c>
      <c r="V385">
        <v>3.27E-7</v>
      </c>
      <c r="W385">
        <v>-2.415445E-3</v>
      </c>
      <c r="X385">
        <v>-2.4167260000000001E-3</v>
      </c>
      <c r="Y385" t="s">
        <v>850</v>
      </c>
      <c r="Z385" t="s">
        <v>777</v>
      </c>
      <c r="AA385">
        <v>0</v>
      </c>
      <c r="AB385" t="s">
        <v>54</v>
      </c>
      <c r="AC385" t="s">
        <v>155</v>
      </c>
    </row>
    <row r="386" spans="1:29" x14ac:dyDescent="0.25">
      <c r="A386" t="s">
        <v>778</v>
      </c>
      <c r="B386" t="s">
        <v>147</v>
      </c>
      <c r="C386" t="s">
        <v>108</v>
      </c>
      <c r="D386" t="s">
        <v>39</v>
      </c>
      <c r="E386" t="s">
        <v>840</v>
      </c>
      <c r="F386" t="s">
        <v>848</v>
      </c>
      <c r="G386">
        <v>2880643</v>
      </c>
      <c r="H386" t="s">
        <v>849</v>
      </c>
      <c r="I386" t="s">
        <v>779</v>
      </c>
      <c r="J386">
        <v>-1.2420199999999999E-2</v>
      </c>
      <c r="K386">
        <v>2.7470000000000001E-4</v>
      </c>
      <c r="L386">
        <v>-45.213687659999998</v>
      </c>
      <c r="M386">
        <v>2880643</v>
      </c>
      <c r="N386">
        <v>1</v>
      </c>
      <c r="O386">
        <v>2880641</v>
      </c>
      <c r="P386">
        <v>-2.6630009E-2</v>
      </c>
      <c r="Q386">
        <v>-2.6636307000000001E-2</v>
      </c>
      <c r="R386">
        <v>5.8918999999999996E-4</v>
      </c>
      <c r="S386">
        <v>-2.5481494E-2</v>
      </c>
      <c r="T386">
        <v>-2.7791119999999999E-2</v>
      </c>
      <c r="U386">
        <v>5.8877199999999999E-4</v>
      </c>
      <c r="V386">
        <v>3.4700000000000002E-7</v>
      </c>
      <c r="W386">
        <v>-2.6629329E-2</v>
      </c>
      <c r="X386">
        <v>-2.6630688999999999E-2</v>
      </c>
      <c r="Y386" t="s">
        <v>850</v>
      </c>
      <c r="Z386" t="s">
        <v>781</v>
      </c>
      <c r="AA386">
        <v>0</v>
      </c>
      <c r="AB386" t="s">
        <v>54</v>
      </c>
      <c r="AC386" t="s">
        <v>155</v>
      </c>
    </row>
    <row r="387" spans="1:29" x14ac:dyDescent="0.25">
      <c r="A387" t="s">
        <v>785</v>
      </c>
      <c r="B387" t="s">
        <v>147</v>
      </c>
      <c r="C387" t="s">
        <v>108</v>
      </c>
      <c r="D387" t="s">
        <v>39</v>
      </c>
      <c r="E387" t="s">
        <v>840</v>
      </c>
      <c r="F387" t="s">
        <v>841</v>
      </c>
      <c r="G387">
        <v>3089014</v>
      </c>
      <c r="H387" t="s">
        <v>842</v>
      </c>
      <c r="I387" t="s">
        <v>786</v>
      </c>
      <c r="J387">
        <v>-3.0481500000000002E-2</v>
      </c>
      <c r="K387">
        <v>2.175E-4</v>
      </c>
      <c r="L387">
        <v>-140.14482760000001</v>
      </c>
      <c r="M387">
        <v>3089014</v>
      </c>
      <c r="N387">
        <v>1</v>
      </c>
      <c r="O387">
        <v>3089012</v>
      </c>
      <c r="P387">
        <v>-7.9486061999999996E-2</v>
      </c>
      <c r="Q387">
        <v>-7.9654098000000007E-2</v>
      </c>
      <c r="R387">
        <v>5.6897100000000004E-4</v>
      </c>
      <c r="S387">
        <v>-7.8538914000000001E-2</v>
      </c>
      <c r="T387">
        <v>-8.0769280999999998E-2</v>
      </c>
      <c r="U387">
        <v>5.6537600000000003E-4</v>
      </c>
      <c r="V387">
        <v>3.22E-7</v>
      </c>
      <c r="W387">
        <v>-7.9485430999999995E-2</v>
      </c>
      <c r="X387">
        <v>-7.9486691999999998E-2</v>
      </c>
      <c r="Y387" t="s">
        <v>856</v>
      </c>
      <c r="Z387" t="s">
        <v>788</v>
      </c>
      <c r="AA387">
        <v>0</v>
      </c>
      <c r="AB387" t="s">
        <v>54</v>
      </c>
      <c r="AC387" t="s">
        <v>155</v>
      </c>
    </row>
    <row r="388" spans="1:29" x14ac:dyDescent="0.25">
      <c r="A388" t="s">
        <v>789</v>
      </c>
      <c r="B388" t="s">
        <v>147</v>
      </c>
      <c r="C388" t="s">
        <v>108</v>
      </c>
      <c r="D388" t="s">
        <v>39</v>
      </c>
      <c r="E388" t="s">
        <v>840</v>
      </c>
      <c r="F388" t="s">
        <v>848</v>
      </c>
      <c r="G388">
        <v>2262096</v>
      </c>
      <c r="H388" t="s">
        <v>849</v>
      </c>
      <c r="I388" t="s">
        <v>790</v>
      </c>
      <c r="J388">
        <v>-4.1629100000000002E-2</v>
      </c>
      <c r="K388">
        <v>7.7430000000000001E-4</v>
      </c>
      <c r="L388">
        <v>-53.763528350000001</v>
      </c>
      <c r="M388">
        <v>2262096</v>
      </c>
      <c r="N388">
        <v>1</v>
      </c>
      <c r="O388">
        <v>2262094</v>
      </c>
      <c r="P388">
        <v>-3.5723593999999997E-2</v>
      </c>
      <c r="Q388">
        <v>-3.5738802E-2</v>
      </c>
      <c r="R388">
        <v>6.6488199999999999E-4</v>
      </c>
      <c r="S388">
        <v>-3.4435633E-2</v>
      </c>
      <c r="T388">
        <v>-3.7041971E-2</v>
      </c>
      <c r="U388">
        <v>6.6403399999999998E-4</v>
      </c>
      <c r="V388">
        <v>4.4200000000000001E-7</v>
      </c>
      <c r="W388">
        <v>-3.5722729000000002E-2</v>
      </c>
      <c r="X388">
        <v>-3.5724459E-2</v>
      </c>
      <c r="Y388" t="s">
        <v>852</v>
      </c>
      <c r="Z388" t="s">
        <v>792</v>
      </c>
      <c r="AA388">
        <v>0</v>
      </c>
      <c r="AB388" t="s">
        <v>54</v>
      </c>
      <c r="AC388" t="s">
        <v>155</v>
      </c>
    </row>
    <row r="389" spans="1:29" x14ac:dyDescent="0.25">
      <c r="A389" t="s">
        <v>793</v>
      </c>
      <c r="B389" t="s">
        <v>147</v>
      </c>
      <c r="C389" t="s">
        <v>108</v>
      </c>
      <c r="D389" t="s">
        <v>39</v>
      </c>
      <c r="E389" t="s">
        <v>840</v>
      </c>
      <c r="F389" t="s">
        <v>848</v>
      </c>
      <c r="G389">
        <v>3060460</v>
      </c>
      <c r="H389" t="s">
        <v>849</v>
      </c>
      <c r="I389" t="s">
        <v>798</v>
      </c>
      <c r="J389">
        <v>-9.6095999999999994E-3</v>
      </c>
      <c r="K389">
        <v>1.4602E-3</v>
      </c>
      <c r="L389">
        <v>-6.5810162989999998</v>
      </c>
      <c r="M389">
        <v>270070</v>
      </c>
      <c r="N389">
        <v>1</v>
      </c>
      <c r="O389">
        <v>270068</v>
      </c>
      <c r="P389">
        <v>-1.2662562E-2</v>
      </c>
      <c r="Q389">
        <v>-1.2663239E-2</v>
      </c>
      <c r="R389">
        <v>1.9242619999999999E-3</v>
      </c>
      <c r="S389">
        <v>-8.8916849999999999E-3</v>
      </c>
      <c r="T389">
        <v>-1.6434793E-2</v>
      </c>
      <c r="U389">
        <v>1.9239470000000001E-3</v>
      </c>
      <c r="V389">
        <v>3.7000000000000002E-6</v>
      </c>
      <c r="W389">
        <v>-1.2655306E-2</v>
      </c>
      <c r="X389">
        <v>-1.2669817999999999E-2</v>
      </c>
      <c r="Y389" t="s">
        <v>857</v>
      </c>
      <c r="Z389" t="s">
        <v>800</v>
      </c>
      <c r="AA389">
        <v>0</v>
      </c>
      <c r="AB389" t="s">
        <v>54</v>
      </c>
      <c r="AC389" t="s">
        <v>155</v>
      </c>
    </row>
    <row r="390" spans="1:29" x14ac:dyDescent="0.25">
      <c r="A390" t="s">
        <v>805</v>
      </c>
      <c r="B390" t="s">
        <v>147</v>
      </c>
      <c r="C390" t="s">
        <v>108</v>
      </c>
      <c r="D390" t="s">
        <v>39</v>
      </c>
      <c r="E390" t="s">
        <v>840</v>
      </c>
      <c r="F390" t="s">
        <v>848</v>
      </c>
      <c r="G390">
        <v>621992</v>
      </c>
      <c r="H390" t="s">
        <v>849</v>
      </c>
      <c r="I390" t="s">
        <v>806</v>
      </c>
      <c r="J390">
        <v>-6.246E-4</v>
      </c>
      <c r="K390">
        <v>1.66E-4</v>
      </c>
      <c r="L390">
        <v>-3.7626506019999999</v>
      </c>
      <c r="M390">
        <v>621992</v>
      </c>
      <c r="N390">
        <v>1</v>
      </c>
      <c r="O390">
        <v>621990</v>
      </c>
      <c r="P390">
        <v>-4.7708660000000003E-3</v>
      </c>
      <c r="Q390">
        <v>-4.7709029999999999E-3</v>
      </c>
      <c r="R390">
        <v>1.2679690000000001E-3</v>
      </c>
      <c r="S390">
        <v>-2.2856830000000002E-3</v>
      </c>
      <c r="T390">
        <v>-7.2561220000000003E-3</v>
      </c>
      <c r="U390">
        <v>1.2679379999999999E-3</v>
      </c>
      <c r="V390">
        <v>1.61E-6</v>
      </c>
      <c r="W390">
        <v>-4.7677149999999996E-3</v>
      </c>
      <c r="X390">
        <v>-4.7740170000000002E-3</v>
      </c>
      <c r="Y390" t="s">
        <v>858</v>
      </c>
      <c r="Z390" t="s">
        <v>808</v>
      </c>
      <c r="AA390">
        <v>0</v>
      </c>
      <c r="AB390" t="s">
        <v>54</v>
      </c>
      <c r="AC390" t="s">
        <v>155</v>
      </c>
    </row>
    <row r="391" spans="1:29" x14ac:dyDescent="0.25">
      <c r="A391" t="s">
        <v>805</v>
      </c>
      <c r="B391" t="s">
        <v>147</v>
      </c>
      <c r="C391" t="s">
        <v>108</v>
      </c>
      <c r="D391" t="s">
        <v>39</v>
      </c>
      <c r="E391" t="s">
        <v>840</v>
      </c>
      <c r="F391" t="s">
        <v>848</v>
      </c>
      <c r="G391">
        <v>3060460</v>
      </c>
      <c r="H391" t="s">
        <v>849</v>
      </c>
      <c r="I391" t="s">
        <v>809</v>
      </c>
      <c r="J391">
        <v>-3.8446999999999999E-3</v>
      </c>
      <c r="K391">
        <v>1.9854E-3</v>
      </c>
      <c r="L391">
        <v>-1.93648635</v>
      </c>
      <c r="M391">
        <v>32727</v>
      </c>
      <c r="N391">
        <v>1</v>
      </c>
      <c r="O391">
        <v>32725</v>
      </c>
      <c r="P391">
        <v>-1.0704089E-2</v>
      </c>
      <c r="Q391">
        <v>-1.0704498E-2</v>
      </c>
      <c r="R391">
        <v>5.5279839999999997E-3</v>
      </c>
      <c r="S391">
        <v>1.3035100000000001E-4</v>
      </c>
      <c r="T391">
        <v>-2.1539348E-2</v>
      </c>
      <c r="U391">
        <v>5.5271820000000003E-3</v>
      </c>
      <c r="V391">
        <v>3.0599999999999998E-5</v>
      </c>
      <c r="W391">
        <v>-1.0644206E-2</v>
      </c>
      <c r="X391">
        <v>-1.0763973E-2</v>
      </c>
      <c r="Y391" t="s">
        <v>857</v>
      </c>
      <c r="Z391" t="s">
        <v>810</v>
      </c>
      <c r="AA391">
        <v>0</v>
      </c>
      <c r="AB391" t="s">
        <v>54</v>
      </c>
      <c r="AC391" t="s">
        <v>155</v>
      </c>
    </row>
    <row r="392" spans="1:29" x14ac:dyDescent="0.25">
      <c r="A392" t="s">
        <v>811</v>
      </c>
      <c r="B392" t="s">
        <v>147</v>
      </c>
      <c r="C392" t="s">
        <v>108</v>
      </c>
      <c r="D392" t="s">
        <v>39</v>
      </c>
      <c r="E392" t="s">
        <v>840</v>
      </c>
      <c r="F392" t="s">
        <v>848</v>
      </c>
      <c r="G392">
        <v>13158</v>
      </c>
      <c r="H392" t="s">
        <v>849</v>
      </c>
      <c r="I392" t="s">
        <v>812</v>
      </c>
      <c r="J392">
        <v>-1.27774E-2</v>
      </c>
      <c r="K392">
        <v>3.1668E-3</v>
      </c>
      <c r="L392">
        <v>-4.0347985350000002</v>
      </c>
      <c r="M392">
        <v>13158</v>
      </c>
      <c r="N392">
        <v>1</v>
      </c>
      <c r="O392">
        <v>13156</v>
      </c>
      <c r="P392">
        <v>-3.5155347000000003E-2</v>
      </c>
      <c r="Q392">
        <v>-3.5169840000000001E-2</v>
      </c>
      <c r="R392">
        <v>8.7187570000000006E-3</v>
      </c>
      <c r="S392">
        <v>-1.8081076000000001E-2</v>
      </c>
      <c r="T392">
        <v>-5.2258604E-2</v>
      </c>
      <c r="U392">
        <v>8.7073199999999993E-3</v>
      </c>
      <c r="V392">
        <v>7.5900000000000002E-5</v>
      </c>
      <c r="W392">
        <v>-3.5006566000000003E-2</v>
      </c>
      <c r="X392">
        <v>-3.5304126999999998E-2</v>
      </c>
      <c r="Y392" t="s">
        <v>852</v>
      </c>
      <c r="Z392" t="s">
        <v>761</v>
      </c>
      <c r="AA392">
        <v>0</v>
      </c>
      <c r="AB392" t="s">
        <v>54</v>
      </c>
      <c r="AC392" t="s">
        <v>155</v>
      </c>
    </row>
    <row r="393" spans="1:29" x14ac:dyDescent="0.25">
      <c r="A393" t="s">
        <v>814</v>
      </c>
      <c r="B393" t="s">
        <v>147</v>
      </c>
      <c r="C393" t="s">
        <v>108</v>
      </c>
      <c r="D393" t="s">
        <v>39</v>
      </c>
      <c r="E393" t="s">
        <v>840</v>
      </c>
      <c r="F393" t="s">
        <v>848</v>
      </c>
      <c r="G393">
        <v>94553</v>
      </c>
      <c r="H393" t="s">
        <v>849</v>
      </c>
      <c r="I393" t="s">
        <v>815</v>
      </c>
      <c r="J393">
        <v>-6.7931900000000003E-2</v>
      </c>
      <c r="K393">
        <v>2.9719999999999998E-3</v>
      </c>
      <c r="L393">
        <v>-22.85730148</v>
      </c>
      <c r="M393">
        <v>94553</v>
      </c>
      <c r="N393">
        <v>1</v>
      </c>
      <c r="O393">
        <v>94551</v>
      </c>
      <c r="P393">
        <v>-7.4130224999999994E-2</v>
      </c>
      <c r="Q393">
        <v>-7.4266463000000005E-2</v>
      </c>
      <c r="R393">
        <v>3.2521400000000002E-3</v>
      </c>
      <c r="S393">
        <v>-6.7892269000000005E-2</v>
      </c>
      <c r="T393">
        <v>-8.0640657000000004E-2</v>
      </c>
      <c r="U393">
        <v>3.2342339999999999E-3</v>
      </c>
      <c r="V393">
        <v>1.0499999999999999E-5</v>
      </c>
      <c r="W393">
        <v>-7.4109609000000007E-2</v>
      </c>
      <c r="X393">
        <v>-7.4150839999999996E-2</v>
      </c>
      <c r="Y393" t="s">
        <v>859</v>
      </c>
      <c r="Z393" t="s">
        <v>817</v>
      </c>
      <c r="AA393">
        <v>0</v>
      </c>
      <c r="AB393" t="s">
        <v>54</v>
      </c>
      <c r="AC393" t="s">
        <v>155</v>
      </c>
    </row>
    <row r="394" spans="1:29" x14ac:dyDescent="0.25">
      <c r="A394" t="s">
        <v>818</v>
      </c>
      <c r="B394" t="s">
        <v>147</v>
      </c>
      <c r="C394" t="s">
        <v>108</v>
      </c>
      <c r="D394" t="s">
        <v>39</v>
      </c>
      <c r="E394" t="s">
        <v>840</v>
      </c>
      <c r="F394" t="s">
        <v>848</v>
      </c>
      <c r="G394">
        <v>39802</v>
      </c>
      <c r="H394" t="s">
        <v>849</v>
      </c>
      <c r="I394" t="s">
        <v>819</v>
      </c>
      <c r="J394">
        <v>-3.2950800000000002E-2</v>
      </c>
      <c r="K394">
        <v>2.8164000000000002E-3</v>
      </c>
      <c r="L394">
        <v>-11.69961653</v>
      </c>
      <c r="M394">
        <v>39802</v>
      </c>
      <c r="N394">
        <v>1</v>
      </c>
      <c r="O394">
        <v>39800</v>
      </c>
      <c r="P394">
        <v>-5.8544291999999998E-2</v>
      </c>
      <c r="Q394">
        <v>-5.8611314999999997E-2</v>
      </c>
      <c r="R394">
        <v>5.0126099999999998E-3</v>
      </c>
      <c r="S394">
        <v>-4.8786599E-2</v>
      </c>
      <c r="T394">
        <v>-6.8436030999999994E-2</v>
      </c>
      <c r="U394">
        <v>4.9953039999999999E-3</v>
      </c>
      <c r="V394">
        <v>2.5000000000000001E-5</v>
      </c>
      <c r="W394">
        <v>-5.8495216000000003E-2</v>
      </c>
      <c r="X394">
        <v>-5.8593367E-2</v>
      </c>
      <c r="Y394" t="s">
        <v>859</v>
      </c>
      <c r="Z394" t="s">
        <v>820</v>
      </c>
      <c r="AA394">
        <v>0</v>
      </c>
      <c r="AB394" t="s">
        <v>54</v>
      </c>
      <c r="AC394" t="s">
        <v>155</v>
      </c>
    </row>
    <row r="395" spans="1:29" x14ac:dyDescent="0.25">
      <c r="A395" t="s">
        <v>833</v>
      </c>
      <c r="B395" t="s">
        <v>147</v>
      </c>
      <c r="C395" t="s">
        <v>108</v>
      </c>
      <c r="D395" t="s">
        <v>39</v>
      </c>
      <c r="E395" t="s">
        <v>840</v>
      </c>
      <c r="F395" t="s">
        <v>848</v>
      </c>
      <c r="G395">
        <v>240064</v>
      </c>
      <c r="H395" t="s">
        <v>849</v>
      </c>
      <c r="I395" t="s">
        <v>834</v>
      </c>
      <c r="J395">
        <v>-0.18799299999999999</v>
      </c>
      <c r="K395">
        <v>2.3958E-3</v>
      </c>
      <c r="L395">
        <v>-78.467735200000007</v>
      </c>
      <c r="M395">
        <v>240064</v>
      </c>
      <c r="N395">
        <v>1</v>
      </c>
      <c r="O395">
        <v>240062</v>
      </c>
      <c r="P395">
        <v>-0.15813579</v>
      </c>
      <c r="Q395">
        <v>-0.15947409200000001</v>
      </c>
      <c r="R395">
        <v>2.0409820000000002E-3</v>
      </c>
      <c r="S395">
        <v>-0.15547376700000001</v>
      </c>
      <c r="T395">
        <v>-0.16347441700000001</v>
      </c>
      <c r="U395">
        <v>1.989935E-3</v>
      </c>
      <c r="V395">
        <v>4.0600000000000001E-6</v>
      </c>
      <c r="W395">
        <v>-0.15812783</v>
      </c>
      <c r="X395">
        <v>-0.15814375</v>
      </c>
      <c r="Y395" t="s">
        <v>860</v>
      </c>
      <c r="Z395" t="s">
        <v>836</v>
      </c>
      <c r="AA395">
        <v>0</v>
      </c>
      <c r="AB395" t="s">
        <v>54</v>
      </c>
      <c r="AC395" t="s">
        <v>155</v>
      </c>
    </row>
    <row r="396" spans="1:29" x14ac:dyDescent="0.25">
      <c r="A396" t="s">
        <v>837</v>
      </c>
      <c r="B396" t="s">
        <v>147</v>
      </c>
      <c r="C396" t="s">
        <v>108</v>
      </c>
      <c r="D396" t="s">
        <v>39</v>
      </c>
      <c r="E396" t="s">
        <v>840</v>
      </c>
      <c r="F396" t="s">
        <v>848</v>
      </c>
      <c r="G396">
        <v>86483</v>
      </c>
      <c r="H396" t="s">
        <v>849</v>
      </c>
      <c r="I396" t="s">
        <v>834</v>
      </c>
      <c r="J396">
        <v>-0.20408809999999999</v>
      </c>
      <c r="K396">
        <v>4.4498999999999997E-3</v>
      </c>
      <c r="L396">
        <v>-45.863525019999997</v>
      </c>
      <c r="M396">
        <v>86483</v>
      </c>
      <c r="N396">
        <v>1</v>
      </c>
      <c r="O396">
        <v>86481</v>
      </c>
      <c r="P396">
        <v>-0.15409503799999999</v>
      </c>
      <c r="Q396">
        <v>-0.15533239099999999</v>
      </c>
      <c r="R396">
        <v>3.4004949999999999E-3</v>
      </c>
      <c r="S396">
        <v>-0.14866742099999999</v>
      </c>
      <c r="T396">
        <v>-0.16199736200000001</v>
      </c>
      <c r="U396">
        <v>3.3197109999999999E-3</v>
      </c>
      <c r="V396">
        <v>1.13E-5</v>
      </c>
      <c r="W396">
        <v>-0.15407291200000001</v>
      </c>
      <c r="X396">
        <v>-0.154117163</v>
      </c>
      <c r="Y396" t="s">
        <v>861</v>
      </c>
      <c r="Z396" t="s">
        <v>839</v>
      </c>
      <c r="AA396">
        <v>0</v>
      </c>
      <c r="AB396" t="s">
        <v>54</v>
      </c>
      <c r="AC396" t="s">
        <v>155</v>
      </c>
    </row>
    <row r="397" spans="1:29" x14ac:dyDescent="0.25">
      <c r="A397" t="s">
        <v>862</v>
      </c>
      <c r="B397" t="s">
        <v>147</v>
      </c>
      <c r="C397" t="s">
        <v>108</v>
      </c>
      <c r="D397" t="s">
        <v>39</v>
      </c>
      <c r="E397" t="s">
        <v>863</v>
      </c>
      <c r="F397" t="s">
        <v>864</v>
      </c>
      <c r="G397">
        <v>59668</v>
      </c>
      <c r="H397" t="s">
        <v>865</v>
      </c>
      <c r="I397" t="s">
        <v>747</v>
      </c>
      <c r="M397">
        <v>59668</v>
      </c>
      <c r="O397">
        <v>59667</v>
      </c>
      <c r="P397">
        <v>0.270308983</v>
      </c>
      <c r="Q397">
        <v>0.27719713099999999</v>
      </c>
      <c r="R397">
        <v>4.0939280000000002E-3</v>
      </c>
      <c r="S397">
        <v>0.28522122999999999</v>
      </c>
      <c r="T397">
        <v>0.26917303300000001</v>
      </c>
      <c r="U397">
        <v>3.7947329999999998E-3</v>
      </c>
      <c r="V397">
        <v>1.5500000000000001E-5</v>
      </c>
      <c r="W397">
        <v>0.27033943100000002</v>
      </c>
      <c r="X397">
        <v>0.27027853400000001</v>
      </c>
      <c r="Y397" t="s">
        <v>866</v>
      </c>
      <c r="Z397" t="s">
        <v>867</v>
      </c>
      <c r="AA397">
        <v>1</v>
      </c>
      <c r="AB397" t="s">
        <v>57</v>
      </c>
      <c r="AC397" t="s">
        <v>155</v>
      </c>
    </row>
    <row r="398" spans="1:29" x14ac:dyDescent="0.25">
      <c r="A398" t="s">
        <v>868</v>
      </c>
      <c r="B398" t="s">
        <v>147</v>
      </c>
      <c r="C398" t="s">
        <v>108</v>
      </c>
      <c r="D398" t="s">
        <v>39</v>
      </c>
      <c r="E398" t="s">
        <v>863</v>
      </c>
      <c r="F398" t="s">
        <v>864</v>
      </c>
      <c r="G398">
        <v>4927962</v>
      </c>
      <c r="H398" t="s">
        <v>865</v>
      </c>
      <c r="I398" t="s">
        <v>747</v>
      </c>
      <c r="M398">
        <v>4927962</v>
      </c>
      <c r="O398">
        <v>4927961</v>
      </c>
      <c r="P398">
        <v>4.3709393999999999E-2</v>
      </c>
      <c r="Q398">
        <v>4.3737261999999999E-2</v>
      </c>
      <c r="R398">
        <v>4.5047099999999998E-4</v>
      </c>
      <c r="S398">
        <v>4.4620184E-2</v>
      </c>
      <c r="T398">
        <v>4.2854338999999998E-2</v>
      </c>
      <c r="U398">
        <v>4.4961000000000003E-4</v>
      </c>
      <c r="V398">
        <v>2.03E-7</v>
      </c>
      <c r="W398">
        <v>4.3709790999999998E-2</v>
      </c>
      <c r="X398">
        <v>4.3708996999999999E-2</v>
      </c>
      <c r="Y398" t="s">
        <v>869</v>
      </c>
      <c r="Z398" t="s">
        <v>867</v>
      </c>
      <c r="AA398">
        <v>1</v>
      </c>
      <c r="AB398" t="s">
        <v>57</v>
      </c>
      <c r="AC398" t="s">
        <v>155</v>
      </c>
    </row>
    <row r="399" spans="1:29" x14ac:dyDescent="0.25">
      <c r="A399" t="s">
        <v>870</v>
      </c>
      <c r="B399" t="s">
        <v>147</v>
      </c>
      <c r="C399" t="s">
        <v>107</v>
      </c>
      <c r="D399" t="s">
        <v>39</v>
      </c>
      <c r="E399" t="s">
        <v>871</v>
      </c>
      <c r="F399" t="s">
        <v>872</v>
      </c>
      <c r="G399">
        <v>128</v>
      </c>
      <c r="H399" t="s">
        <v>873</v>
      </c>
      <c r="I399" t="s">
        <v>874</v>
      </c>
      <c r="J399">
        <v>-5.9842100000000002E-2</v>
      </c>
      <c r="K399">
        <v>6.9658600000000001E-2</v>
      </c>
      <c r="L399">
        <v>-0.85907698399999999</v>
      </c>
      <c r="M399">
        <v>128</v>
      </c>
      <c r="N399">
        <v>1</v>
      </c>
      <c r="O399">
        <v>126</v>
      </c>
      <c r="P399">
        <v>-7.6309505E-2</v>
      </c>
      <c r="Q399">
        <v>-7.6458145000000005E-2</v>
      </c>
      <c r="R399">
        <v>8.9442719000000004E-2</v>
      </c>
      <c r="S399">
        <v>9.8849584000000004E-2</v>
      </c>
      <c r="T399">
        <v>-0.251765874</v>
      </c>
      <c r="U399">
        <v>8.8218931E-2</v>
      </c>
      <c r="V399">
        <v>7.7999999999999996E-3</v>
      </c>
      <c r="W399">
        <v>-6.1026354999999997E-2</v>
      </c>
      <c r="X399">
        <v>-9.1592654999999995E-2</v>
      </c>
      <c r="Y399" t="s">
        <v>875</v>
      </c>
      <c r="Z399" t="s">
        <v>876</v>
      </c>
      <c r="AA399">
        <v>1</v>
      </c>
      <c r="AB399" t="s">
        <v>54</v>
      </c>
      <c r="AC399" t="s">
        <v>155</v>
      </c>
    </row>
    <row r="400" spans="1:29" x14ac:dyDescent="0.25">
      <c r="A400" t="s">
        <v>750</v>
      </c>
      <c r="B400" t="s">
        <v>147</v>
      </c>
      <c r="C400" t="s">
        <v>108</v>
      </c>
      <c r="D400" t="s">
        <v>39</v>
      </c>
      <c r="E400" t="s">
        <v>871</v>
      </c>
      <c r="F400" t="s">
        <v>877</v>
      </c>
      <c r="G400">
        <v>5994</v>
      </c>
      <c r="H400" t="s">
        <v>865</v>
      </c>
      <c r="I400" t="s">
        <v>747</v>
      </c>
      <c r="M400">
        <v>5994</v>
      </c>
      <c r="O400">
        <v>5993</v>
      </c>
      <c r="P400">
        <v>-7.6157117999999996E-2</v>
      </c>
      <c r="Q400">
        <v>-7.6304866999999998E-2</v>
      </c>
      <c r="R400">
        <v>1.2919638000000001E-2</v>
      </c>
      <c r="S400">
        <v>-5.0982377000000002E-2</v>
      </c>
      <c r="T400">
        <v>-0.101627357</v>
      </c>
      <c r="U400">
        <v>1.2842562E-2</v>
      </c>
      <c r="V400">
        <v>1.66E-4</v>
      </c>
      <c r="W400">
        <v>-7.5831993E-2</v>
      </c>
      <c r="X400">
        <v>-7.6482242000000006E-2</v>
      </c>
      <c r="Y400" t="s">
        <v>878</v>
      </c>
      <c r="Z400" t="s">
        <v>867</v>
      </c>
      <c r="AA400">
        <v>1</v>
      </c>
      <c r="AB400" t="s">
        <v>57</v>
      </c>
      <c r="AC400" t="s">
        <v>155</v>
      </c>
    </row>
    <row r="401" spans="1:29" x14ac:dyDescent="0.25">
      <c r="A401">
        <v>1958</v>
      </c>
      <c r="B401" t="s">
        <v>147</v>
      </c>
      <c r="C401" t="s">
        <v>106</v>
      </c>
      <c r="D401" t="s">
        <v>39</v>
      </c>
      <c r="E401" t="s">
        <v>879</v>
      </c>
      <c r="F401" t="s">
        <v>880</v>
      </c>
      <c r="G401">
        <v>3644</v>
      </c>
      <c r="H401" t="s">
        <v>881</v>
      </c>
      <c r="I401" t="s">
        <v>882</v>
      </c>
      <c r="M401">
        <v>3644</v>
      </c>
      <c r="P401">
        <v>8.4248080000000006E-3</v>
      </c>
      <c r="Q401">
        <v>8.425007E-3</v>
      </c>
      <c r="R401">
        <v>1.6572561999999999E-2</v>
      </c>
      <c r="S401">
        <v>4.0907229000000003E-2</v>
      </c>
      <c r="T401">
        <v>-2.4057215E-2</v>
      </c>
      <c r="U401">
        <v>1.6566837000000001E-2</v>
      </c>
      <c r="V401">
        <v>2.7399999999999999E-4</v>
      </c>
      <c r="W401">
        <v>8.9627140000000001E-3</v>
      </c>
      <c r="X401">
        <v>7.8869019999999995E-3</v>
      </c>
      <c r="Y401" t="s">
        <v>883</v>
      </c>
      <c r="Z401" t="s">
        <v>884</v>
      </c>
      <c r="AA401">
        <v>1</v>
      </c>
      <c r="AB401" t="s">
        <v>57</v>
      </c>
      <c r="AC401" t="s">
        <v>155</v>
      </c>
    </row>
    <row r="402" spans="1:29" x14ac:dyDescent="0.25">
      <c r="A402" t="s">
        <v>885</v>
      </c>
      <c r="B402" t="s">
        <v>147</v>
      </c>
      <c r="C402" t="s">
        <v>106</v>
      </c>
      <c r="D402" t="s">
        <v>39</v>
      </c>
      <c r="E402" t="s">
        <v>879</v>
      </c>
      <c r="F402" t="s">
        <v>886</v>
      </c>
      <c r="G402">
        <v>100000</v>
      </c>
      <c r="H402" t="s">
        <v>887</v>
      </c>
      <c r="I402" t="s">
        <v>888</v>
      </c>
      <c r="J402">
        <v>-1.4E-3</v>
      </c>
      <c r="K402">
        <v>2.2147E-3</v>
      </c>
      <c r="L402">
        <v>-0.63213979300000001</v>
      </c>
      <c r="M402">
        <v>100000</v>
      </c>
      <c r="N402">
        <v>1</v>
      </c>
      <c r="O402">
        <v>99998</v>
      </c>
      <c r="P402">
        <v>-1.999018E-3</v>
      </c>
      <c r="Q402">
        <v>-1.9990199999999998E-3</v>
      </c>
      <c r="R402">
        <v>3.1623250000000001E-3</v>
      </c>
      <c r="S402">
        <v>4.1991370000000004E-3</v>
      </c>
      <c r="T402">
        <v>-8.1971769999999999E-3</v>
      </c>
      <c r="U402">
        <v>3.1622809999999999E-3</v>
      </c>
      <c r="V402">
        <v>1.0000000000000001E-5</v>
      </c>
      <c r="W402">
        <v>-1.9794180000000001E-3</v>
      </c>
      <c r="X402">
        <v>-2.0186179999999998E-3</v>
      </c>
      <c r="Y402" t="s">
        <v>889</v>
      </c>
      <c r="Z402" t="s">
        <v>890</v>
      </c>
      <c r="AA402">
        <v>1</v>
      </c>
      <c r="AB402" t="s">
        <v>54</v>
      </c>
      <c r="AC402" t="s">
        <v>155</v>
      </c>
    </row>
    <row r="403" spans="1:29" x14ac:dyDescent="0.25">
      <c r="A403" t="s">
        <v>891</v>
      </c>
      <c r="B403" t="s">
        <v>147</v>
      </c>
      <c r="C403" t="s">
        <v>106</v>
      </c>
      <c r="D403" t="s">
        <v>39</v>
      </c>
      <c r="E403" t="s">
        <v>879</v>
      </c>
      <c r="F403" t="s">
        <v>886</v>
      </c>
      <c r="G403">
        <v>80000</v>
      </c>
      <c r="H403" t="s">
        <v>887</v>
      </c>
      <c r="I403" t="s">
        <v>888</v>
      </c>
      <c r="J403">
        <v>1.2999999999999999E-2</v>
      </c>
      <c r="K403">
        <v>2.4122000000000002E-3</v>
      </c>
      <c r="L403">
        <v>5.389271205</v>
      </c>
      <c r="M403">
        <v>80000</v>
      </c>
      <c r="N403">
        <v>1</v>
      </c>
      <c r="O403">
        <v>79998</v>
      </c>
      <c r="P403">
        <v>1.9050731000000001E-2</v>
      </c>
      <c r="Q403">
        <v>1.9053035999999999E-2</v>
      </c>
      <c r="R403">
        <v>3.5355999999999999E-3</v>
      </c>
      <c r="S403">
        <v>2.5982813E-2</v>
      </c>
      <c r="T403">
        <v>1.212326E-2</v>
      </c>
      <c r="U403">
        <v>3.5342730000000001E-3</v>
      </c>
      <c r="V403">
        <v>1.2500000000000001E-5</v>
      </c>
      <c r="W403">
        <v>1.9075222999999999E-2</v>
      </c>
      <c r="X403">
        <v>1.902624E-2</v>
      </c>
      <c r="Y403" t="s">
        <v>892</v>
      </c>
      <c r="Z403" t="s">
        <v>890</v>
      </c>
      <c r="AA403">
        <v>1</v>
      </c>
      <c r="AB403" t="s">
        <v>54</v>
      </c>
      <c r="AC403" t="s">
        <v>155</v>
      </c>
    </row>
    <row r="404" spans="1:29" x14ac:dyDescent="0.25">
      <c r="A404" t="s">
        <v>893</v>
      </c>
      <c r="B404" t="s">
        <v>147</v>
      </c>
      <c r="C404" t="s">
        <v>106</v>
      </c>
      <c r="D404" t="s">
        <v>39</v>
      </c>
      <c r="E404" t="s">
        <v>879</v>
      </c>
      <c r="F404" t="s">
        <v>886</v>
      </c>
      <c r="G404">
        <v>136000</v>
      </c>
      <c r="H404" t="s">
        <v>887</v>
      </c>
      <c r="I404" t="s">
        <v>888</v>
      </c>
      <c r="J404">
        <v>-1.3691200000000001E-2</v>
      </c>
      <c r="K404">
        <v>1.2095999999999999E-3</v>
      </c>
      <c r="L404">
        <v>-11.31878307</v>
      </c>
      <c r="M404">
        <v>136000</v>
      </c>
      <c r="N404">
        <v>1</v>
      </c>
      <c r="O404">
        <v>135998</v>
      </c>
      <c r="P404">
        <v>-3.0678139E-2</v>
      </c>
      <c r="Q404">
        <v>-3.0687769E-2</v>
      </c>
      <c r="R404">
        <v>2.7116610000000002E-3</v>
      </c>
      <c r="S404">
        <v>-2.5372914E-2</v>
      </c>
      <c r="T404">
        <v>-3.6002623999999997E-2</v>
      </c>
      <c r="U404">
        <v>2.709089E-3</v>
      </c>
      <c r="V404">
        <v>7.3499999999999999E-6</v>
      </c>
      <c r="W404">
        <v>-3.0663741000000001E-2</v>
      </c>
      <c r="X404">
        <v>-3.0692536999999999E-2</v>
      </c>
      <c r="Y404" t="s">
        <v>889</v>
      </c>
      <c r="Z404" t="s">
        <v>890</v>
      </c>
      <c r="AA404">
        <v>1</v>
      </c>
      <c r="AB404" t="s">
        <v>54</v>
      </c>
      <c r="AC404" t="s">
        <v>155</v>
      </c>
    </row>
    <row r="405" spans="1:29" x14ac:dyDescent="0.25">
      <c r="A405" t="s">
        <v>894</v>
      </c>
      <c r="B405" t="s">
        <v>147</v>
      </c>
      <c r="C405" t="s">
        <v>107</v>
      </c>
      <c r="D405" t="s">
        <v>39</v>
      </c>
      <c r="E405" t="s">
        <v>879</v>
      </c>
      <c r="F405" t="s">
        <v>895</v>
      </c>
      <c r="G405">
        <v>12695</v>
      </c>
      <c r="H405" t="s">
        <v>896</v>
      </c>
      <c r="I405" t="s">
        <v>897</v>
      </c>
      <c r="J405">
        <v>1.23</v>
      </c>
      <c r="K405">
        <v>4.33</v>
      </c>
      <c r="L405">
        <v>0.28406466499999999</v>
      </c>
      <c r="M405">
        <v>12695</v>
      </c>
      <c r="N405">
        <v>1</v>
      </c>
      <c r="O405">
        <v>12693</v>
      </c>
      <c r="P405">
        <v>2.521353E-3</v>
      </c>
      <c r="Q405">
        <v>2.5213589999999999E-3</v>
      </c>
      <c r="R405">
        <v>8.8763609999999993E-3</v>
      </c>
      <c r="S405">
        <v>1.9919026999999999E-2</v>
      </c>
      <c r="T405">
        <v>-1.4876309000000001E-2</v>
      </c>
      <c r="U405">
        <v>8.8756059999999994E-3</v>
      </c>
      <c r="V405">
        <v>7.8800000000000004E-5</v>
      </c>
      <c r="W405">
        <v>2.6757500000000002E-3</v>
      </c>
      <c r="X405">
        <v>2.3669569999999998E-3</v>
      </c>
      <c r="Y405" t="s">
        <v>898</v>
      </c>
      <c r="Z405" t="s">
        <v>899</v>
      </c>
      <c r="AA405">
        <v>1</v>
      </c>
      <c r="AB405" t="s">
        <v>54</v>
      </c>
      <c r="AC405" t="s">
        <v>155</v>
      </c>
    </row>
    <row r="406" spans="1:29" x14ac:dyDescent="0.25">
      <c r="A406" t="s">
        <v>900</v>
      </c>
      <c r="B406" t="s">
        <v>156</v>
      </c>
      <c r="C406" t="s">
        <v>107</v>
      </c>
      <c r="D406" t="s">
        <v>39</v>
      </c>
      <c r="E406" t="s">
        <v>879</v>
      </c>
      <c r="F406" t="s">
        <v>901</v>
      </c>
      <c r="G406">
        <v>25162</v>
      </c>
      <c r="H406" t="s">
        <v>719</v>
      </c>
      <c r="I406" t="s">
        <v>902</v>
      </c>
      <c r="J406">
        <v>7.0000000000000001E-3</v>
      </c>
      <c r="K406">
        <v>4.0000000000000001E-3</v>
      </c>
      <c r="L406">
        <v>1.75</v>
      </c>
      <c r="M406">
        <v>58751</v>
      </c>
      <c r="N406">
        <v>6</v>
      </c>
      <c r="O406">
        <v>58744</v>
      </c>
      <c r="P406">
        <v>7.2201289999999996E-3</v>
      </c>
      <c r="Q406">
        <v>7.2202550000000001E-3</v>
      </c>
      <c r="R406">
        <v>4.125755E-3</v>
      </c>
      <c r="S406">
        <v>1.5306735E-2</v>
      </c>
      <c r="T406">
        <v>-8.66226E-4</v>
      </c>
      <c r="U406">
        <v>4.12547E-3</v>
      </c>
      <c r="V406">
        <v>1.7E-5</v>
      </c>
      <c r="W406">
        <v>7.2534890000000001E-3</v>
      </c>
      <c r="X406">
        <v>7.1867700000000003E-3</v>
      </c>
      <c r="Y406" t="s">
        <v>903</v>
      </c>
      <c r="Z406" t="s">
        <v>904</v>
      </c>
      <c r="AA406">
        <v>1</v>
      </c>
      <c r="AB406" t="s">
        <v>57</v>
      </c>
      <c r="AC406" t="s">
        <v>155</v>
      </c>
    </row>
    <row r="407" spans="1:29" x14ac:dyDescent="0.25">
      <c r="A407" t="s">
        <v>905</v>
      </c>
      <c r="B407" t="s">
        <v>147</v>
      </c>
      <c r="C407" t="s">
        <v>108</v>
      </c>
      <c r="D407" t="s">
        <v>39</v>
      </c>
      <c r="E407" t="s">
        <v>879</v>
      </c>
      <c r="F407" t="s">
        <v>906</v>
      </c>
      <c r="G407">
        <v>49803</v>
      </c>
      <c r="H407" t="s">
        <v>896</v>
      </c>
      <c r="I407" t="s">
        <v>897</v>
      </c>
      <c r="J407">
        <v>-7.0000000000000007E-2</v>
      </c>
      <c r="K407">
        <v>5.52</v>
      </c>
      <c r="L407">
        <v>-1.2681158999999999E-2</v>
      </c>
      <c r="M407">
        <v>49803</v>
      </c>
      <c r="N407">
        <v>1</v>
      </c>
      <c r="O407">
        <v>49801</v>
      </c>
      <c r="P407">
        <v>-5.6799999999999998E-5</v>
      </c>
      <c r="Q407">
        <v>-5.6799999999999998E-5</v>
      </c>
      <c r="R407">
        <v>4.4811069999999998E-3</v>
      </c>
      <c r="S407">
        <v>8.7261449999999994E-3</v>
      </c>
      <c r="T407">
        <v>-8.8397949999999993E-3</v>
      </c>
      <c r="U407">
        <v>4.4810170000000003E-3</v>
      </c>
      <c r="V407">
        <v>2.0100000000000001E-5</v>
      </c>
      <c r="W407">
        <v>-1.7499999999999998E-5</v>
      </c>
      <c r="X407">
        <v>-9.6199999999999994E-5</v>
      </c>
      <c r="Y407" t="s">
        <v>907</v>
      </c>
      <c r="Z407" t="s">
        <v>908</v>
      </c>
      <c r="AA407">
        <v>1</v>
      </c>
      <c r="AB407" t="s">
        <v>54</v>
      </c>
      <c r="AC407" t="s">
        <v>155</v>
      </c>
    </row>
    <row r="408" spans="1:29" x14ac:dyDescent="0.25">
      <c r="A408" t="s">
        <v>909</v>
      </c>
      <c r="B408" t="s">
        <v>147</v>
      </c>
      <c r="C408" t="s">
        <v>107</v>
      </c>
      <c r="D408" t="s">
        <v>39</v>
      </c>
      <c r="E408" t="s">
        <v>879</v>
      </c>
      <c r="F408" t="s">
        <v>895</v>
      </c>
      <c r="G408">
        <v>16132</v>
      </c>
      <c r="H408" t="s">
        <v>896</v>
      </c>
      <c r="I408" t="s">
        <v>897</v>
      </c>
      <c r="J408">
        <v>-0.13</v>
      </c>
      <c r="K408">
        <v>3.76</v>
      </c>
      <c r="L408">
        <v>-3.4574467999999997E-2</v>
      </c>
      <c r="M408">
        <v>16132</v>
      </c>
      <c r="N408">
        <v>1</v>
      </c>
      <c r="O408">
        <v>16130</v>
      </c>
      <c r="P408">
        <v>-2.72231E-4</v>
      </c>
      <c r="Q408">
        <v>-2.72231E-4</v>
      </c>
      <c r="R408">
        <v>7.8740159999999993E-3</v>
      </c>
      <c r="S408">
        <v>1.5160839000000001E-2</v>
      </c>
      <c r="T408">
        <v>-1.5705302000000001E-2</v>
      </c>
      <c r="U408">
        <v>7.873527E-3</v>
      </c>
      <c r="V408">
        <v>6.2000000000000003E-5</v>
      </c>
      <c r="W408">
        <v>-1.5072999999999999E-4</v>
      </c>
      <c r="X408">
        <v>-3.9373300000000001E-4</v>
      </c>
      <c r="Y408" t="s">
        <v>898</v>
      </c>
      <c r="Z408" t="s">
        <v>908</v>
      </c>
      <c r="AA408">
        <v>1</v>
      </c>
      <c r="AB408" t="s">
        <v>54</v>
      </c>
      <c r="AC408" t="s">
        <v>155</v>
      </c>
    </row>
    <row r="409" spans="1:29" x14ac:dyDescent="0.25">
      <c r="A409" t="s">
        <v>910</v>
      </c>
      <c r="B409" t="s">
        <v>156</v>
      </c>
      <c r="C409" t="s">
        <v>108</v>
      </c>
      <c r="D409" t="s">
        <v>39</v>
      </c>
      <c r="E409" t="s">
        <v>879</v>
      </c>
      <c r="F409" t="s">
        <v>911</v>
      </c>
      <c r="G409">
        <v>137087</v>
      </c>
      <c r="H409" t="s">
        <v>719</v>
      </c>
      <c r="I409" t="s">
        <v>912</v>
      </c>
      <c r="J409">
        <v>-1.15E-2</v>
      </c>
      <c r="K409">
        <v>5.4999999999999997E-3</v>
      </c>
      <c r="L409">
        <v>-2.1333333329999999</v>
      </c>
      <c r="M409">
        <v>137087</v>
      </c>
      <c r="N409">
        <v>21</v>
      </c>
      <c r="O409">
        <v>137065</v>
      </c>
      <c r="P409">
        <v>-5.762199E-3</v>
      </c>
      <c r="Q409">
        <v>-5.7622619999999998E-3</v>
      </c>
      <c r="R409">
        <v>2.7008879999999998E-3</v>
      </c>
      <c r="S409">
        <v>-4.6852100000000001E-4</v>
      </c>
      <c r="T409">
        <v>-1.1056003E-2</v>
      </c>
      <c r="U409">
        <v>2.7007789999999999E-3</v>
      </c>
      <c r="V409">
        <v>7.2899999999999997E-6</v>
      </c>
      <c r="W409">
        <v>-5.747902E-3</v>
      </c>
      <c r="X409">
        <v>-5.7764959999999999E-3</v>
      </c>
      <c r="Y409" t="s">
        <v>913</v>
      </c>
      <c r="Z409" t="s">
        <v>914</v>
      </c>
      <c r="AA409">
        <v>1</v>
      </c>
      <c r="AB409" t="s">
        <v>57</v>
      </c>
      <c r="AC409" t="s">
        <v>155</v>
      </c>
    </row>
    <row r="410" spans="1:29" x14ac:dyDescent="0.25">
      <c r="A410" t="s">
        <v>910</v>
      </c>
      <c r="B410" t="s">
        <v>147</v>
      </c>
      <c r="C410" t="s">
        <v>108</v>
      </c>
      <c r="D410" t="s">
        <v>39</v>
      </c>
      <c r="E410" t="s">
        <v>879</v>
      </c>
      <c r="F410" t="s">
        <v>915</v>
      </c>
      <c r="G410">
        <v>137087</v>
      </c>
      <c r="H410" t="s">
        <v>719</v>
      </c>
      <c r="I410" t="s">
        <v>912</v>
      </c>
      <c r="J410">
        <v>2.66</v>
      </c>
      <c r="K410">
        <v>0.38900000000000001</v>
      </c>
      <c r="L410">
        <v>6.4188723459999997</v>
      </c>
      <c r="M410">
        <v>137087</v>
      </c>
      <c r="N410">
        <v>21</v>
      </c>
      <c r="O410">
        <v>137065</v>
      </c>
      <c r="P410">
        <v>1.7335252999999998E-2</v>
      </c>
      <c r="Q410">
        <v>1.733699E-2</v>
      </c>
      <c r="R410">
        <v>2.7008879999999998E-3</v>
      </c>
      <c r="S410">
        <v>2.2630731000000001E-2</v>
      </c>
      <c r="T410">
        <v>1.2043249000000001E-2</v>
      </c>
      <c r="U410">
        <v>2.7000570000000001E-3</v>
      </c>
      <c r="V410">
        <v>7.2899999999999997E-6</v>
      </c>
      <c r="W410">
        <v>1.7349546E-2</v>
      </c>
      <c r="X410">
        <v>1.732096E-2</v>
      </c>
      <c r="Y410" t="s">
        <v>916</v>
      </c>
      <c r="Z410" t="s">
        <v>914</v>
      </c>
      <c r="AA410">
        <v>1</v>
      </c>
      <c r="AB410" t="s">
        <v>57</v>
      </c>
      <c r="AC410" t="s">
        <v>155</v>
      </c>
    </row>
    <row r="411" spans="1:29" x14ac:dyDescent="0.25">
      <c r="A411" t="s">
        <v>917</v>
      </c>
      <c r="B411" t="s">
        <v>147</v>
      </c>
      <c r="C411" t="s">
        <v>108</v>
      </c>
      <c r="D411" t="s">
        <v>39</v>
      </c>
      <c r="E411" t="s">
        <v>879</v>
      </c>
      <c r="F411" t="s">
        <v>895</v>
      </c>
      <c r="G411">
        <v>20976</v>
      </c>
      <c r="H411" t="s">
        <v>896</v>
      </c>
      <c r="I411" t="s">
        <v>897</v>
      </c>
      <c r="J411">
        <v>0.72</v>
      </c>
      <c r="K411">
        <v>1.51</v>
      </c>
      <c r="L411">
        <v>0.476821192</v>
      </c>
      <c r="M411">
        <v>20976</v>
      </c>
      <c r="N411">
        <v>1</v>
      </c>
      <c r="O411">
        <v>20974</v>
      </c>
      <c r="P411">
        <v>3.2924E-3</v>
      </c>
      <c r="Q411">
        <v>3.2924120000000002E-3</v>
      </c>
      <c r="R411">
        <v>6.9050960000000003E-3</v>
      </c>
      <c r="S411">
        <v>1.6826399999999998E-2</v>
      </c>
      <c r="T411">
        <v>-1.0241577E-2</v>
      </c>
      <c r="U411">
        <v>6.9046919999999996E-3</v>
      </c>
      <c r="V411">
        <v>4.7700000000000001E-5</v>
      </c>
      <c r="W411">
        <v>3.3858410000000001E-3</v>
      </c>
      <c r="X411">
        <v>3.198958E-3</v>
      </c>
      <c r="Y411" t="s">
        <v>898</v>
      </c>
      <c r="Z411" t="s">
        <v>908</v>
      </c>
      <c r="AA411">
        <v>1</v>
      </c>
      <c r="AB411" t="s">
        <v>54</v>
      </c>
      <c r="AC411" t="s">
        <v>155</v>
      </c>
    </row>
    <row r="412" spans="1:29" x14ac:dyDescent="0.25">
      <c r="A412" t="s">
        <v>918</v>
      </c>
      <c r="B412" t="s">
        <v>156</v>
      </c>
      <c r="C412" t="s">
        <v>108</v>
      </c>
      <c r="D412" t="s">
        <v>39</v>
      </c>
      <c r="E412" t="s">
        <v>879</v>
      </c>
      <c r="F412" t="s">
        <v>919</v>
      </c>
      <c r="G412">
        <v>2078315</v>
      </c>
      <c r="H412" t="s">
        <v>920</v>
      </c>
      <c r="I412" t="s">
        <v>921</v>
      </c>
      <c r="J412">
        <v>-2.1299999999999999E-2</v>
      </c>
      <c r="K412">
        <v>2.33E-3</v>
      </c>
      <c r="L412">
        <v>-9.1416309009999992</v>
      </c>
      <c r="M412">
        <v>2078315</v>
      </c>
      <c r="N412">
        <v>11</v>
      </c>
      <c r="O412">
        <v>2078303</v>
      </c>
      <c r="P412">
        <v>-6.34104E-3</v>
      </c>
      <c r="Q412">
        <v>-6.3411250000000004E-3</v>
      </c>
      <c r="R412">
        <v>6.9365699999999998E-4</v>
      </c>
      <c r="S412">
        <v>-4.9815579999999996E-3</v>
      </c>
      <c r="T412">
        <v>-7.7006929999999998E-3</v>
      </c>
      <c r="U412">
        <v>6.9362899999999997E-4</v>
      </c>
      <c r="V412">
        <v>4.8100000000000003E-7</v>
      </c>
      <c r="W412">
        <v>-6.3400970000000003E-3</v>
      </c>
      <c r="X412">
        <v>-6.3419829999999998E-3</v>
      </c>
      <c r="Y412" t="s">
        <v>922</v>
      </c>
      <c r="Z412" t="s">
        <v>923</v>
      </c>
      <c r="AA412">
        <v>1</v>
      </c>
      <c r="AB412" t="s">
        <v>54</v>
      </c>
      <c r="AC412" t="s">
        <v>155</v>
      </c>
    </row>
    <row r="413" spans="1:29" x14ac:dyDescent="0.25">
      <c r="A413" t="s">
        <v>924</v>
      </c>
      <c r="B413" t="s">
        <v>156</v>
      </c>
      <c r="C413" t="s">
        <v>108</v>
      </c>
      <c r="D413" t="s">
        <v>39</v>
      </c>
      <c r="E413" t="s">
        <v>879</v>
      </c>
      <c r="F413" t="s">
        <v>925</v>
      </c>
      <c r="G413">
        <v>145314</v>
      </c>
      <c r="H413" t="s">
        <v>926</v>
      </c>
      <c r="I413" t="s">
        <v>897</v>
      </c>
      <c r="J413">
        <v>6.2989500000000004E-2</v>
      </c>
      <c r="K413">
        <v>2.1063000000000002E-3</v>
      </c>
      <c r="L413">
        <v>29.9</v>
      </c>
      <c r="M413">
        <v>145314</v>
      </c>
      <c r="N413">
        <v>1</v>
      </c>
      <c r="O413">
        <v>145312</v>
      </c>
      <c r="P413">
        <v>7.8196726999999994E-2</v>
      </c>
      <c r="Q413">
        <v>7.8356698000000002E-2</v>
      </c>
      <c r="R413">
        <v>2.623317E-3</v>
      </c>
      <c r="S413">
        <v>8.3498399000000001E-2</v>
      </c>
      <c r="T413">
        <v>7.3214997000000004E-2</v>
      </c>
      <c r="U413">
        <v>2.6072579999999999E-3</v>
      </c>
      <c r="V413">
        <v>6.8399999999999997E-6</v>
      </c>
      <c r="W413">
        <v>7.8210133000000001E-2</v>
      </c>
      <c r="X413">
        <v>7.8183321E-2</v>
      </c>
      <c r="Y413" t="s">
        <v>927</v>
      </c>
      <c r="Z413" t="s">
        <v>928</v>
      </c>
      <c r="AA413">
        <v>1</v>
      </c>
      <c r="AB413" t="s">
        <v>54</v>
      </c>
      <c r="AC413" t="s">
        <v>155</v>
      </c>
    </row>
    <row r="414" spans="1:29" x14ac:dyDescent="0.25">
      <c r="A414" t="s">
        <v>929</v>
      </c>
      <c r="B414" t="s">
        <v>156</v>
      </c>
      <c r="C414" t="s">
        <v>108</v>
      </c>
      <c r="D414" t="s">
        <v>39</v>
      </c>
      <c r="E414" t="s">
        <v>879</v>
      </c>
      <c r="F414" t="s">
        <v>925</v>
      </c>
      <c r="G414">
        <v>434201</v>
      </c>
      <c r="H414" t="s">
        <v>896</v>
      </c>
      <c r="I414" t="s">
        <v>897</v>
      </c>
      <c r="J414">
        <v>6.5997100000000003E-2</v>
      </c>
      <c r="K414">
        <v>1.3862E-3</v>
      </c>
      <c r="L414">
        <v>47.61</v>
      </c>
      <c r="M414">
        <v>434201</v>
      </c>
      <c r="N414">
        <v>1</v>
      </c>
      <c r="O414">
        <v>434199</v>
      </c>
      <c r="P414">
        <v>7.2064788000000005E-2</v>
      </c>
      <c r="Q414">
        <v>7.2189930999999999E-2</v>
      </c>
      <c r="R414">
        <v>1.517596E-3</v>
      </c>
      <c r="S414">
        <v>7.5164417999999997E-2</v>
      </c>
      <c r="T414">
        <v>6.9215443000000001E-2</v>
      </c>
      <c r="U414">
        <v>1.509711E-3</v>
      </c>
      <c r="V414">
        <v>2.2900000000000001E-6</v>
      </c>
      <c r="W414">
        <v>7.2069279E-2</v>
      </c>
      <c r="X414">
        <v>7.2060297999999995E-2</v>
      </c>
      <c r="Y414" t="s">
        <v>930</v>
      </c>
      <c r="Z414" t="s">
        <v>931</v>
      </c>
      <c r="AA414">
        <v>1</v>
      </c>
      <c r="AB414" t="s">
        <v>54</v>
      </c>
      <c r="AC414" t="s">
        <v>155</v>
      </c>
    </row>
    <row r="415" spans="1:29" x14ac:dyDescent="0.25">
      <c r="A415" t="s">
        <v>932</v>
      </c>
      <c r="B415" t="s">
        <v>147</v>
      </c>
      <c r="C415" t="s">
        <v>107</v>
      </c>
      <c r="D415" t="s">
        <v>39</v>
      </c>
      <c r="E415" t="s">
        <v>933</v>
      </c>
      <c r="F415" t="s">
        <v>934</v>
      </c>
      <c r="G415">
        <v>4225</v>
      </c>
      <c r="H415" t="s">
        <v>935</v>
      </c>
      <c r="I415" t="s">
        <v>936</v>
      </c>
      <c r="J415">
        <v>8.8196000000000004E-3</v>
      </c>
      <c r="K415">
        <v>1.4846099999999999E-2</v>
      </c>
      <c r="L415">
        <v>0.59406847600000001</v>
      </c>
      <c r="M415">
        <v>4225</v>
      </c>
      <c r="N415">
        <v>1</v>
      </c>
      <c r="O415">
        <v>4223</v>
      </c>
      <c r="P415">
        <v>9.1412969999999996E-3</v>
      </c>
      <c r="Q415">
        <v>9.1415520000000007E-3</v>
      </c>
      <c r="R415">
        <v>1.539008E-2</v>
      </c>
      <c r="S415">
        <v>3.9306108999999999E-2</v>
      </c>
      <c r="T415">
        <v>-2.1023006E-2</v>
      </c>
      <c r="U415">
        <v>1.5385151E-2</v>
      </c>
      <c r="V415">
        <v>2.3699999999999999E-4</v>
      </c>
      <c r="W415">
        <v>9.6052180000000004E-3</v>
      </c>
      <c r="X415">
        <v>8.6773760000000005E-3</v>
      </c>
      <c r="Y415" t="s">
        <v>937</v>
      </c>
      <c r="Z415" t="s">
        <v>938</v>
      </c>
      <c r="AA415">
        <v>1</v>
      </c>
      <c r="AB415" t="s">
        <v>54</v>
      </c>
      <c r="AC415" t="s">
        <v>155</v>
      </c>
    </row>
    <row r="416" spans="1:29" x14ac:dyDescent="0.25">
      <c r="A416" t="s">
        <v>939</v>
      </c>
      <c r="B416" t="s">
        <v>156</v>
      </c>
      <c r="C416" t="s">
        <v>108</v>
      </c>
      <c r="D416" t="s">
        <v>45</v>
      </c>
      <c r="E416" t="s">
        <v>940</v>
      </c>
      <c r="F416" t="s">
        <v>941</v>
      </c>
      <c r="G416">
        <v>3319</v>
      </c>
      <c r="H416" t="s">
        <v>942</v>
      </c>
      <c r="I416" t="s">
        <v>943</v>
      </c>
      <c r="J416">
        <v>-4.8000000000000001E-2</v>
      </c>
      <c r="K416">
        <v>4.7E-2</v>
      </c>
      <c r="L416">
        <v>-1.0212765960000001</v>
      </c>
      <c r="M416">
        <v>3319</v>
      </c>
      <c r="N416">
        <v>1</v>
      </c>
      <c r="O416">
        <v>3317</v>
      </c>
      <c r="P416">
        <v>-1.7729740000000001E-2</v>
      </c>
      <c r="Q416">
        <v>-1.7731598000000001E-2</v>
      </c>
      <c r="R416">
        <v>1.7365717999999999E-2</v>
      </c>
      <c r="S416">
        <v>1.6305208000000002E-2</v>
      </c>
      <c r="T416">
        <v>-5.1768405000000003E-2</v>
      </c>
      <c r="U416">
        <v>1.7355025999999999E-2</v>
      </c>
      <c r="V416">
        <v>3.01E-4</v>
      </c>
      <c r="W416">
        <v>-1.7139298000000001E-2</v>
      </c>
      <c r="X416">
        <v>-1.8320183E-2</v>
      </c>
      <c r="Y416" t="s">
        <v>944</v>
      </c>
      <c r="Z416" t="s">
        <v>945</v>
      </c>
      <c r="AA416">
        <v>1</v>
      </c>
      <c r="AB416" t="s">
        <v>57</v>
      </c>
      <c r="AC416" t="s">
        <v>155</v>
      </c>
    </row>
    <row r="417" spans="1:30" x14ac:dyDescent="0.25">
      <c r="A417" t="s">
        <v>939</v>
      </c>
      <c r="B417" t="s">
        <v>156</v>
      </c>
      <c r="C417" t="s">
        <v>108</v>
      </c>
      <c r="D417" t="s">
        <v>45</v>
      </c>
      <c r="E417" t="s">
        <v>940</v>
      </c>
      <c r="F417" t="s">
        <v>946</v>
      </c>
      <c r="G417">
        <v>312</v>
      </c>
      <c r="H417" t="s">
        <v>942</v>
      </c>
      <c r="I417" t="s">
        <v>943</v>
      </c>
      <c r="J417">
        <v>-0.16800000000000001</v>
      </c>
      <c r="K417">
        <v>0.129</v>
      </c>
      <c r="L417">
        <v>-1.3023255810000001</v>
      </c>
      <c r="M417">
        <v>312</v>
      </c>
      <c r="N417">
        <v>1</v>
      </c>
      <c r="O417">
        <v>310</v>
      </c>
      <c r="P417">
        <v>-7.3765606999999997E-2</v>
      </c>
      <c r="Q417">
        <v>-7.3899840999999994E-2</v>
      </c>
      <c r="R417">
        <v>5.6888012000000002E-2</v>
      </c>
      <c r="S417">
        <v>3.7600663999999999E-2</v>
      </c>
      <c r="T417">
        <v>-0.18540034499999999</v>
      </c>
      <c r="U417">
        <v>5.6396245999999997E-2</v>
      </c>
      <c r="V417">
        <v>3.1900000000000001E-3</v>
      </c>
      <c r="W417">
        <v>-6.7507702000000003E-2</v>
      </c>
      <c r="X417">
        <v>-8.0023512000000005E-2</v>
      </c>
      <c r="Y417" t="s">
        <v>947</v>
      </c>
      <c r="Z417" t="s">
        <v>945</v>
      </c>
      <c r="AA417">
        <v>1</v>
      </c>
      <c r="AB417" t="s">
        <v>57</v>
      </c>
      <c r="AC417" t="s">
        <v>155</v>
      </c>
    </row>
    <row r="418" spans="1:30" x14ac:dyDescent="0.25">
      <c r="A418">
        <v>1958</v>
      </c>
      <c r="B418" t="s">
        <v>156</v>
      </c>
      <c r="C418" t="s">
        <v>106</v>
      </c>
      <c r="D418" t="s">
        <v>45</v>
      </c>
      <c r="E418" t="s">
        <v>948</v>
      </c>
      <c r="F418" t="s">
        <v>949</v>
      </c>
      <c r="G418">
        <v>4995</v>
      </c>
      <c r="H418" t="s">
        <v>950</v>
      </c>
      <c r="I418" t="s">
        <v>951</v>
      </c>
      <c r="J418">
        <v>-0.94</v>
      </c>
      <c r="K418">
        <v>8.0000000000000004E-4</v>
      </c>
      <c r="L418">
        <v>-1175</v>
      </c>
      <c r="M418">
        <v>100000</v>
      </c>
      <c r="N418">
        <v>1</v>
      </c>
      <c r="O418">
        <v>99998</v>
      </c>
      <c r="P418">
        <v>-0.96564083099999998</v>
      </c>
      <c r="Q418">
        <v>-2.0233523340000001</v>
      </c>
      <c r="R418">
        <v>3.1623250000000001E-3</v>
      </c>
      <c r="S418">
        <v>-2.0171541770000001</v>
      </c>
      <c r="T418">
        <v>-2.0295504910000002</v>
      </c>
      <c r="U418">
        <v>2.1357400000000001E-4</v>
      </c>
      <c r="V418">
        <v>6.75E-7</v>
      </c>
      <c r="W418">
        <v>-0.96563950700000001</v>
      </c>
      <c r="X418">
        <v>-0.96564215399999997</v>
      </c>
      <c r="Y418" t="s">
        <v>952</v>
      </c>
      <c r="Z418" t="s">
        <v>172</v>
      </c>
      <c r="AA418">
        <v>0</v>
      </c>
      <c r="AB418" t="s">
        <v>173</v>
      </c>
      <c r="AC418" t="s">
        <v>155</v>
      </c>
      <c r="AD418" t="s">
        <v>953</v>
      </c>
    </row>
    <row r="419" spans="1:30" x14ac:dyDescent="0.25">
      <c r="A419">
        <v>1968</v>
      </c>
      <c r="B419" t="s">
        <v>156</v>
      </c>
      <c r="C419" t="s">
        <v>107</v>
      </c>
      <c r="D419" t="s">
        <v>45</v>
      </c>
      <c r="E419" t="s">
        <v>948</v>
      </c>
      <c r="F419" t="s">
        <v>949</v>
      </c>
      <c r="G419">
        <v>4608</v>
      </c>
      <c r="H419" t="s">
        <v>950</v>
      </c>
      <c r="I419" t="s">
        <v>951</v>
      </c>
      <c r="J419">
        <v>-0.73</v>
      </c>
      <c r="K419">
        <v>1.6000000000000001E-3</v>
      </c>
      <c r="L419">
        <v>-456.25</v>
      </c>
      <c r="M419">
        <v>100000</v>
      </c>
      <c r="N419">
        <v>1</v>
      </c>
      <c r="O419">
        <v>99998</v>
      </c>
      <c r="P419">
        <v>-0.82188923400000002</v>
      </c>
      <c r="Q419">
        <v>-1.162611821</v>
      </c>
      <c r="R419">
        <v>3.1623250000000001E-3</v>
      </c>
      <c r="S419">
        <v>-1.156413664</v>
      </c>
      <c r="T419">
        <v>-1.1688099780000001</v>
      </c>
      <c r="U419">
        <v>1.0261580000000001E-3</v>
      </c>
      <c r="V419">
        <v>3.2399999999999999E-6</v>
      </c>
      <c r="W419">
        <v>-0.82188287299999996</v>
      </c>
      <c r="X419">
        <v>-0.82189559400000001</v>
      </c>
      <c r="Y419" t="s">
        <v>952</v>
      </c>
      <c r="Z419" t="s">
        <v>172</v>
      </c>
      <c r="AA419">
        <v>0</v>
      </c>
      <c r="AB419" t="s">
        <v>173</v>
      </c>
      <c r="AC419" t="s">
        <v>155</v>
      </c>
      <c r="AD419" t="s">
        <v>954</v>
      </c>
    </row>
    <row r="420" spans="1:30" x14ac:dyDescent="0.25">
      <c r="A420">
        <v>1972</v>
      </c>
      <c r="B420" t="s">
        <v>156</v>
      </c>
      <c r="C420" t="s">
        <v>107</v>
      </c>
      <c r="D420" t="s">
        <v>45</v>
      </c>
      <c r="E420" t="s">
        <v>948</v>
      </c>
      <c r="F420" t="s">
        <v>949</v>
      </c>
      <c r="G420">
        <v>9387</v>
      </c>
      <c r="H420" t="s">
        <v>950</v>
      </c>
      <c r="I420" t="s">
        <v>951</v>
      </c>
      <c r="J420">
        <v>-0.6</v>
      </c>
      <c r="K420">
        <v>1.6999999999999999E-3</v>
      </c>
      <c r="L420">
        <v>-352.94117649999998</v>
      </c>
      <c r="M420">
        <v>100000</v>
      </c>
      <c r="N420">
        <v>1</v>
      </c>
      <c r="O420">
        <v>99998</v>
      </c>
      <c r="P420">
        <v>-0.74478485299999997</v>
      </c>
      <c r="Q420">
        <v>-0.96113981599999998</v>
      </c>
      <c r="R420">
        <v>3.1623250000000001E-3</v>
      </c>
      <c r="S420">
        <v>-0.95494165900000005</v>
      </c>
      <c r="T420">
        <v>-0.96733797300000002</v>
      </c>
      <c r="U420">
        <v>1.4081549999999999E-3</v>
      </c>
      <c r="V420">
        <v>4.4499999999999997E-6</v>
      </c>
      <c r="W420">
        <v>-0.74477612599999998</v>
      </c>
      <c r="X420">
        <v>-0.74479358100000004</v>
      </c>
      <c r="Y420" t="s">
        <v>952</v>
      </c>
      <c r="Z420" t="s">
        <v>172</v>
      </c>
      <c r="AA420">
        <v>0</v>
      </c>
      <c r="AB420" t="s">
        <v>173</v>
      </c>
      <c r="AC420" t="s">
        <v>155</v>
      </c>
      <c r="AD420" t="s">
        <v>955</v>
      </c>
    </row>
    <row r="421" spans="1:30" x14ac:dyDescent="0.25">
      <c r="A421">
        <v>1972</v>
      </c>
      <c r="B421" t="s">
        <v>156</v>
      </c>
      <c r="C421" t="s">
        <v>107</v>
      </c>
      <c r="D421" t="s">
        <v>45</v>
      </c>
      <c r="E421" t="s">
        <v>948</v>
      </c>
      <c r="F421" t="s">
        <v>956</v>
      </c>
      <c r="G421">
        <v>9387</v>
      </c>
      <c r="H421" t="s">
        <v>950</v>
      </c>
      <c r="I421" t="s">
        <v>951</v>
      </c>
      <c r="J421">
        <v>-0.38</v>
      </c>
      <c r="K421">
        <v>1.6999999999999999E-3</v>
      </c>
      <c r="L421">
        <v>-223.52941179999999</v>
      </c>
      <c r="M421">
        <v>100000</v>
      </c>
      <c r="N421">
        <v>1</v>
      </c>
      <c r="O421">
        <v>99998</v>
      </c>
      <c r="P421">
        <v>-0.57722088900000001</v>
      </c>
      <c r="Q421">
        <v>-0.65828489899999998</v>
      </c>
      <c r="R421">
        <v>3.1623250000000001E-3</v>
      </c>
      <c r="S421">
        <v>-0.65208674200000005</v>
      </c>
      <c r="T421">
        <v>-0.66448305699999999</v>
      </c>
      <c r="U421">
        <v>2.1086680000000002E-3</v>
      </c>
      <c r="V421">
        <v>6.6699999999999997E-6</v>
      </c>
      <c r="W421">
        <v>-0.57720781899999996</v>
      </c>
      <c r="X421">
        <v>-0.57723395799999999</v>
      </c>
      <c r="Y421" t="s">
        <v>952</v>
      </c>
      <c r="Z421" t="s">
        <v>957</v>
      </c>
      <c r="AA421">
        <v>0</v>
      </c>
      <c r="AB421" t="s">
        <v>173</v>
      </c>
      <c r="AC421" t="s">
        <v>155</v>
      </c>
      <c r="AD421" t="s">
        <v>958</v>
      </c>
    </row>
    <row r="422" spans="1:30" x14ac:dyDescent="0.25">
      <c r="A422">
        <v>1973</v>
      </c>
      <c r="B422" t="s">
        <v>156</v>
      </c>
      <c r="C422" t="s">
        <v>107</v>
      </c>
      <c r="D422" t="s">
        <v>45</v>
      </c>
      <c r="E422" t="s">
        <v>948</v>
      </c>
      <c r="F422" t="s">
        <v>956</v>
      </c>
      <c r="G422">
        <v>4512</v>
      </c>
      <c r="H422" t="s">
        <v>950</v>
      </c>
      <c r="I422" t="s">
        <v>951</v>
      </c>
      <c r="J422">
        <v>-0.37</v>
      </c>
      <c r="K422">
        <v>1.6999999999999999E-3</v>
      </c>
      <c r="L422">
        <v>-217.6470588</v>
      </c>
      <c r="M422">
        <v>100000</v>
      </c>
      <c r="N422">
        <v>1</v>
      </c>
      <c r="O422">
        <v>99998</v>
      </c>
      <c r="P422">
        <v>-0.56695795199999999</v>
      </c>
      <c r="Q422">
        <v>-0.643028288</v>
      </c>
      <c r="R422">
        <v>3.1623250000000001E-3</v>
      </c>
      <c r="S422">
        <v>-0.63683013099999997</v>
      </c>
      <c r="T422">
        <v>-0.64922644600000001</v>
      </c>
      <c r="U422">
        <v>2.145802E-3</v>
      </c>
      <c r="V422">
        <v>6.7900000000000002E-6</v>
      </c>
      <c r="W422">
        <v>-0.56694465199999999</v>
      </c>
      <c r="X422">
        <v>-0.56697125199999998</v>
      </c>
      <c r="Y422" t="s">
        <v>952</v>
      </c>
      <c r="Z422" t="s">
        <v>957</v>
      </c>
      <c r="AA422">
        <v>0</v>
      </c>
      <c r="AB422" t="s">
        <v>173</v>
      </c>
      <c r="AC422" t="s">
        <v>155</v>
      </c>
      <c r="AD422" t="s">
        <v>958</v>
      </c>
    </row>
    <row r="423" spans="1:30" x14ac:dyDescent="0.25">
      <c r="A423">
        <v>1974</v>
      </c>
      <c r="B423" t="s">
        <v>156</v>
      </c>
      <c r="C423" t="s">
        <v>107</v>
      </c>
      <c r="D423" t="s">
        <v>45</v>
      </c>
      <c r="E423" t="s">
        <v>948</v>
      </c>
      <c r="F423" t="s">
        <v>956</v>
      </c>
      <c r="G423">
        <v>4452</v>
      </c>
      <c r="H423" t="s">
        <v>950</v>
      </c>
      <c r="I423" t="s">
        <v>951</v>
      </c>
      <c r="J423">
        <v>-0.34</v>
      </c>
      <c r="K423">
        <v>1.6999999999999999E-3</v>
      </c>
      <c r="L423">
        <v>-200</v>
      </c>
      <c r="M423">
        <v>100000</v>
      </c>
      <c r="N423">
        <v>1</v>
      </c>
      <c r="O423">
        <v>99998</v>
      </c>
      <c r="P423">
        <v>-0.53452630199999995</v>
      </c>
      <c r="Q423">
        <v>-0.59646071099999998</v>
      </c>
      <c r="R423">
        <v>3.1623250000000001E-3</v>
      </c>
      <c r="S423">
        <v>-0.59026255400000005</v>
      </c>
      <c r="T423">
        <v>-0.60265886800000001</v>
      </c>
      <c r="U423">
        <v>2.258768E-3</v>
      </c>
      <c r="V423">
        <v>7.1400000000000002E-6</v>
      </c>
      <c r="W423">
        <v>-0.53451230199999999</v>
      </c>
      <c r="X423">
        <v>-0.53454030200000002</v>
      </c>
      <c r="Y423" t="s">
        <v>952</v>
      </c>
      <c r="Z423" t="s">
        <v>957</v>
      </c>
      <c r="AA423">
        <v>0</v>
      </c>
      <c r="AB423" t="s">
        <v>173</v>
      </c>
      <c r="AC423" t="s">
        <v>155</v>
      </c>
      <c r="AD423" t="s">
        <v>958</v>
      </c>
    </row>
    <row r="424" spans="1:30" x14ac:dyDescent="0.25">
      <c r="A424">
        <v>1975</v>
      </c>
      <c r="B424" t="s">
        <v>156</v>
      </c>
      <c r="C424" t="s">
        <v>107</v>
      </c>
      <c r="D424" t="s">
        <v>45</v>
      </c>
      <c r="E424" t="s">
        <v>948</v>
      </c>
      <c r="F424" t="s">
        <v>956</v>
      </c>
      <c r="G424">
        <v>4470</v>
      </c>
      <c r="H424" t="s">
        <v>950</v>
      </c>
      <c r="I424" t="s">
        <v>951</v>
      </c>
      <c r="J424">
        <v>-0.38</v>
      </c>
      <c r="K424">
        <v>1.6999999999999999E-3</v>
      </c>
      <c r="L424">
        <v>-223.52941179999999</v>
      </c>
      <c r="M424">
        <v>100000</v>
      </c>
      <c r="N424">
        <v>1</v>
      </c>
      <c r="O424">
        <v>99998</v>
      </c>
      <c r="P424">
        <v>-0.57722088900000001</v>
      </c>
      <c r="Q424">
        <v>-0.65828489899999998</v>
      </c>
      <c r="R424">
        <v>3.1623250000000001E-3</v>
      </c>
      <c r="S424">
        <v>-0.65208674200000005</v>
      </c>
      <c r="T424">
        <v>-0.66448305699999999</v>
      </c>
      <c r="U424">
        <v>2.1086680000000002E-3</v>
      </c>
      <c r="V424">
        <v>6.6699999999999997E-6</v>
      </c>
      <c r="W424">
        <v>-0.57720781899999996</v>
      </c>
      <c r="X424">
        <v>-0.57723395799999999</v>
      </c>
      <c r="Y424" t="s">
        <v>952</v>
      </c>
      <c r="Z424" t="s">
        <v>957</v>
      </c>
      <c r="AA424">
        <v>0</v>
      </c>
      <c r="AB424" t="s">
        <v>173</v>
      </c>
      <c r="AC424" t="s">
        <v>155</v>
      </c>
      <c r="AD424" t="s">
        <v>958</v>
      </c>
    </row>
    <row r="425" spans="1:30" x14ac:dyDescent="0.25">
      <c r="A425">
        <v>1976</v>
      </c>
      <c r="B425" t="s">
        <v>156</v>
      </c>
      <c r="C425" t="s">
        <v>107</v>
      </c>
      <c r="D425" t="s">
        <v>45</v>
      </c>
      <c r="E425" t="s">
        <v>948</v>
      </c>
      <c r="F425" t="s">
        <v>956</v>
      </c>
      <c r="G425">
        <v>4497</v>
      </c>
      <c r="H425" t="s">
        <v>950</v>
      </c>
      <c r="I425" t="s">
        <v>951</v>
      </c>
      <c r="J425">
        <v>-0.32</v>
      </c>
      <c r="K425">
        <v>1.6000000000000001E-3</v>
      </c>
      <c r="L425">
        <v>-200</v>
      </c>
      <c r="M425">
        <v>100000</v>
      </c>
      <c r="N425">
        <v>1</v>
      </c>
      <c r="O425">
        <v>99998</v>
      </c>
      <c r="P425">
        <v>-0.53452630199999995</v>
      </c>
      <c r="Q425">
        <v>-0.59646071099999998</v>
      </c>
      <c r="R425">
        <v>3.1623250000000001E-3</v>
      </c>
      <c r="S425">
        <v>-0.59026255400000005</v>
      </c>
      <c r="T425">
        <v>-0.60265886800000001</v>
      </c>
      <c r="U425">
        <v>2.258768E-3</v>
      </c>
      <c r="V425">
        <v>7.1400000000000002E-6</v>
      </c>
      <c r="W425">
        <v>-0.53451230199999999</v>
      </c>
      <c r="X425">
        <v>-0.53454030200000002</v>
      </c>
      <c r="Y425" t="s">
        <v>952</v>
      </c>
      <c r="Z425" t="s">
        <v>957</v>
      </c>
      <c r="AA425">
        <v>0</v>
      </c>
      <c r="AB425" t="s">
        <v>173</v>
      </c>
      <c r="AC425" t="s">
        <v>155</v>
      </c>
      <c r="AD425" t="s">
        <v>958</v>
      </c>
    </row>
    <row r="426" spans="1:30" x14ac:dyDescent="0.25">
      <c r="A426">
        <v>1977</v>
      </c>
      <c r="B426" t="s">
        <v>156</v>
      </c>
      <c r="C426" t="s">
        <v>107</v>
      </c>
      <c r="D426" t="s">
        <v>45</v>
      </c>
      <c r="E426" t="s">
        <v>948</v>
      </c>
      <c r="F426" t="s">
        <v>956</v>
      </c>
      <c r="G426">
        <v>4590</v>
      </c>
      <c r="H426" t="s">
        <v>950</v>
      </c>
      <c r="I426" t="s">
        <v>951</v>
      </c>
      <c r="J426">
        <v>-0.28000000000000003</v>
      </c>
      <c r="K426">
        <v>1.6000000000000001E-3</v>
      </c>
      <c r="L426">
        <v>-175</v>
      </c>
      <c r="M426">
        <v>100000</v>
      </c>
      <c r="N426">
        <v>1</v>
      </c>
      <c r="O426">
        <v>99998</v>
      </c>
      <c r="P426">
        <v>-0.484203832</v>
      </c>
      <c r="Q426">
        <v>-0.52846105099999996</v>
      </c>
      <c r="R426">
        <v>3.1623250000000001E-3</v>
      </c>
      <c r="S426">
        <v>-0.52226289400000003</v>
      </c>
      <c r="T426">
        <v>-0.534659208</v>
      </c>
      <c r="U426">
        <v>2.420883E-3</v>
      </c>
      <c r="V426">
        <v>7.6599999999999995E-6</v>
      </c>
      <c r="W426">
        <v>-0.48418882699999999</v>
      </c>
      <c r="X426">
        <v>-0.48421883599999999</v>
      </c>
      <c r="Y426" t="s">
        <v>952</v>
      </c>
      <c r="Z426" t="s">
        <v>184</v>
      </c>
      <c r="AA426">
        <v>0</v>
      </c>
      <c r="AB426" t="s">
        <v>173</v>
      </c>
      <c r="AC426" t="s">
        <v>155</v>
      </c>
      <c r="AD426" t="s">
        <v>958</v>
      </c>
    </row>
    <row r="427" spans="1:30" x14ac:dyDescent="0.25">
      <c r="A427">
        <v>1978</v>
      </c>
      <c r="B427" t="s">
        <v>156</v>
      </c>
      <c r="C427" t="s">
        <v>107</v>
      </c>
      <c r="D427" t="s">
        <v>45</v>
      </c>
      <c r="E427" t="s">
        <v>948</v>
      </c>
      <c r="F427" t="s">
        <v>949</v>
      </c>
      <c r="G427">
        <v>4665</v>
      </c>
      <c r="H427" t="s">
        <v>950</v>
      </c>
      <c r="I427" t="s">
        <v>951</v>
      </c>
      <c r="J427">
        <v>-0.54</v>
      </c>
      <c r="K427">
        <v>1.8E-3</v>
      </c>
      <c r="L427">
        <v>-300</v>
      </c>
      <c r="M427">
        <v>100000</v>
      </c>
      <c r="N427">
        <v>1</v>
      </c>
      <c r="O427">
        <v>99998</v>
      </c>
      <c r="P427">
        <v>-0.68825082400000004</v>
      </c>
      <c r="Q427">
        <v>-0.84462465799999997</v>
      </c>
      <c r="R427">
        <v>3.1623250000000001E-3</v>
      </c>
      <c r="S427">
        <v>-0.83842649999999996</v>
      </c>
      <c r="T427">
        <v>-0.85082281500000001</v>
      </c>
      <c r="U427">
        <v>1.6643490000000001E-3</v>
      </c>
      <c r="V427">
        <v>5.2599999999999996E-6</v>
      </c>
      <c r="W427">
        <v>-0.68824050800000003</v>
      </c>
      <c r="X427">
        <v>-0.68826114000000005</v>
      </c>
      <c r="Y427" t="s">
        <v>952</v>
      </c>
      <c r="Z427" t="s">
        <v>172</v>
      </c>
      <c r="AA427">
        <v>0</v>
      </c>
      <c r="AB427" t="s">
        <v>173</v>
      </c>
      <c r="AC427" t="s">
        <v>155</v>
      </c>
      <c r="AD427" t="s">
        <v>955</v>
      </c>
    </row>
    <row r="428" spans="1:30" x14ac:dyDescent="0.25">
      <c r="A428">
        <v>1980</v>
      </c>
      <c r="B428" t="s">
        <v>156</v>
      </c>
      <c r="C428" t="s">
        <v>107</v>
      </c>
      <c r="D428" t="s">
        <v>45</v>
      </c>
      <c r="E428" t="s">
        <v>948</v>
      </c>
      <c r="F428" t="s">
        <v>956</v>
      </c>
      <c r="G428">
        <v>4404</v>
      </c>
      <c r="H428" t="s">
        <v>950</v>
      </c>
      <c r="I428" t="s">
        <v>951</v>
      </c>
      <c r="J428">
        <v>-0.28999999999999998</v>
      </c>
      <c r="K428">
        <v>1.6000000000000001E-3</v>
      </c>
      <c r="L428">
        <v>-181.25</v>
      </c>
      <c r="M428">
        <v>100000</v>
      </c>
      <c r="N428">
        <v>1</v>
      </c>
      <c r="O428">
        <v>99998</v>
      </c>
      <c r="P428">
        <v>-0.49727651699999997</v>
      </c>
      <c r="Q428">
        <v>-0.54568139900000001</v>
      </c>
      <c r="R428">
        <v>3.1623250000000001E-3</v>
      </c>
      <c r="S428">
        <v>-0.53948324199999997</v>
      </c>
      <c r="T428">
        <v>-0.55187955600000005</v>
      </c>
      <c r="U428">
        <v>2.3803090000000002E-3</v>
      </c>
      <c r="V428">
        <v>7.5299999999999999E-6</v>
      </c>
      <c r="W428">
        <v>-0.497261764</v>
      </c>
      <c r="X428">
        <v>-0.49729127000000001</v>
      </c>
      <c r="Y428" t="s">
        <v>952</v>
      </c>
      <c r="Z428" t="s">
        <v>957</v>
      </c>
      <c r="AA428">
        <v>0</v>
      </c>
      <c r="AB428" t="s">
        <v>173</v>
      </c>
      <c r="AC428" t="s">
        <v>155</v>
      </c>
      <c r="AD428" t="s">
        <v>958</v>
      </c>
    </row>
    <row r="429" spans="1:30" x14ac:dyDescent="0.25">
      <c r="A429">
        <v>1982</v>
      </c>
      <c r="B429" t="s">
        <v>156</v>
      </c>
      <c r="C429" t="s">
        <v>107</v>
      </c>
      <c r="D429" t="s">
        <v>45</v>
      </c>
      <c r="E429" t="s">
        <v>948</v>
      </c>
      <c r="F429" t="s">
        <v>956</v>
      </c>
      <c r="G429">
        <v>9036</v>
      </c>
      <c r="H429" t="s">
        <v>950</v>
      </c>
      <c r="I429" t="s">
        <v>951</v>
      </c>
      <c r="J429">
        <v>-0.28999999999999998</v>
      </c>
      <c r="K429">
        <v>1.6000000000000001E-3</v>
      </c>
      <c r="L429">
        <v>-181.25</v>
      </c>
      <c r="M429">
        <v>100000</v>
      </c>
      <c r="N429">
        <v>1</v>
      </c>
      <c r="O429">
        <v>99998</v>
      </c>
      <c r="P429">
        <v>-0.49727651699999997</v>
      </c>
      <c r="Q429">
        <v>-0.54568139900000001</v>
      </c>
      <c r="R429">
        <v>3.1623250000000001E-3</v>
      </c>
      <c r="S429">
        <v>-0.53948324199999997</v>
      </c>
      <c r="T429">
        <v>-0.55187955600000005</v>
      </c>
      <c r="U429">
        <v>2.3803090000000002E-3</v>
      </c>
      <c r="V429">
        <v>7.5299999999999999E-6</v>
      </c>
      <c r="W429">
        <v>-0.497261764</v>
      </c>
      <c r="X429">
        <v>-0.49729127000000001</v>
      </c>
      <c r="Y429" t="s">
        <v>952</v>
      </c>
      <c r="Z429" t="s">
        <v>957</v>
      </c>
      <c r="AA429">
        <v>0</v>
      </c>
      <c r="AB429" t="s">
        <v>173</v>
      </c>
      <c r="AC429" t="s">
        <v>155</v>
      </c>
      <c r="AD429" t="s">
        <v>958</v>
      </c>
    </row>
    <row r="430" spans="1:30" x14ac:dyDescent="0.25">
      <c r="A430">
        <v>1982</v>
      </c>
      <c r="B430" t="s">
        <v>156</v>
      </c>
      <c r="C430" t="s">
        <v>107</v>
      </c>
      <c r="D430" t="s">
        <v>45</v>
      </c>
      <c r="E430" t="s">
        <v>948</v>
      </c>
      <c r="F430" t="s">
        <v>949</v>
      </c>
      <c r="G430">
        <v>9036</v>
      </c>
      <c r="H430" t="s">
        <v>950</v>
      </c>
      <c r="I430" t="s">
        <v>951</v>
      </c>
      <c r="J430">
        <v>-0.36</v>
      </c>
      <c r="K430">
        <v>1.6999999999999999E-3</v>
      </c>
      <c r="L430">
        <v>-211.7647059</v>
      </c>
      <c r="M430">
        <v>100000</v>
      </c>
      <c r="N430">
        <v>1</v>
      </c>
      <c r="O430">
        <v>99998</v>
      </c>
      <c r="P430">
        <v>-0.55642404300000003</v>
      </c>
      <c r="Q430">
        <v>-0.62763856699999998</v>
      </c>
      <c r="R430">
        <v>3.1623250000000001E-3</v>
      </c>
      <c r="S430">
        <v>-0.62144040899999997</v>
      </c>
      <c r="T430">
        <v>-0.63383672400000002</v>
      </c>
      <c r="U430">
        <v>2.1832230000000002E-3</v>
      </c>
      <c r="V430">
        <v>6.9E-6</v>
      </c>
      <c r="W430">
        <v>-0.55641051100000005</v>
      </c>
      <c r="X430">
        <v>-0.55643757400000005</v>
      </c>
      <c r="Y430" t="s">
        <v>952</v>
      </c>
      <c r="Z430" t="s">
        <v>957</v>
      </c>
      <c r="AA430">
        <v>0</v>
      </c>
      <c r="AB430" t="s">
        <v>173</v>
      </c>
      <c r="AC430" t="s">
        <v>155</v>
      </c>
      <c r="AD430" t="s">
        <v>959</v>
      </c>
    </row>
    <row r="431" spans="1:30" x14ac:dyDescent="0.25">
      <c r="A431">
        <v>1983</v>
      </c>
      <c r="B431" t="s">
        <v>156</v>
      </c>
      <c r="C431" t="s">
        <v>107</v>
      </c>
      <c r="D431" t="s">
        <v>45</v>
      </c>
      <c r="E431" t="s">
        <v>948</v>
      </c>
      <c r="F431" t="s">
        <v>949</v>
      </c>
      <c r="G431">
        <v>8241</v>
      </c>
      <c r="H431" t="s">
        <v>950</v>
      </c>
      <c r="I431" t="s">
        <v>951</v>
      </c>
      <c r="J431">
        <v>-0.26</v>
      </c>
      <c r="K431">
        <v>1.6000000000000001E-3</v>
      </c>
      <c r="L431">
        <v>-162.5</v>
      </c>
      <c r="M431">
        <v>100000</v>
      </c>
      <c r="N431">
        <v>1</v>
      </c>
      <c r="O431">
        <v>99998</v>
      </c>
      <c r="P431">
        <v>-0.45705927600000001</v>
      </c>
      <c r="Q431">
        <v>-0.49358766900000001</v>
      </c>
      <c r="R431">
        <v>3.1623250000000001E-3</v>
      </c>
      <c r="S431">
        <v>-0.48738951200000002</v>
      </c>
      <c r="T431">
        <v>-0.49978582599999999</v>
      </c>
      <c r="U431">
        <v>2.50168E-3</v>
      </c>
      <c r="V431">
        <v>7.9100000000000005E-6</v>
      </c>
      <c r="W431">
        <v>-0.45704377000000002</v>
      </c>
      <c r="X431">
        <v>-0.45707478099999999</v>
      </c>
      <c r="Y431" t="s">
        <v>952</v>
      </c>
      <c r="Z431" t="s">
        <v>358</v>
      </c>
      <c r="AA431">
        <v>0</v>
      </c>
      <c r="AB431" t="s">
        <v>173</v>
      </c>
      <c r="AC431" t="s">
        <v>155</v>
      </c>
      <c r="AD431" t="s">
        <v>960</v>
      </c>
    </row>
    <row r="432" spans="1:30" x14ac:dyDescent="0.25">
      <c r="A432">
        <v>1983</v>
      </c>
      <c r="B432" t="s">
        <v>156</v>
      </c>
      <c r="C432" t="s">
        <v>107</v>
      </c>
      <c r="D432" t="s">
        <v>45</v>
      </c>
      <c r="E432" t="s">
        <v>948</v>
      </c>
      <c r="F432" t="s">
        <v>949</v>
      </c>
      <c r="G432">
        <v>8241</v>
      </c>
      <c r="H432" t="s">
        <v>950</v>
      </c>
      <c r="I432" t="s">
        <v>951</v>
      </c>
      <c r="J432">
        <v>-0.5</v>
      </c>
      <c r="K432">
        <v>1.8E-3</v>
      </c>
      <c r="L432">
        <v>-277.77777780000002</v>
      </c>
      <c r="M432">
        <v>100000</v>
      </c>
      <c r="N432">
        <v>1</v>
      </c>
      <c r="O432">
        <v>99998</v>
      </c>
      <c r="P432">
        <v>-0.65995832200000004</v>
      </c>
      <c r="Q432">
        <v>-0.79273979000000006</v>
      </c>
      <c r="R432">
        <v>3.1623250000000001E-3</v>
      </c>
      <c r="S432">
        <v>-0.78654163300000002</v>
      </c>
      <c r="T432">
        <v>-0.79893794799999995</v>
      </c>
      <c r="U432">
        <v>1.7849719999999999E-3</v>
      </c>
      <c r="V432">
        <v>5.6400000000000002E-6</v>
      </c>
      <c r="W432">
        <v>-0.65994725899999995</v>
      </c>
      <c r="X432">
        <v>-0.65996938500000002</v>
      </c>
      <c r="Y432" t="s">
        <v>952</v>
      </c>
      <c r="Z432" t="s">
        <v>172</v>
      </c>
      <c r="AA432">
        <v>0</v>
      </c>
      <c r="AB432" t="s">
        <v>173</v>
      </c>
      <c r="AC432" t="s">
        <v>155</v>
      </c>
      <c r="AD432" t="s">
        <v>961</v>
      </c>
    </row>
    <row r="433" spans="1:30" x14ac:dyDescent="0.25">
      <c r="A433">
        <v>1984</v>
      </c>
      <c r="B433" t="s">
        <v>156</v>
      </c>
      <c r="C433" t="s">
        <v>107</v>
      </c>
      <c r="D433" t="s">
        <v>45</v>
      </c>
      <c r="E433" t="s">
        <v>948</v>
      </c>
      <c r="F433" t="s">
        <v>956</v>
      </c>
      <c r="G433">
        <v>4419</v>
      </c>
      <c r="H433" t="s">
        <v>950</v>
      </c>
      <c r="I433" t="s">
        <v>951</v>
      </c>
      <c r="J433">
        <v>-0.24</v>
      </c>
      <c r="K433">
        <v>1.5E-3</v>
      </c>
      <c r="L433">
        <v>-160</v>
      </c>
      <c r="M433">
        <v>100000</v>
      </c>
      <c r="N433">
        <v>1</v>
      </c>
      <c r="O433">
        <v>99998</v>
      </c>
      <c r="P433">
        <v>-0.45146971299999999</v>
      </c>
      <c r="Q433">
        <v>-0.48654470999999999</v>
      </c>
      <c r="R433">
        <v>3.1623250000000001E-3</v>
      </c>
      <c r="S433">
        <v>-0.48034655300000001</v>
      </c>
      <c r="T433">
        <v>-0.492742868</v>
      </c>
      <c r="U433">
        <v>2.5177390000000002E-3</v>
      </c>
      <c r="V433">
        <v>7.96E-6</v>
      </c>
      <c r="W433">
        <v>-0.45145410800000002</v>
      </c>
      <c r="X433">
        <v>-0.45148531800000002</v>
      </c>
      <c r="Y433" t="s">
        <v>952</v>
      </c>
      <c r="Z433" t="s">
        <v>957</v>
      </c>
      <c r="AA433">
        <v>0</v>
      </c>
      <c r="AB433" t="s">
        <v>173</v>
      </c>
      <c r="AC433" t="s">
        <v>155</v>
      </c>
      <c r="AD433" t="s">
        <v>958</v>
      </c>
    </row>
    <row r="434" spans="1:30" x14ac:dyDescent="0.25">
      <c r="A434">
        <v>1985</v>
      </c>
      <c r="B434" t="s">
        <v>156</v>
      </c>
      <c r="C434" t="s">
        <v>107</v>
      </c>
      <c r="D434" t="s">
        <v>45</v>
      </c>
      <c r="E434" t="s">
        <v>948</v>
      </c>
      <c r="F434" t="s">
        <v>956</v>
      </c>
      <c r="G434">
        <v>4602</v>
      </c>
      <c r="H434" t="s">
        <v>950</v>
      </c>
      <c r="I434" t="s">
        <v>951</v>
      </c>
      <c r="J434">
        <v>-0.25</v>
      </c>
      <c r="K434">
        <v>1.5E-3</v>
      </c>
      <c r="L434">
        <v>-166.66666670000001</v>
      </c>
      <c r="M434">
        <v>100000</v>
      </c>
      <c r="N434">
        <v>1</v>
      </c>
      <c r="O434">
        <v>99998</v>
      </c>
      <c r="P434">
        <v>-0.466256053</v>
      </c>
      <c r="Q434">
        <v>-0.50527565200000002</v>
      </c>
      <c r="R434">
        <v>3.1623250000000001E-3</v>
      </c>
      <c r="S434">
        <v>-0.49907749499999998</v>
      </c>
      <c r="T434">
        <v>-0.51147380899999995</v>
      </c>
      <c r="U434">
        <v>2.4748280000000001E-3</v>
      </c>
      <c r="V434">
        <v>7.8299999999999996E-6</v>
      </c>
      <c r="W434">
        <v>-0.466240714</v>
      </c>
      <c r="X434">
        <v>-0.46627139200000001</v>
      </c>
      <c r="Y434" t="s">
        <v>952</v>
      </c>
      <c r="Z434" t="s">
        <v>957</v>
      </c>
      <c r="AA434">
        <v>0</v>
      </c>
      <c r="AB434" t="s">
        <v>173</v>
      </c>
      <c r="AC434" t="s">
        <v>155</v>
      </c>
      <c r="AD434" t="s">
        <v>962</v>
      </c>
    </row>
    <row r="435" spans="1:30" x14ac:dyDescent="0.25">
      <c r="A435">
        <v>1986</v>
      </c>
      <c r="B435" t="s">
        <v>156</v>
      </c>
      <c r="C435" t="s">
        <v>107</v>
      </c>
      <c r="D435" t="s">
        <v>45</v>
      </c>
      <c r="E435" t="s">
        <v>948</v>
      </c>
      <c r="F435" t="s">
        <v>949</v>
      </c>
      <c r="G435">
        <v>6564</v>
      </c>
      <c r="H435" t="s">
        <v>950</v>
      </c>
      <c r="I435" t="s">
        <v>951</v>
      </c>
      <c r="J435">
        <v>-0.23</v>
      </c>
      <c r="K435">
        <v>1.5E-3</v>
      </c>
      <c r="L435">
        <v>-153.33333329999999</v>
      </c>
      <c r="M435">
        <v>100000</v>
      </c>
      <c r="N435">
        <v>1</v>
      </c>
      <c r="O435">
        <v>99998</v>
      </c>
      <c r="P435">
        <v>-0.43630187500000001</v>
      </c>
      <c r="Q435">
        <v>-0.46765403799999999</v>
      </c>
      <c r="R435">
        <v>3.1623250000000001E-3</v>
      </c>
      <c r="S435">
        <v>-0.46145588100000001</v>
      </c>
      <c r="T435">
        <v>-0.473852196</v>
      </c>
      <c r="U435">
        <v>2.560321E-3</v>
      </c>
      <c r="V435">
        <v>8.1000000000000004E-6</v>
      </c>
      <c r="W435">
        <v>-0.43628600499999998</v>
      </c>
      <c r="X435">
        <v>-0.43631774400000001</v>
      </c>
      <c r="Y435" t="s">
        <v>952</v>
      </c>
      <c r="Z435" t="s">
        <v>963</v>
      </c>
      <c r="AA435">
        <v>0</v>
      </c>
      <c r="AB435" t="s">
        <v>173</v>
      </c>
      <c r="AC435" t="s">
        <v>155</v>
      </c>
      <c r="AD435" t="s">
        <v>964</v>
      </c>
    </row>
    <row r="436" spans="1:30" x14ac:dyDescent="0.25">
      <c r="A436">
        <v>1987</v>
      </c>
      <c r="B436" t="s">
        <v>156</v>
      </c>
      <c r="C436" t="s">
        <v>107</v>
      </c>
      <c r="D436" t="s">
        <v>45</v>
      </c>
      <c r="E436" t="s">
        <v>948</v>
      </c>
      <c r="F436" t="s">
        <v>956</v>
      </c>
      <c r="G436">
        <v>4398</v>
      </c>
      <c r="H436" t="s">
        <v>950</v>
      </c>
      <c r="I436" t="s">
        <v>951</v>
      </c>
      <c r="J436">
        <v>-0.23</v>
      </c>
      <c r="K436">
        <v>1.5E-3</v>
      </c>
      <c r="L436">
        <v>-153.33333329999999</v>
      </c>
      <c r="M436">
        <v>100000</v>
      </c>
      <c r="N436">
        <v>1</v>
      </c>
      <c r="O436">
        <v>99998</v>
      </c>
      <c r="P436">
        <v>-0.43630187500000001</v>
      </c>
      <c r="Q436">
        <v>-0.46765403799999999</v>
      </c>
      <c r="R436">
        <v>3.1623250000000001E-3</v>
      </c>
      <c r="S436">
        <v>-0.46145588100000001</v>
      </c>
      <c r="T436">
        <v>-0.473852196</v>
      </c>
      <c r="U436">
        <v>2.560321E-3</v>
      </c>
      <c r="V436">
        <v>8.1000000000000004E-6</v>
      </c>
      <c r="W436">
        <v>-0.43628600499999998</v>
      </c>
      <c r="X436">
        <v>-0.43631774400000001</v>
      </c>
      <c r="Y436" t="s">
        <v>952</v>
      </c>
      <c r="Z436" t="s">
        <v>957</v>
      </c>
      <c r="AA436">
        <v>0</v>
      </c>
      <c r="AB436" t="s">
        <v>173</v>
      </c>
      <c r="AC436" t="s">
        <v>155</v>
      </c>
      <c r="AD436" t="s">
        <v>962</v>
      </c>
    </row>
    <row r="437" spans="1:30" x14ac:dyDescent="0.25">
      <c r="A437">
        <v>1988</v>
      </c>
      <c r="B437" t="s">
        <v>156</v>
      </c>
      <c r="C437" t="s">
        <v>107</v>
      </c>
      <c r="D437" t="s">
        <v>45</v>
      </c>
      <c r="E437" t="s">
        <v>948</v>
      </c>
      <c r="F437" t="s">
        <v>956</v>
      </c>
      <c r="G437">
        <v>4443</v>
      </c>
      <c r="H437" t="s">
        <v>950</v>
      </c>
      <c r="I437" t="s">
        <v>951</v>
      </c>
      <c r="J437">
        <v>-0.22</v>
      </c>
      <c r="K437">
        <v>1.5E-3</v>
      </c>
      <c r="L437">
        <v>-146.66666670000001</v>
      </c>
      <c r="M437">
        <v>100000</v>
      </c>
      <c r="N437">
        <v>1</v>
      </c>
      <c r="O437">
        <v>99998</v>
      </c>
      <c r="P437">
        <v>-0.42075278599999999</v>
      </c>
      <c r="Q437">
        <v>-0.44860639299999999</v>
      </c>
      <c r="R437">
        <v>3.1623250000000001E-3</v>
      </c>
      <c r="S437">
        <v>-0.44240823600000001</v>
      </c>
      <c r="T437">
        <v>-0.45480454999999997</v>
      </c>
      <c r="U437">
        <v>2.6024630000000002E-3</v>
      </c>
      <c r="V437">
        <v>8.2300000000000008E-6</v>
      </c>
      <c r="W437">
        <v>-0.42073665500000001</v>
      </c>
      <c r="X437">
        <v>-0.42076891599999999</v>
      </c>
      <c r="Y437" t="s">
        <v>952</v>
      </c>
      <c r="Z437" t="s">
        <v>957</v>
      </c>
      <c r="AA437">
        <v>0</v>
      </c>
      <c r="AB437" t="s">
        <v>173</v>
      </c>
      <c r="AC437" t="s">
        <v>155</v>
      </c>
      <c r="AD437" t="s">
        <v>962</v>
      </c>
    </row>
    <row r="438" spans="1:30" x14ac:dyDescent="0.25">
      <c r="A438">
        <v>1989</v>
      </c>
      <c r="B438" t="s">
        <v>156</v>
      </c>
      <c r="C438" t="s">
        <v>107</v>
      </c>
      <c r="D438" t="s">
        <v>45</v>
      </c>
      <c r="E438" t="s">
        <v>948</v>
      </c>
      <c r="F438" t="s">
        <v>949</v>
      </c>
      <c r="G438">
        <v>25119</v>
      </c>
      <c r="H438" t="s">
        <v>950</v>
      </c>
      <c r="I438" t="s">
        <v>951</v>
      </c>
      <c r="J438">
        <v>-0.45</v>
      </c>
      <c r="K438">
        <v>1.8E-3</v>
      </c>
      <c r="L438">
        <v>-250</v>
      </c>
      <c r="M438">
        <v>100000</v>
      </c>
      <c r="N438">
        <v>1</v>
      </c>
      <c r="O438">
        <v>99998</v>
      </c>
      <c r="P438">
        <v>-0.62017748900000003</v>
      </c>
      <c r="Q438">
        <v>-0.72529345899999997</v>
      </c>
      <c r="R438">
        <v>3.1623250000000001E-3</v>
      </c>
      <c r="S438">
        <v>-0.71909530200000005</v>
      </c>
      <c r="T438">
        <v>-0.73149161600000001</v>
      </c>
      <c r="U438">
        <v>1.946012E-3</v>
      </c>
      <c r="V438">
        <v>6.1500000000000004E-6</v>
      </c>
      <c r="W438">
        <v>-0.62016542799999996</v>
      </c>
      <c r="X438">
        <v>-0.62018955099999995</v>
      </c>
      <c r="Y438" t="s">
        <v>952</v>
      </c>
      <c r="Z438" t="s">
        <v>965</v>
      </c>
      <c r="AA438">
        <v>0</v>
      </c>
      <c r="AB438" t="s">
        <v>173</v>
      </c>
      <c r="AC438" t="s">
        <v>155</v>
      </c>
      <c r="AD438" t="s">
        <v>961</v>
      </c>
    </row>
    <row r="439" spans="1:30" x14ac:dyDescent="0.25">
      <c r="A439">
        <v>1989</v>
      </c>
      <c r="B439" t="s">
        <v>156</v>
      </c>
      <c r="C439" t="s">
        <v>107</v>
      </c>
      <c r="D439" t="s">
        <v>45</v>
      </c>
      <c r="E439" t="s">
        <v>948</v>
      </c>
      <c r="F439" t="s">
        <v>956</v>
      </c>
      <c r="G439">
        <v>25119</v>
      </c>
      <c r="H439" t="s">
        <v>950</v>
      </c>
      <c r="I439" t="s">
        <v>951</v>
      </c>
      <c r="J439">
        <v>-0.3</v>
      </c>
      <c r="K439">
        <v>1.6202E-3</v>
      </c>
      <c r="L439">
        <v>-185.1623256</v>
      </c>
      <c r="M439">
        <v>100000</v>
      </c>
      <c r="N439">
        <v>1</v>
      </c>
      <c r="O439">
        <v>99998</v>
      </c>
      <c r="P439">
        <v>-0.50529147200000002</v>
      </c>
      <c r="Q439">
        <v>-0.55638653599999999</v>
      </c>
      <c r="R439">
        <v>3.1623250000000001E-3</v>
      </c>
      <c r="S439">
        <v>-0.55018837899999995</v>
      </c>
      <c r="T439">
        <v>-0.56258469300000002</v>
      </c>
      <c r="U439">
        <v>2.3548979999999998E-3</v>
      </c>
      <c r="V439">
        <v>7.4499999999999998E-6</v>
      </c>
      <c r="W439">
        <v>-0.50527687700000001</v>
      </c>
      <c r="X439">
        <v>-0.505306068</v>
      </c>
      <c r="Y439" t="s">
        <v>952</v>
      </c>
      <c r="Z439" t="s">
        <v>957</v>
      </c>
      <c r="AA439">
        <v>0</v>
      </c>
      <c r="AB439" t="s">
        <v>173</v>
      </c>
      <c r="AC439" t="s">
        <v>155</v>
      </c>
      <c r="AD439" t="s">
        <v>966</v>
      </c>
    </row>
    <row r="440" spans="1:30" x14ac:dyDescent="0.25">
      <c r="A440">
        <v>1989</v>
      </c>
      <c r="B440" t="s">
        <v>156</v>
      </c>
      <c r="C440" t="s">
        <v>107</v>
      </c>
      <c r="D440" t="s">
        <v>45</v>
      </c>
      <c r="E440" t="s">
        <v>948</v>
      </c>
      <c r="F440" t="s">
        <v>956</v>
      </c>
      <c r="G440">
        <v>25119</v>
      </c>
      <c r="H440" t="s">
        <v>950</v>
      </c>
      <c r="I440" t="s">
        <v>951</v>
      </c>
      <c r="J440">
        <v>-0.18</v>
      </c>
      <c r="K440">
        <v>1.4E-3</v>
      </c>
      <c r="L440">
        <v>-128.57142859999999</v>
      </c>
      <c r="M440">
        <v>100000</v>
      </c>
      <c r="N440">
        <v>1</v>
      </c>
      <c r="O440">
        <v>99998</v>
      </c>
      <c r="P440">
        <v>-0.37664151000000001</v>
      </c>
      <c r="Q440">
        <v>-0.39614017200000001</v>
      </c>
      <c r="R440">
        <v>3.1623250000000001E-3</v>
      </c>
      <c r="S440">
        <v>-0.38994201499999998</v>
      </c>
      <c r="T440">
        <v>-0.40233833000000002</v>
      </c>
      <c r="U440">
        <v>2.713694E-3</v>
      </c>
      <c r="V440">
        <v>8.5799999999999992E-6</v>
      </c>
      <c r="W440">
        <v>-0.37662468999999998</v>
      </c>
      <c r="X440">
        <v>-0.37665832999999999</v>
      </c>
      <c r="Y440" t="s">
        <v>952</v>
      </c>
      <c r="Z440" t="s">
        <v>957</v>
      </c>
      <c r="AA440">
        <v>0</v>
      </c>
      <c r="AB440" t="s">
        <v>173</v>
      </c>
      <c r="AC440" t="s">
        <v>155</v>
      </c>
      <c r="AD440" t="s">
        <v>967</v>
      </c>
    </row>
    <row r="441" spans="1:30" x14ac:dyDescent="0.25">
      <c r="A441">
        <v>1989</v>
      </c>
      <c r="B441" t="s">
        <v>156</v>
      </c>
      <c r="C441" t="s">
        <v>107</v>
      </c>
      <c r="D441" t="s">
        <v>45</v>
      </c>
      <c r="E441" t="s">
        <v>948</v>
      </c>
      <c r="F441" t="s">
        <v>956</v>
      </c>
      <c r="G441">
        <v>25119</v>
      </c>
      <c r="H441" t="s">
        <v>950</v>
      </c>
      <c r="I441" t="s">
        <v>951</v>
      </c>
      <c r="J441">
        <v>-0.21</v>
      </c>
      <c r="K441">
        <v>1.4E-3</v>
      </c>
      <c r="L441">
        <v>-150</v>
      </c>
      <c r="M441">
        <v>100000</v>
      </c>
      <c r="N441">
        <v>1</v>
      </c>
      <c r="O441">
        <v>99998</v>
      </c>
      <c r="P441">
        <v>-0.42857492699999999</v>
      </c>
      <c r="Q441">
        <v>-0.45814965200000002</v>
      </c>
      <c r="R441">
        <v>3.1623250000000001E-3</v>
      </c>
      <c r="S441">
        <v>-0.45195149499999998</v>
      </c>
      <c r="T441">
        <v>-0.464347809</v>
      </c>
      <c r="U441">
        <v>2.5814549999999999E-3</v>
      </c>
      <c r="V441">
        <v>8.1599999999999998E-6</v>
      </c>
      <c r="W441">
        <v>-0.42855892699999998</v>
      </c>
      <c r="X441">
        <v>-0.42859092700000001</v>
      </c>
      <c r="Y441" t="s">
        <v>952</v>
      </c>
      <c r="Z441" t="s">
        <v>957</v>
      </c>
      <c r="AA441">
        <v>0</v>
      </c>
      <c r="AB441" t="s">
        <v>173</v>
      </c>
      <c r="AC441" t="s">
        <v>155</v>
      </c>
      <c r="AD441" t="s">
        <v>962</v>
      </c>
    </row>
    <row r="442" spans="1:30" x14ac:dyDescent="0.25">
      <c r="A442">
        <v>1989</v>
      </c>
      <c r="B442" t="s">
        <v>156</v>
      </c>
      <c r="C442" t="s">
        <v>107</v>
      </c>
      <c r="D442" t="s">
        <v>45</v>
      </c>
      <c r="E442" t="s">
        <v>948</v>
      </c>
      <c r="F442" t="s">
        <v>956</v>
      </c>
      <c r="G442">
        <v>25119</v>
      </c>
      <c r="H442" t="s">
        <v>950</v>
      </c>
      <c r="I442" t="s">
        <v>951</v>
      </c>
      <c r="J442">
        <v>-0.1</v>
      </c>
      <c r="K442">
        <v>1.1000000000000001E-3</v>
      </c>
      <c r="L442">
        <v>-90.909090910000003</v>
      </c>
      <c r="M442">
        <v>100000</v>
      </c>
      <c r="N442">
        <v>1</v>
      </c>
      <c r="O442">
        <v>99998</v>
      </c>
      <c r="P442">
        <v>-0.27629203400000002</v>
      </c>
      <c r="Q442">
        <v>-0.28366317800000002</v>
      </c>
      <c r="R442">
        <v>3.1623250000000001E-3</v>
      </c>
      <c r="S442">
        <v>-0.27746502099999998</v>
      </c>
      <c r="T442">
        <v>-0.289861335</v>
      </c>
      <c r="U442">
        <v>2.9208929999999999E-3</v>
      </c>
      <c r="V442">
        <v>9.2399999999999996E-6</v>
      </c>
      <c r="W442">
        <v>-0.27627393</v>
      </c>
      <c r="X442">
        <v>-0.27631013799999998</v>
      </c>
      <c r="Y442" t="s">
        <v>952</v>
      </c>
      <c r="Z442" t="s">
        <v>965</v>
      </c>
      <c r="AA442">
        <v>0</v>
      </c>
      <c r="AB442" t="s">
        <v>173</v>
      </c>
      <c r="AC442" t="s">
        <v>155</v>
      </c>
      <c r="AD442" t="s">
        <v>968</v>
      </c>
    </row>
    <row r="443" spans="1:30" x14ac:dyDescent="0.25">
      <c r="A443">
        <v>1990</v>
      </c>
      <c r="B443" t="s">
        <v>156</v>
      </c>
      <c r="C443" t="s">
        <v>107</v>
      </c>
      <c r="D443" t="s">
        <v>45</v>
      </c>
      <c r="E443" t="s">
        <v>948</v>
      </c>
      <c r="F443" t="s">
        <v>956</v>
      </c>
      <c r="G443">
        <v>4116</v>
      </c>
      <c r="H443" t="s">
        <v>950</v>
      </c>
      <c r="I443" t="s">
        <v>951</v>
      </c>
      <c r="J443">
        <v>-0.19</v>
      </c>
      <c r="K443">
        <v>1.4E-3</v>
      </c>
      <c r="L443">
        <v>-135.7142857</v>
      </c>
      <c r="M443">
        <v>100000</v>
      </c>
      <c r="N443">
        <v>1</v>
      </c>
      <c r="O443">
        <v>99998</v>
      </c>
      <c r="P443">
        <v>-0.39438437300000001</v>
      </c>
      <c r="Q443">
        <v>-0.41698139099999998</v>
      </c>
      <c r="R443">
        <v>3.1623250000000001E-3</v>
      </c>
      <c r="S443">
        <v>-0.41078323300000003</v>
      </c>
      <c r="T443">
        <v>-0.42317954800000002</v>
      </c>
      <c r="U443">
        <v>2.6704329999999998E-3</v>
      </c>
      <c r="V443">
        <v>8.4400000000000005E-6</v>
      </c>
      <c r="W443">
        <v>-0.39436782100000001</v>
      </c>
      <c r="X443">
        <v>-0.39440092500000001</v>
      </c>
      <c r="Y443" t="s">
        <v>952</v>
      </c>
      <c r="Z443" t="s">
        <v>184</v>
      </c>
      <c r="AA443">
        <v>0</v>
      </c>
      <c r="AB443" t="s">
        <v>173</v>
      </c>
      <c r="AC443" t="s">
        <v>155</v>
      </c>
      <c r="AD443" t="s">
        <v>962</v>
      </c>
    </row>
    <row r="444" spans="1:30" x14ac:dyDescent="0.25">
      <c r="A444">
        <v>1991</v>
      </c>
      <c r="B444" t="s">
        <v>156</v>
      </c>
      <c r="C444" t="s">
        <v>107</v>
      </c>
      <c r="D444" t="s">
        <v>45</v>
      </c>
      <c r="E444" t="s">
        <v>948</v>
      </c>
      <c r="F444" t="s">
        <v>949</v>
      </c>
      <c r="G444">
        <v>7521</v>
      </c>
      <c r="H444" t="s">
        <v>950</v>
      </c>
      <c r="I444" t="s">
        <v>951</v>
      </c>
      <c r="J444">
        <v>-0.42</v>
      </c>
      <c r="K444">
        <v>1.6999999999999999E-3</v>
      </c>
      <c r="L444">
        <v>-247.05882349999999</v>
      </c>
      <c r="M444">
        <v>100000</v>
      </c>
      <c r="N444">
        <v>1</v>
      </c>
      <c r="O444">
        <v>99998</v>
      </c>
      <c r="P444">
        <v>-0.61565696599999997</v>
      </c>
      <c r="Q444">
        <v>-0.71798073600000001</v>
      </c>
      <c r="R444">
        <v>3.1623250000000001E-3</v>
      </c>
      <c r="S444">
        <v>-0.71178257899999997</v>
      </c>
      <c r="T444">
        <v>-0.72417889300000005</v>
      </c>
      <c r="U444">
        <v>1.963678E-3</v>
      </c>
      <c r="V444">
        <v>6.2099999999999998E-6</v>
      </c>
      <c r="W444">
        <v>-0.61564479500000002</v>
      </c>
      <c r="X444">
        <v>-0.61566913700000003</v>
      </c>
      <c r="Y444" t="s">
        <v>952</v>
      </c>
      <c r="Z444" t="s">
        <v>172</v>
      </c>
      <c r="AA444">
        <v>0</v>
      </c>
      <c r="AB444" t="s">
        <v>173</v>
      </c>
      <c r="AC444" t="s">
        <v>155</v>
      </c>
      <c r="AD444" t="s">
        <v>961</v>
      </c>
    </row>
    <row r="445" spans="1:30" x14ac:dyDescent="0.25">
      <c r="A445">
        <v>1991</v>
      </c>
      <c r="B445" t="s">
        <v>156</v>
      </c>
      <c r="C445" t="s">
        <v>107</v>
      </c>
      <c r="D445" t="s">
        <v>45</v>
      </c>
      <c r="E445" t="s">
        <v>948</v>
      </c>
      <c r="F445" t="s">
        <v>956</v>
      </c>
      <c r="G445">
        <v>7521</v>
      </c>
      <c r="H445" t="s">
        <v>950</v>
      </c>
      <c r="I445" t="s">
        <v>951</v>
      </c>
      <c r="J445">
        <v>-0.17</v>
      </c>
      <c r="K445">
        <v>1.2999999999999999E-3</v>
      </c>
      <c r="L445">
        <v>-130.7692308</v>
      </c>
      <c r="M445">
        <v>100000</v>
      </c>
      <c r="N445">
        <v>1</v>
      </c>
      <c r="O445">
        <v>99998</v>
      </c>
      <c r="P445">
        <v>-0.38214636499999999</v>
      </c>
      <c r="Q445">
        <v>-0.402570657</v>
      </c>
      <c r="R445">
        <v>3.1623250000000001E-3</v>
      </c>
      <c r="S445">
        <v>-0.39637250000000002</v>
      </c>
      <c r="T445">
        <v>-0.40876881399999998</v>
      </c>
      <c r="U445">
        <v>2.7004849999999999E-3</v>
      </c>
      <c r="V445">
        <v>8.5399999999999996E-6</v>
      </c>
      <c r="W445">
        <v>-0.38212962700000003</v>
      </c>
      <c r="X445">
        <v>-0.382163103</v>
      </c>
      <c r="Y445" t="s">
        <v>952</v>
      </c>
      <c r="Z445" t="s">
        <v>957</v>
      </c>
      <c r="AA445">
        <v>0</v>
      </c>
      <c r="AB445" t="s">
        <v>173</v>
      </c>
      <c r="AC445" t="s">
        <v>155</v>
      </c>
      <c r="AD445" t="s">
        <v>962</v>
      </c>
    </row>
    <row r="446" spans="1:30" x14ac:dyDescent="0.25">
      <c r="A446">
        <v>1993</v>
      </c>
      <c r="B446" t="s">
        <v>156</v>
      </c>
      <c r="C446" t="s">
        <v>107</v>
      </c>
      <c r="D446" t="s">
        <v>45</v>
      </c>
      <c r="E446" t="s">
        <v>948</v>
      </c>
      <c r="F446" t="s">
        <v>956</v>
      </c>
      <c r="G446">
        <v>4818</v>
      </c>
      <c r="H446" t="s">
        <v>950</v>
      </c>
      <c r="I446" t="s">
        <v>951</v>
      </c>
      <c r="J446">
        <v>-0.17</v>
      </c>
      <c r="K446">
        <v>1.2999999999999999E-3</v>
      </c>
      <c r="L446">
        <v>-130.7692308</v>
      </c>
      <c r="M446">
        <v>100000</v>
      </c>
      <c r="N446">
        <v>1</v>
      </c>
      <c r="O446">
        <v>99998</v>
      </c>
      <c r="P446">
        <v>-0.38214636499999999</v>
      </c>
      <c r="Q446">
        <v>-0.402570657</v>
      </c>
      <c r="R446">
        <v>3.1623250000000001E-3</v>
      </c>
      <c r="S446">
        <v>-0.39637250000000002</v>
      </c>
      <c r="T446">
        <v>-0.40876881399999998</v>
      </c>
      <c r="U446">
        <v>2.7004849999999999E-3</v>
      </c>
      <c r="V446">
        <v>8.5399999999999996E-6</v>
      </c>
      <c r="W446">
        <v>-0.38212962700000003</v>
      </c>
      <c r="X446">
        <v>-0.382163103</v>
      </c>
      <c r="Y446" t="s">
        <v>952</v>
      </c>
      <c r="Z446" t="s">
        <v>957</v>
      </c>
      <c r="AA446">
        <v>0</v>
      </c>
      <c r="AB446" t="s">
        <v>173</v>
      </c>
      <c r="AC446" t="s">
        <v>155</v>
      </c>
      <c r="AD446" t="s">
        <v>962</v>
      </c>
    </row>
    <row r="447" spans="1:30" x14ac:dyDescent="0.25">
      <c r="A447">
        <v>1994</v>
      </c>
      <c r="B447" t="s">
        <v>156</v>
      </c>
      <c r="C447" t="s">
        <v>107</v>
      </c>
      <c r="D447" t="s">
        <v>45</v>
      </c>
      <c r="E447" t="s">
        <v>948</v>
      </c>
      <c r="F447" t="s">
        <v>956</v>
      </c>
      <c r="G447">
        <v>10539</v>
      </c>
      <c r="H447" t="s">
        <v>950</v>
      </c>
      <c r="I447" t="s">
        <v>951</v>
      </c>
      <c r="J447">
        <v>-0.14000000000000001</v>
      </c>
      <c r="K447">
        <v>1.1999999999999999E-3</v>
      </c>
      <c r="L447">
        <v>-116.66666669999999</v>
      </c>
      <c r="M447">
        <v>100000</v>
      </c>
      <c r="N447">
        <v>1</v>
      </c>
      <c r="O447">
        <v>99998</v>
      </c>
      <c r="P447">
        <v>-0.34613076999999998</v>
      </c>
      <c r="Q447">
        <v>-0.36104114199999998</v>
      </c>
      <c r="R447">
        <v>3.1623250000000001E-3</v>
      </c>
      <c r="S447">
        <v>-0.35484298399999997</v>
      </c>
      <c r="T447">
        <v>-0.36723929900000002</v>
      </c>
      <c r="U447">
        <v>2.7834299999999999E-3</v>
      </c>
      <c r="V447">
        <v>8.8000000000000004E-6</v>
      </c>
      <c r="W447">
        <v>-0.34611351800000001</v>
      </c>
      <c r="X447">
        <v>-0.346148022</v>
      </c>
      <c r="Y447" t="s">
        <v>952</v>
      </c>
      <c r="Z447" t="s">
        <v>957</v>
      </c>
      <c r="AA447">
        <v>0</v>
      </c>
      <c r="AB447" t="s">
        <v>173</v>
      </c>
      <c r="AC447" t="s">
        <v>155</v>
      </c>
      <c r="AD447" t="s">
        <v>969</v>
      </c>
    </row>
    <row r="448" spans="1:30" x14ac:dyDescent="0.25">
      <c r="A448">
        <v>1994</v>
      </c>
      <c r="B448" t="s">
        <v>156</v>
      </c>
      <c r="C448" t="s">
        <v>107</v>
      </c>
      <c r="D448" t="s">
        <v>45</v>
      </c>
      <c r="E448" t="s">
        <v>948</v>
      </c>
      <c r="F448" t="s">
        <v>949</v>
      </c>
      <c r="G448">
        <v>10539</v>
      </c>
      <c r="H448" t="s">
        <v>950</v>
      </c>
      <c r="I448" t="s">
        <v>951</v>
      </c>
      <c r="J448">
        <v>-0.37</v>
      </c>
      <c r="K448">
        <v>1.6999999999999999E-3</v>
      </c>
      <c r="L448">
        <v>-217.6470588</v>
      </c>
      <c r="M448">
        <v>100000</v>
      </c>
      <c r="N448">
        <v>1</v>
      </c>
      <c r="O448">
        <v>99998</v>
      </c>
      <c r="P448">
        <v>-0.56695795199999999</v>
      </c>
      <c r="Q448">
        <v>-0.643028288</v>
      </c>
      <c r="R448">
        <v>3.1623250000000001E-3</v>
      </c>
      <c r="S448">
        <v>-0.63683013099999997</v>
      </c>
      <c r="T448">
        <v>-0.64922644600000001</v>
      </c>
      <c r="U448">
        <v>2.145802E-3</v>
      </c>
      <c r="V448">
        <v>6.7900000000000002E-6</v>
      </c>
      <c r="W448">
        <v>-0.56694465199999999</v>
      </c>
      <c r="X448">
        <v>-0.56697125199999998</v>
      </c>
      <c r="Y448" t="s">
        <v>952</v>
      </c>
      <c r="Z448" t="s">
        <v>172</v>
      </c>
      <c r="AA448">
        <v>0</v>
      </c>
      <c r="AB448" t="s">
        <v>173</v>
      </c>
      <c r="AC448" t="s">
        <v>155</v>
      </c>
      <c r="AD448" t="s">
        <v>970</v>
      </c>
    </row>
    <row r="449" spans="1:30" x14ac:dyDescent="0.25">
      <c r="A449">
        <v>1995</v>
      </c>
      <c r="B449" t="s">
        <v>156</v>
      </c>
      <c r="C449" t="s">
        <v>107</v>
      </c>
      <c r="D449" t="s">
        <v>45</v>
      </c>
      <c r="E449" t="s">
        <v>948</v>
      </c>
      <c r="F449" t="s">
        <v>949</v>
      </c>
      <c r="G449">
        <v>2274</v>
      </c>
      <c r="H449" t="s">
        <v>950</v>
      </c>
      <c r="I449" t="s">
        <v>951</v>
      </c>
      <c r="J449">
        <v>-0.34</v>
      </c>
      <c r="K449">
        <v>1.6999999999999999E-3</v>
      </c>
      <c r="L449">
        <v>-200</v>
      </c>
      <c r="M449">
        <v>100000</v>
      </c>
      <c r="N449">
        <v>1</v>
      </c>
      <c r="O449">
        <v>99998</v>
      </c>
      <c r="P449">
        <v>-0.53452630199999995</v>
      </c>
      <c r="Q449">
        <v>-0.59646071099999998</v>
      </c>
      <c r="R449">
        <v>3.1623250000000001E-3</v>
      </c>
      <c r="S449">
        <v>-0.59026255400000005</v>
      </c>
      <c r="T449">
        <v>-0.60265886800000001</v>
      </c>
      <c r="U449">
        <v>2.258768E-3</v>
      </c>
      <c r="V449">
        <v>7.1400000000000002E-6</v>
      </c>
      <c r="W449">
        <v>-0.53451230199999999</v>
      </c>
      <c r="X449">
        <v>-0.53454030200000002</v>
      </c>
      <c r="Y449" t="s">
        <v>952</v>
      </c>
      <c r="Z449" t="s">
        <v>971</v>
      </c>
      <c r="AA449">
        <v>0</v>
      </c>
      <c r="AB449" t="s">
        <v>173</v>
      </c>
      <c r="AC449" t="s">
        <v>155</v>
      </c>
      <c r="AD449" t="s">
        <v>961</v>
      </c>
    </row>
    <row r="450" spans="1:30" x14ac:dyDescent="0.25">
      <c r="A450">
        <v>1996</v>
      </c>
      <c r="B450" t="s">
        <v>156</v>
      </c>
      <c r="C450" t="s">
        <v>107</v>
      </c>
      <c r="D450" t="s">
        <v>45</v>
      </c>
      <c r="E450" t="s">
        <v>948</v>
      </c>
      <c r="F450" t="s">
        <v>956</v>
      </c>
      <c r="G450">
        <v>20994</v>
      </c>
      <c r="H450" t="s">
        <v>950</v>
      </c>
      <c r="I450" t="s">
        <v>951</v>
      </c>
      <c r="J450">
        <v>-0.11</v>
      </c>
      <c r="K450">
        <v>1.1000000000000001E-3</v>
      </c>
      <c r="L450">
        <v>-100</v>
      </c>
      <c r="M450">
        <v>100000</v>
      </c>
      <c r="N450">
        <v>1</v>
      </c>
      <c r="O450">
        <v>99998</v>
      </c>
      <c r="P450">
        <v>-0.30151408600000001</v>
      </c>
      <c r="Q450">
        <v>-0.31118426700000001</v>
      </c>
      <c r="R450">
        <v>3.1623250000000001E-3</v>
      </c>
      <c r="S450">
        <v>-0.30498610999999998</v>
      </c>
      <c r="T450">
        <v>-0.317382424</v>
      </c>
      <c r="U450">
        <v>2.8748070000000001E-3</v>
      </c>
      <c r="V450">
        <v>9.0899999999999994E-6</v>
      </c>
      <c r="W450">
        <v>-0.30149626699999998</v>
      </c>
      <c r="X450">
        <v>-0.30153190400000002</v>
      </c>
      <c r="Y450" t="s">
        <v>952</v>
      </c>
      <c r="Z450" t="s">
        <v>957</v>
      </c>
      <c r="AA450">
        <v>0</v>
      </c>
      <c r="AB450" t="s">
        <v>173</v>
      </c>
      <c r="AC450" t="s">
        <v>155</v>
      </c>
      <c r="AD450" t="s">
        <v>969</v>
      </c>
    </row>
    <row r="451" spans="1:30" x14ac:dyDescent="0.25">
      <c r="A451">
        <v>1997</v>
      </c>
      <c r="B451" t="s">
        <v>156</v>
      </c>
      <c r="C451" t="s">
        <v>107</v>
      </c>
      <c r="D451" t="s">
        <v>45</v>
      </c>
      <c r="E451" t="s">
        <v>948</v>
      </c>
      <c r="F451" t="s">
        <v>949</v>
      </c>
      <c r="G451">
        <v>26226</v>
      </c>
      <c r="H451" t="s">
        <v>950</v>
      </c>
      <c r="I451" t="s">
        <v>951</v>
      </c>
      <c r="J451">
        <v>-0.22</v>
      </c>
      <c r="K451">
        <v>1.5E-3</v>
      </c>
      <c r="L451">
        <v>-146.66666670000001</v>
      </c>
      <c r="M451">
        <v>100000</v>
      </c>
      <c r="N451">
        <v>1</v>
      </c>
      <c r="O451">
        <v>99998</v>
      </c>
      <c r="P451">
        <v>-0.42075278599999999</v>
      </c>
      <c r="Q451">
        <v>-0.44860639299999999</v>
      </c>
      <c r="R451">
        <v>3.1623250000000001E-3</v>
      </c>
      <c r="S451">
        <v>-0.44240823600000001</v>
      </c>
      <c r="T451">
        <v>-0.45480454999999997</v>
      </c>
      <c r="U451">
        <v>2.6024630000000002E-3</v>
      </c>
      <c r="V451">
        <v>8.2300000000000008E-6</v>
      </c>
      <c r="W451">
        <v>-0.42073665500000001</v>
      </c>
      <c r="X451">
        <v>-0.42076891599999999</v>
      </c>
      <c r="Y451" t="s">
        <v>952</v>
      </c>
      <c r="Z451" t="s">
        <v>971</v>
      </c>
      <c r="AA451">
        <v>0</v>
      </c>
      <c r="AB451" t="s">
        <v>173</v>
      </c>
      <c r="AC451" t="s">
        <v>155</v>
      </c>
      <c r="AD451" t="s">
        <v>972</v>
      </c>
    </row>
    <row r="452" spans="1:30" x14ac:dyDescent="0.25">
      <c r="A452">
        <v>1997</v>
      </c>
      <c r="B452" t="s">
        <v>156</v>
      </c>
      <c r="C452" t="s">
        <v>107</v>
      </c>
      <c r="D452" t="s">
        <v>45</v>
      </c>
      <c r="E452" t="s">
        <v>948</v>
      </c>
      <c r="F452" t="s">
        <v>949</v>
      </c>
      <c r="G452">
        <v>26226</v>
      </c>
      <c r="H452" t="s">
        <v>950</v>
      </c>
      <c r="I452" t="s">
        <v>951</v>
      </c>
      <c r="J452">
        <v>-0.2</v>
      </c>
      <c r="K452">
        <v>1.4E-3</v>
      </c>
      <c r="L452">
        <v>-142.85714290000001</v>
      </c>
      <c r="M452">
        <v>100000</v>
      </c>
      <c r="N452">
        <v>1</v>
      </c>
      <c r="O452">
        <v>99998</v>
      </c>
      <c r="P452">
        <v>-0.41169690399999997</v>
      </c>
      <c r="Q452">
        <v>-0.43765272700000002</v>
      </c>
      <c r="R452">
        <v>3.1623250000000001E-3</v>
      </c>
      <c r="S452">
        <v>-0.43145456900000001</v>
      </c>
      <c r="T452">
        <v>-0.443850884</v>
      </c>
      <c r="U452">
        <v>2.626303E-3</v>
      </c>
      <c r="V452">
        <v>8.3100000000000001E-6</v>
      </c>
      <c r="W452">
        <v>-0.41168062599999999</v>
      </c>
      <c r="X452">
        <v>-0.41171318200000001</v>
      </c>
      <c r="Y452" t="s">
        <v>952</v>
      </c>
      <c r="Z452" t="s">
        <v>971</v>
      </c>
      <c r="AA452">
        <v>0</v>
      </c>
      <c r="AB452" t="s">
        <v>173</v>
      </c>
      <c r="AC452" t="s">
        <v>155</v>
      </c>
      <c r="AD452" t="s">
        <v>973</v>
      </c>
    </row>
    <row r="453" spans="1:30" x14ac:dyDescent="0.25">
      <c r="A453">
        <v>1997</v>
      </c>
      <c r="B453" t="s">
        <v>156</v>
      </c>
      <c r="C453" t="s">
        <v>107</v>
      </c>
      <c r="D453" t="s">
        <v>45</v>
      </c>
      <c r="E453" t="s">
        <v>948</v>
      </c>
      <c r="F453" t="s">
        <v>949</v>
      </c>
      <c r="G453">
        <v>26226</v>
      </c>
      <c r="H453" t="s">
        <v>950</v>
      </c>
      <c r="I453" t="s">
        <v>951</v>
      </c>
      <c r="J453">
        <v>-0.28000000000000003</v>
      </c>
      <c r="K453">
        <v>1.6000000000000001E-3</v>
      </c>
      <c r="L453">
        <v>-175</v>
      </c>
      <c r="M453">
        <v>100000</v>
      </c>
      <c r="N453">
        <v>1</v>
      </c>
      <c r="O453">
        <v>99998</v>
      </c>
      <c r="P453">
        <v>-0.484203832</v>
      </c>
      <c r="Q453">
        <v>-0.52846105099999996</v>
      </c>
      <c r="R453">
        <v>3.1623250000000001E-3</v>
      </c>
      <c r="S453">
        <v>-0.52226289400000003</v>
      </c>
      <c r="T453">
        <v>-0.534659208</v>
      </c>
      <c r="U453">
        <v>2.420883E-3</v>
      </c>
      <c r="V453">
        <v>7.6599999999999995E-6</v>
      </c>
      <c r="W453">
        <v>-0.48418882699999999</v>
      </c>
      <c r="X453">
        <v>-0.48421883599999999</v>
      </c>
      <c r="Y453" t="s">
        <v>952</v>
      </c>
      <c r="Z453" t="s">
        <v>172</v>
      </c>
      <c r="AA453">
        <v>0</v>
      </c>
      <c r="AB453" t="s">
        <v>173</v>
      </c>
      <c r="AC453" t="s">
        <v>155</v>
      </c>
      <c r="AD453" t="s">
        <v>961</v>
      </c>
    </row>
    <row r="454" spans="1:30" x14ac:dyDescent="0.25">
      <c r="A454">
        <v>1997</v>
      </c>
      <c r="B454" t="s">
        <v>156</v>
      </c>
      <c r="C454" t="s">
        <v>107</v>
      </c>
      <c r="D454" t="s">
        <v>45</v>
      </c>
      <c r="E454" t="s">
        <v>948</v>
      </c>
      <c r="F454" t="s">
        <v>949</v>
      </c>
      <c r="G454">
        <v>26226</v>
      </c>
      <c r="H454" t="s">
        <v>950</v>
      </c>
      <c r="I454" t="s">
        <v>951</v>
      </c>
      <c r="J454">
        <v>-0.28999999999999998</v>
      </c>
      <c r="K454">
        <v>1.6000000000000001E-3</v>
      </c>
      <c r="L454">
        <v>-181.25</v>
      </c>
      <c r="M454">
        <v>100000</v>
      </c>
      <c r="N454">
        <v>1</v>
      </c>
      <c r="O454">
        <v>99998</v>
      </c>
      <c r="P454">
        <v>-0.49727651699999997</v>
      </c>
      <c r="Q454">
        <v>-0.54568139900000001</v>
      </c>
      <c r="R454">
        <v>3.1623250000000001E-3</v>
      </c>
      <c r="S454">
        <v>-0.53948324199999997</v>
      </c>
      <c r="T454">
        <v>-0.55187955600000005</v>
      </c>
      <c r="U454">
        <v>2.3803090000000002E-3</v>
      </c>
      <c r="V454">
        <v>7.5299999999999999E-6</v>
      </c>
      <c r="W454">
        <v>-0.497261764</v>
      </c>
      <c r="X454">
        <v>-0.49729127000000001</v>
      </c>
      <c r="Y454" t="s">
        <v>952</v>
      </c>
      <c r="Z454" t="s">
        <v>971</v>
      </c>
      <c r="AA454">
        <v>0</v>
      </c>
      <c r="AB454" t="s">
        <v>173</v>
      </c>
      <c r="AC454" t="s">
        <v>155</v>
      </c>
      <c r="AD454" t="s">
        <v>974</v>
      </c>
    </row>
    <row r="455" spans="1:30" x14ac:dyDescent="0.25">
      <c r="A455">
        <v>1998</v>
      </c>
      <c r="B455" t="s">
        <v>156</v>
      </c>
      <c r="C455" t="s">
        <v>107</v>
      </c>
      <c r="D455" t="s">
        <v>45</v>
      </c>
      <c r="E455" t="s">
        <v>948</v>
      </c>
      <c r="F455" t="s">
        <v>949</v>
      </c>
      <c r="G455">
        <v>24633</v>
      </c>
      <c r="H455" t="s">
        <v>950</v>
      </c>
      <c r="I455" t="s">
        <v>951</v>
      </c>
      <c r="J455">
        <v>-0.24</v>
      </c>
      <c r="K455">
        <v>1.5E-3</v>
      </c>
      <c r="L455">
        <v>-160</v>
      </c>
      <c r="M455">
        <v>100000</v>
      </c>
      <c r="N455">
        <v>1</v>
      </c>
      <c r="O455">
        <v>99998</v>
      </c>
      <c r="P455">
        <v>-0.45146971299999999</v>
      </c>
      <c r="Q455">
        <v>-0.48654470999999999</v>
      </c>
      <c r="R455">
        <v>3.1623250000000001E-3</v>
      </c>
      <c r="S455">
        <v>-0.48034655300000001</v>
      </c>
      <c r="T455">
        <v>-0.492742868</v>
      </c>
      <c r="U455">
        <v>2.5177390000000002E-3</v>
      </c>
      <c r="V455">
        <v>7.96E-6</v>
      </c>
      <c r="W455">
        <v>-0.45145410800000002</v>
      </c>
      <c r="X455">
        <v>-0.45148531800000002</v>
      </c>
      <c r="Y455" t="s">
        <v>952</v>
      </c>
      <c r="Z455" t="s">
        <v>975</v>
      </c>
      <c r="AA455">
        <v>0</v>
      </c>
      <c r="AB455" t="s">
        <v>173</v>
      </c>
      <c r="AC455" t="s">
        <v>155</v>
      </c>
      <c r="AD455" t="s">
        <v>976</v>
      </c>
    </row>
    <row r="456" spans="1:30" x14ac:dyDescent="0.25">
      <c r="A456">
        <v>1998</v>
      </c>
      <c r="B456" t="s">
        <v>156</v>
      </c>
      <c r="C456" t="s">
        <v>107</v>
      </c>
      <c r="D456" t="s">
        <v>45</v>
      </c>
      <c r="E456" t="s">
        <v>948</v>
      </c>
      <c r="F456" t="s">
        <v>956</v>
      </c>
      <c r="G456">
        <v>24633</v>
      </c>
      <c r="H456" t="s">
        <v>950</v>
      </c>
      <c r="I456" t="s">
        <v>951</v>
      </c>
      <c r="J456">
        <v>-0.11</v>
      </c>
      <c r="K456">
        <v>1.1000000000000001E-3</v>
      </c>
      <c r="L456">
        <v>-100</v>
      </c>
      <c r="M456">
        <v>100000</v>
      </c>
      <c r="N456">
        <v>1</v>
      </c>
      <c r="O456">
        <v>99998</v>
      </c>
      <c r="P456">
        <v>-0.30151408600000001</v>
      </c>
      <c r="Q456">
        <v>-0.31118426700000001</v>
      </c>
      <c r="R456">
        <v>3.1623250000000001E-3</v>
      </c>
      <c r="S456">
        <v>-0.30498610999999998</v>
      </c>
      <c r="T456">
        <v>-0.317382424</v>
      </c>
      <c r="U456">
        <v>2.8748070000000001E-3</v>
      </c>
      <c r="V456">
        <v>9.0899999999999994E-6</v>
      </c>
      <c r="W456">
        <v>-0.30149626699999998</v>
      </c>
      <c r="X456">
        <v>-0.30153190400000002</v>
      </c>
      <c r="Y456" t="s">
        <v>952</v>
      </c>
      <c r="Z456" t="s">
        <v>957</v>
      </c>
      <c r="AA456">
        <v>0</v>
      </c>
      <c r="AB456" t="s">
        <v>173</v>
      </c>
      <c r="AC456" t="s">
        <v>155</v>
      </c>
      <c r="AD456" t="s">
        <v>969</v>
      </c>
    </row>
    <row r="457" spans="1:30" x14ac:dyDescent="0.25">
      <c r="A457">
        <v>2000</v>
      </c>
      <c r="B457" t="s">
        <v>156</v>
      </c>
      <c r="C457" t="s">
        <v>108</v>
      </c>
      <c r="D457" t="s">
        <v>45</v>
      </c>
      <c r="E457" t="s">
        <v>948</v>
      </c>
      <c r="F457" t="s">
        <v>956</v>
      </c>
      <c r="G457">
        <v>8451</v>
      </c>
      <c r="H457" t="s">
        <v>950</v>
      </c>
      <c r="I457" t="s">
        <v>951</v>
      </c>
      <c r="J457">
        <v>-0.09</v>
      </c>
      <c r="K457">
        <v>1E-3</v>
      </c>
      <c r="L457">
        <v>-90</v>
      </c>
      <c r="M457">
        <v>100000</v>
      </c>
      <c r="N457">
        <v>1</v>
      </c>
      <c r="O457">
        <v>99998</v>
      </c>
      <c r="P457">
        <v>-0.27373711099999998</v>
      </c>
      <c r="Q457">
        <v>-0.28089920600000001</v>
      </c>
      <c r="R457">
        <v>3.1623250000000001E-3</v>
      </c>
      <c r="S457">
        <v>-0.274701048</v>
      </c>
      <c r="T457">
        <v>-0.28709736299999999</v>
      </c>
      <c r="U457">
        <v>2.9253360000000002E-3</v>
      </c>
      <c r="V457">
        <v>9.2499999999999995E-6</v>
      </c>
      <c r="W457">
        <v>-0.27371898</v>
      </c>
      <c r="X457">
        <v>-0.27375524299999998</v>
      </c>
      <c r="Y457" t="s">
        <v>952</v>
      </c>
      <c r="Z457" t="s">
        <v>957</v>
      </c>
      <c r="AA457">
        <v>0</v>
      </c>
      <c r="AB457" t="s">
        <v>173</v>
      </c>
      <c r="AC457" t="s">
        <v>155</v>
      </c>
      <c r="AD457" t="s">
        <v>969</v>
      </c>
    </row>
    <row r="458" spans="1:30" x14ac:dyDescent="0.25">
      <c r="A458">
        <v>2002</v>
      </c>
      <c r="B458" t="s">
        <v>156</v>
      </c>
      <c r="C458" t="s">
        <v>108</v>
      </c>
      <c r="D458" t="s">
        <v>45</v>
      </c>
      <c r="E458" t="s">
        <v>948</v>
      </c>
      <c r="F458" t="s">
        <v>949</v>
      </c>
      <c r="G458">
        <v>12375</v>
      </c>
      <c r="H458" t="s">
        <v>950</v>
      </c>
      <c r="I458" t="s">
        <v>951</v>
      </c>
      <c r="J458">
        <v>-0.28999999999999998</v>
      </c>
      <c r="K458">
        <v>1.6000000000000001E-3</v>
      </c>
      <c r="L458">
        <v>-181.25</v>
      </c>
      <c r="M458">
        <v>100000</v>
      </c>
      <c r="N458">
        <v>1</v>
      </c>
      <c r="O458">
        <v>99998</v>
      </c>
      <c r="P458">
        <v>-0.49727651699999997</v>
      </c>
      <c r="Q458">
        <v>-0.54568139900000001</v>
      </c>
      <c r="R458">
        <v>3.1623250000000001E-3</v>
      </c>
      <c r="S458">
        <v>-0.53948324199999997</v>
      </c>
      <c r="T458">
        <v>-0.55187955600000005</v>
      </c>
      <c r="U458">
        <v>2.3803090000000002E-3</v>
      </c>
      <c r="V458">
        <v>7.5299999999999999E-6</v>
      </c>
      <c r="W458">
        <v>-0.497261764</v>
      </c>
      <c r="X458">
        <v>-0.49729127000000001</v>
      </c>
      <c r="Y458" t="s">
        <v>952</v>
      </c>
      <c r="Z458" t="s">
        <v>172</v>
      </c>
      <c r="AA458">
        <v>0</v>
      </c>
      <c r="AB458" t="s">
        <v>173</v>
      </c>
      <c r="AC458" t="s">
        <v>155</v>
      </c>
      <c r="AD458" t="s">
        <v>977</v>
      </c>
    </row>
    <row r="459" spans="1:30" x14ac:dyDescent="0.25">
      <c r="A459">
        <v>2002</v>
      </c>
      <c r="B459" t="s">
        <v>156</v>
      </c>
      <c r="C459" t="s">
        <v>108</v>
      </c>
      <c r="D459" t="s">
        <v>45</v>
      </c>
      <c r="E459" t="s">
        <v>948</v>
      </c>
      <c r="F459" t="s">
        <v>956</v>
      </c>
      <c r="G459">
        <v>12375</v>
      </c>
      <c r="H459" t="s">
        <v>950</v>
      </c>
      <c r="I459" t="s">
        <v>951</v>
      </c>
      <c r="J459">
        <v>-0.1</v>
      </c>
      <c r="K459">
        <v>1.1000000000000001E-3</v>
      </c>
      <c r="L459">
        <v>-90.909090910000003</v>
      </c>
      <c r="M459">
        <v>100000</v>
      </c>
      <c r="N459">
        <v>1</v>
      </c>
      <c r="O459">
        <v>99998</v>
      </c>
      <c r="P459">
        <v>-0.27629203400000002</v>
      </c>
      <c r="Q459">
        <v>-0.28366317800000002</v>
      </c>
      <c r="R459">
        <v>3.1623250000000001E-3</v>
      </c>
      <c r="S459">
        <v>-0.27746502099999998</v>
      </c>
      <c r="T459">
        <v>-0.289861335</v>
      </c>
      <c r="U459">
        <v>2.9208929999999999E-3</v>
      </c>
      <c r="V459">
        <v>9.2399999999999996E-6</v>
      </c>
      <c r="W459">
        <v>-0.27627393</v>
      </c>
      <c r="X459">
        <v>-0.27631013799999998</v>
      </c>
      <c r="Y459" t="s">
        <v>952</v>
      </c>
      <c r="Z459" t="s">
        <v>957</v>
      </c>
      <c r="AA459">
        <v>0</v>
      </c>
      <c r="AB459" t="s">
        <v>173</v>
      </c>
      <c r="AC459" t="s">
        <v>155</v>
      </c>
      <c r="AD459" t="s">
        <v>969</v>
      </c>
    </row>
    <row r="460" spans="1:30" x14ac:dyDescent="0.25">
      <c r="A460">
        <v>2003</v>
      </c>
      <c r="B460" t="s">
        <v>156</v>
      </c>
      <c r="C460" t="s">
        <v>108</v>
      </c>
      <c r="D460" t="s">
        <v>45</v>
      </c>
      <c r="E460" t="s">
        <v>948</v>
      </c>
      <c r="F460" t="s">
        <v>949</v>
      </c>
      <c r="G460">
        <v>6006</v>
      </c>
      <c r="H460" t="s">
        <v>950</v>
      </c>
      <c r="I460" t="s">
        <v>951</v>
      </c>
      <c r="J460">
        <v>-0.23</v>
      </c>
      <c r="K460">
        <v>1.5E-3</v>
      </c>
      <c r="L460">
        <v>-153.33333329999999</v>
      </c>
      <c r="M460">
        <v>100000</v>
      </c>
      <c r="N460">
        <v>1</v>
      </c>
      <c r="O460">
        <v>99998</v>
      </c>
      <c r="P460">
        <v>-0.43630187500000001</v>
      </c>
      <c r="Q460">
        <v>-0.46765403799999999</v>
      </c>
      <c r="R460">
        <v>3.1623250000000001E-3</v>
      </c>
      <c r="S460">
        <v>-0.46145588100000001</v>
      </c>
      <c r="T460">
        <v>-0.473852196</v>
      </c>
      <c r="U460">
        <v>2.560321E-3</v>
      </c>
      <c r="V460">
        <v>8.1000000000000004E-6</v>
      </c>
      <c r="W460">
        <v>-0.43628600499999998</v>
      </c>
      <c r="X460">
        <v>-0.43631774400000001</v>
      </c>
      <c r="Y460" t="s">
        <v>952</v>
      </c>
      <c r="Z460" t="s">
        <v>172</v>
      </c>
      <c r="AA460">
        <v>0</v>
      </c>
      <c r="AB460" t="s">
        <v>173</v>
      </c>
      <c r="AC460" t="s">
        <v>155</v>
      </c>
      <c r="AD460" t="s">
        <v>977</v>
      </c>
    </row>
    <row r="461" spans="1:30" x14ac:dyDescent="0.25">
      <c r="A461">
        <v>2004</v>
      </c>
      <c r="B461" t="s">
        <v>156</v>
      </c>
      <c r="C461" t="s">
        <v>108</v>
      </c>
      <c r="D461" t="s">
        <v>45</v>
      </c>
      <c r="E461" t="s">
        <v>948</v>
      </c>
      <c r="F461" t="s">
        <v>949</v>
      </c>
      <c r="G461">
        <v>6750</v>
      </c>
      <c r="H461" t="s">
        <v>950</v>
      </c>
      <c r="I461" t="s">
        <v>951</v>
      </c>
      <c r="J461">
        <v>-0.19</v>
      </c>
      <c r="K461">
        <v>1.4E-3</v>
      </c>
      <c r="L461">
        <v>-135.7142857</v>
      </c>
      <c r="M461">
        <v>100000</v>
      </c>
      <c r="N461">
        <v>1</v>
      </c>
      <c r="O461">
        <v>99998</v>
      </c>
      <c r="P461">
        <v>-0.39438437300000001</v>
      </c>
      <c r="Q461">
        <v>-0.41698139099999998</v>
      </c>
      <c r="R461">
        <v>3.1623250000000001E-3</v>
      </c>
      <c r="S461">
        <v>-0.41078323300000003</v>
      </c>
      <c r="T461">
        <v>-0.42317954800000002</v>
      </c>
      <c r="U461">
        <v>2.6704329999999998E-3</v>
      </c>
      <c r="V461">
        <v>8.4400000000000005E-6</v>
      </c>
      <c r="W461">
        <v>-0.39436782100000001</v>
      </c>
      <c r="X461">
        <v>-0.39440092500000001</v>
      </c>
      <c r="Y461" t="s">
        <v>952</v>
      </c>
      <c r="Z461" t="s">
        <v>172</v>
      </c>
      <c r="AA461">
        <v>0</v>
      </c>
      <c r="AB461" t="s">
        <v>173</v>
      </c>
      <c r="AC461" t="s">
        <v>155</v>
      </c>
      <c r="AD461" t="s">
        <v>961</v>
      </c>
    </row>
    <row r="462" spans="1:30" x14ac:dyDescent="0.25">
      <c r="A462">
        <v>2007</v>
      </c>
      <c r="B462" t="s">
        <v>156</v>
      </c>
      <c r="C462" t="s">
        <v>108</v>
      </c>
      <c r="D462" t="s">
        <v>45</v>
      </c>
      <c r="E462" t="s">
        <v>948</v>
      </c>
      <c r="F462" t="s">
        <v>949</v>
      </c>
      <c r="G462">
        <v>10248</v>
      </c>
      <c r="H462" t="s">
        <v>950</v>
      </c>
      <c r="I462" t="s">
        <v>951</v>
      </c>
      <c r="J462">
        <v>-0.16</v>
      </c>
      <c r="K462">
        <v>1.2999999999999999E-3</v>
      </c>
      <c r="L462">
        <v>-123.0769231</v>
      </c>
      <c r="M462">
        <v>100000</v>
      </c>
      <c r="N462">
        <v>1</v>
      </c>
      <c r="O462">
        <v>99998</v>
      </c>
      <c r="P462">
        <v>-0.362703993</v>
      </c>
      <c r="Q462">
        <v>-0.37999599899999997</v>
      </c>
      <c r="R462">
        <v>3.1623250000000001E-3</v>
      </c>
      <c r="S462">
        <v>-0.37379784199999999</v>
      </c>
      <c r="T462">
        <v>-0.38619415600000001</v>
      </c>
      <c r="U462">
        <v>2.7462810000000002E-3</v>
      </c>
      <c r="V462">
        <v>8.6799999999999999E-6</v>
      </c>
      <c r="W462">
        <v>-0.36268697100000002</v>
      </c>
      <c r="X462">
        <v>-0.36272101400000001</v>
      </c>
      <c r="Y462" t="s">
        <v>952</v>
      </c>
      <c r="Z462" t="s">
        <v>172</v>
      </c>
      <c r="AA462">
        <v>0</v>
      </c>
      <c r="AB462" t="s">
        <v>173</v>
      </c>
      <c r="AC462" t="s">
        <v>155</v>
      </c>
      <c r="AD462" t="s">
        <v>961</v>
      </c>
    </row>
    <row r="463" spans="1:30" x14ac:dyDescent="0.25">
      <c r="A463">
        <v>2008</v>
      </c>
      <c r="B463" t="s">
        <v>156</v>
      </c>
      <c r="C463" t="s">
        <v>108</v>
      </c>
      <c r="D463" t="s">
        <v>45</v>
      </c>
      <c r="E463" t="s">
        <v>948</v>
      </c>
      <c r="F463" t="s">
        <v>949</v>
      </c>
      <c r="G463">
        <v>4197</v>
      </c>
      <c r="H463" t="s">
        <v>950</v>
      </c>
      <c r="I463" t="s">
        <v>951</v>
      </c>
      <c r="J463">
        <v>-0.17</v>
      </c>
      <c r="K463">
        <v>1.2999999999999999E-3</v>
      </c>
      <c r="L463">
        <v>-130.7692308</v>
      </c>
      <c r="M463">
        <v>100000</v>
      </c>
      <c r="N463">
        <v>1</v>
      </c>
      <c r="O463">
        <v>99998</v>
      </c>
      <c r="P463">
        <v>-0.38214636499999999</v>
      </c>
      <c r="Q463">
        <v>-0.402570657</v>
      </c>
      <c r="R463">
        <v>3.1623250000000001E-3</v>
      </c>
      <c r="S463">
        <v>-0.39637250000000002</v>
      </c>
      <c r="T463">
        <v>-0.40876881399999998</v>
      </c>
      <c r="U463">
        <v>2.7004849999999999E-3</v>
      </c>
      <c r="V463">
        <v>8.5399999999999996E-6</v>
      </c>
      <c r="W463">
        <v>-0.38212962700000003</v>
      </c>
      <c r="X463">
        <v>-0.382163103</v>
      </c>
      <c r="Y463" t="s">
        <v>952</v>
      </c>
      <c r="Z463" t="s">
        <v>978</v>
      </c>
      <c r="AA463">
        <v>0</v>
      </c>
      <c r="AB463" t="s">
        <v>173</v>
      </c>
      <c r="AC463" t="s">
        <v>155</v>
      </c>
      <c r="AD463" t="s">
        <v>961</v>
      </c>
    </row>
    <row r="464" spans="1:30" x14ac:dyDescent="0.25">
      <c r="A464">
        <v>2009</v>
      </c>
      <c r="B464" t="s">
        <v>156</v>
      </c>
      <c r="C464" t="s">
        <v>108</v>
      </c>
      <c r="D464" t="s">
        <v>45</v>
      </c>
      <c r="E464" t="s">
        <v>948</v>
      </c>
      <c r="F464" t="s">
        <v>949</v>
      </c>
      <c r="G464">
        <v>3600</v>
      </c>
      <c r="H464" t="s">
        <v>950</v>
      </c>
      <c r="I464" t="s">
        <v>951</v>
      </c>
      <c r="J464">
        <v>-0.14000000000000001</v>
      </c>
      <c r="K464">
        <v>1.1999999999999999E-3</v>
      </c>
      <c r="L464">
        <v>-116.66666669999999</v>
      </c>
      <c r="M464">
        <v>100000</v>
      </c>
      <c r="N464">
        <v>1</v>
      </c>
      <c r="O464">
        <v>99998</v>
      </c>
      <c r="P464">
        <v>-0.34613076999999998</v>
      </c>
      <c r="Q464">
        <v>-0.36104114199999998</v>
      </c>
      <c r="R464">
        <v>3.1623250000000001E-3</v>
      </c>
      <c r="S464">
        <v>-0.35484298399999997</v>
      </c>
      <c r="T464">
        <v>-0.36723929900000002</v>
      </c>
      <c r="U464">
        <v>2.7834299999999999E-3</v>
      </c>
      <c r="V464">
        <v>8.8000000000000004E-6</v>
      </c>
      <c r="W464">
        <v>-0.34611351800000001</v>
      </c>
      <c r="X464">
        <v>-0.346148022</v>
      </c>
      <c r="Y464" t="s">
        <v>952</v>
      </c>
      <c r="Z464" t="s">
        <v>978</v>
      </c>
      <c r="AA464">
        <v>0</v>
      </c>
      <c r="AB464" t="s">
        <v>173</v>
      </c>
      <c r="AC464" t="s">
        <v>155</v>
      </c>
      <c r="AD464" t="s">
        <v>979</v>
      </c>
    </row>
    <row r="465" spans="1:30" x14ac:dyDescent="0.25">
      <c r="A465">
        <v>2011</v>
      </c>
      <c r="B465" t="s">
        <v>156</v>
      </c>
      <c r="C465" t="s">
        <v>108</v>
      </c>
      <c r="D465" t="s">
        <v>45</v>
      </c>
      <c r="E465" t="s">
        <v>948</v>
      </c>
      <c r="F465" t="s">
        <v>949</v>
      </c>
      <c r="G465">
        <v>3957</v>
      </c>
      <c r="H465" t="s">
        <v>950</v>
      </c>
      <c r="I465" t="s">
        <v>951</v>
      </c>
      <c r="J465">
        <v>-0.11</v>
      </c>
      <c r="K465">
        <v>1.1000000000000001E-3</v>
      </c>
      <c r="L465">
        <v>-100</v>
      </c>
      <c r="M465">
        <v>100000</v>
      </c>
      <c r="N465">
        <v>1</v>
      </c>
      <c r="O465">
        <v>99998</v>
      </c>
      <c r="P465">
        <v>-0.30151408600000001</v>
      </c>
      <c r="Q465">
        <v>-0.31118426700000001</v>
      </c>
      <c r="R465">
        <v>3.1623250000000001E-3</v>
      </c>
      <c r="S465">
        <v>-0.30498610999999998</v>
      </c>
      <c r="T465">
        <v>-0.317382424</v>
      </c>
      <c r="U465">
        <v>2.8748070000000001E-3</v>
      </c>
      <c r="V465">
        <v>9.0899999999999994E-6</v>
      </c>
      <c r="W465">
        <v>-0.30149626699999998</v>
      </c>
      <c r="X465">
        <v>-0.30153190400000002</v>
      </c>
      <c r="Y465" t="s">
        <v>952</v>
      </c>
      <c r="Z465" t="s">
        <v>172</v>
      </c>
      <c r="AA465">
        <v>0</v>
      </c>
      <c r="AB465" t="s">
        <v>173</v>
      </c>
      <c r="AC465" t="s">
        <v>155</v>
      </c>
      <c r="AD465" t="s">
        <v>961</v>
      </c>
    </row>
    <row r="466" spans="1:30" x14ac:dyDescent="0.25">
      <c r="A466">
        <v>2013</v>
      </c>
      <c r="B466" t="s">
        <v>156</v>
      </c>
      <c r="C466" t="s">
        <v>108</v>
      </c>
      <c r="D466" t="s">
        <v>45</v>
      </c>
      <c r="E466" t="s">
        <v>948</v>
      </c>
      <c r="F466" t="s">
        <v>949</v>
      </c>
      <c r="G466">
        <v>16137</v>
      </c>
      <c r="H466" t="s">
        <v>950</v>
      </c>
      <c r="I466" t="s">
        <v>951</v>
      </c>
      <c r="J466">
        <v>-0.11</v>
      </c>
      <c r="K466">
        <v>1.1000000000000001E-3</v>
      </c>
      <c r="L466">
        <v>-100</v>
      </c>
      <c r="M466">
        <v>100000</v>
      </c>
      <c r="N466">
        <v>1</v>
      </c>
      <c r="O466">
        <v>99998</v>
      </c>
      <c r="P466">
        <v>-0.30151408600000001</v>
      </c>
      <c r="Q466">
        <v>-0.31118426700000001</v>
      </c>
      <c r="R466">
        <v>3.1623250000000001E-3</v>
      </c>
      <c r="S466">
        <v>-0.30498610999999998</v>
      </c>
      <c r="T466">
        <v>-0.317382424</v>
      </c>
      <c r="U466">
        <v>2.8748070000000001E-3</v>
      </c>
      <c r="V466">
        <v>9.0899999999999994E-6</v>
      </c>
      <c r="W466">
        <v>-0.30149626699999998</v>
      </c>
      <c r="X466">
        <v>-0.30153190400000002</v>
      </c>
      <c r="Y466" t="s">
        <v>952</v>
      </c>
      <c r="Z466" t="s">
        <v>980</v>
      </c>
      <c r="AA466">
        <v>0</v>
      </c>
      <c r="AB466" t="s">
        <v>173</v>
      </c>
      <c r="AC466" t="s">
        <v>155</v>
      </c>
      <c r="AD466" t="s">
        <v>961</v>
      </c>
    </row>
    <row r="467" spans="1:30" x14ac:dyDescent="0.25">
      <c r="A467">
        <v>2021</v>
      </c>
      <c r="B467" t="s">
        <v>156</v>
      </c>
      <c r="C467" t="s">
        <v>108</v>
      </c>
      <c r="D467" t="s">
        <v>45</v>
      </c>
      <c r="E467" t="s">
        <v>948</v>
      </c>
      <c r="F467" t="s">
        <v>949</v>
      </c>
      <c r="G467">
        <v>3021</v>
      </c>
      <c r="H467" t="s">
        <v>950</v>
      </c>
      <c r="I467" t="s">
        <v>951</v>
      </c>
      <c r="J467">
        <v>-0.04</v>
      </c>
      <c r="K467">
        <v>6.9999999999999999E-4</v>
      </c>
      <c r="L467">
        <v>-57.142857139999997</v>
      </c>
      <c r="M467">
        <v>100000</v>
      </c>
      <c r="N467">
        <v>1</v>
      </c>
      <c r="O467">
        <v>99998</v>
      </c>
      <c r="P467">
        <v>-0.17782341199999999</v>
      </c>
      <c r="Q467">
        <v>-0.179734124</v>
      </c>
      <c r="R467">
        <v>3.1623250000000001E-3</v>
      </c>
      <c r="S467">
        <v>-0.17353596700000001</v>
      </c>
      <c r="T467">
        <v>-0.185932281</v>
      </c>
      <c r="U467">
        <v>3.0622980000000002E-3</v>
      </c>
      <c r="V467">
        <v>9.6800000000000005E-6</v>
      </c>
      <c r="W467">
        <v>-0.17780443100000001</v>
      </c>
      <c r="X467">
        <v>-0.17784239199999999</v>
      </c>
      <c r="Y467" t="s">
        <v>952</v>
      </c>
      <c r="Z467" t="s">
        <v>172</v>
      </c>
      <c r="AA467">
        <v>0</v>
      </c>
      <c r="AB467" t="s">
        <v>173</v>
      </c>
      <c r="AC467" t="s">
        <v>155</v>
      </c>
      <c r="AD467" t="s">
        <v>981</v>
      </c>
    </row>
    <row r="468" spans="1:30" x14ac:dyDescent="0.25">
      <c r="A468" t="s">
        <v>982</v>
      </c>
      <c r="B468" t="s">
        <v>156</v>
      </c>
      <c r="C468" t="s">
        <v>108</v>
      </c>
      <c r="D468" t="s">
        <v>45</v>
      </c>
      <c r="E468" t="s">
        <v>983</v>
      </c>
      <c r="F468" t="s">
        <v>984</v>
      </c>
      <c r="G468">
        <v>8961</v>
      </c>
      <c r="H468" t="s">
        <v>985</v>
      </c>
      <c r="I468" t="s">
        <v>986</v>
      </c>
      <c r="J468">
        <v>-0.96</v>
      </c>
      <c r="K468">
        <v>0.17199999999999999</v>
      </c>
      <c r="L468">
        <v>-5.5813953490000001</v>
      </c>
      <c r="M468">
        <v>8961</v>
      </c>
      <c r="N468">
        <v>45</v>
      </c>
      <c r="O468">
        <v>8915</v>
      </c>
      <c r="P468">
        <v>-5.9009869E-2</v>
      </c>
      <c r="Q468">
        <v>-5.9078506000000003E-2</v>
      </c>
      <c r="R468">
        <v>1.0565606999999999E-2</v>
      </c>
      <c r="S468">
        <v>-3.8369915999999997E-2</v>
      </c>
      <c r="T468">
        <v>-7.9787097000000001E-2</v>
      </c>
      <c r="U468">
        <v>1.0527641000000001E-2</v>
      </c>
      <c r="V468">
        <v>1.1121200000000001E-4</v>
      </c>
      <c r="W468">
        <v>-5.8791892999999998E-2</v>
      </c>
      <c r="X468">
        <v>-5.9227845000000001E-2</v>
      </c>
      <c r="Y468" t="s">
        <v>987</v>
      </c>
      <c r="Z468" t="s">
        <v>988</v>
      </c>
      <c r="AA468">
        <v>1</v>
      </c>
      <c r="AB468" t="s">
        <v>57</v>
      </c>
      <c r="AC468" t="s">
        <v>155</v>
      </c>
    </row>
    <row r="469" spans="1:30" x14ac:dyDescent="0.25">
      <c r="A469" t="s">
        <v>982</v>
      </c>
      <c r="B469" t="s">
        <v>156</v>
      </c>
      <c r="C469" t="s">
        <v>108</v>
      </c>
      <c r="D469" t="s">
        <v>45</v>
      </c>
      <c r="E469" t="s">
        <v>983</v>
      </c>
      <c r="F469" t="s">
        <v>984</v>
      </c>
      <c r="G469">
        <v>7977</v>
      </c>
      <c r="H469" t="s">
        <v>985</v>
      </c>
      <c r="I469" t="s">
        <v>989</v>
      </c>
      <c r="J469">
        <v>-1.1339999999999999</v>
      </c>
      <c r="K469">
        <v>0.127</v>
      </c>
      <c r="L469">
        <v>-8.9291338580000001</v>
      </c>
      <c r="M469">
        <v>7977</v>
      </c>
      <c r="N469">
        <v>45</v>
      </c>
      <c r="O469">
        <v>7931</v>
      </c>
      <c r="P469">
        <v>-9.9763873000000003E-2</v>
      </c>
      <c r="Q469">
        <v>-0.10009684200000001</v>
      </c>
      <c r="R469">
        <v>1.1198552000000001E-2</v>
      </c>
      <c r="S469">
        <v>-7.8147678999999998E-2</v>
      </c>
      <c r="T469">
        <v>-0.122046004</v>
      </c>
      <c r="U469">
        <v>1.1085705E-2</v>
      </c>
      <c r="V469">
        <v>1.2412100000000001E-4</v>
      </c>
      <c r="W469">
        <v>-9.9520597000000002E-2</v>
      </c>
      <c r="X469">
        <v>-0.100007149</v>
      </c>
      <c r="Y469" t="s">
        <v>987</v>
      </c>
      <c r="Z469" t="s">
        <v>988</v>
      </c>
      <c r="AA469">
        <v>1</v>
      </c>
      <c r="AB469" t="s">
        <v>57</v>
      </c>
      <c r="AC469" t="s">
        <v>155</v>
      </c>
    </row>
    <row r="470" spans="1:30" x14ac:dyDescent="0.25">
      <c r="A470" t="s">
        <v>982</v>
      </c>
      <c r="B470" t="s">
        <v>156</v>
      </c>
      <c r="C470" t="s">
        <v>108</v>
      </c>
      <c r="D470" t="s">
        <v>45</v>
      </c>
      <c r="E470" t="s">
        <v>983</v>
      </c>
      <c r="F470" t="s">
        <v>990</v>
      </c>
      <c r="G470">
        <v>1325340</v>
      </c>
      <c r="H470" t="s">
        <v>985</v>
      </c>
      <c r="I470" t="s">
        <v>991</v>
      </c>
      <c r="J470">
        <v>-0.61499999999999999</v>
      </c>
      <c r="K470">
        <v>3.9199999999999999E-2</v>
      </c>
      <c r="L470">
        <v>-15.688775509999999</v>
      </c>
      <c r="M470">
        <v>1325340</v>
      </c>
      <c r="N470">
        <v>45</v>
      </c>
      <c r="O470">
        <v>1325294</v>
      </c>
      <c r="P470">
        <v>-1.362676E-2</v>
      </c>
      <c r="Q470">
        <v>-1.3627604E-2</v>
      </c>
      <c r="R470">
        <v>8.6863399999999996E-4</v>
      </c>
      <c r="S470">
        <v>-1.1925081000000001E-2</v>
      </c>
      <c r="T470">
        <v>-1.5330125999999999E-2</v>
      </c>
      <c r="U470">
        <v>8.6847200000000002E-4</v>
      </c>
      <c r="V470">
        <v>7.54E-7</v>
      </c>
      <c r="W470">
        <v>-1.3625281E-2</v>
      </c>
      <c r="X470">
        <v>-1.3628239E-2</v>
      </c>
      <c r="Y470" t="s">
        <v>992</v>
      </c>
      <c r="Z470" t="s">
        <v>988</v>
      </c>
      <c r="AA470">
        <v>1</v>
      </c>
      <c r="AB470" t="s">
        <v>57</v>
      </c>
      <c r="AC470" t="s">
        <v>155</v>
      </c>
    </row>
    <row r="471" spans="1:30" x14ac:dyDescent="0.25">
      <c r="A471" t="s">
        <v>982</v>
      </c>
      <c r="B471" t="s">
        <v>156</v>
      </c>
      <c r="C471" t="s">
        <v>108</v>
      </c>
      <c r="D471" t="s">
        <v>45</v>
      </c>
      <c r="E471" t="s">
        <v>983</v>
      </c>
      <c r="F471" t="s">
        <v>990</v>
      </c>
      <c r="G471">
        <v>567733</v>
      </c>
      <c r="H471" t="s">
        <v>985</v>
      </c>
      <c r="I471" t="s">
        <v>993</v>
      </c>
      <c r="J471">
        <v>-0.28199999999999997</v>
      </c>
      <c r="K471">
        <v>4.1000000000000002E-2</v>
      </c>
      <c r="L471">
        <v>-6.8780487800000003</v>
      </c>
      <c r="M471">
        <v>567733</v>
      </c>
      <c r="N471">
        <v>45</v>
      </c>
      <c r="O471">
        <v>567687</v>
      </c>
      <c r="P471">
        <v>-9.1283579999999996E-3</v>
      </c>
      <c r="Q471">
        <v>-9.1286119999999995E-3</v>
      </c>
      <c r="R471">
        <v>1.327178E-3</v>
      </c>
      <c r="S471">
        <v>-6.527344E-3</v>
      </c>
      <c r="T471">
        <v>-1.172988E-2</v>
      </c>
      <c r="U471">
        <v>1.3270650000000001E-3</v>
      </c>
      <c r="V471">
        <v>1.7600000000000001E-6</v>
      </c>
      <c r="W471">
        <v>-9.1249060000000003E-3</v>
      </c>
      <c r="X471">
        <v>-9.1318100000000006E-3</v>
      </c>
      <c r="Y471" t="s">
        <v>992</v>
      </c>
      <c r="Z471" t="s">
        <v>988</v>
      </c>
      <c r="AA471">
        <v>1</v>
      </c>
      <c r="AB471" t="s">
        <v>57</v>
      </c>
      <c r="AC471" t="s">
        <v>155</v>
      </c>
    </row>
    <row r="472" spans="1:30" x14ac:dyDescent="0.25">
      <c r="A472">
        <v>1957</v>
      </c>
      <c r="B472" t="s">
        <v>156</v>
      </c>
      <c r="C472" t="s">
        <v>106</v>
      </c>
      <c r="D472" t="s">
        <v>994</v>
      </c>
      <c r="E472" t="s">
        <v>995</v>
      </c>
      <c r="F472" t="s">
        <v>996</v>
      </c>
      <c r="G472">
        <v>4602</v>
      </c>
      <c r="H472" t="s">
        <v>169</v>
      </c>
      <c r="I472" t="s">
        <v>997</v>
      </c>
      <c r="J472">
        <v>-0.33</v>
      </c>
      <c r="K472">
        <v>1.6999999999999999E-3</v>
      </c>
      <c r="L472">
        <v>-194.1176471</v>
      </c>
      <c r="M472">
        <v>100000</v>
      </c>
      <c r="N472">
        <v>1</v>
      </c>
      <c r="O472">
        <v>99998</v>
      </c>
      <c r="P472">
        <v>-0.52315469199999998</v>
      </c>
      <c r="Q472">
        <v>-0.58067339100000004</v>
      </c>
      <c r="R472">
        <v>3.1623250000000001E-3</v>
      </c>
      <c r="S472">
        <v>-0.574475234</v>
      </c>
      <c r="T472">
        <v>-0.58687154799999997</v>
      </c>
      <c r="U472">
        <v>2.296803E-3</v>
      </c>
      <c r="V472">
        <v>7.2599999999999999E-6</v>
      </c>
      <c r="W472">
        <v>-0.52314045600000003</v>
      </c>
      <c r="X472">
        <v>-0.52316892800000003</v>
      </c>
      <c r="Y472" t="s">
        <v>171</v>
      </c>
      <c r="Z472" t="s">
        <v>172</v>
      </c>
      <c r="AA472">
        <v>0</v>
      </c>
      <c r="AB472" t="s">
        <v>173</v>
      </c>
      <c r="AC472" t="s">
        <v>155</v>
      </c>
      <c r="AD472" t="s">
        <v>998</v>
      </c>
    </row>
    <row r="473" spans="1:30" x14ac:dyDescent="0.25">
      <c r="A473">
        <v>1992</v>
      </c>
      <c r="B473" t="s">
        <v>147</v>
      </c>
      <c r="C473" t="s">
        <v>107</v>
      </c>
      <c r="D473" t="s">
        <v>994</v>
      </c>
      <c r="E473" t="s">
        <v>999</v>
      </c>
      <c r="F473" t="s">
        <v>1000</v>
      </c>
      <c r="G473">
        <v>306</v>
      </c>
      <c r="H473" t="s">
        <v>1001</v>
      </c>
      <c r="I473" t="s">
        <v>209</v>
      </c>
      <c r="J473">
        <v>1061.27</v>
      </c>
      <c r="K473">
        <v>142.07095050000001</v>
      </c>
      <c r="L473">
        <v>7.47</v>
      </c>
      <c r="M473">
        <v>306</v>
      </c>
      <c r="N473">
        <v>156</v>
      </c>
      <c r="O473">
        <v>150</v>
      </c>
      <c r="P473">
        <v>0.52071125699999998</v>
      </c>
      <c r="Q473">
        <v>0.57731510900000005</v>
      </c>
      <c r="R473">
        <v>5.7448499E-2</v>
      </c>
      <c r="S473">
        <v>0.68991416699999997</v>
      </c>
      <c r="T473">
        <v>0.46471605100000002</v>
      </c>
      <c r="U473">
        <v>4.1734390000000003E-2</v>
      </c>
      <c r="V473">
        <v>2.3857959999999999E-3</v>
      </c>
      <c r="W473">
        <v>0.52538741799999999</v>
      </c>
      <c r="X473">
        <v>0.51603509700000005</v>
      </c>
      <c r="Y473" t="s">
        <v>1002</v>
      </c>
      <c r="Z473" t="s">
        <v>1003</v>
      </c>
      <c r="AA473">
        <v>1</v>
      </c>
      <c r="AB473" t="s">
        <v>57</v>
      </c>
      <c r="AC473" t="s">
        <v>155</v>
      </c>
    </row>
    <row r="474" spans="1:30" x14ac:dyDescent="0.25">
      <c r="A474">
        <v>1944</v>
      </c>
      <c r="B474" t="s">
        <v>156</v>
      </c>
      <c r="C474" t="s">
        <v>106</v>
      </c>
      <c r="D474" t="s">
        <v>994</v>
      </c>
      <c r="E474" t="s">
        <v>1004</v>
      </c>
      <c r="F474" t="s">
        <v>1005</v>
      </c>
      <c r="G474">
        <v>50420</v>
      </c>
      <c r="H474" t="s">
        <v>521</v>
      </c>
      <c r="I474" t="s">
        <v>209</v>
      </c>
      <c r="J474">
        <v>-0.47</v>
      </c>
      <c r="K474">
        <v>1.8E-3</v>
      </c>
      <c r="L474">
        <v>-261.11111110000002</v>
      </c>
      <c r="M474">
        <v>100000</v>
      </c>
      <c r="N474">
        <v>1</v>
      </c>
      <c r="O474">
        <v>99998</v>
      </c>
      <c r="P474">
        <v>-0.63671053600000005</v>
      </c>
      <c r="Q474">
        <v>-0.75262189899999998</v>
      </c>
      <c r="R474">
        <v>3.1623250000000001E-3</v>
      </c>
      <c r="S474">
        <v>-0.74642374099999997</v>
      </c>
      <c r="T474">
        <v>-0.75882005600000002</v>
      </c>
      <c r="U474">
        <v>1.880299E-3</v>
      </c>
      <c r="V474">
        <v>5.9499999999999998E-6</v>
      </c>
      <c r="W474">
        <v>-0.63669888200000002</v>
      </c>
      <c r="X474">
        <v>-0.63672218999999997</v>
      </c>
      <c r="Y474" t="s">
        <v>523</v>
      </c>
      <c r="Z474" t="s">
        <v>184</v>
      </c>
      <c r="AA474">
        <v>0</v>
      </c>
      <c r="AB474" t="s">
        <v>173</v>
      </c>
      <c r="AC474" t="s">
        <v>155</v>
      </c>
      <c r="AD474" t="s">
        <v>1006</v>
      </c>
    </row>
    <row r="475" spans="1:30" x14ac:dyDescent="0.25">
      <c r="A475">
        <v>1944</v>
      </c>
      <c r="B475" t="s">
        <v>156</v>
      </c>
      <c r="C475" t="s">
        <v>106</v>
      </c>
      <c r="D475" t="s">
        <v>994</v>
      </c>
      <c r="E475" t="s">
        <v>1004</v>
      </c>
      <c r="F475" t="s">
        <v>1005</v>
      </c>
      <c r="G475">
        <v>50420</v>
      </c>
      <c r="H475" t="s">
        <v>521</v>
      </c>
      <c r="I475" t="s">
        <v>209</v>
      </c>
      <c r="J475">
        <v>-0.42</v>
      </c>
      <c r="K475">
        <v>1.6999999999999999E-3</v>
      </c>
      <c r="L475">
        <v>-247.05882349999999</v>
      </c>
      <c r="M475">
        <v>100000</v>
      </c>
      <c r="N475">
        <v>1</v>
      </c>
      <c r="O475">
        <v>99998</v>
      </c>
      <c r="P475">
        <v>-0.61565696599999997</v>
      </c>
      <c r="Q475">
        <v>-0.71798073600000001</v>
      </c>
      <c r="R475">
        <v>3.1623250000000001E-3</v>
      </c>
      <c r="S475">
        <v>-0.71178257899999997</v>
      </c>
      <c r="T475">
        <v>-0.72417889300000005</v>
      </c>
      <c r="U475">
        <v>1.963678E-3</v>
      </c>
      <c r="V475">
        <v>6.2099999999999998E-6</v>
      </c>
      <c r="W475">
        <v>-0.61564479500000002</v>
      </c>
      <c r="X475">
        <v>-0.61566913700000003</v>
      </c>
      <c r="Y475" t="s">
        <v>523</v>
      </c>
      <c r="Z475" t="s">
        <v>184</v>
      </c>
      <c r="AA475">
        <v>0</v>
      </c>
      <c r="AB475" t="s">
        <v>173</v>
      </c>
      <c r="AC475" t="s">
        <v>155</v>
      </c>
      <c r="AD475" t="s">
        <v>1007</v>
      </c>
    </row>
    <row r="476" spans="1:30" x14ac:dyDescent="0.25">
      <c r="A476">
        <v>1944</v>
      </c>
      <c r="B476" t="s">
        <v>156</v>
      </c>
      <c r="C476" t="s">
        <v>106</v>
      </c>
      <c r="D476" t="s">
        <v>994</v>
      </c>
      <c r="E476" t="s">
        <v>1004</v>
      </c>
      <c r="F476" t="s">
        <v>1005</v>
      </c>
      <c r="G476">
        <v>50420</v>
      </c>
      <c r="H476" t="s">
        <v>521</v>
      </c>
      <c r="I476" t="s">
        <v>209</v>
      </c>
      <c r="J476">
        <v>-0.1</v>
      </c>
      <c r="K476">
        <v>1.1000000000000001E-3</v>
      </c>
      <c r="L476">
        <v>-90.909090910000003</v>
      </c>
      <c r="M476">
        <v>100000</v>
      </c>
      <c r="N476">
        <v>1</v>
      </c>
      <c r="O476">
        <v>99998</v>
      </c>
      <c r="P476">
        <v>-0.27629203400000002</v>
      </c>
      <c r="Q476">
        <v>-0.28366317800000002</v>
      </c>
      <c r="R476">
        <v>3.1623250000000001E-3</v>
      </c>
      <c r="S476">
        <v>-0.27746502099999998</v>
      </c>
      <c r="T476">
        <v>-0.289861335</v>
      </c>
      <c r="U476">
        <v>2.9208929999999999E-3</v>
      </c>
      <c r="V476">
        <v>9.2399999999999996E-6</v>
      </c>
      <c r="W476">
        <v>-0.27627393</v>
      </c>
      <c r="X476">
        <v>-0.27631013799999998</v>
      </c>
      <c r="Y476" t="s">
        <v>523</v>
      </c>
      <c r="Z476" t="s">
        <v>184</v>
      </c>
      <c r="AA476">
        <v>0</v>
      </c>
      <c r="AB476" t="s">
        <v>173</v>
      </c>
      <c r="AC476" t="s">
        <v>155</v>
      </c>
      <c r="AD476" t="s">
        <v>1008</v>
      </c>
    </row>
    <row r="477" spans="1:30" x14ac:dyDescent="0.25">
      <c r="A477">
        <v>2009</v>
      </c>
      <c r="B477" t="s">
        <v>156</v>
      </c>
      <c r="C477" t="s">
        <v>108</v>
      </c>
      <c r="D477" t="s">
        <v>994</v>
      </c>
      <c r="E477" t="s">
        <v>1009</v>
      </c>
      <c r="F477" t="s">
        <v>1010</v>
      </c>
      <c r="G477">
        <v>1200</v>
      </c>
      <c r="H477" t="s">
        <v>1011</v>
      </c>
      <c r="I477" t="s">
        <v>209</v>
      </c>
      <c r="J477">
        <v>-6.4000000000000001E-2</v>
      </c>
      <c r="K477">
        <v>3.6999999999999998E-2</v>
      </c>
      <c r="L477">
        <v>-1.7297297300000001</v>
      </c>
      <c r="M477">
        <v>1200</v>
      </c>
      <c r="N477">
        <v>15</v>
      </c>
      <c r="O477">
        <v>1184</v>
      </c>
      <c r="P477">
        <v>-5.0205854000000001E-2</v>
      </c>
      <c r="Q477">
        <v>-5.0248102000000003E-2</v>
      </c>
      <c r="R477">
        <v>2.8903666000000001E-2</v>
      </c>
      <c r="S477">
        <v>6.4030830000000004E-3</v>
      </c>
      <c r="T477">
        <v>-0.106899286</v>
      </c>
      <c r="U477">
        <v>2.8806755E-2</v>
      </c>
      <c r="V477">
        <v>8.3157900000000004E-4</v>
      </c>
      <c r="W477">
        <v>-4.8575959000000002E-2</v>
      </c>
      <c r="X477">
        <v>-5.183575E-2</v>
      </c>
      <c r="Y477" t="s">
        <v>1012</v>
      </c>
      <c r="Z477" t="s">
        <v>1013</v>
      </c>
      <c r="AA477">
        <v>1</v>
      </c>
      <c r="AB477" t="s">
        <v>51</v>
      </c>
      <c r="AC477" t="s">
        <v>1014</v>
      </c>
    </row>
    <row r="478" spans="1:30" x14ac:dyDescent="0.25">
      <c r="A478">
        <v>2009</v>
      </c>
      <c r="B478" t="s">
        <v>156</v>
      </c>
      <c r="C478" t="s">
        <v>108</v>
      </c>
      <c r="D478" t="s">
        <v>994</v>
      </c>
      <c r="E478" t="s">
        <v>1009</v>
      </c>
      <c r="F478" t="s">
        <v>1015</v>
      </c>
      <c r="G478">
        <v>1200</v>
      </c>
      <c r="H478" t="s">
        <v>1011</v>
      </c>
      <c r="I478" t="s">
        <v>209</v>
      </c>
      <c r="J478">
        <v>-5.7</v>
      </c>
      <c r="K478">
        <v>2.76</v>
      </c>
      <c r="L478">
        <v>-2.065217391</v>
      </c>
      <c r="M478">
        <v>1200</v>
      </c>
      <c r="N478">
        <v>15</v>
      </c>
      <c r="O478">
        <v>1184</v>
      </c>
      <c r="P478">
        <v>-5.9911349000000003E-2</v>
      </c>
      <c r="Q478">
        <v>-5.9983185000000001E-2</v>
      </c>
      <c r="R478">
        <v>2.8903666000000001E-2</v>
      </c>
      <c r="S478">
        <v>-3.3319999999999999E-3</v>
      </c>
      <c r="T478">
        <v>-0.11663437</v>
      </c>
      <c r="U478">
        <v>2.8775889999999998E-2</v>
      </c>
      <c r="V478">
        <v>8.30688E-4</v>
      </c>
      <c r="W478">
        <v>-5.82832E-2</v>
      </c>
      <c r="X478">
        <v>-6.1539497999999998E-2</v>
      </c>
      <c r="Y478" t="s">
        <v>1012</v>
      </c>
      <c r="Z478" t="s">
        <v>1013</v>
      </c>
      <c r="AA478">
        <v>1</v>
      </c>
      <c r="AB478" t="s">
        <v>51</v>
      </c>
      <c r="AC478" t="s">
        <v>1014</v>
      </c>
    </row>
    <row r="479" spans="1:30" x14ac:dyDescent="0.25">
      <c r="A479">
        <v>2016</v>
      </c>
      <c r="B479" t="s">
        <v>147</v>
      </c>
      <c r="C479" t="s">
        <v>108</v>
      </c>
      <c r="D479" t="s">
        <v>1016</v>
      </c>
      <c r="E479" t="s">
        <v>1017</v>
      </c>
      <c r="F479" t="s">
        <v>1018</v>
      </c>
      <c r="G479">
        <v>1935</v>
      </c>
      <c r="H479" t="s">
        <v>1019</v>
      </c>
      <c r="I479" t="s">
        <v>209</v>
      </c>
      <c r="J479">
        <v>5.7825322999999998E-2</v>
      </c>
      <c r="K479">
        <v>4.6591730999999997E-2</v>
      </c>
      <c r="L479">
        <v>1.241106982</v>
      </c>
      <c r="M479">
        <v>1935</v>
      </c>
      <c r="N479">
        <v>2</v>
      </c>
      <c r="O479">
        <v>1932</v>
      </c>
      <c r="P479">
        <v>2.8224912000000001E-2</v>
      </c>
      <c r="Q479">
        <v>2.8232410999999999E-2</v>
      </c>
      <c r="R479">
        <v>2.2750788000000001E-2</v>
      </c>
      <c r="S479">
        <v>7.2823954999999996E-2</v>
      </c>
      <c r="T479">
        <v>-1.6359133000000001E-2</v>
      </c>
      <c r="U479">
        <v>2.2720905999999999E-2</v>
      </c>
      <c r="V479">
        <v>5.1651799999999999E-4</v>
      </c>
      <c r="W479">
        <v>2.9237287000000001E-2</v>
      </c>
      <c r="X479">
        <v>2.7212538000000001E-2</v>
      </c>
      <c r="Y479" t="s">
        <v>1020</v>
      </c>
      <c r="Z479" t="s">
        <v>1021</v>
      </c>
      <c r="AA479">
        <v>1</v>
      </c>
      <c r="AB479" t="s">
        <v>51</v>
      </c>
      <c r="AC479" t="s">
        <v>155</v>
      </c>
    </row>
    <row r="480" spans="1:30" x14ac:dyDescent="0.25">
      <c r="A480">
        <v>1920</v>
      </c>
      <c r="B480" t="s">
        <v>147</v>
      </c>
      <c r="C480" t="s">
        <v>106</v>
      </c>
      <c r="D480" t="s">
        <v>48</v>
      </c>
      <c r="E480" t="s">
        <v>1022</v>
      </c>
      <c r="F480" t="s">
        <v>1023</v>
      </c>
      <c r="G480">
        <v>45</v>
      </c>
      <c r="H480" t="s">
        <v>1024</v>
      </c>
      <c r="I480" t="s">
        <v>1025</v>
      </c>
      <c r="J480">
        <v>5.1273910000000003</v>
      </c>
      <c r="K480">
        <v>1.8985369999999999</v>
      </c>
      <c r="L480">
        <v>2.7007063859999998</v>
      </c>
      <c r="M480">
        <v>45</v>
      </c>
      <c r="N480">
        <v>9</v>
      </c>
      <c r="O480">
        <v>35</v>
      </c>
      <c r="P480">
        <v>0.41527801600000003</v>
      </c>
      <c r="Q480">
        <v>0.44197238700000002</v>
      </c>
      <c r="R480">
        <v>0.15430335000000001</v>
      </c>
      <c r="S480">
        <v>0.74440695300000004</v>
      </c>
      <c r="T480">
        <v>0.13953782100000001</v>
      </c>
      <c r="U480">
        <v>0.124756978</v>
      </c>
      <c r="V480">
        <v>1.8597671999999999E-2</v>
      </c>
      <c r="W480">
        <v>0.451729453</v>
      </c>
      <c r="X480">
        <v>0.37882657800000002</v>
      </c>
      <c r="Y480" t="s">
        <v>1026</v>
      </c>
      <c r="Z480" t="s">
        <v>1027</v>
      </c>
      <c r="AA480">
        <v>1</v>
      </c>
      <c r="AB480" t="s">
        <v>63</v>
      </c>
      <c r="AC480" t="s">
        <v>155</v>
      </c>
    </row>
    <row r="481" spans="1:30" x14ac:dyDescent="0.25">
      <c r="A481">
        <v>1924</v>
      </c>
      <c r="B481" t="s">
        <v>147</v>
      </c>
      <c r="C481" t="s">
        <v>106</v>
      </c>
      <c r="D481" t="s">
        <v>48</v>
      </c>
      <c r="E481" t="s">
        <v>1022</v>
      </c>
      <c r="F481" t="s">
        <v>1023</v>
      </c>
      <c r="G481">
        <v>46</v>
      </c>
      <c r="H481" t="s">
        <v>1024</v>
      </c>
      <c r="I481" t="s">
        <v>1025</v>
      </c>
      <c r="J481">
        <v>0.6122919</v>
      </c>
      <c r="K481">
        <v>1.4952270000000001</v>
      </c>
      <c r="L481">
        <v>0.40949762099999998</v>
      </c>
      <c r="M481">
        <v>46</v>
      </c>
      <c r="N481">
        <v>9</v>
      </c>
      <c r="O481">
        <v>36</v>
      </c>
      <c r="P481">
        <v>6.8091203000000003E-2</v>
      </c>
      <c r="Q481">
        <v>6.8196729999999997E-2</v>
      </c>
      <c r="R481">
        <v>0.15249857</v>
      </c>
      <c r="S481">
        <v>0.36709392800000001</v>
      </c>
      <c r="T481">
        <v>-0.23070046799999999</v>
      </c>
      <c r="U481">
        <v>0.14838004299999999</v>
      </c>
      <c r="V481">
        <v>2.1877443999999999E-2</v>
      </c>
      <c r="W481">
        <v>0.110970993</v>
      </c>
      <c r="X481">
        <v>2.5211412999999998E-2</v>
      </c>
      <c r="Y481" t="s">
        <v>1026</v>
      </c>
      <c r="Z481" t="s">
        <v>1027</v>
      </c>
      <c r="AA481">
        <v>1</v>
      </c>
      <c r="AB481" t="s">
        <v>63</v>
      </c>
      <c r="AC481" t="s">
        <v>155</v>
      </c>
    </row>
    <row r="482" spans="1:30" x14ac:dyDescent="0.25">
      <c r="A482">
        <v>1928</v>
      </c>
      <c r="B482" t="s">
        <v>147</v>
      </c>
      <c r="C482" t="s">
        <v>106</v>
      </c>
      <c r="D482" t="s">
        <v>48</v>
      </c>
      <c r="E482" t="s">
        <v>1022</v>
      </c>
      <c r="F482" t="s">
        <v>1023</v>
      </c>
      <c r="G482">
        <v>46</v>
      </c>
      <c r="H482" t="s">
        <v>1024</v>
      </c>
      <c r="I482" t="s">
        <v>1025</v>
      </c>
      <c r="J482">
        <v>2.2747419999999998</v>
      </c>
      <c r="K482">
        <v>1.3623810000000001</v>
      </c>
      <c r="L482">
        <v>1.669681242</v>
      </c>
      <c r="M482">
        <v>46</v>
      </c>
      <c r="N482">
        <v>9</v>
      </c>
      <c r="O482">
        <v>36</v>
      </c>
      <c r="P482">
        <v>0.26809319799999998</v>
      </c>
      <c r="Q482">
        <v>0.27480822300000002</v>
      </c>
      <c r="R482">
        <v>0.15249857</v>
      </c>
      <c r="S482">
        <v>0.57370542099999999</v>
      </c>
      <c r="T482">
        <v>-2.4088973999999999E-2</v>
      </c>
      <c r="U482">
        <v>0.138356861</v>
      </c>
      <c r="V482">
        <v>2.0399606000000001E-2</v>
      </c>
      <c r="W482">
        <v>0.30807642600000001</v>
      </c>
      <c r="X482">
        <v>0.22810997</v>
      </c>
      <c r="Y482" t="s">
        <v>1026</v>
      </c>
      <c r="Z482" t="s">
        <v>1027</v>
      </c>
      <c r="AA482">
        <v>1</v>
      </c>
      <c r="AB482" t="s">
        <v>63</v>
      </c>
      <c r="AC482" t="s">
        <v>155</v>
      </c>
    </row>
    <row r="483" spans="1:30" x14ac:dyDescent="0.25">
      <c r="A483">
        <v>1932</v>
      </c>
      <c r="B483" t="s">
        <v>147</v>
      </c>
      <c r="C483" t="s">
        <v>106</v>
      </c>
      <c r="D483" t="s">
        <v>48</v>
      </c>
      <c r="E483" t="s">
        <v>1022</v>
      </c>
      <c r="F483" t="s">
        <v>1023</v>
      </c>
      <c r="G483">
        <v>44</v>
      </c>
      <c r="H483" t="s">
        <v>1024</v>
      </c>
      <c r="I483" t="s">
        <v>1025</v>
      </c>
      <c r="J483">
        <v>4.3380879999999999</v>
      </c>
      <c r="K483">
        <v>2.2557849999999999</v>
      </c>
      <c r="L483">
        <v>1.9230946209999999</v>
      </c>
      <c r="M483">
        <v>44</v>
      </c>
      <c r="N483">
        <v>9</v>
      </c>
      <c r="O483">
        <v>34</v>
      </c>
      <c r="P483">
        <v>0.31321302299999998</v>
      </c>
      <c r="Q483">
        <v>0.32410396800000002</v>
      </c>
      <c r="R483">
        <v>0.15617376199999999</v>
      </c>
      <c r="S483">
        <v>0.63020454100000001</v>
      </c>
      <c r="T483">
        <v>1.8003393999999999E-2</v>
      </c>
      <c r="U483">
        <v>0.137538095</v>
      </c>
      <c r="V483">
        <v>2.0734648000000001E-2</v>
      </c>
      <c r="W483">
        <v>0.35385293299999998</v>
      </c>
      <c r="X483">
        <v>0.27257311299999998</v>
      </c>
      <c r="Y483" t="s">
        <v>1026</v>
      </c>
      <c r="Z483" t="s">
        <v>1027</v>
      </c>
      <c r="AA483">
        <v>1</v>
      </c>
      <c r="AB483" t="s">
        <v>63</v>
      </c>
      <c r="AC483" t="s">
        <v>155</v>
      </c>
    </row>
    <row r="484" spans="1:30" x14ac:dyDescent="0.25">
      <c r="A484">
        <v>1936</v>
      </c>
      <c r="B484" t="s">
        <v>147</v>
      </c>
      <c r="C484" t="s">
        <v>106</v>
      </c>
      <c r="D484" t="s">
        <v>48</v>
      </c>
      <c r="E484" t="s">
        <v>1022</v>
      </c>
      <c r="F484" t="s">
        <v>1023</v>
      </c>
      <c r="G484">
        <v>44</v>
      </c>
      <c r="H484" t="s">
        <v>1024</v>
      </c>
      <c r="I484" t="s">
        <v>1025</v>
      </c>
      <c r="J484">
        <v>5.5980410000000003</v>
      </c>
      <c r="K484">
        <v>1.473522</v>
      </c>
      <c r="L484">
        <v>3.79908885</v>
      </c>
      <c r="M484">
        <v>44</v>
      </c>
      <c r="N484">
        <v>9</v>
      </c>
      <c r="O484">
        <v>34</v>
      </c>
      <c r="P484">
        <v>0.54589412999999998</v>
      </c>
      <c r="Q484">
        <v>0.61251369099999997</v>
      </c>
      <c r="R484">
        <v>0.15617376199999999</v>
      </c>
      <c r="S484">
        <v>0.91861426400000001</v>
      </c>
      <c r="T484">
        <v>0.30641311700000001</v>
      </c>
      <c r="U484">
        <v>0.107053935</v>
      </c>
      <c r="V484">
        <v>1.6138988E-2</v>
      </c>
      <c r="W484">
        <v>0.57752654599999997</v>
      </c>
      <c r="X484">
        <v>0.51426171300000001</v>
      </c>
      <c r="Y484" t="s">
        <v>1026</v>
      </c>
      <c r="Z484" t="s">
        <v>1027</v>
      </c>
      <c r="AA484">
        <v>1</v>
      </c>
      <c r="AB484" t="s">
        <v>63</v>
      </c>
      <c r="AC484" t="s">
        <v>155</v>
      </c>
    </row>
    <row r="485" spans="1:30" x14ac:dyDescent="0.25">
      <c r="A485">
        <v>1940</v>
      </c>
      <c r="B485" t="s">
        <v>147</v>
      </c>
      <c r="C485" t="s">
        <v>106</v>
      </c>
      <c r="D485" t="s">
        <v>48</v>
      </c>
      <c r="E485" t="s">
        <v>1022</v>
      </c>
      <c r="F485" t="s">
        <v>1023</v>
      </c>
      <c r="G485">
        <v>44</v>
      </c>
      <c r="H485" t="s">
        <v>1024</v>
      </c>
      <c r="I485" t="s">
        <v>1025</v>
      </c>
      <c r="J485">
        <v>5.0956099999999998</v>
      </c>
      <c r="K485">
        <v>2.7961809999999998</v>
      </c>
      <c r="L485">
        <v>1.8223462640000001</v>
      </c>
      <c r="M485">
        <v>44</v>
      </c>
      <c r="N485">
        <v>9</v>
      </c>
      <c r="O485">
        <v>34</v>
      </c>
      <c r="P485">
        <v>0.298300911</v>
      </c>
      <c r="Q485">
        <v>0.30765351600000002</v>
      </c>
      <c r="R485">
        <v>0.15617376199999999</v>
      </c>
      <c r="S485">
        <v>0.61375409000000003</v>
      </c>
      <c r="T485">
        <v>1.552943E-3</v>
      </c>
      <c r="U485">
        <v>0.138928724</v>
      </c>
      <c r="V485">
        <v>2.0944292999999999E-2</v>
      </c>
      <c r="W485">
        <v>0.33935172600000002</v>
      </c>
      <c r="X485">
        <v>0.25725009599999998</v>
      </c>
      <c r="Y485" t="s">
        <v>1026</v>
      </c>
      <c r="Z485" t="s">
        <v>1027</v>
      </c>
      <c r="AA485">
        <v>1</v>
      </c>
      <c r="AB485" t="s">
        <v>63</v>
      </c>
      <c r="AC485" t="s">
        <v>155</v>
      </c>
    </row>
    <row r="486" spans="1:30" x14ac:dyDescent="0.25">
      <c r="A486">
        <v>1944</v>
      </c>
      <c r="B486" t="s">
        <v>147</v>
      </c>
      <c r="C486" t="s">
        <v>106</v>
      </c>
      <c r="D486" t="s">
        <v>48</v>
      </c>
      <c r="E486" t="s">
        <v>1022</v>
      </c>
      <c r="F486" t="s">
        <v>1023</v>
      </c>
      <c r="G486">
        <v>45</v>
      </c>
      <c r="H486" t="s">
        <v>1024</v>
      </c>
      <c r="I486" t="s">
        <v>1025</v>
      </c>
      <c r="J486">
        <v>7.4205389999999998</v>
      </c>
      <c r="K486">
        <v>3.0884179999999999</v>
      </c>
      <c r="L486">
        <v>2.402699052</v>
      </c>
      <c r="M486">
        <v>45</v>
      </c>
      <c r="N486">
        <v>9</v>
      </c>
      <c r="O486">
        <v>35</v>
      </c>
      <c r="P486">
        <v>0.37628182500000001</v>
      </c>
      <c r="Q486">
        <v>0.395721094</v>
      </c>
      <c r="R486">
        <v>0.15430335000000001</v>
      </c>
      <c r="S486">
        <v>0.69815565999999996</v>
      </c>
      <c r="T486">
        <v>9.3286527999999994E-2</v>
      </c>
      <c r="U486">
        <v>0.129410476</v>
      </c>
      <c r="V486">
        <v>1.9291374999999999E-2</v>
      </c>
      <c r="W486">
        <v>0.41409291999999998</v>
      </c>
      <c r="X486">
        <v>0.33847073</v>
      </c>
      <c r="Y486" t="s">
        <v>1026</v>
      </c>
      <c r="Z486" t="s">
        <v>1027</v>
      </c>
      <c r="AA486">
        <v>1</v>
      </c>
      <c r="AB486" t="s">
        <v>63</v>
      </c>
      <c r="AC486" t="s">
        <v>155</v>
      </c>
    </row>
    <row r="487" spans="1:30" x14ac:dyDescent="0.25">
      <c r="A487">
        <v>1948</v>
      </c>
      <c r="B487" t="s">
        <v>147</v>
      </c>
      <c r="C487" t="s">
        <v>106</v>
      </c>
      <c r="D487" t="s">
        <v>48</v>
      </c>
      <c r="E487" t="s">
        <v>1022</v>
      </c>
      <c r="F487" t="s">
        <v>1023</v>
      </c>
      <c r="G487">
        <v>45</v>
      </c>
      <c r="H487" t="s">
        <v>1024</v>
      </c>
      <c r="I487" t="s">
        <v>1025</v>
      </c>
      <c r="J487">
        <v>0.32977079999999998</v>
      </c>
      <c r="K487">
        <v>13.63373</v>
      </c>
      <c r="L487">
        <v>2.4187863E-2</v>
      </c>
      <c r="M487">
        <v>45</v>
      </c>
      <c r="N487">
        <v>9</v>
      </c>
      <c r="O487">
        <v>35</v>
      </c>
      <c r="P487">
        <v>4.0884609999999998E-3</v>
      </c>
      <c r="Q487">
        <v>4.0884839999999999E-3</v>
      </c>
      <c r="R487">
        <v>0.15430335000000001</v>
      </c>
      <c r="S487">
        <v>0.30652305000000002</v>
      </c>
      <c r="T487">
        <v>-0.29834608200000001</v>
      </c>
      <c r="U487">
        <v>0.150753152</v>
      </c>
      <c r="V487">
        <v>2.2472953E-2</v>
      </c>
      <c r="W487">
        <v>4.8135448999999997E-2</v>
      </c>
      <c r="X487">
        <v>-3.9958527000000001E-2</v>
      </c>
      <c r="Y487" t="s">
        <v>1026</v>
      </c>
      <c r="Z487" t="s">
        <v>1027</v>
      </c>
      <c r="AA487">
        <v>1</v>
      </c>
      <c r="AB487" t="s">
        <v>63</v>
      </c>
      <c r="AC487" t="s">
        <v>155</v>
      </c>
    </row>
    <row r="488" spans="1:30" x14ac:dyDescent="0.25">
      <c r="A488">
        <v>1952</v>
      </c>
      <c r="B488" t="s">
        <v>147</v>
      </c>
      <c r="C488" t="s">
        <v>106</v>
      </c>
      <c r="D488" t="s">
        <v>48</v>
      </c>
      <c r="E488" t="s">
        <v>1022</v>
      </c>
      <c r="F488" t="s">
        <v>1023</v>
      </c>
      <c r="G488">
        <v>45</v>
      </c>
      <c r="H488" t="s">
        <v>1024</v>
      </c>
      <c r="I488" t="s">
        <v>1025</v>
      </c>
      <c r="J488">
        <v>4.759576</v>
      </c>
      <c r="K488">
        <v>1.2292559999999999</v>
      </c>
      <c r="L488">
        <v>3.8719160210000001</v>
      </c>
      <c r="M488">
        <v>45</v>
      </c>
      <c r="N488">
        <v>9</v>
      </c>
      <c r="O488">
        <v>35</v>
      </c>
      <c r="P488">
        <v>0.54761688500000005</v>
      </c>
      <c r="Q488">
        <v>0.61497105600000002</v>
      </c>
      <c r="R488">
        <v>0.15430335000000001</v>
      </c>
      <c r="S488">
        <v>0.91740562199999998</v>
      </c>
      <c r="T488">
        <v>0.31253649</v>
      </c>
      <c r="U488">
        <v>0.10554642</v>
      </c>
      <c r="V488">
        <v>1.5733931E-2</v>
      </c>
      <c r="W488">
        <v>0.57845539000000001</v>
      </c>
      <c r="X488">
        <v>0.51677837900000001</v>
      </c>
      <c r="Y488" t="s">
        <v>1026</v>
      </c>
      <c r="Z488" t="s">
        <v>1027</v>
      </c>
      <c r="AA488">
        <v>1</v>
      </c>
      <c r="AB488" t="s">
        <v>63</v>
      </c>
      <c r="AC488" t="s">
        <v>155</v>
      </c>
    </row>
    <row r="489" spans="1:30" x14ac:dyDescent="0.25">
      <c r="A489">
        <v>1956</v>
      </c>
      <c r="B489" t="s">
        <v>147</v>
      </c>
      <c r="C489" t="s">
        <v>106</v>
      </c>
      <c r="D489" t="s">
        <v>48</v>
      </c>
      <c r="E489" t="s">
        <v>1022</v>
      </c>
      <c r="F489" t="s">
        <v>1023</v>
      </c>
      <c r="G489">
        <v>45</v>
      </c>
      <c r="H489" t="s">
        <v>1024</v>
      </c>
      <c r="I489" t="s">
        <v>1025</v>
      </c>
      <c r="J489">
        <v>10.31704</v>
      </c>
      <c r="K489">
        <v>3.7338290000000001</v>
      </c>
      <c r="L489">
        <v>2.763126003</v>
      </c>
      <c r="M489">
        <v>45</v>
      </c>
      <c r="N489">
        <v>9</v>
      </c>
      <c r="O489">
        <v>35</v>
      </c>
      <c r="P489">
        <v>0.42317328399999998</v>
      </c>
      <c r="Q489">
        <v>0.451551231</v>
      </c>
      <c r="R489">
        <v>0.15430335000000001</v>
      </c>
      <c r="S489">
        <v>0.75398579700000001</v>
      </c>
      <c r="T489">
        <v>0.14911666600000001</v>
      </c>
      <c r="U489">
        <v>0.123759006</v>
      </c>
      <c r="V489">
        <v>1.8448902999999999E-2</v>
      </c>
      <c r="W489">
        <v>0.459333135</v>
      </c>
      <c r="X489">
        <v>0.38701343399999999</v>
      </c>
      <c r="Y489" t="s">
        <v>1026</v>
      </c>
      <c r="Z489" t="s">
        <v>1027</v>
      </c>
      <c r="AA489">
        <v>1</v>
      </c>
      <c r="AB489" t="s">
        <v>63</v>
      </c>
      <c r="AC489" t="s">
        <v>155</v>
      </c>
    </row>
    <row r="490" spans="1:30" x14ac:dyDescent="0.25">
      <c r="A490">
        <v>1960</v>
      </c>
      <c r="B490" t="s">
        <v>147</v>
      </c>
      <c r="C490" t="s">
        <v>106</v>
      </c>
      <c r="D490" t="s">
        <v>48</v>
      </c>
      <c r="E490" t="s">
        <v>1022</v>
      </c>
      <c r="F490" t="s">
        <v>1023</v>
      </c>
      <c r="G490">
        <v>43</v>
      </c>
      <c r="H490" t="s">
        <v>1024</v>
      </c>
      <c r="I490" t="s">
        <v>1025</v>
      </c>
      <c r="J490">
        <v>2.5823939999999999</v>
      </c>
      <c r="K490">
        <v>1.1943550000000001</v>
      </c>
      <c r="L490">
        <v>2.1621661900000002</v>
      </c>
      <c r="M490">
        <v>43</v>
      </c>
      <c r="N490">
        <v>9</v>
      </c>
      <c r="O490">
        <v>33</v>
      </c>
      <c r="P490">
        <v>0.352259453</v>
      </c>
      <c r="Q490">
        <v>0.36802095800000001</v>
      </c>
      <c r="R490">
        <v>0.15811388300000001</v>
      </c>
      <c r="S490">
        <v>0.67792416899999997</v>
      </c>
      <c r="T490">
        <v>5.8117747999999997E-2</v>
      </c>
      <c r="U490">
        <v>0.13515635300000001</v>
      </c>
      <c r="V490">
        <v>2.0611151000000001E-2</v>
      </c>
      <c r="W490">
        <v>0.39265730900000001</v>
      </c>
      <c r="X490">
        <v>0.31186159800000002</v>
      </c>
      <c r="Y490" t="s">
        <v>1026</v>
      </c>
      <c r="Z490" t="s">
        <v>1027</v>
      </c>
      <c r="AA490">
        <v>1</v>
      </c>
      <c r="AB490" t="s">
        <v>63</v>
      </c>
      <c r="AC490" t="s">
        <v>155</v>
      </c>
    </row>
    <row r="491" spans="1:30" x14ac:dyDescent="0.25">
      <c r="A491">
        <v>1964</v>
      </c>
      <c r="B491" t="s">
        <v>147</v>
      </c>
      <c r="C491" t="s">
        <v>106</v>
      </c>
      <c r="D491" t="s">
        <v>48</v>
      </c>
      <c r="E491" t="s">
        <v>1022</v>
      </c>
      <c r="F491" t="s">
        <v>1023</v>
      </c>
      <c r="G491">
        <v>44</v>
      </c>
      <c r="H491" t="s">
        <v>1024</v>
      </c>
      <c r="I491" t="s">
        <v>1025</v>
      </c>
      <c r="J491">
        <v>1.304295</v>
      </c>
      <c r="K491">
        <v>0.78425809999999996</v>
      </c>
      <c r="L491">
        <v>1.6630940759999999</v>
      </c>
      <c r="M491">
        <v>44</v>
      </c>
      <c r="N491">
        <v>9</v>
      </c>
      <c r="O491">
        <v>34</v>
      </c>
      <c r="P491">
        <v>0.27428011499999999</v>
      </c>
      <c r="Q491">
        <v>0.28148628799999997</v>
      </c>
      <c r="R491">
        <v>0.15617376199999999</v>
      </c>
      <c r="S491">
        <v>0.58758686100000002</v>
      </c>
      <c r="T491">
        <v>-2.4614285999999999E-2</v>
      </c>
      <c r="U491">
        <v>0.14102616700000001</v>
      </c>
      <c r="V491">
        <v>2.1260495000000001E-2</v>
      </c>
      <c r="W491">
        <v>0.31595068399999998</v>
      </c>
      <c r="X491">
        <v>0.232609545</v>
      </c>
      <c r="Y491" t="s">
        <v>1026</v>
      </c>
      <c r="Z491" t="s">
        <v>1027</v>
      </c>
      <c r="AA491">
        <v>1</v>
      </c>
      <c r="AB491" t="s">
        <v>63</v>
      </c>
      <c r="AC491" t="s">
        <v>155</v>
      </c>
    </row>
    <row r="492" spans="1:30" x14ac:dyDescent="0.25">
      <c r="A492">
        <v>1968</v>
      </c>
      <c r="B492" t="s">
        <v>147</v>
      </c>
      <c r="C492" t="s">
        <v>107</v>
      </c>
      <c r="D492" t="s">
        <v>48</v>
      </c>
      <c r="E492" t="s">
        <v>1022</v>
      </c>
      <c r="F492" t="s">
        <v>1023</v>
      </c>
      <c r="G492">
        <v>44</v>
      </c>
      <c r="H492" t="s">
        <v>1024</v>
      </c>
      <c r="I492" t="s">
        <v>1025</v>
      </c>
      <c r="J492">
        <v>0</v>
      </c>
      <c r="K492">
        <v>0</v>
      </c>
      <c r="L492">
        <v>0</v>
      </c>
      <c r="M492">
        <v>44</v>
      </c>
      <c r="N492">
        <v>9</v>
      </c>
      <c r="O492">
        <v>34</v>
      </c>
      <c r="P492">
        <v>0</v>
      </c>
      <c r="Q492">
        <v>0</v>
      </c>
      <c r="R492">
        <v>0.15617376199999999</v>
      </c>
      <c r="S492">
        <v>0.30610057299999999</v>
      </c>
      <c r="T492">
        <v>-0.30610057299999999</v>
      </c>
      <c r="U492">
        <v>0.15249857</v>
      </c>
      <c r="V492">
        <v>2.2990024000000001E-2</v>
      </c>
      <c r="W492">
        <v>4.5060448000000003E-2</v>
      </c>
      <c r="X492">
        <v>-4.5060448000000003E-2</v>
      </c>
      <c r="Y492" t="s">
        <v>1026</v>
      </c>
      <c r="Z492" t="s">
        <v>1027</v>
      </c>
      <c r="AA492">
        <v>1</v>
      </c>
      <c r="AB492" t="s">
        <v>63</v>
      </c>
      <c r="AC492" t="s">
        <v>155</v>
      </c>
    </row>
    <row r="493" spans="1:30" x14ac:dyDescent="0.25">
      <c r="A493">
        <v>1958</v>
      </c>
      <c r="B493" t="s">
        <v>156</v>
      </c>
      <c r="C493" t="s">
        <v>106</v>
      </c>
      <c r="D493" t="s">
        <v>48</v>
      </c>
      <c r="E493" t="s">
        <v>1028</v>
      </c>
      <c r="F493" t="s">
        <v>1029</v>
      </c>
      <c r="G493">
        <v>9405</v>
      </c>
      <c r="H493" t="s">
        <v>1030</v>
      </c>
      <c r="I493" t="s">
        <v>1025</v>
      </c>
      <c r="J493">
        <v>-0.54</v>
      </c>
      <c r="K493">
        <v>2.23E-2</v>
      </c>
      <c r="L493">
        <v>-24.21524664</v>
      </c>
      <c r="M493">
        <v>1000</v>
      </c>
      <c r="N493">
        <v>1</v>
      </c>
      <c r="O493">
        <v>998</v>
      </c>
      <c r="P493">
        <v>-0.60835834799999999</v>
      </c>
      <c r="Q493">
        <v>-0.70631100499999999</v>
      </c>
      <c r="R493">
        <v>3.1670318000000003E-2</v>
      </c>
      <c r="S493">
        <v>-0.64423718200000002</v>
      </c>
      <c r="T493">
        <v>-0.76838482699999999</v>
      </c>
      <c r="U493">
        <v>1.9929157999999999E-2</v>
      </c>
      <c r="V493">
        <v>6.3021500000000005E-4</v>
      </c>
      <c r="W493">
        <v>-0.60712312599999996</v>
      </c>
      <c r="X493">
        <v>-0.60959357000000003</v>
      </c>
      <c r="Y493" t="s">
        <v>1031</v>
      </c>
      <c r="Z493" t="s">
        <v>1032</v>
      </c>
      <c r="AA493">
        <v>0</v>
      </c>
      <c r="AB493" t="s">
        <v>173</v>
      </c>
      <c r="AC493" t="s">
        <v>155</v>
      </c>
      <c r="AD493" t="s">
        <v>1033</v>
      </c>
    </row>
    <row r="494" spans="1:30" x14ac:dyDescent="0.25">
      <c r="A494">
        <v>1959</v>
      </c>
      <c r="B494" t="s">
        <v>156</v>
      </c>
      <c r="C494" t="s">
        <v>106</v>
      </c>
      <c r="D494" t="s">
        <v>48</v>
      </c>
      <c r="E494" t="s">
        <v>1028</v>
      </c>
      <c r="F494" t="s">
        <v>1029</v>
      </c>
      <c r="G494">
        <v>4581</v>
      </c>
      <c r="H494" t="s">
        <v>1030</v>
      </c>
      <c r="I494" t="s">
        <v>1025</v>
      </c>
      <c r="J494">
        <v>-0.46</v>
      </c>
      <c r="K494">
        <v>2.23E-2</v>
      </c>
      <c r="L494">
        <v>-20.627802689999999</v>
      </c>
      <c r="M494">
        <v>1000</v>
      </c>
      <c r="N494">
        <v>1</v>
      </c>
      <c r="O494">
        <v>998</v>
      </c>
      <c r="P494">
        <v>-0.54673047299999999</v>
      </c>
      <c r="Q494">
        <v>-0.61370583899999998</v>
      </c>
      <c r="R494">
        <v>3.1670318000000003E-2</v>
      </c>
      <c r="S494">
        <v>-0.551632016</v>
      </c>
      <c r="T494">
        <v>-0.67577966199999995</v>
      </c>
      <c r="U494">
        <v>2.2181373000000001E-2</v>
      </c>
      <c r="V494">
        <v>7.0143699999999996E-4</v>
      </c>
      <c r="W494">
        <v>-0.54535565699999999</v>
      </c>
      <c r="X494">
        <v>-0.54810528800000002</v>
      </c>
      <c r="Y494" t="s">
        <v>1031</v>
      </c>
      <c r="Z494" t="s">
        <v>1032</v>
      </c>
      <c r="AA494">
        <v>0</v>
      </c>
      <c r="AB494" t="s">
        <v>173</v>
      </c>
      <c r="AC494" t="s">
        <v>155</v>
      </c>
      <c r="AD494" t="s">
        <v>1034</v>
      </c>
    </row>
    <row r="495" spans="1:30" x14ac:dyDescent="0.25">
      <c r="A495">
        <v>1961</v>
      </c>
      <c r="B495" t="s">
        <v>156</v>
      </c>
      <c r="C495" t="s">
        <v>106</v>
      </c>
      <c r="D495" t="s">
        <v>48</v>
      </c>
      <c r="E495" t="s">
        <v>1028</v>
      </c>
      <c r="F495" t="s">
        <v>1029</v>
      </c>
      <c r="G495">
        <v>4602</v>
      </c>
      <c r="H495" t="s">
        <v>1030</v>
      </c>
      <c r="I495" t="s">
        <v>1025</v>
      </c>
      <c r="J495">
        <v>-0.41</v>
      </c>
      <c r="K495">
        <v>2.1999999999999999E-2</v>
      </c>
      <c r="L495">
        <v>-18.636363639999999</v>
      </c>
      <c r="M495">
        <v>1000</v>
      </c>
      <c r="N495">
        <v>1</v>
      </c>
      <c r="O495">
        <v>998</v>
      </c>
      <c r="P495">
        <v>-0.50810016599999996</v>
      </c>
      <c r="Q495">
        <v>-0.56016543200000002</v>
      </c>
      <c r="R495">
        <v>3.1670318000000003E-2</v>
      </c>
      <c r="S495">
        <v>-0.49809160899999999</v>
      </c>
      <c r="T495">
        <v>-0.62223925499999999</v>
      </c>
      <c r="U495">
        <v>2.3470596E-2</v>
      </c>
      <c r="V495">
        <v>7.4220500000000001E-4</v>
      </c>
      <c r="W495">
        <v>-0.506645444</v>
      </c>
      <c r="X495">
        <v>-0.50955488900000001</v>
      </c>
      <c r="Y495" t="s">
        <v>1031</v>
      </c>
      <c r="Z495" t="s">
        <v>1032</v>
      </c>
      <c r="AA495">
        <v>0</v>
      </c>
      <c r="AB495" t="s">
        <v>173</v>
      </c>
      <c r="AC495" t="s">
        <v>155</v>
      </c>
      <c r="AD495" t="s">
        <v>1035</v>
      </c>
    </row>
    <row r="496" spans="1:30" x14ac:dyDescent="0.25">
      <c r="A496">
        <v>1963</v>
      </c>
      <c r="B496" t="s">
        <v>156</v>
      </c>
      <c r="C496" t="s">
        <v>106</v>
      </c>
      <c r="D496" t="s">
        <v>48</v>
      </c>
      <c r="E496" t="s">
        <v>1028</v>
      </c>
      <c r="F496" t="s">
        <v>1029</v>
      </c>
      <c r="G496">
        <v>4764</v>
      </c>
      <c r="H496" t="s">
        <v>1030</v>
      </c>
      <c r="I496" t="s">
        <v>1025</v>
      </c>
      <c r="J496">
        <v>-0.45</v>
      </c>
      <c r="K496">
        <v>2.23E-2</v>
      </c>
      <c r="L496">
        <v>-20.1793722</v>
      </c>
      <c r="M496">
        <v>1000</v>
      </c>
      <c r="N496">
        <v>1</v>
      </c>
      <c r="O496">
        <v>998</v>
      </c>
      <c r="P496">
        <v>-0.53831624899999997</v>
      </c>
      <c r="Q496">
        <v>-0.60178180800000003</v>
      </c>
      <c r="R496">
        <v>3.1670318000000003E-2</v>
      </c>
      <c r="S496">
        <v>-0.53970798499999995</v>
      </c>
      <c r="T496">
        <v>-0.663855631</v>
      </c>
      <c r="U496">
        <v>2.2470227999999998E-2</v>
      </c>
      <c r="V496">
        <v>7.1057100000000001E-4</v>
      </c>
      <c r="W496">
        <v>-0.53692352899999995</v>
      </c>
      <c r="X496">
        <v>-0.53970896800000001</v>
      </c>
      <c r="Y496" t="s">
        <v>1031</v>
      </c>
      <c r="Z496" t="s">
        <v>1032</v>
      </c>
      <c r="AA496">
        <v>0</v>
      </c>
      <c r="AB496" t="s">
        <v>173</v>
      </c>
      <c r="AC496" t="s">
        <v>155</v>
      </c>
      <c r="AD496" t="s">
        <v>1036</v>
      </c>
    </row>
    <row r="497" spans="1:30" x14ac:dyDescent="0.25">
      <c r="A497">
        <v>1965</v>
      </c>
      <c r="B497" t="s">
        <v>156</v>
      </c>
      <c r="C497" t="s">
        <v>107</v>
      </c>
      <c r="D497" t="s">
        <v>48</v>
      </c>
      <c r="E497" t="s">
        <v>1028</v>
      </c>
      <c r="F497" t="s">
        <v>1029</v>
      </c>
      <c r="G497">
        <v>7221</v>
      </c>
      <c r="H497" t="s">
        <v>1030</v>
      </c>
      <c r="I497" t="s">
        <v>1025</v>
      </c>
      <c r="J497">
        <v>-0.34</v>
      </c>
      <c r="K497">
        <v>2.12E-2</v>
      </c>
      <c r="L497">
        <v>-16.037735850000001</v>
      </c>
      <c r="M497">
        <v>1000</v>
      </c>
      <c r="N497">
        <v>1</v>
      </c>
      <c r="O497">
        <v>998</v>
      </c>
      <c r="P497">
        <v>-0.45267346600000002</v>
      </c>
      <c r="Q497">
        <v>-0.48805766499999997</v>
      </c>
      <c r="R497">
        <v>3.1670318000000003E-2</v>
      </c>
      <c r="S497">
        <v>-0.425983842</v>
      </c>
      <c r="T497">
        <v>-0.550131488</v>
      </c>
      <c r="U497">
        <v>2.5155430999999999E-2</v>
      </c>
      <c r="V497">
        <v>7.9548499999999996E-4</v>
      </c>
      <c r="W497">
        <v>-0.45111431699999999</v>
      </c>
      <c r="X497">
        <v>-0.45423261599999998</v>
      </c>
      <c r="Y497" t="s">
        <v>1031</v>
      </c>
      <c r="Z497" t="s">
        <v>1032</v>
      </c>
      <c r="AA497">
        <v>0</v>
      </c>
      <c r="AB497" t="s">
        <v>173</v>
      </c>
      <c r="AC497" t="s">
        <v>155</v>
      </c>
      <c r="AD497" t="s">
        <v>1037</v>
      </c>
    </row>
    <row r="498" spans="1:30" x14ac:dyDescent="0.25">
      <c r="A498">
        <v>1967</v>
      </c>
      <c r="B498" t="s">
        <v>156</v>
      </c>
      <c r="C498" t="s">
        <v>107</v>
      </c>
      <c r="D498" t="s">
        <v>48</v>
      </c>
      <c r="E498" t="s">
        <v>1028</v>
      </c>
      <c r="F498" t="s">
        <v>1029</v>
      </c>
      <c r="G498">
        <v>6570</v>
      </c>
      <c r="H498" t="s">
        <v>1030</v>
      </c>
      <c r="I498" t="s">
        <v>1025</v>
      </c>
      <c r="J498">
        <v>-0.41</v>
      </c>
      <c r="K498">
        <v>2.1999999999999999E-2</v>
      </c>
      <c r="L498">
        <v>-18.636363639999999</v>
      </c>
      <c r="M498">
        <v>1000</v>
      </c>
      <c r="N498">
        <v>1</v>
      </c>
      <c r="O498">
        <v>998</v>
      </c>
      <c r="P498">
        <v>-0.50810016599999996</v>
      </c>
      <c r="Q498">
        <v>-0.56016543200000002</v>
      </c>
      <c r="R498">
        <v>3.1670318000000003E-2</v>
      </c>
      <c r="S498">
        <v>-0.49809160899999999</v>
      </c>
      <c r="T498">
        <v>-0.62223925499999999</v>
      </c>
      <c r="U498">
        <v>2.3470596E-2</v>
      </c>
      <c r="V498">
        <v>7.4220500000000001E-4</v>
      </c>
      <c r="W498">
        <v>-0.506645444</v>
      </c>
      <c r="X498">
        <v>-0.50955488900000001</v>
      </c>
      <c r="Y498" t="s">
        <v>1031</v>
      </c>
      <c r="Z498" t="s">
        <v>1032</v>
      </c>
      <c r="AA498">
        <v>0</v>
      </c>
      <c r="AB498" t="s">
        <v>173</v>
      </c>
      <c r="AC498" t="s">
        <v>155</v>
      </c>
      <c r="AD498" t="s">
        <v>1038</v>
      </c>
    </row>
    <row r="499" spans="1:30" x14ac:dyDescent="0.25">
      <c r="A499">
        <v>1969</v>
      </c>
      <c r="B499" t="s">
        <v>156</v>
      </c>
      <c r="C499" t="s">
        <v>107</v>
      </c>
      <c r="D499" t="s">
        <v>48</v>
      </c>
      <c r="E499" t="s">
        <v>1028</v>
      </c>
      <c r="F499" t="s">
        <v>1029</v>
      </c>
      <c r="G499">
        <v>4902</v>
      </c>
      <c r="H499" t="s">
        <v>1030</v>
      </c>
      <c r="I499" t="s">
        <v>1025</v>
      </c>
      <c r="J499">
        <v>-0.24</v>
      </c>
      <c r="K499">
        <v>1.9099999999999999E-2</v>
      </c>
      <c r="L499">
        <v>-12.565445029999999</v>
      </c>
      <c r="M499">
        <v>1000</v>
      </c>
      <c r="N499">
        <v>1</v>
      </c>
      <c r="O499">
        <v>998</v>
      </c>
      <c r="P499">
        <v>-0.369589432</v>
      </c>
      <c r="Q499">
        <v>-0.38794749299999998</v>
      </c>
      <c r="R499">
        <v>3.1670318000000003E-2</v>
      </c>
      <c r="S499">
        <v>-0.32587367</v>
      </c>
      <c r="T499">
        <v>-0.450021316</v>
      </c>
      <c r="U499">
        <v>2.7316883E-2</v>
      </c>
      <c r="V499">
        <v>8.6383599999999999E-4</v>
      </c>
      <c r="W499">
        <v>-0.367896314</v>
      </c>
      <c r="X499">
        <v>-0.37128254999999999</v>
      </c>
      <c r="Y499" t="s">
        <v>1031</v>
      </c>
      <c r="Z499" t="s">
        <v>1032</v>
      </c>
      <c r="AA499">
        <v>0</v>
      </c>
      <c r="AB499" t="s">
        <v>173</v>
      </c>
      <c r="AC499" t="s">
        <v>155</v>
      </c>
      <c r="AD499" t="s">
        <v>1039</v>
      </c>
    </row>
    <row r="500" spans="1:30" x14ac:dyDescent="0.25">
      <c r="A500">
        <v>1971</v>
      </c>
      <c r="B500" t="s">
        <v>156</v>
      </c>
      <c r="C500" t="s">
        <v>107</v>
      </c>
      <c r="D500" t="s">
        <v>48</v>
      </c>
      <c r="E500" t="s">
        <v>1028</v>
      </c>
      <c r="F500" t="s">
        <v>1029</v>
      </c>
      <c r="G500">
        <v>4578</v>
      </c>
      <c r="H500" t="s">
        <v>1030</v>
      </c>
      <c r="I500" t="s">
        <v>1025</v>
      </c>
      <c r="J500">
        <v>-0.23</v>
      </c>
      <c r="K500">
        <v>1.8800000000000001E-2</v>
      </c>
      <c r="L500">
        <v>-12.23404255</v>
      </c>
      <c r="M500">
        <v>1000</v>
      </c>
      <c r="N500">
        <v>1</v>
      </c>
      <c r="O500">
        <v>998</v>
      </c>
      <c r="P500">
        <v>-0.36112797499999999</v>
      </c>
      <c r="Q500">
        <v>-0.37818243299999998</v>
      </c>
      <c r="R500">
        <v>3.1670318000000003E-2</v>
      </c>
      <c r="S500">
        <v>-0.31610861099999998</v>
      </c>
      <c r="T500">
        <v>-0.44025625600000001</v>
      </c>
      <c r="U500">
        <v>2.7512502000000001E-2</v>
      </c>
      <c r="V500">
        <v>8.7002200000000003E-4</v>
      </c>
      <c r="W500">
        <v>-0.35942273200000002</v>
      </c>
      <c r="X500">
        <v>-0.36283321699999999</v>
      </c>
      <c r="Y500" t="s">
        <v>1031</v>
      </c>
      <c r="Z500" t="s">
        <v>1032</v>
      </c>
      <c r="AA500">
        <v>0</v>
      </c>
      <c r="AB500" t="s">
        <v>173</v>
      </c>
      <c r="AC500" t="s">
        <v>155</v>
      </c>
      <c r="AD500" t="s">
        <v>1040</v>
      </c>
    </row>
    <row r="501" spans="1:30" x14ac:dyDescent="0.25">
      <c r="A501">
        <v>1978</v>
      </c>
      <c r="B501" t="s">
        <v>156</v>
      </c>
      <c r="C501" t="s">
        <v>107</v>
      </c>
      <c r="D501" t="s">
        <v>48</v>
      </c>
      <c r="E501" t="s">
        <v>1028</v>
      </c>
      <c r="F501" t="s">
        <v>1029</v>
      </c>
      <c r="G501">
        <v>4665</v>
      </c>
      <c r="H501" t="s">
        <v>1030</v>
      </c>
      <c r="I501" t="s">
        <v>1025</v>
      </c>
      <c r="J501">
        <v>-0.18</v>
      </c>
      <c r="K501">
        <v>1.72E-2</v>
      </c>
      <c r="L501">
        <v>-10.46511628</v>
      </c>
      <c r="M501">
        <v>1000</v>
      </c>
      <c r="N501">
        <v>1</v>
      </c>
      <c r="O501">
        <v>998</v>
      </c>
      <c r="P501">
        <v>-0.31446226100000002</v>
      </c>
      <c r="Q501">
        <v>-0.32548969100000003</v>
      </c>
      <c r="R501">
        <v>3.1670318000000003E-2</v>
      </c>
      <c r="S501">
        <v>-0.26341586900000002</v>
      </c>
      <c r="T501">
        <v>-0.387563514</v>
      </c>
      <c r="U501">
        <v>2.8509969E-2</v>
      </c>
      <c r="V501">
        <v>9.0156399999999999E-4</v>
      </c>
      <c r="W501">
        <v>-0.31269519499999998</v>
      </c>
      <c r="X501">
        <v>-0.316229327</v>
      </c>
      <c r="Y501" t="s">
        <v>1031</v>
      </c>
      <c r="Z501" t="s">
        <v>1032</v>
      </c>
      <c r="AA501">
        <v>0</v>
      </c>
      <c r="AB501" t="s">
        <v>173</v>
      </c>
      <c r="AC501" t="s">
        <v>155</v>
      </c>
      <c r="AD501" t="s">
        <v>1041</v>
      </c>
    </row>
    <row r="502" spans="1:30" x14ac:dyDescent="0.25">
      <c r="A502">
        <v>1983</v>
      </c>
      <c r="B502" t="s">
        <v>156</v>
      </c>
      <c r="C502" t="s">
        <v>107</v>
      </c>
      <c r="D502" t="s">
        <v>48</v>
      </c>
      <c r="E502" t="s">
        <v>1028</v>
      </c>
      <c r="F502" t="s">
        <v>1029</v>
      </c>
      <c r="G502">
        <v>16856</v>
      </c>
      <c r="H502" t="s">
        <v>1030</v>
      </c>
      <c r="I502" t="s">
        <v>1025</v>
      </c>
      <c r="J502">
        <v>-0.16</v>
      </c>
      <c r="K502">
        <v>1.6400000000000001E-2</v>
      </c>
      <c r="L502">
        <v>-9.7560975610000007</v>
      </c>
      <c r="M502">
        <v>1000</v>
      </c>
      <c r="N502">
        <v>1</v>
      </c>
      <c r="O502">
        <v>998</v>
      </c>
      <c r="P502">
        <v>-0.29507336499999998</v>
      </c>
      <c r="Q502">
        <v>-0.30411444599999998</v>
      </c>
      <c r="R502">
        <v>3.1670318000000003E-2</v>
      </c>
      <c r="S502">
        <v>-0.24204062300000001</v>
      </c>
      <c r="T502">
        <v>-0.36618826900000001</v>
      </c>
      <c r="U502">
        <v>2.8883881E-2</v>
      </c>
      <c r="V502">
        <v>9.1338900000000002E-4</v>
      </c>
      <c r="W502">
        <v>-0.29328312400000001</v>
      </c>
      <c r="X502">
        <v>-0.29686360699999997</v>
      </c>
      <c r="Y502" t="s">
        <v>1031</v>
      </c>
      <c r="Z502" t="s">
        <v>1032</v>
      </c>
      <c r="AA502">
        <v>0</v>
      </c>
      <c r="AB502" t="s">
        <v>173</v>
      </c>
      <c r="AC502" t="s">
        <v>155</v>
      </c>
      <c r="AD502" t="s">
        <v>1042</v>
      </c>
    </row>
    <row r="503" spans="1:30" x14ac:dyDescent="0.25">
      <c r="A503">
        <v>1984</v>
      </c>
      <c r="B503" t="s">
        <v>156</v>
      </c>
      <c r="C503" t="s">
        <v>107</v>
      </c>
      <c r="D503" t="s">
        <v>48</v>
      </c>
      <c r="E503" t="s">
        <v>1028</v>
      </c>
      <c r="F503" t="s">
        <v>1029</v>
      </c>
      <c r="G503">
        <v>4737</v>
      </c>
      <c r="H503" t="s">
        <v>1030</v>
      </c>
      <c r="I503" t="s">
        <v>1025</v>
      </c>
      <c r="J503">
        <v>-0.16</v>
      </c>
      <c r="K503">
        <v>1.6400000000000001E-2</v>
      </c>
      <c r="L503">
        <v>-9.7560975610000007</v>
      </c>
      <c r="M503">
        <v>1000</v>
      </c>
      <c r="N503">
        <v>1</v>
      </c>
      <c r="O503">
        <v>998</v>
      </c>
      <c r="P503">
        <v>-0.29507336499999998</v>
      </c>
      <c r="Q503">
        <v>-0.30411444599999998</v>
      </c>
      <c r="R503">
        <v>3.1670318000000003E-2</v>
      </c>
      <c r="S503">
        <v>-0.24204062300000001</v>
      </c>
      <c r="T503">
        <v>-0.36618826900000001</v>
      </c>
      <c r="U503">
        <v>2.8883881E-2</v>
      </c>
      <c r="V503">
        <v>9.1338900000000002E-4</v>
      </c>
      <c r="W503">
        <v>-0.29328312400000001</v>
      </c>
      <c r="X503">
        <v>-0.29686360699999997</v>
      </c>
      <c r="Y503" t="s">
        <v>1031</v>
      </c>
      <c r="Z503" t="s">
        <v>1032</v>
      </c>
      <c r="AA503">
        <v>0</v>
      </c>
      <c r="AB503" t="s">
        <v>173</v>
      </c>
      <c r="AC503" t="s">
        <v>155</v>
      </c>
      <c r="AD503" t="s">
        <v>1043</v>
      </c>
    </row>
    <row r="504" spans="1:30" x14ac:dyDescent="0.25">
      <c r="A504">
        <v>1987</v>
      </c>
      <c r="B504" t="s">
        <v>156</v>
      </c>
      <c r="C504" t="s">
        <v>107</v>
      </c>
      <c r="D504" t="s">
        <v>48</v>
      </c>
      <c r="E504" t="s">
        <v>1028</v>
      </c>
      <c r="F504" t="s">
        <v>1029</v>
      </c>
      <c r="G504">
        <v>4821</v>
      </c>
      <c r="H504" t="s">
        <v>1030</v>
      </c>
      <c r="I504" t="s">
        <v>1025</v>
      </c>
      <c r="J504">
        <v>-0.13</v>
      </c>
      <c r="K504">
        <v>1.5100000000000001E-2</v>
      </c>
      <c r="L504">
        <v>-8.6092715230000003</v>
      </c>
      <c r="M504">
        <v>1000</v>
      </c>
      <c r="N504">
        <v>1</v>
      </c>
      <c r="O504">
        <v>998</v>
      </c>
      <c r="P504">
        <v>-0.26293281800000001</v>
      </c>
      <c r="Q504">
        <v>-0.26925644199999998</v>
      </c>
      <c r="R504">
        <v>3.1670318000000003E-2</v>
      </c>
      <c r="S504">
        <v>-0.20718261900000001</v>
      </c>
      <c r="T504">
        <v>-0.33133026500000001</v>
      </c>
      <c r="U504">
        <v>2.9451306999999999E-2</v>
      </c>
      <c r="V504">
        <v>9.3133199999999999E-4</v>
      </c>
      <c r="W504">
        <v>-0.26110740700000001</v>
      </c>
      <c r="X504">
        <v>-0.26475822900000001</v>
      </c>
      <c r="Y504" t="s">
        <v>1031</v>
      </c>
      <c r="Z504" t="s">
        <v>1032</v>
      </c>
      <c r="AA504">
        <v>0</v>
      </c>
      <c r="AB504" t="s">
        <v>173</v>
      </c>
      <c r="AC504" t="s">
        <v>155</v>
      </c>
      <c r="AD504" t="s">
        <v>1044</v>
      </c>
    </row>
    <row r="505" spans="1:30" x14ac:dyDescent="0.25">
      <c r="A505">
        <v>1997</v>
      </c>
      <c r="B505" t="s">
        <v>156</v>
      </c>
      <c r="C505" t="s">
        <v>107</v>
      </c>
      <c r="D505" t="s">
        <v>48</v>
      </c>
      <c r="E505" t="s">
        <v>1028</v>
      </c>
      <c r="F505" t="s">
        <v>1029</v>
      </c>
      <c r="G505">
        <v>12144</v>
      </c>
      <c r="H505" t="s">
        <v>1030</v>
      </c>
      <c r="I505" t="s">
        <v>1025</v>
      </c>
      <c r="J505">
        <v>-0.04</v>
      </c>
      <c r="K505">
        <v>8.8000000000000005E-3</v>
      </c>
      <c r="L505">
        <v>-4.5454545450000001</v>
      </c>
      <c r="M505">
        <v>1000</v>
      </c>
      <c r="N505">
        <v>1</v>
      </c>
      <c r="O505">
        <v>998</v>
      </c>
      <c r="P505">
        <v>-0.14241720099999999</v>
      </c>
      <c r="Q505">
        <v>-0.14339195800000001</v>
      </c>
      <c r="R505">
        <v>3.1670318000000003E-2</v>
      </c>
      <c r="S505">
        <v>-8.1318135E-2</v>
      </c>
      <c r="T505">
        <v>-0.20546577999999999</v>
      </c>
      <c r="U505">
        <v>3.0996884999999998E-2</v>
      </c>
      <c r="V505">
        <v>9.8020799999999999E-4</v>
      </c>
      <c r="W505">
        <v>-0.14049599400000001</v>
      </c>
      <c r="X505">
        <v>-0.144338408</v>
      </c>
      <c r="Y505" t="s">
        <v>1031</v>
      </c>
      <c r="Z505" t="s">
        <v>1032</v>
      </c>
      <c r="AA505">
        <v>0</v>
      </c>
      <c r="AB505" t="s">
        <v>173</v>
      </c>
      <c r="AC505" t="s">
        <v>155</v>
      </c>
      <c r="AD505" t="s">
        <v>1045</v>
      </c>
    </row>
    <row r="506" spans="1:30" x14ac:dyDescent="0.25">
      <c r="A506">
        <v>1999</v>
      </c>
      <c r="B506" t="s">
        <v>156</v>
      </c>
      <c r="C506" t="s">
        <v>107</v>
      </c>
      <c r="D506" t="s">
        <v>48</v>
      </c>
      <c r="E506" t="s">
        <v>1028</v>
      </c>
      <c r="F506" t="s">
        <v>1029</v>
      </c>
      <c r="G506">
        <v>3042</v>
      </c>
      <c r="H506" t="s">
        <v>1030</v>
      </c>
      <c r="I506" t="s">
        <v>1025</v>
      </c>
      <c r="J506">
        <v>-0.04</v>
      </c>
      <c r="K506">
        <v>8.8000000000000005E-3</v>
      </c>
      <c r="L506">
        <v>-4.5454545450000001</v>
      </c>
      <c r="M506">
        <v>1000</v>
      </c>
      <c r="N506">
        <v>1</v>
      </c>
      <c r="O506">
        <v>998</v>
      </c>
      <c r="P506">
        <v>-0.14241720099999999</v>
      </c>
      <c r="Q506">
        <v>-0.14339195800000001</v>
      </c>
      <c r="R506">
        <v>3.1670318000000003E-2</v>
      </c>
      <c r="S506">
        <v>-8.1318135E-2</v>
      </c>
      <c r="T506">
        <v>-0.20546577999999999</v>
      </c>
      <c r="U506">
        <v>3.0996884999999998E-2</v>
      </c>
      <c r="V506">
        <v>9.8020799999999999E-4</v>
      </c>
      <c r="W506">
        <v>-0.14049599400000001</v>
      </c>
      <c r="X506">
        <v>-0.144338408</v>
      </c>
      <c r="Y506" t="s">
        <v>1031</v>
      </c>
      <c r="Z506" t="s">
        <v>1032</v>
      </c>
      <c r="AA506">
        <v>0</v>
      </c>
      <c r="AB506" t="s">
        <v>173</v>
      </c>
      <c r="AC506" t="s">
        <v>155</v>
      </c>
      <c r="AD506" t="s">
        <v>1046</v>
      </c>
    </row>
    <row r="507" spans="1:30" x14ac:dyDescent="0.25">
      <c r="A507">
        <v>2003</v>
      </c>
      <c r="B507" t="s">
        <v>156</v>
      </c>
      <c r="C507" t="s">
        <v>108</v>
      </c>
      <c r="D507" t="s">
        <v>48</v>
      </c>
      <c r="E507" t="s">
        <v>1028</v>
      </c>
      <c r="F507" t="s">
        <v>1029</v>
      </c>
      <c r="G507">
        <v>3057</v>
      </c>
      <c r="H507" t="s">
        <v>1030</v>
      </c>
      <c r="I507" t="s">
        <v>1025</v>
      </c>
      <c r="J507">
        <v>-0.06</v>
      </c>
      <c r="K507">
        <v>1.06E-2</v>
      </c>
      <c r="L507">
        <v>-5.6603773579999999</v>
      </c>
      <c r="M507">
        <v>1000</v>
      </c>
      <c r="N507">
        <v>1</v>
      </c>
      <c r="O507">
        <v>998</v>
      </c>
      <c r="P507">
        <v>-0.176367422</v>
      </c>
      <c r="Q507">
        <v>-0.178230992</v>
      </c>
      <c r="R507">
        <v>3.1670318000000003E-2</v>
      </c>
      <c r="S507">
        <v>-0.116157169</v>
      </c>
      <c r="T507">
        <v>-0.240304815</v>
      </c>
      <c r="U507">
        <v>3.0654465999999998E-2</v>
      </c>
      <c r="V507">
        <v>9.6937900000000003E-4</v>
      </c>
      <c r="W507">
        <v>-0.174467439</v>
      </c>
      <c r="X507">
        <v>-0.17826740599999999</v>
      </c>
      <c r="Y507" t="s">
        <v>1031</v>
      </c>
      <c r="Z507" t="s">
        <v>1032</v>
      </c>
      <c r="AA507">
        <v>0</v>
      </c>
      <c r="AB507" t="s">
        <v>173</v>
      </c>
      <c r="AC507" t="s">
        <v>155</v>
      </c>
      <c r="AD507" t="s">
        <v>1047</v>
      </c>
    </row>
    <row r="508" spans="1:30" x14ac:dyDescent="0.25">
      <c r="A508">
        <v>2007</v>
      </c>
      <c r="B508" t="s">
        <v>156</v>
      </c>
      <c r="C508" t="s">
        <v>108</v>
      </c>
      <c r="D508" t="s">
        <v>48</v>
      </c>
      <c r="E508" t="s">
        <v>1028</v>
      </c>
      <c r="F508" t="s">
        <v>1029</v>
      </c>
      <c r="G508">
        <v>10139</v>
      </c>
      <c r="H508" t="s">
        <v>1030</v>
      </c>
      <c r="I508" t="s">
        <v>1025</v>
      </c>
      <c r="J508">
        <v>-0.05</v>
      </c>
      <c r="K508">
        <v>9.7999999999999997E-3</v>
      </c>
      <c r="L508">
        <v>-5.1020408159999997</v>
      </c>
      <c r="M508">
        <v>1000</v>
      </c>
      <c r="N508">
        <v>1</v>
      </c>
      <c r="O508">
        <v>998</v>
      </c>
      <c r="P508">
        <v>-0.15943637599999999</v>
      </c>
      <c r="Q508">
        <v>-0.16080831800000001</v>
      </c>
      <c r="R508">
        <v>3.1670318000000003E-2</v>
      </c>
      <c r="S508">
        <v>-9.8734495000000005E-2</v>
      </c>
      <c r="T508">
        <v>-0.22288214100000001</v>
      </c>
      <c r="U508">
        <v>3.0834348000000001E-2</v>
      </c>
      <c r="V508">
        <v>9.7506800000000005E-4</v>
      </c>
      <c r="W508">
        <v>-0.15752524300000001</v>
      </c>
      <c r="X508">
        <v>-0.161347509</v>
      </c>
      <c r="Y508" t="s">
        <v>1031</v>
      </c>
      <c r="Z508" t="s">
        <v>1032</v>
      </c>
      <c r="AA508">
        <v>0</v>
      </c>
      <c r="AB508" t="s">
        <v>173</v>
      </c>
      <c r="AC508" t="s">
        <v>155</v>
      </c>
      <c r="AD508" t="s">
        <v>1048</v>
      </c>
    </row>
    <row r="509" spans="1:30" x14ac:dyDescent="0.25">
      <c r="A509">
        <v>2011</v>
      </c>
      <c r="B509" t="s">
        <v>156</v>
      </c>
      <c r="C509" t="s">
        <v>108</v>
      </c>
      <c r="D509" t="s">
        <v>48</v>
      </c>
      <c r="E509" t="s">
        <v>1028</v>
      </c>
      <c r="F509" t="s">
        <v>1029</v>
      </c>
      <c r="G509">
        <v>8336</v>
      </c>
      <c r="H509" t="s">
        <v>1030</v>
      </c>
      <c r="I509" t="s">
        <v>1025</v>
      </c>
      <c r="J509">
        <v>-0.05</v>
      </c>
      <c r="K509">
        <v>9.7999999999999997E-3</v>
      </c>
      <c r="L509">
        <v>-5.1020408159999997</v>
      </c>
      <c r="M509">
        <v>1000</v>
      </c>
      <c r="N509">
        <v>1</v>
      </c>
      <c r="O509">
        <v>998</v>
      </c>
      <c r="P509">
        <v>-0.15943637599999999</v>
      </c>
      <c r="Q509">
        <v>-0.16080831800000001</v>
      </c>
      <c r="R509">
        <v>3.1670318000000003E-2</v>
      </c>
      <c r="S509">
        <v>-9.8734495000000005E-2</v>
      </c>
      <c r="T509">
        <v>-0.22288214100000001</v>
      </c>
      <c r="U509">
        <v>3.0834348000000001E-2</v>
      </c>
      <c r="V509">
        <v>9.7506800000000005E-4</v>
      </c>
      <c r="W509">
        <v>-0.15752524300000001</v>
      </c>
      <c r="X509">
        <v>-0.161347509</v>
      </c>
      <c r="Y509" t="s">
        <v>1031</v>
      </c>
      <c r="Z509" t="s">
        <v>1032</v>
      </c>
      <c r="AA509">
        <v>0</v>
      </c>
      <c r="AB509" t="s">
        <v>173</v>
      </c>
      <c r="AC509" t="s">
        <v>155</v>
      </c>
      <c r="AD509" t="s">
        <v>1049</v>
      </c>
    </row>
    <row r="510" spans="1:30" x14ac:dyDescent="0.25">
      <c r="A510">
        <v>2012</v>
      </c>
      <c r="B510" t="s">
        <v>156</v>
      </c>
      <c r="C510" t="s">
        <v>108</v>
      </c>
      <c r="D510" t="s">
        <v>48</v>
      </c>
      <c r="E510" t="s">
        <v>1028</v>
      </c>
      <c r="F510" t="s">
        <v>1029</v>
      </c>
      <c r="G510">
        <v>3012</v>
      </c>
      <c r="H510" t="s">
        <v>1030</v>
      </c>
      <c r="I510" t="s">
        <v>1025</v>
      </c>
      <c r="J510">
        <v>-0.04</v>
      </c>
      <c r="K510">
        <v>8.8000000000000005E-3</v>
      </c>
      <c r="L510">
        <v>-4.5454545450000001</v>
      </c>
      <c r="M510">
        <v>1000</v>
      </c>
      <c r="N510">
        <v>1</v>
      </c>
      <c r="O510">
        <v>998</v>
      </c>
      <c r="P510">
        <v>-0.14241720099999999</v>
      </c>
      <c r="Q510">
        <v>-0.14339195800000001</v>
      </c>
      <c r="R510">
        <v>3.1670318000000003E-2</v>
      </c>
      <c r="S510">
        <v>-8.1318135E-2</v>
      </c>
      <c r="T510">
        <v>-0.20546577999999999</v>
      </c>
      <c r="U510">
        <v>3.0996884999999998E-2</v>
      </c>
      <c r="V510">
        <v>9.8020799999999999E-4</v>
      </c>
      <c r="W510">
        <v>-0.14049599400000001</v>
      </c>
      <c r="X510">
        <v>-0.144338408</v>
      </c>
      <c r="Y510" t="s">
        <v>1031</v>
      </c>
      <c r="Z510" t="s">
        <v>1032</v>
      </c>
      <c r="AA510">
        <v>0</v>
      </c>
      <c r="AB510" t="s">
        <v>173</v>
      </c>
      <c r="AC510" t="s">
        <v>155</v>
      </c>
      <c r="AD510" t="s">
        <v>1049</v>
      </c>
    </row>
    <row r="511" spans="1:30" x14ac:dyDescent="0.25">
      <c r="A511">
        <v>2015</v>
      </c>
      <c r="B511" t="s">
        <v>156</v>
      </c>
      <c r="C511" t="s">
        <v>108</v>
      </c>
      <c r="D511" t="s">
        <v>48</v>
      </c>
      <c r="E511" t="s">
        <v>1028</v>
      </c>
      <c r="F511" t="s">
        <v>1029</v>
      </c>
      <c r="G511">
        <v>4581</v>
      </c>
      <c r="H511" t="s">
        <v>1030</v>
      </c>
      <c r="I511" t="s">
        <v>1025</v>
      </c>
      <c r="J511">
        <v>-7.0000000000000007E-2</v>
      </c>
      <c r="K511">
        <v>1.14E-2</v>
      </c>
      <c r="L511">
        <v>-6.1403508770000004</v>
      </c>
      <c r="M511">
        <v>1000</v>
      </c>
      <c r="N511">
        <v>1</v>
      </c>
      <c r="O511">
        <v>998</v>
      </c>
      <c r="P511">
        <v>-0.19079868699999999</v>
      </c>
      <c r="Q511">
        <v>-0.193165899</v>
      </c>
      <c r="R511">
        <v>3.1670318000000003E-2</v>
      </c>
      <c r="S511">
        <v>-0.131092076</v>
      </c>
      <c r="T511">
        <v>-0.255239722</v>
      </c>
      <c r="U511">
        <v>3.0486823999999999E-2</v>
      </c>
      <c r="V511">
        <v>9.6407800000000005E-4</v>
      </c>
      <c r="W511">
        <v>-0.188909094</v>
      </c>
      <c r="X511">
        <v>-0.19268827999999999</v>
      </c>
      <c r="Y511" t="s">
        <v>1031</v>
      </c>
      <c r="Z511" t="s">
        <v>1032</v>
      </c>
      <c r="AA511">
        <v>0</v>
      </c>
      <c r="AB511" t="s">
        <v>173</v>
      </c>
      <c r="AC511" t="s">
        <v>155</v>
      </c>
      <c r="AD511" t="s">
        <v>1050</v>
      </c>
    </row>
    <row r="512" spans="1:30" x14ac:dyDescent="0.25">
      <c r="A512">
        <v>2019</v>
      </c>
      <c r="B512" t="s">
        <v>156</v>
      </c>
      <c r="C512" t="s">
        <v>108</v>
      </c>
      <c r="D512" t="s">
        <v>48</v>
      </c>
      <c r="E512" t="s">
        <v>1028</v>
      </c>
      <c r="F512" t="s">
        <v>1029</v>
      </c>
      <c r="G512">
        <v>3072</v>
      </c>
      <c r="H512" t="s">
        <v>1030</v>
      </c>
      <c r="I512" t="s">
        <v>1025</v>
      </c>
      <c r="J512">
        <v>-0.03</v>
      </c>
      <c r="K512">
        <v>7.6E-3</v>
      </c>
      <c r="L512">
        <v>-3.9473684210000002</v>
      </c>
      <c r="M512">
        <v>1000</v>
      </c>
      <c r="N512">
        <v>1</v>
      </c>
      <c r="O512">
        <v>998</v>
      </c>
      <c r="P512">
        <v>-0.123987607</v>
      </c>
      <c r="Q512">
        <v>-0.124628883</v>
      </c>
      <c r="R512">
        <v>3.1670318000000003E-2</v>
      </c>
      <c r="S512">
        <v>-6.2555059999999996E-2</v>
      </c>
      <c r="T512">
        <v>-0.186702706</v>
      </c>
      <c r="U512">
        <v>3.1152222E-2</v>
      </c>
      <c r="V512">
        <v>9.8511999999999992E-4</v>
      </c>
      <c r="W512">
        <v>-0.12205677199999999</v>
      </c>
      <c r="X512">
        <v>-0.12591844199999999</v>
      </c>
      <c r="Y512" t="s">
        <v>1031</v>
      </c>
      <c r="Z512" t="s">
        <v>1032</v>
      </c>
      <c r="AA512">
        <v>0</v>
      </c>
      <c r="AB512" t="s">
        <v>173</v>
      </c>
      <c r="AC512" t="s">
        <v>155</v>
      </c>
      <c r="AD512" t="s">
        <v>1051</v>
      </c>
    </row>
    <row r="513" spans="1:30" x14ac:dyDescent="0.25">
      <c r="A513">
        <v>2020</v>
      </c>
      <c r="B513" t="s">
        <v>156</v>
      </c>
      <c r="C513" t="s">
        <v>108</v>
      </c>
      <c r="D513" t="s">
        <v>48</v>
      </c>
      <c r="E513" t="s">
        <v>1028</v>
      </c>
      <c r="F513" t="s">
        <v>1029</v>
      </c>
      <c r="G513">
        <v>3099</v>
      </c>
      <c r="H513" t="s">
        <v>1030</v>
      </c>
      <c r="I513" t="s">
        <v>1025</v>
      </c>
      <c r="J513">
        <v>-0.04</v>
      </c>
      <c r="K513">
        <v>8.8000000000000005E-3</v>
      </c>
      <c r="L513">
        <v>-4.5454545450000001</v>
      </c>
      <c r="M513">
        <v>1000</v>
      </c>
      <c r="N513">
        <v>1</v>
      </c>
      <c r="O513">
        <v>998</v>
      </c>
      <c r="P513">
        <v>-0.14241720099999999</v>
      </c>
      <c r="Q513">
        <v>-0.14339195800000001</v>
      </c>
      <c r="R513">
        <v>3.1670318000000003E-2</v>
      </c>
      <c r="S513">
        <v>-8.1318135E-2</v>
      </c>
      <c r="T513">
        <v>-0.20546577999999999</v>
      </c>
      <c r="U513">
        <v>3.0996884999999998E-2</v>
      </c>
      <c r="V513">
        <v>9.8020799999999999E-4</v>
      </c>
      <c r="W513">
        <v>-0.14049599400000001</v>
      </c>
      <c r="X513">
        <v>-0.144338408</v>
      </c>
      <c r="Y513" t="s">
        <v>1031</v>
      </c>
      <c r="Z513" t="s">
        <v>1032</v>
      </c>
      <c r="AA513">
        <v>0</v>
      </c>
      <c r="AB513" t="s">
        <v>173</v>
      </c>
      <c r="AC513" t="s">
        <v>155</v>
      </c>
      <c r="AD513" t="s">
        <v>1051</v>
      </c>
    </row>
    <row r="514" spans="1:30" x14ac:dyDescent="0.25">
      <c r="A514">
        <v>2024</v>
      </c>
      <c r="B514" t="s">
        <v>156</v>
      </c>
      <c r="C514" t="s">
        <v>108</v>
      </c>
      <c r="D514" t="s">
        <v>48</v>
      </c>
      <c r="E514" t="s">
        <v>1028</v>
      </c>
      <c r="F514" t="s">
        <v>1029</v>
      </c>
      <c r="G514">
        <v>3033</v>
      </c>
      <c r="H514" t="s">
        <v>1030</v>
      </c>
      <c r="I514" t="s">
        <v>1025</v>
      </c>
      <c r="J514">
        <v>-0.05</v>
      </c>
      <c r="K514">
        <v>9.7999999999999997E-3</v>
      </c>
      <c r="L514">
        <v>-5.1020408159999997</v>
      </c>
      <c r="M514">
        <v>1000</v>
      </c>
      <c r="N514">
        <v>1</v>
      </c>
      <c r="O514">
        <v>998</v>
      </c>
      <c r="P514">
        <v>-0.15943637599999999</v>
      </c>
      <c r="Q514">
        <v>-0.16080831800000001</v>
      </c>
      <c r="R514">
        <v>3.1670318000000003E-2</v>
      </c>
      <c r="S514">
        <v>-9.8734495000000005E-2</v>
      </c>
      <c r="T514">
        <v>-0.22288214100000001</v>
      </c>
      <c r="U514">
        <v>3.0834348000000001E-2</v>
      </c>
      <c r="V514">
        <v>9.7506800000000005E-4</v>
      </c>
      <c r="W514">
        <v>-0.15752524300000001</v>
      </c>
      <c r="X514">
        <v>-0.161347509</v>
      </c>
      <c r="Y514" t="s">
        <v>1052</v>
      </c>
      <c r="Z514" t="s">
        <v>1032</v>
      </c>
      <c r="AA514">
        <v>0</v>
      </c>
      <c r="AB514" t="s">
        <v>173</v>
      </c>
      <c r="AC514" t="s">
        <v>155</v>
      </c>
      <c r="AD514" t="s">
        <v>1053</v>
      </c>
    </row>
    <row r="515" spans="1:30" x14ac:dyDescent="0.25">
      <c r="A515" t="s">
        <v>1054</v>
      </c>
      <c r="B515" t="s">
        <v>156</v>
      </c>
      <c r="C515" t="s">
        <v>108</v>
      </c>
      <c r="D515" t="s">
        <v>48</v>
      </c>
      <c r="E515" t="s">
        <v>1028</v>
      </c>
      <c r="F515" t="s">
        <v>1055</v>
      </c>
      <c r="G515">
        <v>89711</v>
      </c>
      <c r="H515" t="s">
        <v>1056</v>
      </c>
      <c r="I515" t="s">
        <v>1025</v>
      </c>
      <c r="M515">
        <v>89711</v>
      </c>
      <c r="N515">
        <v>1</v>
      </c>
      <c r="O515">
        <v>89709</v>
      </c>
      <c r="P515">
        <v>6.0000000000000001E-3</v>
      </c>
      <c r="Q515">
        <v>6.0000720000000004E-3</v>
      </c>
      <c r="R515">
        <v>3.3387540000000002E-3</v>
      </c>
      <c r="S515">
        <v>1.2544029999999999E-2</v>
      </c>
      <c r="T515">
        <v>-5.4388600000000004E-4</v>
      </c>
      <c r="U515">
        <v>3.338597E-3</v>
      </c>
      <c r="V515">
        <v>1.11E-5</v>
      </c>
      <c r="W515">
        <v>6.0218470000000003E-3</v>
      </c>
      <c r="X515">
        <v>5.9781529999999999E-3</v>
      </c>
      <c r="Y515" t="s">
        <v>1057</v>
      </c>
      <c r="Z515" t="s">
        <v>1058</v>
      </c>
      <c r="AA515">
        <v>0</v>
      </c>
      <c r="AB515" t="s">
        <v>173</v>
      </c>
      <c r="AC515" t="s">
        <v>155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9EAA0-4CE1-4A6B-A91A-E99F5A1F5162}">
  <dimension ref="A1:Q27"/>
  <sheetViews>
    <sheetView workbookViewId="0">
      <selection activeCell="F19" sqref="F19"/>
    </sheetView>
  </sheetViews>
  <sheetFormatPr defaultRowHeight="15" x14ac:dyDescent="0.25"/>
  <cols>
    <col min="1" max="1" width="49" style="6" bestFit="1" customWidth="1"/>
    <col min="2" max="5" width="27.42578125" style="6" customWidth="1"/>
    <col min="6" max="6" width="25.5703125" style="6" bestFit="1" customWidth="1"/>
    <col min="7" max="7" width="39.85546875" style="6" bestFit="1" customWidth="1"/>
    <col min="8" max="10" width="14.28515625" style="6" customWidth="1"/>
    <col min="11" max="11" width="13.5703125" style="6" customWidth="1"/>
    <col min="12" max="12" width="27.5703125" style="6" bestFit="1" customWidth="1"/>
    <col min="13" max="13" width="21.42578125" style="6" bestFit="1" customWidth="1"/>
    <col min="14" max="14" width="22.140625" style="6" bestFit="1" customWidth="1"/>
    <col min="15" max="18" width="22.140625" style="6" customWidth="1"/>
    <col min="19" max="21" width="24.28515625" style="6" customWidth="1"/>
    <col min="22" max="16384" width="9.140625" style="6"/>
  </cols>
  <sheetData>
    <row r="1" spans="1:17" x14ac:dyDescent="0.25">
      <c r="A1" s="22" t="s">
        <v>1149</v>
      </c>
      <c r="B1" s="23"/>
      <c r="C1" s="23"/>
      <c r="D1" s="23"/>
      <c r="E1" s="23"/>
      <c r="F1" s="23"/>
      <c r="G1" s="23"/>
      <c r="H1" s="23"/>
      <c r="I1" s="23"/>
      <c r="J1" s="23"/>
      <c r="K1" s="23"/>
      <c r="L1" s="23"/>
      <c r="M1" s="23"/>
      <c r="N1" s="23"/>
      <c r="O1" s="23"/>
      <c r="P1" s="23"/>
    </row>
    <row r="2" spans="1:17" x14ac:dyDescent="0.25">
      <c r="A2" s="11"/>
      <c r="B2" s="21" t="s">
        <v>1147</v>
      </c>
      <c r="C2" s="21"/>
      <c r="D2" s="21"/>
      <c r="E2" s="21"/>
      <c r="F2" s="21"/>
      <c r="G2" s="21"/>
      <c r="H2" s="21"/>
      <c r="I2" s="21"/>
      <c r="J2" s="19" t="s">
        <v>1148</v>
      </c>
      <c r="K2" s="20"/>
      <c r="L2" s="20"/>
      <c r="M2" s="20"/>
      <c r="N2" s="20"/>
      <c r="O2" s="20"/>
      <c r="P2" s="20"/>
      <c r="Q2" s="7"/>
    </row>
    <row r="3" spans="1:17" s="7" customFormat="1" ht="60" x14ac:dyDescent="0.25">
      <c r="A3" s="13" t="s">
        <v>1144</v>
      </c>
      <c r="B3" s="7" t="s">
        <v>1155</v>
      </c>
      <c r="C3" s="7" t="s">
        <v>1154</v>
      </c>
      <c r="D3" s="7" t="s">
        <v>1152</v>
      </c>
      <c r="E3" s="7" t="s">
        <v>1153</v>
      </c>
      <c r="F3" s="7" t="s">
        <v>1150</v>
      </c>
      <c r="G3" s="7" t="s">
        <v>1151</v>
      </c>
      <c r="H3" s="7" t="s">
        <v>1118</v>
      </c>
      <c r="I3" s="14" t="s">
        <v>1156</v>
      </c>
      <c r="J3" s="7" t="s">
        <v>1155</v>
      </c>
      <c r="K3" s="7" t="s">
        <v>1154</v>
      </c>
      <c r="L3" s="7" t="s">
        <v>1152</v>
      </c>
      <c r="M3" s="7" t="s">
        <v>1153</v>
      </c>
      <c r="N3" s="7" t="s">
        <v>1156</v>
      </c>
      <c r="O3" s="7" t="s">
        <v>1150</v>
      </c>
      <c r="P3" s="7" t="s">
        <v>1151</v>
      </c>
    </row>
    <row r="4" spans="1:17" x14ac:dyDescent="0.25">
      <c r="A4" s="6" t="s">
        <v>12</v>
      </c>
      <c r="B4" s="6" t="s">
        <v>1128</v>
      </c>
      <c r="C4" s="6" t="s">
        <v>1129</v>
      </c>
      <c r="D4" s="6" t="s">
        <v>1130</v>
      </c>
      <c r="E4" s="6" t="s">
        <v>1131</v>
      </c>
      <c r="F4" s="6" t="s">
        <v>1132</v>
      </c>
      <c r="G4" s="6" t="s">
        <v>1133</v>
      </c>
      <c r="H4" s="6" t="s">
        <v>1134</v>
      </c>
      <c r="I4" s="6" t="s">
        <v>1135</v>
      </c>
      <c r="J4" s="10" t="s">
        <v>1136</v>
      </c>
      <c r="K4" s="6" t="s">
        <v>1137</v>
      </c>
      <c r="L4" s="6" t="s">
        <v>1138</v>
      </c>
      <c r="M4" s="6" t="s">
        <v>1139</v>
      </c>
      <c r="N4" s="6" t="s">
        <v>1140</v>
      </c>
      <c r="O4" s="6" t="s">
        <v>1141</v>
      </c>
      <c r="P4" s="6" t="s">
        <v>1142</v>
      </c>
    </row>
    <row r="5" spans="1:17" x14ac:dyDescent="0.25">
      <c r="A5" s="6" t="s">
        <v>106</v>
      </c>
      <c r="B5" s="6">
        <v>0.87014884000000003</v>
      </c>
      <c r="C5" s="6">
        <v>0.10264461</v>
      </c>
      <c r="D5" s="6">
        <v>0.81163490000000005</v>
      </c>
      <c r="E5" s="6">
        <v>0.91137515999999996</v>
      </c>
      <c r="F5" s="6">
        <v>-0.47285146</v>
      </c>
      <c r="G5" s="6">
        <v>0.99655497000000004</v>
      </c>
      <c r="H5" s="6">
        <v>117</v>
      </c>
      <c r="I5" s="6">
        <v>0.84760040000000003</v>
      </c>
      <c r="J5" s="10">
        <v>1.3336922</v>
      </c>
      <c r="K5" s="6">
        <v>0.10300739</v>
      </c>
      <c r="L5" s="6">
        <v>1.1318014000000001</v>
      </c>
      <c r="M5" s="6">
        <v>1.5355829999999999</v>
      </c>
      <c r="N5" s="6">
        <v>1.2475685000000001</v>
      </c>
      <c r="O5" s="6">
        <v>-0.51373661000000004</v>
      </c>
      <c r="P5" s="6">
        <v>3.1811208999999998</v>
      </c>
    </row>
    <row r="6" spans="1:17" x14ac:dyDescent="0.25">
      <c r="A6" s="6" t="s">
        <v>1120</v>
      </c>
      <c r="B6" s="6">
        <v>0.17497652999999999</v>
      </c>
      <c r="C6" s="6">
        <v>2.335659E-2</v>
      </c>
      <c r="D6" s="6">
        <v>0.13026499999999999</v>
      </c>
      <c r="E6" s="6">
        <v>0.21897785</v>
      </c>
      <c r="F6" s="6">
        <v>-0.29789760999999998</v>
      </c>
      <c r="G6" s="6">
        <v>0.57889723999999998</v>
      </c>
      <c r="H6" s="6">
        <v>159</v>
      </c>
      <c r="I6" s="6">
        <v>8.5422448999999998E-2</v>
      </c>
      <c r="J6" s="10">
        <v>0.17679581</v>
      </c>
      <c r="K6" s="6">
        <v>2.3360839000000001E-2</v>
      </c>
      <c r="L6" s="6">
        <v>0.13100940999999999</v>
      </c>
      <c r="M6" s="6">
        <v>0.22258222</v>
      </c>
      <c r="N6" s="6">
        <v>8.5631139999999994E-2</v>
      </c>
      <c r="O6" s="6">
        <v>-0.30721089000000001</v>
      </c>
      <c r="P6" s="6">
        <v>0.66080247999999997</v>
      </c>
    </row>
    <row r="7" spans="1:17" x14ac:dyDescent="0.25">
      <c r="A7" s="6" t="s">
        <v>1070</v>
      </c>
      <c r="B7" s="6">
        <v>2.784621E-2</v>
      </c>
      <c r="C7" s="6">
        <v>9.164419E-3</v>
      </c>
      <c r="D7" s="6">
        <v>9.8906550999999995E-3</v>
      </c>
      <c r="E7" s="6">
        <v>4.5783813999999999E-2</v>
      </c>
      <c r="F7" s="6">
        <v>-0.17362757000000001</v>
      </c>
      <c r="G7" s="6">
        <v>0.22708270999999999</v>
      </c>
      <c r="H7" s="6">
        <v>188</v>
      </c>
      <c r="I7" s="6">
        <v>1.5100496999999999E-2</v>
      </c>
      <c r="J7" s="10">
        <v>2.7853411000000002E-2</v>
      </c>
      <c r="K7" s="6">
        <v>9.1646751000000002E-3</v>
      </c>
      <c r="L7" s="6">
        <v>9.8909772999999993E-3</v>
      </c>
      <c r="M7" s="6">
        <v>4.5815844000000001E-2</v>
      </c>
      <c r="N7" s="6">
        <v>1.5101645E-2</v>
      </c>
      <c r="O7" s="6">
        <v>-0.17540458</v>
      </c>
      <c r="P7" s="6">
        <v>0.23111140999999999</v>
      </c>
    </row>
    <row r="8" spans="1:17" x14ac:dyDescent="0.25">
      <c r="A8" s="6" t="s">
        <v>1119</v>
      </c>
      <c r="B8" s="6">
        <v>0.38323121999999998</v>
      </c>
      <c r="C8" s="6">
        <v>3.7309206999999997E-2</v>
      </c>
      <c r="D8" s="6">
        <v>0.31913435000000001</v>
      </c>
      <c r="E8" s="6">
        <v>0.44383805999999998</v>
      </c>
      <c r="F8" s="6">
        <v>-0.72971386000000005</v>
      </c>
      <c r="G8" s="6">
        <v>0.93973744000000003</v>
      </c>
      <c r="H8" s="6">
        <v>466</v>
      </c>
      <c r="I8" s="6">
        <v>0.57065849999999996</v>
      </c>
      <c r="J8" s="10">
        <v>0.40384164</v>
      </c>
      <c r="K8" s="6">
        <v>3.7326533000000002E-2</v>
      </c>
      <c r="L8" s="6">
        <v>0.33068299000000001</v>
      </c>
      <c r="M8" s="6">
        <v>0.47700032999999997</v>
      </c>
      <c r="N8" s="6">
        <v>0.64849882999999997</v>
      </c>
      <c r="O8" s="6">
        <v>-0.92811507000000004</v>
      </c>
      <c r="P8" s="6">
        <v>1.7357984</v>
      </c>
    </row>
    <row r="9" spans="1:17" x14ac:dyDescent="0.25">
      <c r="A9" s="11" t="s">
        <v>1143</v>
      </c>
      <c r="J9" s="10"/>
    </row>
    <row r="10" spans="1:17" x14ac:dyDescent="0.25">
      <c r="A10" s="6" t="s">
        <v>51</v>
      </c>
      <c r="B10" s="6">
        <v>3.8899001000000002E-2</v>
      </c>
      <c r="C10" s="6">
        <v>1.1858015E-2</v>
      </c>
      <c r="D10" s="6">
        <v>1.5674982E-2</v>
      </c>
      <c r="E10" s="6">
        <v>6.2081069000000003E-2</v>
      </c>
      <c r="F10" s="6">
        <v>-9.1185607000000002E-2</v>
      </c>
      <c r="G10" s="6">
        <v>0.16767834000000001</v>
      </c>
      <c r="H10" s="6">
        <v>53</v>
      </c>
      <c r="I10" s="6">
        <v>6.2115555999999999E-3</v>
      </c>
      <c r="J10" s="10">
        <v>3.8918636999999999E-2</v>
      </c>
      <c r="K10" s="6">
        <v>1.1858571E-2</v>
      </c>
      <c r="L10" s="6">
        <v>1.5676266000000001E-2</v>
      </c>
      <c r="M10" s="6">
        <v>6.2161010000000003E-2</v>
      </c>
      <c r="N10" s="6">
        <v>6.2116356999999999E-3</v>
      </c>
      <c r="O10" s="6">
        <v>-9.1439604999999993E-2</v>
      </c>
      <c r="P10" s="6">
        <v>0.16927687999999999</v>
      </c>
    </row>
    <row r="11" spans="1:17" x14ac:dyDescent="0.25">
      <c r="A11" s="6" t="s">
        <v>57</v>
      </c>
      <c r="B11" s="6">
        <v>2.6229978000000001E-2</v>
      </c>
      <c r="C11" s="6">
        <v>1.1591162E-2</v>
      </c>
      <c r="D11" s="6">
        <v>3.5167069E-3</v>
      </c>
      <c r="E11" s="6">
        <v>4.8916201999999999E-2</v>
      </c>
      <c r="F11" s="6">
        <v>-0.16544439999999999</v>
      </c>
      <c r="G11" s="6">
        <v>0.21599491000000001</v>
      </c>
      <c r="H11" s="6">
        <v>108</v>
      </c>
      <c r="I11" s="6">
        <v>1.3645347E-2</v>
      </c>
      <c r="J11" s="10">
        <v>2.6235996000000001E-2</v>
      </c>
      <c r="K11" s="6">
        <v>1.159168E-2</v>
      </c>
      <c r="L11" s="6">
        <v>3.5167213000000001E-3</v>
      </c>
      <c r="M11" s="6">
        <v>4.8955273000000001E-2</v>
      </c>
      <c r="N11" s="6">
        <v>1.3646194E-2</v>
      </c>
      <c r="O11" s="6">
        <v>-0.16697919</v>
      </c>
      <c r="P11" s="6">
        <v>0.21945118999999999</v>
      </c>
    </row>
    <row r="12" spans="1:17" x14ac:dyDescent="0.25">
      <c r="A12" s="6" t="s">
        <v>100</v>
      </c>
      <c r="B12" s="6">
        <v>0.33211190000000002</v>
      </c>
      <c r="C12" s="6">
        <v>0.13401784</v>
      </c>
      <c r="D12" s="6">
        <v>8.0763914000000006E-2</v>
      </c>
      <c r="E12" s="6">
        <v>0.54374688999999998</v>
      </c>
      <c r="F12" s="6">
        <v>-0.56656021000000001</v>
      </c>
      <c r="G12" s="6">
        <v>0.86994231</v>
      </c>
      <c r="H12" s="6">
        <v>19</v>
      </c>
      <c r="I12" s="6">
        <v>0.34217735999999999</v>
      </c>
      <c r="J12" s="10">
        <v>0.34520009000000001</v>
      </c>
      <c r="K12" s="6">
        <v>0.13482895</v>
      </c>
      <c r="L12" s="6">
        <v>8.0940208999999999E-2</v>
      </c>
      <c r="M12" s="6">
        <v>0.60946</v>
      </c>
      <c r="N12" s="6">
        <v>0.35655656000000002</v>
      </c>
      <c r="O12" s="6">
        <v>-0.64244228999999997</v>
      </c>
      <c r="P12" s="6">
        <v>1.3328424999999999</v>
      </c>
    </row>
    <row r="13" spans="1:17" x14ac:dyDescent="0.25">
      <c r="A13" s="6" t="s">
        <v>63</v>
      </c>
      <c r="B13" s="6">
        <v>0.94114958999999998</v>
      </c>
      <c r="C13" s="6">
        <v>0.14351358</v>
      </c>
      <c r="D13" s="6">
        <v>0.89857726999999998</v>
      </c>
      <c r="E13" s="6">
        <v>0.96617048999999999</v>
      </c>
      <c r="F13" s="6">
        <v>-0.26987156000000001</v>
      </c>
      <c r="G13" s="6">
        <v>0.99894362999999997</v>
      </c>
      <c r="H13" s="6">
        <v>71</v>
      </c>
      <c r="I13" s="6">
        <v>0.90488451999999997</v>
      </c>
      <c r="J13" s="10">
        <v>1.7480183</v>
      </c>
      <c r="K13" s="6">
        <v>0.14451121</v>
      </c>
      <c r="L13" s="6">
        <v>1.4647815</v>
      </c>
      <c r="M13" s="6">
        <v>2.0312549999999998</v>
      </c>
      <c r="N13" s="6">
        <v>1.4985424000000001</v>
      </c>
      <c r="O13" s="6">
        <v>-0.27672529000000001</v>
      </c>
      <c r="P13" s="6">
        <v>3.7727618000000001</v>
      </c>
    </row>
    <row r="14" spans="1:17" x14ac:dyDescent="0.25">
      <c r="A14" s="6" t="s">
        <v>173</v>
      </c>
      <c r="B14" s="6">
        <v>0.36729854000000001</v>
      </c>
      <c r="C14" s="6">
        <v>3.1821298999999997E-2</v>
      </c>
      <c r="D14" s="6">
        <v>0.31213316000000002</v>
      </c>
      <c r="E14" s="6">
        <v>0.41999536999999998</v>
      </c>
      <c r="F14" s="6">
        <v>-0.22328496</v>
      </c>
      <c r="G14" s="6">
        <v>0.76062834000000001</v>
      </c>
      <c r="H14" s="6">
        <v>136</v>
      </c>
      <c r="I14" s="6">
        <v>0.13623893000000001</v>
      </c>
      <c r="J14" s="10">
        <v>0.38529676000000002</v>
      </c>
      <c r="K14" s="6">
        <v>3.1832047000000002E-2</v>
      </c>
      <c r="L14" s="6">
        <v>0.32290709000000001</v>
      </c>
      <c r="M14" s="6">
        <v>0.44768639999999998</v>
      </c>
      <c r="N14" s="6">
        <v>0.13709135</v>
      </c>
      <c r="O14" s="6">
        <v>-0.22711079000000001</v>
      </c>
      <c r="P14" s="6">
        <v>0.99770433000000003</v>
      </c>
    </row>
    <row r="15" spans="1:17" x14ac:dyDescent="0.25">
      <c r="A15" s="6" t="s">
        <v>54</v>
      </c>
      <c r="B15" s="6">
        <v>-2.4630459E-2</v>
      </c>
      <c r="C15" s="6">
        <v>9.8573193000000003E-3</v>
      </c>
      <c r="D15" s="6">
        <v>-4.3927769999999998E-2</v>
      </c>
      <c r="E15" s="6">
        <v>-5.3147756999999997E-3</v>
      </c>
      <c r="F15" s="6">
        <v>-0.16246128000000001</v>
      </c>
      <c r="G15" s="6">
        <v>0.11414315999999999</v>
      </c>
      <c r="H15" s="6">
        <v>74</v>
      </c>
      <c r="I15" s="6">
        <v>7.0906844999999996E-3</v>
      </c>
      <c r="J15" s="10">
        <v>-2.4635442E-2</v>
      </c>
      <c r="K15" s="6">
        <v>9.8576387000000008E-3</v>
      </c>
      <c r="L15" s="6">
        <v>-4.3956056E-2</v>
      </c>
      <c r="M15" s="6">
        <v>-5.3148255999999998E-3</v>
      </c>
      <c r="N15" s="6">
        <v>7.0908031999999998E-3</v>
      </c>
      <c r="O15" s="6">
        <v>-0.16391367000000001</v>
      </c>
      <c r="P15" s="6">
        <v>0.11464278</v>
      </c>
    </row>
    <row r="16" spans="1:17" x14ac:dyDescent="0.25">
      <c r="A16" s="11" t="s">
        <v>1145</v>
      </c>
      <c r="J16" s="10"/>
    </row>
    <row r="17" spans="1:16" x14ac:dyDescent="0.25">
      <c r="A17" s="6" t="s">
        <v>106</v>
      </c>
      <c r="B17" s="6">
        <v>0.87032556999999999</v>
      </c>
      <c r="C17" s="6">
        <v>9.0904146000000005E-2</v>
      </c>
      <c r="D17" s="6">
        <v>0.81965268000000002</v>
      </c>
      <c r="E17" s="6">
        <v>0.90748452999999996</v>
      </c>
      <c r="F17" s="6">
        <v>-0.29099904999999998</v>
      </c>
      <c r="G17" s="6">
        <v>0.99473398999999996</v>
      </c>
      <c r="H17" s="6">
        <v>117</v>
      </c>
      <c r="I17" s="6">
        <v>0.75135320000000005</v>
      </c>
      <c r="J17" s="10">
        <v>1.3344202999999999</v>
      </c>
      <c r="K17" s="6">
        <v>9.115579E-2</v>
      </c>
      <c r="L17" s="6">
        <v>1.1557583</v>
      </c>
      <c r="M17" s="6">
        <v>1.5130825000000001</v>
      </c>
      <c r="N17" s="6">
        <v>0.97605525999999998</v>
      </c>
      <c r="O17" s="6">
        <v>-0.29965740000000002</v>
      </c>
      <c r="P17" s="6">
        <v>2.9684979999999999</v>
      </c>
    </row>
    <row r="18" spans="1:16" x14ac:dyDescent="0.25">
      <c r="A18" s="6" t="s">
        <v>1120</v>
      </c>
      <c r="B18" s="6">
        <v>0.17545632999999999</v>
      </c>
      <c r="C18" s="6">
        <v>2.2251324999999999E-2</v>
      </c>
      <c r="D18" s="6">
        <v>0.13288131</v>
      </c>
      <c r="E18" s="6">
        <v>0.21738504</v>
      </c>
      <c r="F18" s="6">
        <v>-0.27602351000000003</v>
      </c>
      <c r="G18" s="6">
        <v>0.56350493000000001</v>
      </c>
      <c r="H18" s="6">
        <v>159</v>
      </c>
      <c r="I18" s="6">
        <v>7.7415220000000007E-2</v>
      </c>
      <c r="J18" s="10">
        <v>0.17729080999999999</v>
      </c>
      <c r="K18" s="6">
        <v>2.2254998000000002E-2</v>
      </c>
      <c r="L18" s="6">
        <v>0.13367182</v>
      </c>
      <c r="M18" s="6">
        <v>0.22090979999999999</v>
      </c>
      <c r="N18" s="6">
        <v>7.7570430999999995E-2</v>
      </c>
      <c r="O18" s="6">
        <v>-0.28337248999999998</v>
      </c>
      <c r="P18" s="6">
        <v>0.63795411999999996</v>
      </c>
    </row>
    <row r="19" spans="1:16" x14ac:dyDescent="0.25">
      <c r="A19" s="6" t="s">
        <v>1070</v>
      </c>
      <c r="B19" s="6">
        <v>3.3257499000000003E-2</v>
      </c>
      <c r="C19" s="6">
        <v>3.2671432000000002E-3</v>
      </c>
      <c r="D19" s="6">
        <v>2.6859803000000002E-2</v>
      </c>
      <c r="E19" s="6">
        <v>3.9652474E-2</v>
      </c>
      <c r="F19" s="6">
        <v>-3.3848651E-2</v>
      </c>
      <c r="G19" s="6">
        <v>0.10006511999999999</v>
      </c>
      <c r="H19" s="6">
        <v>188</v>
      </c>
      <c r="I19" s="6">
        <v>1.6473256E-3</v>
      </c>
      <c r="J19" s="10">
        <v>3.3269769999999997E-2</v>
      </c>
      <c r="K19" s="6">
        <v>3.2671547999999998E-3</v>
      </c>
      <c r="L19" s="6">
        <v>2.6866265E-2</v>
      </c>
      <c r="M19" s="6">
        <v>3.9673276E-2</v>
      </c>
      <c r="N19" s="6">
        <v>1.6473270999999999E-3</v>
      </c>
      <c r="O19" s="6">
        <v>-3.3861585E-2</v>
      </c>
      <c r="P19" s="6">
        <v>0.10040113000000001</v>
      </c>
    </row>
    <row r="20" spans="1:16" x14ac:dyDescent="0.25">
      <c r="A20" s="6" t="s">
        <v>1119</v>
      </c>
      <c r="B20" s="6">
        <v>0.38801595999999999</v>
      </c>
      <c r="C20" s="6">
        <v>1.1483037999999999E-2</v>
      </c>
      <c r="D20" s="6">
        <v>0.36873209000000001</v>
      </c>
      <c r="E20" s="6">
        <v>0.40696594000000003</v>
      </c>
      <c r="F20" s="6">
        <v>5.0059971000000003E-3</v>
      </c>
      <c r="G20" s="6">
        <v>0.67174619000000002</v>
      </c>
      <c r="H20" s="6">
        <v>466</v>
      </c>
      <c r="I20" s="6">
        <v>5.9724803999999999E-2</v>
      </c>
      <c r="J20" s="10">
        <v>0.40946220999999999</v>
      </c>
      <c r="K20" s="6">
        <v>1.1483543000000001E-2</v>
      </c>
      <c r="L20" s="6">
        <v>0.38695487000000001</v>
      </c>
      <c r="M20" s="6">
        <v>0.43196952</v>
      </c>
      <c r="N20" s="6">
        <v>5.9795972000000003E-2</v>
      </c>
      <c r="O20" s="6">
        <v>5.0060390000000003E-3</v>
      </c>
      <c r="P20" s="6">
        <v>0.81391840999999998</v>
      </c>
    </row>
    <row r="21" spans="1:16" x14ac:dyDescent="0.25">
      <c r="A21" s="11" t="s">
        <v>1146</v>
      </c>
      <c r="J21" s="10"/>
    </row>
    <row r="22" spans="1:16" x14ac:dyDescent="0.25">
      <c r="A22" s="6" t="s">
        <v>51</v>
      </c>
      <c r="B22" s="6">
        <v>3.5592473999999999E-2</v>
      </c>
      <c r="C22" s="6">
        <v>5.5406400999999999E-3</v>
      </c>
      <c r="D22" s="6">
        <v>2.4742897999999999E-2</v>
      </c>
      <c r="E22" s="6">
        <v>4.6433668999999997E-2</v>
      </c>
      <c r="F22" s="6">
        <v>-1.1105731000000001E-2</v>
      </c>
      <c r="G22" s="6">
        <v>8.2135766999999998E-2</v>
      </c>
      <c r="H22" s="6">
        <v>45</v>
      </c>
      <c r="I22" s="6">
        <v>7.9765944999999998E-4</v>
      </c>
      <c r="J22" s="10">
        <v>3.5607516999999998E-2</v>
      </c>
      <c r="K22" s="6">
        <v>5.5406969000000002E-3</v>
      </c>
      <c r="L22" s="6">
        <v>2.4747949000000002E-2</v>
      </c>
      <c r="M22" s="6">
        <v>4.6467083999999999E-2</v>
      </c>
      <c r="N22" s="6">
        <v>7.9765961999999995E-4</v>
      </c>
      <c r="O22" s="6">
        <v>-1.1106187E-2</v>
      </c>
      <c r="P22" s="6">
        <v>8.2321219000000001E-2</v>
      </c>
    </row>
    <row r="23" spans="1:16" x14ac:dyDescent="0.25">
      <c r="A23" s="6" t="s">
        <v>57</v>
      </c>
      <c r="B23" s="6">
        <v>1.9777697E-2</v>
      </c>
      <c r="C23" s="6">
        <v>2.4466414E-3</v>
      </c>
      <c r="D23" s="6">
        <v>1.4983814999999999E-2</v>
      </c>
      <c r="E23" s="6">
        <v>2.4570666000000001E-2</v>
      </c>
      <c r="F23" s="6">
        <v>-2.8950734999999999E-3</v>
      </c>
      <c r="G23" s="6">
        <v>4.2430148000000001E-2</v>
      </c>
      <c r="H23" s="6">
        <v>46</v>
      </c>
      <c r="I23" s="6">
        <v>1.8794782E-4</v>
      </c>
      <c r="J23" s="10">
        <v>1.9780275999999999E-2</v>
      </c>
      <c r="K23" s="6">
        <v>2.4466462999999999E-3</v>
      </c>
      <c r="L23" s="6">
        <v>1.4984936000000001E-2</v>
      </c>
      <c r="M23" s="6">
        <v>2.4575613E-2</v>
      </c>
      <c r="N23" s="6">
        <v>1.8794782E-4</v>
      </c>
      <c r="O23" s="6">
        <v>-2.8950816000000001E-3</v>
      </c>
      <c r="P23" s="6">
        <v>4.2455635999999998E-2</v>
      </c>
    </row>
    <row r="24" spans="1:16" x14ac:dyDescent="0.25">
      <c r="A24" s="6" t="s">
        <v>100</v>
      </c>
      <c r="B24" s="6">
        <v>-5.4533300000000002E-3</v>
      </c>
      <c r="C24" s="6">
        <v>3.8960048000000001E-3</v>
      </c>
      <c r="D24" s="6">
        <v>-1.3088704E-2</v>
      </c>
      <c r="E24" s="6">
        <v>2.1826803999999999E-3</v>
      </c>
      <c r="F24" s="6">
        <v>-1.7339921000000001E-2</v>
      </c>
      <c r="G24" s="6">
        <v>6.4348015000000001E-3</v>
      </c>
      <c r="H24" s="6">
        <v>3</v>
      </c>
      <c r="I24" s="6">
        <v>5.1661456E-5</v>
      </c>
      <c r="J24" s="10">
        <v>-5.4533840000000004E-3</v>
      </c>
      <c r="K24" s="6">
        <v>3.8960244999999998E-3</v>
      </c>
      <c r="L24" s="6">
        <v>-1.3089452E-2</v>
      </c>
      <c r="M24" s="6">
        <v>2.1826838999999998E-3</v>
      </c>
      <c r="N24" s="6">
        <v>5.1661456E-5</v>
      </c>
      <c r="O24" s="6">
        <v>-1.7341657999999999E-2</v>
      </c>
      <c r="P24" s="6">
        <v>6.4348903999999997E-3</v>
      </c>
    </row>
    <row r="25" spans="1:16" x14ac:dyDescent="0.25">
      <c r="A25" s="6" t="s">
        <v>63</v>
      </c>
      <c r="B25" s="6">
        <v>-0.53568351000000003</v>
      </c>
      <c r="C25" s="6">
        <v>0.19841695000000001</v>
      </c>
      <c r="D25" s="6">
        <v>-0.75829875000000002</v>
      </c>
      <c r="E25" s="6">
        <v>-0.20118256000000001</v>
      </c>
      <c r="F25" s="6">
        <v>-0.75754111999999996</v>
      </c>
      <c r="G25" s="6">
        <v>-0.20289023</v>
      </c>
      <c r="H25" s="6">
        <v>1</v>
      </c>
      <c r="I25" s="6">
        <v>5.6206948999999999E-2</v>
      </c>
      <c r="J25" s="10">
        <v>-0.59808223999999999</v>
      </c>
      <c r="K25" s="6">
        <v>0.20108408</v>
      </c>
      <c r="L25" s="6">
        <v>-0.99219977999999998</v>
      </c>
      <c r="M25" s="6">
        <v>-0.2039647</v>
      </c>
      <c r="N25" s="6">
        <v>5.6266252000000003E-2</v>
      </c>
      <c r="O25" s="6">
        <v>-0.99041944999999998</v>
      </c>
      <c r="P25" s="6">
        <v>-0.20574503999999999</v>
      </c>
    </row>
    <row r="26" spans="1:16" x14ac:dyDescent="0.25">
      <c r="A26" s="6" t="s">
        <v>173</v>
      </c>
      <c r="B26" s="6">
        <v>0.18233535000000001</v>
      </c>
      <c r="C26" s="6">
        <v>2.8075045E-2</v>
      </c>
      <c r="D26" s="6">
        <v>0.12864004000000001</v>
      </c>
      <c r="E26" s="6">
        <v>0.2349647</v>
      </c>
      <c r="F26" s="6">
        <v>-3.710426E-2</v>
      </c>
      <c r="G26" s="6">
        <v>0.38499941999999998</v>
      </c>
      <c r="H26" s="6">
        <v>24</v>
      </c>
      <c r="I26" s="6">
        <v>1.7935058E-2</v>
      </c>
      <c r="J26" s="10">
        <v>0.18439729999999999</v>
      </c>
      <c r="K26" s="6">
        <v>2.8082425000000001E-2</v>
      </c>
      <c r="L26" s="6">
        <v>0.12935675999999999</v>
      </c>
      <c r="M26" s="6">
        <v>0.23943785000000001</v>
      </c>
      <c r="N26" s="6">
        <v>1.7936982000000001E-2</v>
      </c>
      <c r="O26" s="6">
        <v>-3.7121303000000001E-2</v>
      </c>
      <c r="P26" s="6">
        <v>0.40591589</v>
      </c>
    </row>
    <row r="27" spans="1:16" x14ac:dyDescent="0.25">
      <c r="A27" s="8" t="s">
        <v>54</v>
      </c>
      <c r="B27" s="8">
        <v>-2.2647645000000001E-2</v>
      </c>
      <c r="C27" s="8">
        <v>3.9952918999999996E-3</v>
      </c>
      <c r="D27" s="8">
        <v>-3.0472751999999999E-2</v>
      </c>
      <c r="E27" s="8">
        <v>-1.4819763E-2</v>
      </c>
      <c r="F27" s="8">
        <v>-7.2243161E-2</v>
      </c>
      <c r="G27" s="8">
        <v>2.7059598000000001E-2</v>
      </c>
      <c r="H27" s="8">
        <v>62</v>
      </c>
      <c r="I27" s="8">
        <v>9.0354821000000003E-4</v>
      </c>
      <c r="J27" s="12">
        <v>-2.2651517999999999E-2</v>
      </c>
      <c r="K27" s="8">
        <v>3.9953133E-3</v>
      </c>
      <c r="L27" s="8">
        <v>-3.0482189999999999E-2</v>
      </c>
      <c r="M27" s="8">
        <v>-1.4820847999999999E-2</v>
      </c>
      <c r="N27" s="8">
        <v>9.0354843999999998E-4</v>
      </c>
      <c r="O27" s="8">
        <v>-7.2369240000000001E-2</v>
      </c>
      <c r="P27" s="8">
        <v>2.7066204999999999E-2</v>
      </c>
    </row>
  </sheetData>
  <mergeCells count="3">
    <mergeCell ref="J2:P2"/>
    <mergeCell ref="B2:I2"/>
    <mergeCell ref="A1:P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SD1</vt:lpstr>
      <vt:lpstr>SD2</vt:lpstr>
      <vt:lpstr>SD3</vt:lpstr>
      <vt:lpstr>SD4</vt:lpstr>
      <vt:lpstr>SD5</vt:lpstr>
      <vt:lpstr>SD6</vt:lpstr>
      <vt:lpstr>SD7</vt:lpstr>
      <vt:lpstr>SD8</vt:lpstr>
      <vt:lpstr>SD9</vt:lpstr>
      <vt:lpstr>SD10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Rothwell</dc:creator>
  <cp:lastModifiedBy>Jonathan Rothwell</cp:lastModifiedBy>
  <dcterms:created xsi:type="dcterms:W3CDTF">2025-01-30T22:02:16Z</dcterms:created>
  <dcterms:modified xsi:type="dcterms:W3CDTF">2025-06-06T17:53:25Z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b20742-429b-42b9-accf-7e4dee8e6e11_Enabled">
    <vt:lpwstr>true</vt:lpwstr>
  </property>
  <property fmtid="{D5CDD505-2E9C-101B-9397-08002B2CF9AE}" pid="3" name="MSIP_Label_d8b20742-429b-42b9-accf-7e4dee8e6e11_SetDate">
    <vt:lpwstr>2025-01-30T22:03:02Z</vt:lpwstr>
  </property>
  <property fmtid="{D5CDD505-2E9C-101B-9397-08002B2CF9AE}" pid="4" name="MSIP_Label_d8b20742-429b-42b9-accf-7e4dee8e6e11_Method">
    <vt:lpwstr>Standard</vt:lpwstr>
  </property>
  <property fmtid="{D5CDD505-2E9C-101B-9397-08002B2CF9AE}" pid="5" name="MSIP_Label_d8b20742-429b-42b9-accf-7e4dee8e6e11_Name">
    <vt:lpwstr>General</vt:lpwstr>
  </property>
  <property fmtid="{D5CDD505-2E9C-101B-9397-08002B2CF9AE}" pid="6" name="MSIP_Label_d8b20742-429b-42b9-accf-7e4dee8e6e11_SiteId">
    <vt:lpwstr>b14f2065-f065-4a73-8348-7550feb841c5</vt:lpwstr>
  </property>
  <property fmtid="{D5CDD505-2E9C-101B-9397-08002B2CF9AE}" pid="7" name="MSIP_Label_d8b20742-429b-42b9-accf-7e4dee8e6e11_ActionId">
    <vt:lpwstr>d8308280-f1c7-4563-82c4-21328021f1e0</vt:lpwstr>
  </property>
  <property fmtid="{D5CDD505-2E9C-101B-9397-08002B2CF9AE}" pid="8" name="MSIP_Label_d8b20742-429b-42b9-accf-7e4dee8e6e11_ContentBits">
    <vt:lpwstr>0</vt:lpwstr>
  </property>
</Properties>
</file>