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in/Desktop/CTE paper/Sumission 용 파일/"/>
    </mc:Choice>
  </mc:AlternateContent>
  <xr:revisionPtr revIDLastSave="0" documentId="8_{7A3372E2-BC94-A047-98C2-DEB1198FB933}" xr6:coauthVersionLast="47" xr6:coauthVersionMax="47" xr10:uidLastSave="{00000000-0000-0000-0000-000000000000}"/>
  <bookViews>
    <workbookView xWindow="0" yWindow="-21100" windowWidth="38400" windowHeight="21100" xr2:uid="{0AB92B1C-2E18-874C-A424-0FCD28E40E62}"/>
  </bookViews>
  <sheets>
    <sheet name="Table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G6" i="1"/>
  <c r="C7" i="1"/>
  <c r="G7" i="1"/>
  <c r="C8" i="1"/>
  <c r="G8" i="1"/>
  <c r="C9" i="1"/>
  <c r="G9" i="1"/>
  <c r="C10" i="1"/>
  <c r="G10" i="1"/>
  <c r="G11" i="1"/>
  <c r="G12" i="1"/>
  <c r="C16" i="1"/>
  <c r="G16" i="1"/>
  <c r="C17" i="1"/>
  <c r="G17" i="1"/>
  <c r="C18" i="1"/>
  <c r="G18" i="1"/>
  <c r="C19" i="1"/>
  <c r="G19" i="1"/>
  <c r="C20" i="1"/>
  <c r="G20" i="1"/>
  <c r="G21" i="1"/>
  <c r="G22" i="1"/>
  <c r="G23" i="1"/>
  <c r="G24" i="1"/>
  <c r="G25" i="1"/>
  <c r="G26" i="1"/>
  <c r="G27" i="1"/>
  <c r="C31" i="1"/>
  <c r="G31" i="1"/>
  <c r="C32" i="1"/>
  <c r="G32" i="1"/>
  <c r="C33" i="1"/>
  <c r="G33" i="1"/>
  <c r="C37" i="1"/>
  <c r="G37" i="1"/>
  <c r="C38" i="1"/>
  <c r="G38" i="1"/>
  <c r="C39" i="1"/>
  <c r="G39" i="1"/>
  <c r="C40" i="1"/>
  <c r="G40" i="1"/>
  <c r="C41" i="1"/>
  <c r="G41" i="1"/>
  <c r="C42" i="1"/>
  <c r="G42" i="1"/>
  <c r="C43" i="1"/>
  <c r="G43" i="1"/>
  <c r="C44" i="1"/>
  <c r="G44" i="1"/>
  <c r="G45" i="1"/>
  <c r="G46" i="1"/>
  <c r="C50" i="1"/>
  <c r="G50" i="1"/>
  <c r="C51" i="1"/>
  <c r="G51" i="1"/>
  <c r="C52" i="1"/>
  <c r="G52" i="1"/>
  <c r="C53" i="1"/>
  <c r="G53" i="1"/>
  <c r="C54" i="1"/>
  <c r="G54" i="1"/>
  <c r="C55" i="1"/>
  <c r="G55" i="1"/>
  <c r="C56" i="1"/>
  <c r="G56" i="1"/>
  <c r="C57" i="1"/>
  <c r="G57" i="1"/>
  <c r="C58" i="1"/>
  <c r="G58" i="1"/>
  <c r="C59" i="1"/>
  <c r="C60" i="1"/>
  <c r="C61" i="1"/>
  <c r="C62" i="1"/>
</calcChain>
</file>

<file path=xl/sharedStrings.xml><?xml version="1.0" encoding="utf-8"?>
<sst xmlns="http://schemas.openxmlformats.org/spreadsheetml/2006/main" count="122" uniqueCount="76">
  <si>
    <t>mmu-miR-196b-3p</t>
  </si>
  <si>
    <t>mmu-miR-144-3p</t>
  </si>
  <si>
    <t>mmu-miR-199b-5p</t>
  </si>
  <si>
    <t>mmu-miR-144-5p</t>
  </si>
  <si>
    <t>mmu-miR-125a-5p</t>
  </si>
  <si>
    <t>mmu-miR-301a-3p</t>
  </si>
  <si>
    <t>mmu-miR-423-3p</t>
  </si>
  <si>
    <t>mmu-miR-3535</t>
    <phoneticPr fontId="1" type="noConversion"/>
  </si>
  <si>
    <t>mmu-miR-744-3p</t>
  </si>
  <si>
    <t>mmu-miR-1839-3p</t>
  </si>
  <si>
    <t>mmu-miR-467f</t>
  </si>
  <si>
    <t>mmu-miR-19b-3p</t>
  </si>
  <si>
    <t>mmu-miR-466m-3p</t>
  </si>
  <si>
    <t>mmu-miR-7687-3p</t>
  </si>
  <si>
    <t>mmu-miR-8114</t>
  </si>
  <si>
    <t>mmu-miR-10b-3p</t>
    <phoneticPr fontId="1" type="noConversion"/>
  </si>
  <si>
    <t>mmu-miR-150-5p</t>
  </si>
  <si>
    <t>mmu-miR-196a-5p</t>
  </si>
  <si>
    <t>mmu-miR-8117</t>
  </si>
  <si>
    <t>mmu-miR-16-2-3p</t>
  </si>
  <si>
    <t>mmu-miR-122-5p</t>
  </si>
  <si>
    <t>mmu-miR-451a</t>
  </si>
  <si>
    <t>KD TBI vs TBI</t>
    <phoneticPr fontId="1" type="noConversion"/>
  </si>
  <si>
    <t>p Value</t>
    <phoneticPr fontId="1" type="noConversion"/>
  </si>
  <si>
    <t>Log2(FC)</t>
    <phoneticPr fontId="1" type="noConversion"/>
  </si>
  <si>
    <t>miRNAs ID</t>
    <phoneticPr fontId="1" type="noConversion"/>
  </si>
  <si>
    <t>Downregulated miRNAs</t>
    <phoneticPr fontId="1" type="noConversion"/>
  </si>
  <si>
    <t>Upregulated miRNAs</t>
    <phoneticPr fontId="1" type="noConversion"/>
  </si>
  <si>
    <t>mmu-miR-23a-3p</t>
  </si>
  <si>
    <t>mmu-let-7e-5p</t>
  </si>
  <si>
    <t>mmu-miR-145a-5p</t>
  </si>
  <si>
    <t>mmu-miR-7070-5p</t>
  </si>
  <si>
    <t>mmu-miR-142a-5p</t>
  </si>
  <si>
    <t>mmu-miR-615-5p</t>
  </si>
  <si>
    <t>mmu-miR-1895</t>
  </si>
  <si>
    <t>mmu-miR-382-5p</t>
  </si>
  <si>
    <t>mmu-miR-7025-3p</t>
  </si>
  <si>
    <t>mmu-miR-93-5p</t>
  </si>
  <si>
    <t>mmu-miR-335-5p</t>
  </si>
  <si>
    <t>mmu-miR-17-5p</t>
  </si>
  <si>
    <t>mmu-miR-8108</t>
  </si>
  <si>
    <t>mmu-let-7i-5p</t>
  </si>
  <si>
    <t>KD TBI vs KD</t>
    <phoneticPr fontId="1" type="noConversion"/>
  </si>
  <si>
    <t>mmu-miR-382-5p</t>
    <phoneticPr fontId="1" type="noConversion"/>
  </si>
  <si>
    <t>mmu-miR-351-5p</t>
    <phoneticPr fontId="1" type="noConversion"/>
  </si>
  <si>
    <t>mmu-miR-7a-5p</t>
    <phoneticPr fontId="1" type="noConversion"/>
  </si>
  <si>
    <t>mmu-miR-451a</t>
    <phoneticPr fontId="1" type="noConversion"/>
  </si>
  <si>
    <t>mmu-miR-328-5p</t>
    <phoneticPr fontId="1" type="noConversion"/>
  </si>
  <si>
    <t>SHAM vs KD TBI</t>
    <phoneticPr fontId="1" type="noConversion"/>
  </si>
  <si>
    <t>mmu-miR-574-3p</t>
    <phoneticPr fontId="1" type="noConversion"/>
  </si>
  <si>
    <t>mmu-miR-92b-3p</t>
    <phoneticPr fontId="1" type="noConversion"/>
  </si>
  <si>
    <t>mmu-miR-205-5p</t>
    <phoneticPr fontId="1" type="noConversion"/>
  </si>
  <si>
    <t>mmu-miR-667-3p</t>
    <phoneticPr fontId="1" type="noConversion"/>
  </si>
  <si>
    <t>mmu-miR-434-3p</t>
    <phoneticPr fontId="1" type="noConversion"/>
  </si>
  <si>
    <t>mmu-miR-1249-3p</t>
    <phoneticPr fontId="1" type="noConversion"/>
  </si>
  <si>
    <t>mmu-miR-467f</t>
    <phoneticPr fontId="1" type="noConversion"/>
  </si>
  <si>
    <t>mmu-miR-409-3p</t>
    <phoneticPr fontId="1" type="noConversion"/>
  </si>
  <si>
    <t>mmu-miR-133a-5p</t>
    <phoneticPr fontId="1" type="noConversion"/>
  </si>
  <si>
    <t>mmu-miR-122-5p</t>
    <phoneticPr fontId="1" type="noConversion"/>
  </si>
  <si>
    <t>mmu-miR-676-5p</t>
    <phoneticPr fontId="1" type="noConversion"/>
  </si>
  <si>
    <t>mmu-miR-6967-3p</t>
    <phoneticPr fontId="1" type="noConversion"/>
  </si>
  <si>
    <t>mmu-miR-301a-3p</t>
    <phoneticPr fontId="1" type="noConversion"/>
  </si>
  <si>
    <t>mmu-miR-434-5p</t>
    <phoneticPr fontId="1" type="noConversion"/>
  </si>
  <si>
    <t>SHAM vs TBI</t>
    <phoneticPr fontId="1" type="noConversion"/>
  </si>
  <si>
    <t>mmu-miR-145a-5p</t>
    <phoneticPr fontId="1" type="noConversion"/>
  </si>
  <si>
    <t>mmu-miR-615-5p</t>
    <phoneticPr fontId="1" type="noConversion"/>
  </si>
  <si>
    <t>mmu-miR-320-3p</t>
    <phoneticPr fontId="1" type="noConversion"/>
  </si>
  <si>
    <t>mmu-miR-130b-3p</t>
    <phoneticPr fontId="1" type="noConversion"/>
  </si>
  <si>
    <t>mmu-miR-8101</t>
    <phoneticPr fontId="1" type="noConversion"/>
  </si>
  <si>
    <t>mmu-miR-1839-5p</t>
    <phoneticPr fontId="1" type="noConversion"/>
  </si>
  <si>
    <t>mmu-miR-15a-5p</t>
    <phoneticPr fontId="1" type="noConversion"/>
  </si>
  <si>
    <t>mmu-miR-196a-5p</t>
    <phoneticPr fontId="1" type="noConversion"/>
  </si>
  <si>
    <t>mmu-miR-7070-5p</t>
    <phoneticPr fontId="1" type="noConversion"/>
  </si>
  <si>
    <t>SHAM vs KD</t>
    <phoneticPr fontId="1" type="noConversion"/>
  </si>
  <si>
    <t>Upregulated and downregulated miRNAs in the heat-map</t>
    <phoneticPr fontId="1" type="noConversion"/>
  </si>
  <si>
    <t>Table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</si>
</sst>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_);[Red]\(0.000000\)"/>
    <numFmt numFmtId="177" formatCode="0.000000_ "/>
  </numFmts>
  <fonts count="4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 indent="1" readingOrder="1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 readingOrder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 inden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 readingOrder="1"/>
    </xf>
    <xf numFmtId="0" fontId="2" fillId="0" borderId="2" xfId="0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177" fontId="2" fillId="0" borderId="1" xfId="0" applyNumberFormat="1" applyFont="1" applyBorder="1" applyAlignment="1">
      <alignment horizontal="left" vertical="center" indent="1"/>
    </xf>
    <xf numFmtId="176" fontId="2" fillId="0" borderId="1" xfId="0" applyNumberFormat="1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176" fontId="2" fillId="0" borderId="2" xfId="0" applyNumberFormat="1" applyFont="1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77" fontId="2" fillId="0" borderId="2" xfId="0" applyNumberFormat="1" applyFont="1" applyBorder="1" applyAlignment="1">
      <alignment horizontal="left" vertical="center" inden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C5B1-A699-C44F-8A4C-04E99F03D4ED}">
  <dimension ref="A1:S62"/>
  <sheetViews>
    <sheetView tabSelected="1" workbookViewId="0">
      <selection activeCell="A2" sqref="A2"/>
    </sheetView>
  </sheetViews>
  <sheetFormatPr baseColWidth="10" defaultRowHeight="18"/>
  <cols>
    <col min="1" max="1" width="14.85546875" customWidth="1"/>
    <col min="2" max="2" width="18.42578125" style="2" customWidth="1"/>
    <col min="3" max="3" width="12.28515625" customWidth="1"/>
    <col min="4" max="4" width="12.28515625" style="1" customWidth="1"/>
    <col min="5" max="5" width="3.7109375" customWidth="1"/>
    <col min="6" max="6" width="18.42578125" customWidth="1"/>
    <col min="7" max="7" width="12.28515625" customWidth="1"/>
    <col min="8" max="8" width="12.28515625" style="1" customWidth="1"/>
    <col min="9" max="9" width="6.140625" customWidth="1"/>
    <col min="10" max="10" width="14.85546875" customWidth="1"/>
    <col min="11" max="11" width="18.42578125" customWidth="1"/>
    <col min="12" max="13" width="12.28515625" customWidth="1"/>
    <col min="14" max="14" width="3.7109375" customWidth="1"/>
    <col min="15" max="15" width="18.42578125" customWidth="1"/>
    <col min="16" max="17" width="12.28515625" customWidth="1"/>
  </cols>
  <sheetData>
    <row r="1" spans="1:19">
      <c r="A1" s="12" t="s">
        <v>75</v>
      </c>
      <c r="C1" s="12"/>
      <c r="D1" s="36"/>
      <c r="E1" s="12"/>
      <c r="F1" s="12"/>
      <c r="G1" s="12"/>
      <c r="H1" s="36"/>
      <c r="I1" s="12"/>
      <c r="J1" s="12"/>
    </row>
    <row r="2" spans="1:19">
      <c r="A2" s="12" t="s">
        <v>74</v>
      </c>
      <c r="C2" s="12"/>
      <c r="D2" s="36"/>
      <c r="E2" s="12"/>
      <c r="F2" s="12"/>
      <c r="G2" s="12"/>
      <c r="H2" s="36"/>
      <c r="I2" s="12"/>
      <c r="J2" s="12"/>
    </row>
    <row r="3" spans="1:19">
      <c r="B3" s="11"/>
      <c r="C3" s="12"/>
      <c r="D3" s="36"/>
      <c r="E3" s="12"/>
      <c r="F3" s="12"/>
      <c r="G3" s="12"/>
      <c r="H3" s="36"/>
      <c r="I3" s="12"/>
      <c r="J3" s="12"/>
    </row>
    <row r="4" spans="1:19">
      <c r="A4" s="27"/>
      <c r="B4" s="22" t="s">
        <v>27</v>
      </c>
      <c r="C4" s="22"/>
      <c r="D4" s="22"/>
      <c r="E4" s="27"/>
      <c r="F4" s="22" t="s">
        <v>26</v>
      </c>
      <c r="G4" s="22"/>
      <c r="H4" s="22"/>
      <c r="I4" s="12"/>
    </row>
    <row r="5" spans="1:19">
      <c r="A5" s="23"/>
      <c r="B5" s="23" t="s">
        <v>25</v>
      </c>
      <c r="C5" s="23" t="s">
        <v>24</v>
      </c>
      <c r="D5" s="23" t="s">
        <v>23</v>
      </c>
      <c r="E5" s="23"/>
      <c r="F5" s="23" t="s">
        <v>25</v>
      </c>
      <c r="G5" s="23" t="s">
        <v>24</v>
      </c>
      <c r="H5" s="23" t="s">
        <v>23</v>
      </c>
      <c r="I5" s="12"/>
    </row>
    <row r="6" spans="1:19">
      <c r="A6" s="35" t="s">
        <v>73</v>
      </c>
      <c r="B6" s="27" t="s">
        <v>45</v>
      </c>
      <c r="C6" s="34">
        <f>LOG(20.7703168343113,2)</f>
        <v>4.3764513183787033</v>
      </c>
      <c r="D6" s="21">
        <v>1.5527086000000001E-2</v>
      </c>
      <c r="E6" s="27"/>
      <c r="F6" s="27" t="s">
        <v>72</v>
      </c>
      <c r="G6" s="49">
        <f>-LOG(12.0736062711312,2)</f>
        <v>-3.5937847546086208</v>
      </c>
      <c r="H6" s="21">
        <v>1.0082211000000001E-2</v>
      </c>
      <c r="I6" s="12"/>
    </row>
    <row r="7" spans="1:19">
      <c r="A7" s="32"/>
      <c r="B7" s="11" t="s">
        <v>44</v>
      </c>
      <c r="C7" s="13">
        <f>LOG(13.9160454303008,2)</f>
        <v>3.7986773887855327</v>
      </c>
      <c r="D7" s="9">
        <v>1.51729858596347E-2</v>
      </c>
      <c r="E7" s="11"/>
      <c r="F7" s="11" t="s">
        <v>71</v>
      </c>
      <c r="G7" s="17">
        <f>-LOG(19.9525986611243,2)</f>
        <v>-4.3185047526815161</v>
      </c>
      <c r="H7" s="9">
        <v>4.7585077206418998E-3</v>
      </c>
      <c r="I7" s="12"/>
    </row>
    <row r="8" spans="1:19">
      <c r="A8" s="32"/>
      <c r="B8" s="11" t="s">
        <v>70</v>
      </c>
      <c r="C8" s="13">
        <f>LOG(26.8276910512296,2)</f>
        <v>4.7456509880141597</v>
      </c>
      <c r="D8" s="9">
        <v>4.1177389262309502E-2</v>
      </c>
      <c r="E8" s="11"/>
      <c r="F8" s="11" t="s">
        <v>49</v>
      </c>
      <c r="G8" s="17">
        <f>-LOG(3.01725005539071,2)</f>
        <v>-1.5932342651697113</v>
      </c>
      <c r="H8" s="9">
        <v>4.8187310999999997E-2</v>
      </c>
      <c r="I8" s="12"/>
    </row>
    <row r="9" spans="1:19">
      <c r="A9" s="32"/>
      <c r="B9" s="11" t="s">
        <v>69</v>
      </c>
      <c r="C9" s="13">
        <f>LOG(12.3936753995218,2)</f>
        <v>3.6315321834432419</v>
      </c>
      <c r="D9" s="9">
        <v>7.3074982403705304</v>
      </c>
      <c r="E9" s="11"/>
      <c r="F9" s="11" t="s">
        <v>68</v>
      </c>
      <c r="G9" s="17">
        <f>-LOG(23.466098,2)</f>
        <v>-4.5525060618418216</v>
      </c>
      <c r="H9" s="9">
        <v>2.0522260000000001E-2</v>
      </c>
      <c r="I9" s="12"/>
    </row>
    <row r="10" spans="1:19">
      <c r="A10" s="32"/>
      <c r="B10" s="11" t="s">
        <v>67</v>
      </c>
      <c r="C10" s="13">
        <f>LOG(4.27623933075137,2)</f>
        <v>2.0963425994629112</v>
      </c>
      <c r="D10" s="9">
        <v>3.4684991747667197E-2</v>
      </c>
      <c r="E10" s="11"/>
      <c r="F10" s="11" t="s">
        <v>66</v>
      </c>
      <c r="G10" s="17">
        <f>-LOG(8.445557,2)</f>
        <v>-3.0781925745528147</v>
      </c>
      <c r="H10" s="9">
        <v>1.8662847999999999E-2</v>
      </c>
      <c r="I10" s="12"/>
    </row>
    <row r="11" spans="1:19">
      <c r="A11" s="32"/>
      <c r="C11" s="13"/>
      <c r="D11" s="9"/>
      <c r="E11" s="11"/>
      <c r="F11" s="11" t="s">
        <v>65</v>
      </c>
      <c r="G11" s="17">
        <f>-LOG(237.55309,2)</f>
        <v>-7.8921061626724303</v>
      </c>
      <c r="H11" s="9">
        <v>1.248622E-3</v>
      </c>
      <c r="I11" s="12"/>
      <c r="R11" s="11"/>
      <c r="S11" s="11"/>
    </row>
    <row r="12" spans="1:19">
      <c r="A12" s="30"/>
      <c r="B12" s="44"/>
      <c r="C12" s="3"/>
      <c r="D12" s="3"/>
      <c r="E12" s="38"/>
      <c r="F12" s="38" t="s">
        <v>64</v>
      </c>
      <c r="G12" s="37">
        <f>-LOG(13.972227,2)</f>
        <v>-3.8044900816902616</v>
      </c>
      <c r="H12" s="3">
        <v>2.1150787140912801E-4</v>
      </c>
      <c r="I12" s="12"/>
      <c r="R12" s="11"/>
      <c r="S12" s="11"/>
    </row>
    <row r="13" spans="1:19">
      <c r="A13" s="1"/>
      <c r="B13" s="11"/>
      <c r="C13" s="36"/>
      <c r="D13" s="36"/>
      <c r="E13" s="36"/>
      <c r="F13" s="36"/>
      <c r="G13" s="36"/>
      <c r="H13" s="36"/>
      <c r="I13" s="12"/>
    </row>
    <row r="14" spans="1:19">
      <c r="A14" s="48"/>
      <c r="B14" s="26" t="s">
        <v>27</v>
      </c>
      <c r="C14" s="26"/>
      <c r="D14" s="26"/>
      <c r="E14" s="23"/>
      <c r="F14" s="22" t="s">
        <v>26</v>
      </c>
      <c r="G14" s="22"/>
      <c r="H14" s="22"/>
      <c r="I14" s="12"/>
    </row>
    <row r="15" spans="1:19">
      <c r="A15" s="48"/>
      <c r="B15" s="23" t="s">
        <v>25</v>
      </c>
      <c r="C15" s="23" t="s">
        <v>24</v>
      </c>
      <c r="D15" s="23" t="s">
        <v>23</v>
      </c>
      <c r="E15" s="23"/>
      <c r="F15" s="23" t="s">
        <v>25</v>
      </c>
      <c r="G15" s="23" t="s">
        <v>24</v>
      </c>
      <c r="H15" s="23" t="s">
        <v>23</v>
      </c>
      <c r="I15" s="12"/>
    </row>
    <row r="16" spans="1:19">
      <c r="A16" s="35" t="s">
        <v>63</v>
      </c>
      <c r="B16" s="41" t="s">
        <v>7</v>
      </c>
      <c r="C16" s="21">
        <f>LOG(29.938969,2)</f>
        <v>4.9039526354487633</v>
      </c>
      <c r="D16" s="21">
        <v>1.9001700000000001E-4</v>
      </c>
      <c r="E16" s="40"/>
      <c r="F16" s="40" t="s">
        <v>62</v>
      </c>
      <c r="G16" s="47">
        <f>-LOG(17.710969,2)</f>
        <v>-4.1465712416610465</v>
      </c>
      <c r="H16" s="21">
        <v>1.1413252E-2</v>
      </c>
      <c r="I16" s="12"/>
    </row>
    <row r="17" spans="1:15">
      <c r="A17" s="32"/>
      <c r="B17" s="11" t="s">
        <v>61</v>
      </c>
      <c r="C17" s="9">
        <f>LOG(15.052625,2)</f>
        <v>3.9119431927861346</v>
      </c>
      <c r="D17" s="9">
        <v>6.1161361902265204E-4</v>
      </c>
      <c r="E17" s="36"/>
      <c r="F17" s="46" t="s">
        <v>60</v>
      </c>
      <c r="G17" s="39">
        <f>-LOG(26.909926,2)</f>
        <v>-4.750066518582905</v>
      </c>
      <c r="H17" s="9">
        <v>1.0193338E-2</v>
      </c>
      <c r="I17" s="12"/>
    </row>
    <row r="18" spans="1:15">
      <c r="A18" s="32"/>
      <c r="B18" s="11" t="s">
        <v>44</v>
      </c>
      <c r="C18" s="9">
        <f>LOG(9.299381,2)</f>
        <v>3.2171346884839784</v>
      </c>
      <c r="D18" s="9">
        <v>9.498009E-3</v>
      </c>
      <c r="E18" s="36"/>
      <c r="F18" s="36" t="s">
        <v>59</v>
      </c>
      <c r="G18" s="39">
        <f>-LOG(34.528654,2)</f>
        <v>-5.1097221908691743</v>
      </c>
      <c r="H18" s="9">
        <v>3.2832820999999998E-2</v>
      </c>
      <c r="I18" s="12"/>
    </row>
    <row r="19" spans="1:15">
      <c r="A19" s="32"/>
      <c r="B19" s="45" t="s">
        <v>45</v>
      </c>
      <c r="C19" s="9">
        <f>LOG(22.663437,2)</f>
        <v>4.5022947630557288</v>
      </c>
      <c r="D19" s="9">
        <v>4.1693269999999996E-3</v>
      </c>
      <c r="E19" s="36"/>
      <c r="F19" s="36" t="s">
        <v>58</v>
      </c>
      <c r="G19" s="39">
        <f>-LOG(2.82289,2)</f>
        <v>-1.4971729121576263</v>
      </c>
      <c r="H19" s="9">
        <v>3.0399915E-2</v>
      </c>
      <c r="I19" s="12"/>
    </row>
    <row r="20" spans="1:15">
      <c r="A20" s="32"/>
      <c r="B20" s="11" t="s">
        <v>57</v>
      </c>
      <c r="C20" s="9">
        <f>LOG(19.245132,2)</f>
        <v>4.2664216613383905</v>
      </c>
      <c r="D20" s="9">
        <v>8.3272420000000003E-3</v>
      </c>
      <c r="E20" s="36"/>
      <c r="F20" s="36" t="s">
        <v>56</v>
      </c>
      <c r="G20" s="39">
        <f>-LOG(8.210113,2)</f>
        <v>-3.0374020786922058</v>
      </c>
      <c r="H20" s="9">
        <v>3.5760902999999997E-2</v>
      </c>
      <c r="I20" s="12"/>
    </row>
    <row r="21" spans="1:15">
      <c r="A21" s="32"/>
      <c r="C21" s="9"/>
      <c r="D21" s="9"/>
      <c r="E21" s="36"/>
      <c r="F21" s="36" t="s">
        <v>55</v>
      </c>
      <c r="G21" s="39">
        <f>-LOG(7.301014,2)</f>
        <v>-2.8680968463460741</v>
      </c>
      <c r="H21" s="9">
        <v>4.5287664999999998E-2</v>
      </c>
      <c r="I21" s="12"/>
    </row>
    <row r="22" spans="1:15">
      <c r="A22" s="32"/>
      <c r="C22" s="9"/>
      <c r="D22" s="9"/>
      <c r="E22" s="36"/>
      <c r="F22" s="36" t="s">
        <v>54</v>
      </c>
      <c r="G22" s="39">
        <f>-LOG(7.57449,2)</f>
        <v>-2.9211487533723068</v>
      </c>
      <c r="H22" s="9">
        <v>3.9322059999999999E-2</v>
      </c>
      <c r="I22" s="12"/>
    </row>
    <row r="23" spans="1:15">
      <c r="A23" s="32"/>
      <c r="C23" s="9"/>
      <c r="D23" s="9"/>
      <c r="E23" s="36"/>
      <c r="F23" s="36" t="s">
        <v>53</v>
      </c>
      <c r="G23" s="39">
        <f>-LOG(7.657238,2)</f>
        <v>-2.9368240994256407</v>
      </c>
      <c r="H23" s="9">
        <v>3.8800132000000001E-2</v>
      </c>
      <c r="I23" s="12"/>
    </row>
    <row r="24" spans="1:15">
      <c r="A24" s="32"/>
      <c r="C24" s="31"/>
      <c r="D24" s="31"/>
      <c r="E24" s="1"/>
      <c r="F24" s="36" t="s">
        <v>52</v>
      </c>
      <c r="G24" s="39">
        <f>-LOG(9.73117,2)</f>
        <v>-3.2826132738368705</v>
      </c>
      <c r="H24" s="31">
        <v>3.8960002000000001E-2</v>
      </c>
    </row>
    <row r="25" spans="1:15">
      <c r="A25" s="32"/>
      <c r="C25" s="31"/>
      <c r="D25" s="31"/>
      <c r="E25" s="1"/>
      <c r="F25" s="36" t="s">
        <v>51</v>
      </c>
      <c r="G25" s="39">
        <f>-LOG(3.282039,2)</f>
        <v>-1.7145923822923017</v>
      </c>
      <c r="H25" s="31">
        <v>3.1462618999999997E-2</v>
      </c>
    </row>
    <row r="26" spans="1:15">
      <c r="A26" s="32"/>
      <c r="C26" s="31"/>
      <c r="D26" s="31"/>
      <c r="E26" s="1"/>
      <c r="F26" s="36" t="s">
        <v>50</v>
      </c>
      <c r="G26" s="39">
        <f>-LOG(4.644969,2)</f>
        <v>-2.2156689682558275</v>
      </c>
      <c r="H26" s="31">
        <v>3.5006124E-2</v>
      </c>
    </row>
    <row r="27" spans="1:15">
      <c r="A27" s="30"/>
      <c r="B27" s="44"/>
      <c r="C27" s="42"/>
      <c r="D27" s="42"/>
      <c r="E27" s="43"/>
      <c r="F27" s="38" t="s">
        <v>49</v>
      </c>
      <c r="G27" s="37">
        <f>-LOG(2.767136,2)</f>
        <v>-1.4683935516832756</v>
      </c>
      <c r="H27" s="42">
        <v>2.3871297E-2</v>
      </c>
    </row>
    <row r="28" spans="1:15">
      <c r="A28" s="1"/>
      <c r="C28" s="1"/>
      <c r="E28" s="1"/>
      <c r="F28" s="1"/>
      <c r="G28" s="1"/>
    </row>
    <row r="29" spans="1:15">
      <c r="A29" s="27"/>
      <c r="B29" s="26" t="s">
        <v>27</v>
      </c>
      <c r="C29" s="26"/>
      <c r="D29" s="26"/>
      <c r="E29" s="23"/>
      <c r="F29" s="22" t="s">
        <v>26</v>
      </c>
      <c r="G29" s="22"/>
      <c r="H29" s="22"/>
      <c r="I29" s="12"/>
    </row>
    <row r="30" spans="1:15">
      <c r="A30" s="23"/>
      <c r="B30" s="38" t="s">
        <v>25</v>
      </c>
      <c r="C30" s="38" t="s">
        <v>24</v>
      </c>
      <c r="D30" s="38" t="s">
        <v>23</v>
      </c>
      <c r="E30" s="38"/>
      <c r="F30" s="23" t="s">
        <v>25</v>
      </c>
      <c r="G30" s="23" t="s">
        <v>24</v>
      </c>
      <c r="H30" s="23" t="s">
        <v>23</v>
      </c>
      <c r="I30" s="12"/>
    </row>
    <row r="31" spans="1:15">
      <c r="A31" s="35" t="s">
        <v>48</v>
      </c>
      <c r="B31" s="41" t="s">
        <v>47</v>
      </c>
      <c r="C31" s="21">
        <f>LOG(16.352706,2)</f>
        <v>4.0314574835010504</v>
      </c>
      <c r="D31" s="21">
        <v>2.0908042000000002E-2</v>
      </c>
      <c r="E31" s="40"/>
      <c r="F31" s="40" t="s">
        <v>46</v>
      </c>
      <c r="G31" s="39">
        <f>-LOG(3.646834,2)</f>
        <v>-1.8666445312267235</v>
      </c>
      <c r="H31" s="21">
        <v>9.3758039999999997E-3</v>
      </c>
      <c r="I31" s="12"/>
    </row>
    <row r="32" spans="1:15">
      <c r="A32" s="32"/>
      <c r="B32" s="11" t="s">
        <v>45</v>
      </c>
      <c r="C32" s="9">
        <f>LOG(9.938003,2)</f>
        <v>3.3129559773966233</v>
      </c>
      <c r="D32" s="9">
        <v>2.8355062E-2</v>
      </c>
      <c r="E32" s="36"/>
      <c r="F32" s="36" t="s">
        <v>15</v>
      </c>
      <c r="G32" s="39">
        <f>-LOG(39.25844,2)</f>
        <v>-5.2949309409217333</v>
      </c>
      <c r="H32" s="9">
        <v>1.100947E-2</v>
      </c>
      <c r="I32" s="12"/>
      <c r="K32" s="14"/>
      <c r="M32" s="1"/>
      <c r="O32" s="2"/>
    </row>
    <row r="33" spans="1:11">
      <c r="A33" s="30"/>
      <c r="B33" s="5" t="s">
        <v>44</v>
      </c>
      <c r="C33" s="3">
        <f>LOG(10.682349,2)</f>
        <v>3.4171570188812668</v>
      </c>
      <c r="D33" s="3">
        <v>8.9687559999999996E-3</v>
      </c>
      <c r="E33" s="38"/>
      <c r="F33" s="38" t="s">
        <v>43</v>
      </c>
      <c r="G33" s="37">
        <f>-LOG(10.19281,2)</f>
        <v>-3.3494799299244273</v>
      </c>
      <c r="H33" s="3">
        <v>3.3962099000000003E-2</v>
      </c>
      <c r="I33" s="12"/>
      <c r="K33" s="14"/>
    </row>
    <row r="34" spans="1:11">
      <c r="B34" s="11"/>
      <c r="C34" s="12"/>
      <c r="D34" s="36"/>
      <c r="E34" s="12"/>
      <c r="F34" s="12"/>
      <c r="G34" s="12"/>
      <c r="H34" s="36"/>
      <c r="I34" s="12"/>
      <c r="K34" s="14"/>
    </row>
    <row r="35" spans="1:11">
      <c r="A35" s="27"/>
      <c r="B35" s="22" t="s">
        <v>27</v>
      </c>
      <c r="C35" s="22"/>
      <c r="D35" s="22"/>
      <c r="E35" s="27"/>
      <c r="F35" s="22" t="s">
        <v>26</v>
      </c>
      <c r="G35" s="22"/>
      <c r="H35" s="22"/>
      <c r="I35" s="12"/>
      <c r="K35" s="14"/>
    </row>
    <row r="36" spans="1:11">
      <c r="A36" s="23"/>
      <c r="B36" s="23" t="s">
        <v>25</v>
      </c>
      <c r="C36" s="23" t="s">
        <v>24</v>
      </c>
      <c r="D36" s="23" t="s">
        <v>23</v>
      </c>
      <c r="E36" s="23"/>
      <c r="F36" s="23" t="s">
        <v>25</v>
      </c>
      <c r="G36" s="23" t="s">
        <v>24</v>
      </c>
      <c r="H36" s="23" t="s">
        <v>23</v>
      </c>
      <c r="I36" s="12"/>
      <c r="K36" s="33"/>
    </row>
    <row r="37" spans="1:11">
      <c r="A37" s="35" t="s">
        <v>42</v>
      </c>
      <c r="B37" s="19" t="s">
        <v>41</v>
      </c>
      <c r="C37" s="17">
        <f>LOG(3.52091914143809,2)</f>
        <v>1.8159520958219575</v>
      </c>
      <c r="D37" s="34">
        <v>1.8583907E-2</v>
      </c>
      <c r="E37" s="27"/>
      <c r="F37" s="19" t="s">
        <v>40</v>
      </c>
      <c r="G37" s="17">
        <f>-LOG(7.419684,2)</f>
        <v>-2.8913577446168519</v>
      </c>
      <c r="H37" s="34">
        <v>2.6658657999999998E-2</v>
      </c>
      <c r="I37" s="12"/>
      <c r="K37" s="33"/>
    </row>
    <row r="38" spans="1:11">
      <c r="A38" s="32"/>
      <c r="B38" s="14" t="s">
        <v>39</v>
      </c>
      <c r="C38" s="13">
        <f>LOG(3.514702,2)</f>
        <v>1.8134023731249651</v>
      </c>
      <c r="D38" s="13">
        <v>3.3886330999999999E-2</v>
      </c>
      <c r="E38" s="11"/>
      <c r="F38" s="14" t="s">
        <v>38</v>
      </c>
      <c r="G38" s="17">
        <f>-LOG(4.861743,2)</f>
        <v>-2.2814736320698148</v>
      </c>
      <c r="H38" s="13">
        <v>4.8205365E-2</v>
      </c>
      <c r="I38" s="12"/>
      <c r="K38" s="33"/>
    </row>
    <row r="39" spans="1:11">
      <c r="A39" s="32"/>
      <c r="B39" s="14" t="s">
        <v>37</v>
      </c>
      <c r="C39" s="13">
        <f>LOG(3.042681,2)</f>
        <v>1.6053430871084007</v>
      </c>
      <c r="D39" s="13">
        <v>3.7611066999999998E-2</v>
      </c>
      <c r="E39" s="11"/>
      <c r="F39" s="14" t="s">
        <v>36</v>
      </c>
      <c r="G39" s="17">
        <f>-LOG(27.467737,2)</f>
        <v>-4.7796661500639974</v>
      </c>
      <c r="H39" s="13">
        <v>3.9314726000000001E-2</v>
      </c>
    </row>
    <row r="40" spans="1:11">
      <c r="A40" s="32"/>
      <c r="B40" s="14" t="s">
        <v>35</v>
      </c>
      <c r="C40" s="13">
        <f>LOG(9.914919,2)</f>
        <v>3.3096009863950564</v>
      </c>
      <c r="D40" s="13">
        <v>4.2901452E-2</v>
      </c>
      <c r="E40" s="11"/>
      <c r="F40" s="14" t="s">
        <v>17</v>
      </c>
      <c r="G40" s="17">
        <f>-LOG(7.678916,2)</f>
        <v>-2.9409026661804964</v>
      </c>
      <c r="H40" s="13">
        <v>1.4471087000000001E-2</v>
      </c>
    </row>
    <row r="41" spans="1:11">
      <c r="A41" s="32"/>
      <c r="B41" s="14" t="s">
        <v>19</v>
      </c>
      <c r="C41" s="13">
        <f>LOG(24.340906,2)</f>
        <v>4.6053109629135767</v>
      </c>
      <c r="D41" s="13">
        <v>1.9717707000000001E-2</v>
      </c>
      <c r="E41" s="11"/>
      <c r="F41" s="14" t="s">
        <v>34</v>
      </c>
      <c r="G41" s="17">
        <f>-LOG(3.772488,2)</f>
        <v>-1.9155163116550666</v>
      </c>
      <c r="H41" s="9">
        <v>4.0192703000000003E-2</v>
      </c>
    </row>
    <row r="42" spans="1:11">
      <c r="A42" s="32"/>
      <c r="B42" s="14" t="s">
        <v>21</v>
      </c>
      <c r="C42" s="13">
        <f>LOG(6.256357,2)</f>
        <v>2.6453228380024685</v>
      </c>
      <c r="D42" s="9">
        <v>3.4831100000000002E-4</v>
      </c>
      <c r="E42" s="11"/>
      <c r="F42" s="14" t="s">
        <v>33</v>
      </c>
      <c r="G42" s="17">
        <f>-LOG(28.6753787131683,2)</f>
        <v>-4.841740634798974</v>
      </c>
      <c r="H42" s="9">
        <v>3.8695980000000001E-3</v>
      </c>
    </row>
    <row r="43" spans="1:11">
      <c r="A43" s="32"/>
      <c r="B43" s="14" t="s">
        <v>32</v>
      </c>
      <c r="C43" s="13">
        <f>LOG(3.0882,2)</f>
        <v>1.6267661883782412</v>
      </c>
      <c r="D43" s="9">
        <v>3.1644868E-2</v>
      </c>
      <c r="E43" s="11"/>
      <c r="F43" s="14" t="s">
        <v>31</v>
      </c>
      <c r="G43" s="17">
        <f>-LOG(6.69919038184051,2)</f>
        <v>-2.7439867518866734</v>
      </c>
      <c r="H43" s="9">
        <v>9.1296769999999992E-3</v>
      </c>
    </row>
    <row r="44" spans="1:11">
      <c r="A44" s="32"/>
      <c r="B44" s="14" t="s">
        <v>13</v>
      </c>
      <c r="C44" s="13">
        <f>LOG(127.915715,2)</f>
        <v>6.9990497062213022</v>
      </c>
      <c r="D44" s="31">
        <v>2.8941037999999999E-2</v>
      </c>
      <c r="F44" s="14" t="s">
        <v>30</v>
      </c>
      <c r="G44" s="17">
        <f>-LOG(17.188401655614,2)</f>
        <v>-4.1033634901553686</v>
      </c>
      <c r="H44" s="31">
        <v>1.17867E-4</v>
      </c>
    </row>
    <row r="45" spans="1:11">
      <c r="A45" s="32"/>
      <c r="B45"/>
      <c r="C45" s="17"/>
      <c r="D45" s="31"/>
      <c r="F45" s="14" t="s">
        <v>29</v>
      </c>
      <c r="G45" s="17">
        <f>-LOG(3.326331,2)</f>
        <v>-1.7339317369650402</v>
      </c>
      <c r="H45" s="31">
        <v>4.0905828999999998E-2</v>
      </c>
    </row>
    <row r="46" spans="1:11">
      <c r="A46" s="30"/>
      <c r="B46" s="5"/>
      <c r="C46" s="29"/>
      <c r="D46" s="29"/>
      <c r="E46" s="5"/>
      <c r="F46" s="7" t="s">
        <v>28</v>
      </c>
      <c r="G46" s="28">
        <f>-LOG(2.98054739202436,2)</f>
        <v>-1.5755773129815944</v>
      </c>
      <c r="H46" s="3">
        <v>4.2234516999999999E-2</v>
      </c>
    </row>
    <row r="47" spans="1:11">
      <c r="B47"/>
      <c r="D47"/>
      <c r="H47"/>
    </row>
    <row r="48" spans="1:11">
      <c r="A48" s="27"/>
      <c r="B48" s="26" t="s">
        <v>27</v>
      </c>
      <c r="C48" s="26"/>
      <c r="D48" s="26"/>
      <c r="E48" s="25"/>
      <c r="F48" s="22" t="s">
        <v>26</v>
      </c>
      <c r="G48" s="22"/>
      <c r="H48" s="22"/>
    </row>
    <row r="49" spans="1:8">
      <c r="A49" s="23"/>
      <c r="B49" s="23" t="s">
        <v>25</v>
      </c>
      <c r="C49" s="23" t="s">
        <v>24</v>
      </c>
      <c r="D49" s="23" t="s">
        <v>23</v>
      </c>
      <c r="E49" s="24"/>
      <c r="F49" s="23" t="s">
        <v>25</v>
      </c>
      <c r="G49" s="23" t="s">
        <v>24</v>
      </c>
      <c r="H49" s="23" t="s">
        <v>23</v>
      </c>
    </row>
    <row r="50" spans="1:8">
      <c r="A50" s="22" t="s">
        <v>22</v>
      </c>
      <c r="B50" s="19" t="s">
        <v>21</v>
      </c>
      <c r="C50" s="17">
        <f>LOG(2.365748,2)</f>
        <v>1.2422964056672123</v>
      </c>
      <c r="D50" s="21">
        <v>1.2937561E-2</v>
      </c>
      <c r="E50" s="20"/>
      <c r="F50" s="19" t="s">
        <v>20</v>
      </c>
      <c r="G50" s="17">
        <f>-LOG(2.362397,2)</f>
        <v>-1.240251429512091</v>
      </c>
      <c r="H50" s="18">
        <v>4.8568049000000002E-2</v>
      </c>
    </row>
    <row r="51" spans="1:8">
      <c r="A51" s="15"/>
      <c r="B51" s="14" t="s">
        <v>19</v>
      </c>
      <c r="C51" s="13">
        <f>LOG(8.190426,2)</f>
        <v>3.0339384911952436</v>
      </c>
      <c r="D51" s="9">
        <v>8.8580499999999993E-3</v>
      </c>
      <c r="E51" s="12"/>
      <c r="F51" s="14" t="s">
        <v>18</v>
      </c>
      <c r="G51" s="17">
        <f>-LOG(32.499801,2)</f>
        <v>-5.0223589792686978</v>
      </c>
      <c r="H51" s="9">
        <v>3.3608664000000003E-2</v>
      </c>
    </row>
    <row r="52" spans="1:8">
      <c r="A52" s="15"/>
      <c r="B52" s="14" t="s">
        <v>17</v>
      </c>
      <c r="C52" s="13">
        <f>LOG(12.6981288256882,2)</f>
        <v>3.6665440144997778</v>
      </c>
      <c r="D52" s="9">
        <v>2.4275260000000002E-3</v>
      </c>
      <c r="E52" s="12"/>
      <c r="F52" s="14" t="s">
        <v>16</v>
      </c>
      <c r="G52" s="17">
        <f>-LOG(2.271768,2)</f>
        <v>-1.1838155098692349</v>
      </c>
      <c r="H52" s="9">
        <v>1.3832850000000001E-2</v>
      </c>
    </row>
    <row r="53" spans="1:8">
      <c r="A53" s="15"/>
      <c r="B53" s="14" t="s">
        <v>15</v>
      </c>
      <c r="C53" s="13">
        <f>LOG(58.894405,2)</f>
        <v>5.8800586786517899</v>
      </c>
      <c r="D53" s="9">
        <v>2.6091259999999998E-3</v>
      </c>
      <c r="E53" s="12"/>
      <c r="F53" s="14" t="s">
        <v>14</v>
      </c>
      <c r="G53" s="17">
        <f>-LOG(3.883112,2)</f>
        <v>-1.9572133192768613</v>
      </c>
      <c r="H53" s="9">
        <v>3.8660860999999998E-2</v>
      </c>
    </row>
    <row r="54" spans="1:8">
      <c r="A54" s="15"/>
      <c r="B54" s="14" t="s">
        <v>13</v>
      </c>
      <c r="C54" s="13">
        <f>LOG(18.57087,2)</f>
        <v>4.2149694984905226</v>
      </c>
      <c r="D54" s="9">
        <v>2.3353543000000001E-2</v>
      </c>
      <c r="E54" s="12"/>
      <c r="F54" s="14" t="s">
        <v>12</v>
      </c>
      <c r="G54" s="17">
        <f>-LOG(7.036985,2)</f>
        <v>-2.8149574377778634</v>
      </c>
      <c r="H54" s="9">
        <v>2.0506242000000001E-2</v>
      </c>
    </row>
    <row r="55" spans="1:8">
      <c r="A55" s="15"/>
      <c r="B55" s="14" t="s">
        <v>11</v>
      </c>
      <c r="C55" s="13">
        <f>LOG(2.302318,2)</f>
        <v>1.2030871146769291</v>
      </c>
      <c r="D55" s="9">
        <v>3.5962855000000002E-2</v>
      </c>
      <c r="E55" s="12"/>
      <c r="F55" s="14" t="s">
        <v>10</v>
      </c>
      <c r="G55" s="17">
        <f>-LOG(9.31862574784619,2)</f>
        <v>-3.2201172110005114</v>
      </c>
      <c r="H55" s="9">
        <v>8.5613370000000005E-3</v>
      </c>
    </row>
    <row r="56" spans="1:8">
      <c r="A56" s="15"/>
      <c r="B56" s="14" t="s">
        <v>9</v>
      </c>
      <c r="C56" s="13">
        <f>LOG(4.837863,2)</f>
        <v>2.2743699152419552</v>
      </c>
      <c r="D56" s="9">
        <v>3.5383924999999997E-2</v>
      </c>
      <c r="E56" s="12"/>
      <c r="F56" s="14" t="s">
        <v>8</v>
      </c>
      <c r="G56" s="17">
        <f>-LOG(4.57522234182835,2)</f>
        <v>-2.1938418556718191</v>
      </c>
      <c r="H56" s="9">
        <v>4.9756846E-2</v>
      </c>
    </row>
    <row r="57" spans="1:8">
      <c r="A57" s="15"/>
      <c r="B57" s="14" t="s">
        <v>7</v>
      </c>
      <c r="C57" s="13">
        <f>LOG(6.951672,2)</f>
        <v>2.7973600132315997</v>
      </c>
      <c r="D57" s="9">
        <v>2.7544539999999999E-3</v>
      </c>
      <c r="E57" s="12"/>
      <c r="F57" s="14" t="s">
        <v>6</v>
      </c>
      <c r="G57" s="17">
        <f>-LOG(3.00428332531952,2)</f>
        <v>-1.5870208756879736</v>
      </c>
      <c r="H57" s="9">
        <v>1.0150297000000001E-2</v>
      </c>
    </row>
    <row r="58" spans="1:8">
      <c r="A58" s="15"/>
      <c r="B58" s="14" t="s">
        <v>5</v>
      </c>
      <c r="C58" s="13">
        <f>LOG(13.059824,2)</f>
        <v>3.7070635495023248</v>
      </c>
      <c r="D58" s="9">
        <v>8.6055000000000002E-5</v>
      </c>
      <c r="E58" s="12"/>
      <c r="F58" s="14" t="s">
        <v>4</v>
      </c>
      <c r="G58" s="17">
        <f>-LOG(237.55309,2)</f>
        <v>-7.8921061626724303</v>
      </c>
      <c r="H58" s="9">
        <v>3.6544870000000001E-3</v>
      </c>
    </row>
    <row r="59" spans="1:8">
      <c r="A59" s="15"/>
      <c r="B59" s="14" t="s">
        <v>3</v>
      </c>
      <c r="C59" s="13">
        <f>LOG(3.322748,2)</f>
        <v>1.732376881974792</v>
      </c>
      <c r="D59" s="9">
        <v>2.6031673000000002E-2</v>
      </c>
      <c r="E59" s="12"/>
      <c r="F59" s="11"/>
      <c r="G59" s="16"/>
      <c r="H59" s="9"/>
    </row>
    <row r="60" spans="1:8">
      <c r="A60" s="15"/>
      <c r="B60" s="14" t="s">
        <v>2</v>
      </c>
      <c r="C60" s="13">
        <f>LOG(2.763078,2)</f>
        <v>1.4662762891228425</v>
      </c>
      <c r="D60" s="9">
        <v>3.2241695000000001E-2</v>
      </c>
      <c r="E60" s="12"/>
      <c r="F60" s="11"/>
      <c r="G60" s="10"/>
      <c r="H60" s="9"/>
    </row>
    <row r="61" spans="1:8">
      <c r="A61" s="15"/>
      <c r="B61" s="14" t="s">
        <v>1</v>
      </c>
      <c r="C61" s="13">
        <f>LOG(3.623187,2)</f>
        <v>1.8572592681181337</v>
      </c>
      <c r="D61" s="9">
        <v>7.2424860000000002E-3</v>
      </c>
      <c r="E61" s="12"/>
      <c r="F61" s="11"/>
      <c r="G61" s="10"/>
      <c r="H61" s="9"/>
    </row>
    <row r="62" spans="1:8">
      <c r="A62" s="8"/>
      <c r="B62" s="7" t="s">
        <v>0</v>
      </c>
      <c r="C62" s="3">
        <f>LOG(10.6330830527406,2)</f>
        <v>3.4104880605244277</v>
      </c>
      <c r="D62" s="3">
        <v>2.8456772000000002E-2</v>
      </c>
      <c r="E62" s="6"/>
      <c r="F62" s="5"/>
      <c r="G62" s="4"/>
      <c r="H62" s="3"/>
    </row>
  </sheetData>
  <mergeCells count="15">
    <mergeCell ref="F48:H48"/>
    <mergeCell ref="A50:A62"/>
    <mergeCell ref="A6:A12"/>
    <mergeCell ref="B29:D29"/>
    <mergeCell ref="A16:A27"/>
    <mergeCell ref="A31:A33"/>
    <mergeCell ref="B35:D35"/>
    <mergeCell ref="B48:D48"/>
    <mergeCell ref="B4:D4"/>
    <mergeCell ref="F4:H4"/>
    <mergeCell ref="B14:D14"/>
    <mergeCell ref="A37:A46"/>
    <mergeCell ref="F14:H14"/>
    <mergeCell ref="F29:H29"/>
    <mergeCell ref="F35:H35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sunkro@kakao.com</dc:creator>
  <cp:lastModifiedBy>sunkro@kakao.com</cp:lastModifiedBy>
  <dcterms:created xsi:type="dcterms:W3CDTF">2025-05-12T19:37:18Z</dcterms:created>
  <dcterms:modified xsi:type="dcterms:W3CDTF">2025-05-12T19:39:17Z</dcterms:modified>
</cp:coreProperties>
</file>