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1n23\Desktop\First Paper\Supplementary Datasets\"/>
    </mc:Choice>
  </mc:AlternateContent>
  <xr:revisionPtr revIDLastSave="0" documentId="13_ncr:1_{2B78CD6A-D2D1-4F53-99B3-3B1EC2CF8828}" xr6:coauthVersionLast="47" xr6:coauthVersionMax="47" xr10:uidLastSave="{00000000-0000-0000-0000-000000000000}"/>
  <bookViews>
    <workbookView xWindow="-120" yWindow="-120" windowWidth="29040" windowHeight="15990" xr2:uid="{E7B45C82-0859-4A74-8661-4CDBD804F94D}"/>
  </bookViews>
  <sheets>
    <sheet name="COMPONEN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G14" i="1"/>
  <c r="S13" i="1"/>
  <c r="R13" i="1"/>
  <c r="Q13" i="1"/>
  <c r="P13" i="1"/>
  <c r="O13" i="1"/>
  <c r="N13" i="1"/>
  <c r="G13" i="1"/>
  <c r="S12" i="1"/>
  <c r="R12" i="1"/>
  <c r="Q12" i="1"/>
  <c r="P12" i="1"/>
  <c r="O12" i="1"/>
  <c r="N12" i="1"/>
  <c r="G12" i="1"/>
  <c r="S11" i="1"/>
  <c r="R11" i="1"/>
  <c r="Q11" i="1"/>
  <c r="P11" i="1"/>
  <c r="O11" i="1"/>
  <c r="N11" i="1"/>
  <c r="G11" i="1"/>
  <c r="S10" i="1"/>
  <c r="R10" i="1"/>
  <c r="Q10" i="1"/>
  <c r="P10" i="1"/>
  <c r="O10" i="1"/>
  <c r="N10" i="1"/>
  <c r="G10" i="1"/>
</calcChain>
</file>

<file path=xl/sharedStrings.xml><?xml version="1.0" encoding="utf-8"?>
<sst xmlns="http://schemas.openxmlformats.org/spreadsheetml/2006/main" count="32" uniqueCount="25">
  <si>
    <t>Sample #</t>
  </si>
  <si>
    <t>Core Name</t>
  </si>
  <si>
    <t>Core Depth (cm)</t>
  </si>
  <si>
    <t>Material</t>
  </si>
  <si>
    <t>Grains Counted (n)</t>
  </si>
  <si>
    <t>Massive Glass (n)</t>
  </si>
  <si>
    <t>Crystal-Rich Glass (n)</t>
  </si>
  <si>
    <t>Crystals (n)</t>
  </si>
  <si>
    <t>Pumice (n)</t>
  </si>
  <si>
    <t>Lithics (n)</t>
  </si>
  <si>
    <t>Organic (n)</t>
  </si>
  <si>
    <t>Massive Glass (%)</t>
  </si>
  <si>
    <t>Crystal-rich Glass (%)</t>
  </si>
  <si>
    <t>Crystals (%)</t>
  </si>
  <si>
    <t xml:space="preserve"> Pumice (%)</t>
  </si>
  <si>
    <t>Lithics (%)</t>
  </si>
  <si>
    <t>Bio/Fora (%)</t>
  </si>
  <si>
    <t>SW-64</t>
  </si>
  <si>
    <t xml:space="preserve">10-11 </t>
  </si>
  <si>
    <t>2022 Deposit</t>
  </si>
  <si>
    <t>22 - 23</t>
  </si>
  <si>
    <t xml:space="preserve">28 - 29 </t>
  </si>
  <si>
    <t>34 - 35</t>
  </si>
  <si>
    <t>41 - 42</t>
  </si>
  <si>
    <t>Pre-2022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</si>
</sst>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9"/>
      <color theme="1"/>
      <name val="Aptos"/>
      <family val="2"/>
    </font>
    <font>
      <sz val="9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textRotation="0" wrapText="0" indent="0" justifyLastLine="0" shrinkToFit="0" readingOrder="0"/>
      <border diagonalUp="0" diagonalDown="0"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textRotation="0" wrapText="0" indent="0" justifyLastLine="0" shrinkToFit="0" readingOrder="0"/>
      <border diagonalUp="0" diagonalDown="0"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textRotation="0" wrapText="0" indent="0" justifyLastLine="0" shrinkToFit="0" readingOrder="0"/>
      <border diagonalUp="0" diagonalDown="0"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textRotation="0" wrapText="0" indent="0" justifyLastLine="0" shrinkToFit="0" readingOrder="0"/>
      <border diagonalUp="0" diagonalDown="0"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textRotation="0" wrapText="0" indent="0" justifyLastLine="0" shrinkToFit="0" readingOrder="0"/>
      <border diagonalUp="0" diagonalDown="0"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777876</xdr:colOff>
      <xdr:row>2</xdr:row>
      <xdr:rowOff>10584</xdr:rowOff>
    </xdr:from>
    <xdr:to>
      <xdr:col>16</xdr:col>
      <xdr:colOff>63500</xdr:colOff>
      <xdr:row>6</xdr:row>
      <xdr:rowOff>9848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F7C5CF-CB5B-4B38-BE66-01B2322A239A}"/>
            </a:ext>
          </a:extLst>
        </xdr:cNvPr>
        <xdr:cNvSpPr txBox="1"/>
      </xdr:nvSpPr>
      <xdr:spPr>
        <a:xfrm>
          <a:off x="2603501" y="391584"/>
          <a:ext cx="25701624" cy="761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800" b="1"/>
            <a:t>Data provided in</a:t>
          </a:r>
          <a:r>
            <a:rPr lang="en-GB" sz="2800" b="1" baseline="0"/>
            <a:t> this spreadsheet relates to compositional analysis (componentry) from sediment core SW-64. Componentry was performed using backscatter scanning electron microscopy</a:t>
          </a:r>
        </a:p>
        <a:p>
          <a:endParaRPr lang="en-GB" sz="2800" b="1" baseline="0"/>
        </a:p>
        <a:p>
          <a:endParaRPr lang="en-GB" sz="28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DC58DD-A7E5-42D1-9B8F-4CF7D9C798BF}" name="Table1" displayName="Table1" ref="C9:S14" totalsRowShown="0" headerRowDxfId="19" dataDxfId="18" tableBorderDxfId="17">
  <autoFilter ref="C9:S14" xr:uid="{3ADC58DD-A7E5-42D1-9B8F-4CF7D9C798BF}"/>
  <tableColumns count="17">
    <tableColumn id="1" xr3:uid="{D6038814-200C-4F00-BDF7-E16E19B8CF60}" name="Sample #" dataDxfId="16"/>
    <tableColumn id="2" xr3:uid="{4DCE315F-4293-4136-A038-E110D46A687E}" name="Core Name" dataDxfId="15"/>
    <tableColumn id="3" xr3:uid="{635B10D9-3283-4592-BB61-9952E0BA136B}" name="Core Depth (cm)" dataDxfId="14"/>
    <tableColumn id="4" xr3:uid="{65AB65AD-8FF9-4976-8931-6F54EDEEABCF}" name="Material" dataDxfId="13"/>
    <tableColumn id="5" xr3:uid="{AEAC34D0-B4E9-4686-A9AC-60B2D2328CFD}" name="Grains Counted (n)" dataDxfId="12">
      <calculatedColumnFormula>SUM(Table1[[#This Row],[Massive Glass (n)]:[Organic (n)]])</calculatedColumnFormula>
    </tableColumn>
    <tableColumn id="6" xr3:uid="{F652EB71-180A-4CE7-AACB-9C90226A4C34}" name="Massive Glass (n)" dataDxfId="11"/>
    <tableColumn id="7" xr3:uid="{906ED837-9DD6-4223-A436-89A7D9A9D925}" name="Crystal-Rich Glass (n)" dataDxfId="10"/>
    <tableColumn id="8" xr3:uid="{80824154-6A65-42A6-BB0D-FD3B832C55EA}" name="Crystals (n)" dataDxfId="9"/>
    <tableColumn id="9" xr3:uid="{EBEC0041-6096-4705-8E92-B66355D952A7}" name="Pumice (n)" dataDxfId="8"/>
    <tableColumn id="10" xr3:uid="{F110C1F8-F698-465E-A2B9-D2FBAD25B2FC}" name="Lithics (n)" dataDxfId="7"/>
    <tableColumn id="11" xr3:uid="{C6F342D0-6C4C-4762-954F-FFDDCF107953}" name="Organic (n)" dataDxfId="6"/>
    <tableColumn id="12" xr3:uid="{386890E5-543E-4C44-8429-D6E6E1FDEAF7}" name="Massive Glass (%)" dataDxfId="5"/>
    <tableColumn id="13" xr3:uid="{7E8E9D15-5764-4CA5-99F0-A3175E58C397}" name="Crystal-rich Glass (%)" dataDxfId="4"/>
    <tableColumn id="14" xr3:uid="{E3BC34CF-537F-4190-AC43-F7E10747AF79}" name="Crystals (%)" dataDxfId="3"/>
    <tableColumn id="15" xr3:uid="{25CB4794-DDAA-4D13-B0E1-C74E24C64B6D}" name=" Pumice (%)" dataDxfId="2"/>
    <tableColumn id="16" xr3:uid="{4CFF733A-09C8-4D88-9EB8-889DC5A47651}" name="Lithics (%)" dataDxfId="1"/>
    <tableColumn id="17" xr3:uid="{2461F2D2-7127-48E6-8C68-016EDBB27A83}" name="Bio/Fora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EF6F4-62A6-4546-AC5D-03DD5B0FAF0C}">
  <dimension ref="C9:S14"/>
  <sheetViews>
    <sheetView tabSelected="1" zoomScale="40" workbookViewId="0">
      <selection activeCell="D58" sqref="D58"/>
    </sheetView>
  </sheetViews>
  <sheetFormatPr defaultRowHeight="15" x14ac:dyDescent="0.25"/>
  <cols>
    <col min="1" max="1" width="12.42578125" bestFit="1" customWidth="1"/>
    <col min="2" max="2" width="13.85546875" bestFit="1" customWidth="1"/>
    <col min="3" max="3" width="22.140625" bestFit="1" customWidth="1"/>
    <col min="4" max="4" width="23.5703125" bestFit="1" customWidth="1"/>
    <col min="5" max="5" width="29.140625" bestFit="1" customWidth="1"/>
    <col min="6" max="6" width="21.42578125" bestFit="1" customWidth="1"/>
    <col min="7" max="7" width="31.7109375" bestFit="1" customWidth="1"/>
    <col min="8" max="8" width="29.85546875" bestFit="1" customWidth="1"/>
    <col min="9" max="9" width="34.85546875" bestFit="1" customWidth="1"/>
    <col min="10" max="10" width="24.5703125" bestFit="1" customWidth="1"/>
    <col min="11" max="11" width="23.7109375" bestFit="1" customWidth="1"/>
    <col min="12" max="12" width="23.28515625" bestFit="1" customWidth="1"/>
    <col min="13" max="13" width="24.140625" bestFit="1" customWidth="1"/>
    <col min="14" max="14" width="30.140625" bestFit="1" customWidth="1"/>
    <col min="15" max="15" width="34.5703125" bestFit="1" customWidth="1"/>
    <col min="16" max="16" width="24.85546875" bestFit="1" customWidth="1"/>
    <col min="17" max="17" width="24.42578125" bestFit="1" customWidth="1"/>
    <col min="18" max="18" width="23.5703125" bestFit="1" customWidth="1"/>
    <col min="19" max="19" width="25.42578125" bestFit="1" customWidth="1"/>
  </cols>
  <sheetData>
    <row r="9" spans="3:19" x14ac:dyDescent="0.25">
      <c r="C9" s="1" t="s">
        <v>0</v>
      </c>
      <c r="D9" s="2" t="s">
        <v>1</v>
      </c>
      <c r="E9" s="2" t="s">
        <v>2</v>
      </c>
      <c r="F9" s="3" t="s">
        <v>3</v>
      </c>
      <c r="G9" s="2" t="s">
        <v>4</v>
      </c>
      <c r="H9" s="4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  <c r="N9" s="2" t="s">
        <v>11</v>
      </c>
      <c r="O9" s="2" t="s">
        <v>12</v>
      </c>
      <c r="P9" s="2" t="s">
        <v>13</v>
      </c>
      <c r="Q9" s="2" t="s">
        <v>14</v>
      </c>
      <c r="R9" s="2" t="s">
        <v>15</v>
      </c>
      <c r="S9" s="5" t="s">
        <v>16</v>
      </c>
    </row>
    <row r="10" spans="3:19" x14ac:dyDescent="0.25">
      <c r="C10" s="2">
        <v>1</v>
      </c>
      <c r="D10" s="6" t="s">
        <v>17</v>
      </c>
      <c r="E10" s="7" t="s">
        <v>18</v>
      </c>
      <c r="F10" s="8" t="s">
        <v>19</v>
      </c>
      <c r="G10" s="6">
        <f>SUM(Table1[[#This Row],[Massive Glass (n)]:[Organic (n)]])</f>
        <v>308</v>
      </c>
      <c r="H10" s="9">
        <v>263</v>
      </c>
      <c r="I10" s="10">
        <v>16</v>
      </c>
      <c r="J10" s="10">
        <v>4</v>
      </c>
      <c r="K10" s="10">
        <v>8</v>
      </c>
      <c r="L10" s="10">
        <v>16</v>
      </c>
      <c r="M10" s="10">
        <v>1</v>
      </c>
      <c r="N10" s="11">
        <f>(Table1[[#This Row],[Massive Glass (n)]]/308)*100</f>
        <v>85.389610389610397</v>
      </c>
      <c r="O10" s="11">
        <f>(Table1[[#This Row],[Crystal-Rich Glass (n)]]/308)*100</f>
        <v>5.1948051948051948</v>
      </c>
      <c r="P10" s="11">
        <f>(Table1[[#This Row],[Crystals (n)]]/308)*100</f>
        <v>1.2987012987012987</v>
      </c>
      <c r="Q10" s="11">
        <f>(Table1[[#This Row],[Pumice (n)]]/308)*100</f>
        <v>2.5974025974025974</v>
      </c>
      <c r="R10" s="11">
        <f>(Table1[[#This Row],[Lithics (n)]]/308)*100</f>
        <v>5.1948051948051948</v>
      </c>
      <c r="S10" s="11">
        <f>(Table1[[#This Row],[Organic (n)]]/308)*100</f>
        <v>0.32467532467532467</v>
      </c>
    </row>
    <row r="11" spans="3:19" x14ac:dyDescent="0.25">
      <c r="C11" s="2">
        <v>2</v>
      </c>
      <c r="D11" s="6" t="s">
        <v>17</v>
      </c>
      <c r="E11" s="7" t="s">
        <v>20</v>
      </c>
      <c r="F11" s="8" t="s">
        <v>19</v>
      </c>
      <c r="G11" s="6">
        <f>SUM(Table1[[#This Row],[Massive Glass (n)]:[Organic (n)]])</f>
        <v>300</v>
      </c>
      <c r="H11" s="9">
        <v>202</v>
      </c>
      <c r="I11" s="10">
        <v>37</v>
      </c>
      <c r="J11" s="10">
        <v>13</v>
      </c>
      <c r="K11" s="10">
        <v>17</v>
      </c>
      <c r="L11" s="10">
        <v>28</v>
      </c>
      <c r="M11" s="10">
        <v>3</v>
      </c>
      <c r="N11" s="11">
        <f>(Table1[[#This Row],[Massive Glass (n)]]/300)*100</f>
        <v>67.333333333333329</v>
      </c>
      <c r="O11" s="11">
        <f>(Table1[[#This Row],[Crystal-Rich Glass (n)]]/300)*100</f>
        <v>12.333333333333334</v>
      </c>
      <c r="P11" s="11">
        <f>(Table1[[#This Row],[Crystals (n)]]/300)*100</f>
        <v>4.3333333333333339</v>
      </c>
      <c r="Q11" s="11">
        <f>(Table1[[#This Row],[Pumice (n)]]/300)*100</f>
        <v>5.6666666666666661</v>
      </c>
      <c r="R11" s="11">
        <f>(Table1[[#This Row],[Lithics (n)]]/300)*100</f>
        <v>9.3333333333333339</v>
      </c>
      <c r="S11" s="11">
        <f>(Table1[[#This Row],[Organic (n)]]/300)*100</f>
        <v>1</v>
      </c>
    </row>
    <row r="12" spans="3:19" x14ac:dyDescent="0.25">
      <c r="C12" s="2">
        <v>3</v>
      </c>
      <c r="D12" s="6" t="s">
        <v>17</v>
      </c>
      <c r="E12" s="7" t="s">
        <v>21</v>
      </c>
      <c r="F12" s="8" t="s">
        <v>19</v>
      </c>
      <c r="G12" s="6">
        <f>SUM(Table1[[#This Row],[Massive Glass (n)]:[Organic (n)]])</f>
        <v>315</v>
      </c>
      <c r="H12" s="9">
        <v>193</v>
      </c>
      <c r="I12" s="10">
        <v>65</v>
      </c>
      <c r="J12" s="10">
        <v>20</v>
      </c>
      <c r="K12" s="10">
        <v>12</v>
      </c>
      <c r="L12" s="10">
        <v>25</v>
      </c>
      <c r="M12" s="10">
        <v>0</v>
      </c>
      <c r="N12" s="11">
        <f>(Table1[[#This Row],[Massive Glass (n)]]/315)*100</f>
        <v>61.269841269841272</v>
      </c>
      <c r="O12" s="11">
        <f>(Table1[[#This Row],[Crystal-Rich Glass (n)]]/315)*100</f>
        <v>20.634920634920633</v>
      </c>
      <c r="P12" s="11">
        <f>(Table1[[#This Row],[Crystals (n)]]/315)*100</f>
        <v>6.3492063492063489</v>
      </c>
      <c r="Q12" s="11">
        <f>(Table1[[#This Row],[Pumice (n)]]/315)*100</f>
        <v>3.8095238095238098</v>
      </c>
      <c r="R12" s="11">
        <f>(Table1[[#This Row],[Lithics (n)]]/315)*100</f>
        <v>7.9365079365079358</v>
      </c>
      <c r="S12" s="11">
        <f>(Table1[[#This Row],[Organic (n)]]/315)*100</f>
        <v>0</v>
      </c>
    </row>
    <row r="13" spans="3:19" x14ac:dyDescent="0.25">
      <c r="C13" s="12">
        <v>4</v>
      </c>
      <c r="D13" s="6" t="s">
        <v>17</v>
      </c>
      <c r="E13" s="13" t="s">
        <v>22</v>
      </c>
      <c r="F13" s="8" t="s">
        <v>19</v>
      </c>
      <c r="G13" s="6">
        <f>SUM(Table1[[#This Row],[Massive Glass (n)]:[Organic (n)]])</f>
        <v>305</v>
      </c>
      <c r="H13" s="14">
        <v>168</v>
      </c>
      <c r="I13" s="15">
        <v>71</v>
      </c>
      <c r="J13" s="15">
        <v>23</v>
      </c>
      <c r="K13" s="15">
        <v>19</v>
      </c>
      <c r="L13" s="15">
        <v>23</v>
      </c>
      <c r="M13" s="15">
        <v>1</v>
      </c>
      <c r="N13" s="11">
        <f>(Table1[[#This Row],[Massive Glass (n)]]/305)*100</f>
        <v>55.081967213114758</v>
      </c>
      <c r="O13" s="11">
        <f>(Table1[[#This Row],[Crystal-Rich Glass (n)]]/305)*100</f>
        <v>23.278688524590162</v>
      </c>
      <c r="P13" s="11">
        <f>(Table1[[#This Row],[Crystals (n)]]/305)*100</f>
        <v>7.5409836065573774</v>
      </c>
      <c r="Q13" s="11">
        <f>(Table1[[#This Row],[Pumice (n)]]/305)*100</f>
        <v>6.2295081967213122</v>
      </c>
      <c r="R13" s="11">
        <f>(Table1[[#This Row],[Lithics (n)]]/305)*100</f>
        <v>7.5409836065573774</v>
      </c>
      <c r="S13" s="11">
        <f>(Table1[[#This Row],[Organic (n)]]/305)*100</f>
        <v>0.32786885245901637</v>
      </c>
    </row>
    <row r="14" spans="3:19" x14ac:dyDescent="0.25">
      <c r="C14" s="2">
        <v>5</v>
      </c>
      <c r="D14" s="6" t="s">
        <v>17</v>
      </c>
      <c r="E14" s="7" t="s">
        <v>23</v>
      </c>
      <c r="F14" s="8" t="s">
        <v>24</v>
      </c>
      <c r="G14" s="6">
        <f>SUM(Table1[[#This Row],[Massive Glass (n)]:[Organic (n)]])</f>
        <v>300</v>
      </c>
      <c r="H14" s="9">
        <v>100</v>
      </c>
      <c r="I14" s="10">
        <v>34</v>
      </c>
      <c r="J14" s="10">
        <v>9</v>
      </c>
      <c r="K14" s="10">
        <v>16</v>
      </c>
      <c r="L14" s="10">
        <v>21</v>
      </c>
      <c r="M14" s="10">
        <v>120</v>
      </c>
      <c r="N14" s="11">
        <f>(Table1[[#This Row],[Massive Glass (n)]]/300)*100</f>
        <v>33.333333333333329</v>
      </c>
      <c r="O14" s="11">
        <f>(Table1[[#This Row],[Crystal-Rich Glass (n)]]/300)*100</f>
        <v>11.333333333333332</v>
      </c>
      <c r="P14" s="11">
        <f>(Table1[[#This Row],[Crystals (n)]]/300)*100</f>
        <v>3</v>
      </c>
      <c r="Q14" s="11">
        <f>(Table1[[#This Row],[Pumice (n)]]/300)*100</f>
        <v>5.3333333333333339</v>
      </c>
      <c r="R14" s="11">
        <f>(Table1[[#This Row],[Lithics (n)]]/300)*100</f>
        <v>7.0000000000000009</v>
      </c>
      <c r="S14" s="11">
        <f>(Table1[[#This Row],[Organic (n)]]/300)*100</f>
        <v>40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COMPONENTRY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Nash</dc:creator>
  <cp:lastModifiedBy>Jacob Nash</cp:lastModifiedBy>
  <dcterms:created xsi:type="dcterms:W3CDTF">2025-05-09T10:37:40Z</dcterms:created>
  <dcterms:modified xsi:type="dcterms:W3CDTF">2025-05-09T14:11:22Z</dcterms:modified>
</cp:coreProperties>
</file>