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5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ahic\Box\3-Elmin Rahic\MS-3 (Laccase TEA)\"/>
    </mc:Choice>
  </mc:AlternateContent>
  <xr:revisionPtr revIDLastSave="0" documentId="13_ncr:1_{8DB6E3BE-1BE0-4ADB-9108-800707F50B32}" xr6:coauthVersionLast="47" xr6:coauthVersionMax="47" xr10:uidLastSave="{00000000-0000-0000-0000-000000000000}"/>
  <bookViews>
    <workbookView xWindow="28680" yWindow="-105" windowWidth="29040" windowHeight="15720" xr2:uid="{2DC8B9C6-1731-4BC1-83BB-0DD197B927C5}"/>
  </bookViews>
  <sheets>
    <sheet name="Flowsheet" sheetId="1" r:id="rId1"/>
    <sheet name="Equipment List &amp; Purchase Cost" sheetId="2" r:id="rId2"/>
    <sheet name="Scheduling" sheetId="4" r:id="rId3"/>
    <sheet name="Operating Costs" sheetId="3" r:id="rId4"/>
    <sheet name="TEA" sheetId="5" r:id="rId5"/>
    <sheet name="Figures and Tables" sheetId="7" r:id="rId6"/>
    <sheet name="Experimental Data" sheetId="6" r:id="rId7"/>
  </sheets>
  <definedNames>
    <definedName name="solver_adj" localSheetId="0" hidden="1">Flowsheet!$D$33</definedName>
    <definedName name="solver_adj" localSheetId="4" hidden="1">TEA!$D$33</definedName>
    <definedName name="solver_cvg" localSheetId="0" hidden="1">0.0001</definedName>
    <definedName name="solver_cvg" localSheetId="4" hidden="1">0.0001</definedName>
    <definedName name="solver_drv" localSheetId="0" hidden="1">2</definedName>
    <definedName name="solver_drv" localSheetId="4" hidden="1">1</definedName>
    <definedName name="solver_eng" localSheetId="0" hidden="1">1</definedName>
    <definedName name="solver_eng" localSheetId="4" hidden="1">1</definedName>
    <definedName name="solver_est" localSheetId="0" hidden="1">1</definedName>
    <definedName name="solver_est" localSheetId="4" hidden="1">1</definedName>
    <definedName name="solver_itr" localSheetId="0" hidden="1">2147483647</definedName>
    <definedName name="solver_itr" localSheetId="4" hidden="1">2147483647</definedName>
    <definedName name="solver_mip" localSheetId="0" hidden="1">2147483647</definedName>
    <definedName name="solver_mip" localSheetId="4" hidden="1">2147483647</definedName>
    <definedName name="solver_mni" localSheetId="0" hidden="1">30</definedName>
    <definedName name="solver_mni" localSheetId="4" hidden="1">30</definedName>
    <definedName name="solver_mrt" localSheetId="0" hidden="1">0.075</definedName>
    <definedName name="solver_mrt" localSheetId="4" hidden="1">0.075</definedName>
    <definedName name="solver_msl" localSheetId="0" hidden="1">2</definedName>
    <definedName name="solver_msl" localSheetId="4" hidden="1">2</definedName>
    <definedName name="solver_neg" localSheetId="0" hidden="1">1</definedName>
    <definedName name="solver_neg" localSheetId="4" hidden="1">1</definedName>
    <definedName name="solver_nod" localSheetId="0" hidden="1">2147483647</definedName>
    <definedName name="solver_nod" localSheetId="4" hidden="1">2147483647</definedName>
    <definedName name="solver_num" localSheetId="0" hidden="1">0</definedName>
    <definedName name="solver_num" localSheetId="4" hidden="1">0</definedName>
    <definedName name="solver_nwt" localSheetId="0" hidden="1">1</definedName>
    <definedName name="solver_nwt" localSheetId="4" hidden="1">1</definedName>
    <definedName name="solver_opt" localSheetId="0" hidden="1">Flowsheet!$D$32</definedName>
    <definedName name="solver_opt" localSheetId="4" hidden="1">TEA!$D$32</definedName>
    <definedName name="solver_pre" localSheetId="0" hidden="1">0.000001</definedName>
    <definedName name="solver_pre" localSheetId="4" hidden="1">0.000001</definedName>
    <definedName name="solver_rbv" localSheetId="0" hidden="1">2</definedName>
    <definedName name="solver_rbv" localSheetId="4" hidden="1">1</definedName>
    <definedName name="solver_rlx" localSheetId="0" hidden="1">2</definedName>
    <definedName name="solver_rlx" localSheetId="4" hidden="1">2</definedName>
    <definedName name="solver_rsd" localSheetId="0" hidden="1">0</definedName>
    <definedName name="solver_rsd" localSheetId="4" hidden="1">0</definedName>
    <definedName name="solver_scl" localSheetId="0" hidden="1">2</definedName>
    <definedName name="solver_scl" localSheetId="4" hidden="1">1</definedName>
    <definedName name="solver_sho" localSheetId="0" hidden="1">2</definedName>
    <definedName name="solver_sho" localSheetId="4" hidden="1">2</definedName>
    <definedName name="solver_ssz" localSheetId="0" hidden="1">100</definedName>
    <definedName name="solver_ssz" localSheetId="4" hidden="1">100</definedName>
    <definedName name="solver_tim" localSheetId="0" hidden="1">2147483647</definedName>
    <definedName name="solver_tim" localSheetId="4" hidden="1">2147483647</definedName>
    <definedName name="solver_tol" localSheetId="0" hidden="1">0.01</definedName>
    <definedName name="solver_tol" localSheetId="4" hidden="1">0.01</definedName>
    <definedName name="solver_typ" localSheetId="0" hidden="1">3</definedName>
    <definedName name="solver_typ" localSheetId="4" hidden="1">3</definedName>
    <definedName name="solver_val" localSheetId="0" hidden="1">0</definedName>
    <definedName name="solver_val" localSheetId="4" hidden="1">0</definedName>
    <definedName name="solver_ver" localSheetId="0" hidden="1">3</definedName>
    <definedName name="solver_ver" localSheetId="4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6" i="7" l="1"/>
  <c r="K4" i="7"/>
  <c r="K5" i="7"/>
  <c r="K7" i="7"/>
  <c r="K8" i="7"/>
  <c r="J23" i="7" l="1"/>
  <c r="AP33" i="7" l="1"/>
  <c r="J24" i="7"/>
  <c r="J25" i="7"/>
  <c r="J26" i="7"/>
  <c r="J27" i="7"/>
  <c r="AP29" i="7"/>
  <c r="AP32" i="7"/>
  <c r="AP27" i="7"/>
  <c r="AP30" i="7"/>
  <c r="AP31" i="7"/>
  <c r="AP28" i="7"/>
  <c r="AN29" i="7"/>
  <c r="AN32" i="7"/>
  <c r="AN33" i="7"/>
  <c r="AN27" i="7"/>
  <c r="AN30" i="7"/>
  <c r="AN31" i="7"/>
  <c r="AN28" i="7"/>
  <c r="C13" i="1" l="1"/>
  <c r="C7" i="1"/>
  <c r="AE18" i="1"/>
  <c r="C31" i="1"/>
  <c r="AQ17" i="1" s="1"/>
  <c r="C8" i="1"/>
  <c r="AE121" i="6"/>
  <c r="AE120" i="6"/>
  <c r="AE125" i="6" s="1"/>
  <c r="AE126" i="6" s="1"/>
  <c r="AF118" i="6"/>
  <c r="AF117" i="6"/>
  <c r="AF116" i="6"/>
  <c r="AF115" i="6"/>
  <c r="AF114" i="6"/>
  <c r="AF113" i="6"/>
  <c r="Y85" i="6"/>
  <c r="Y84" i="6"/>
  <c r="Y89" i="6" s="1"/>
  <c r="Y90" i="6" s="1"/>
  <c r="Z82" i="6"/>
  <c r="Z81" i="6"/>
  <c r="Z80" i="6"/>
  <c r="Z79" i="6"/>
  <c r="Z78" i="6"/>
  <c r="Z85" i="6" s="1"/>
  <c r="Z77" i="6"/>
  <c r="AB5" i="6"/>
  <c r="AB6" i="6"/>
  <c r="AB7" i="6"/>
  <c r="AB8" i="6"/>
  <c r="AB9" i="6"/>
  <c r="AB10" i="6"/>
  <c r="AA12" i="6"/>
  <c r="AA17" i="6" s="1"/>
  <c r="AA18" i="6" s="1"/>
  <c r="AA13" i="6"/>
  <c r="W319" i="6"/>
  <c r="W318" i="6"/>
  <c r="W323" i="6" s="1"/>
  <c r="W324" i="6" s="1"/>
  <c r="X316" i="6"/>
  <c r="X315" i="6"/>
  <c r="X314" i="6"/>
  <c r="X313" i="6"/>
  <c r="X312" i="6"/>
  <c r="X311" i="6"/>
  <c r="W301" i="6"/>
  <c r="W300" i="6"/>
  <c r="W305" i="6" s="1"/>
  <c r="W306" i="6" s="1"/>
  <c r="X298" i="6"/>
  <c r="X297" i="6"/>
  <c r="X296" i="6"/>
  <c r="X295" i="6"/>
  <c r="X294" i="6"/>
  <c r="X293" i="6"/>
  <c r="Y283" i="6"/>
  <c r="Y282" i="6"/>
  <c r="Y287" i="6" s="1"/>
  <c r="Y288" i="6" s="1"/>
  <c r="Z280" i="6"/>
  <c r="Z279" i="6"/>
  <c r="Z278" i="6"/>
  <c r="Z277" i="6"/>
  <c r="Z276" i="6"/>
  <c r="Z275" i="6"/>
  <c r="W265" i="6"/>
  <c r="W264" i="6"/>
  <c r="W269" i="6" s="1"/>
  <c r="W270" i="6" s="1"/>
  <c r="X262" i="6"/>
  <c r="X261" i="6"/>
  <c r="X260" i="6"/>
  <c r="X259" i="6"/>
  <c r="X258" i="6"/>
  <c r="X257" i="6"/>
  <c r="Y247" i="6"/>
  <c r="Y246" i="6"/>
  <c r="Y251" i="6" s="1"/>
  <c r="Y252" i="6" s="1"/>
  <c r="Z244" i="6"/>
  <c r="Z243" i="6"/>
  <c r="Z242" i="6"/>
  <c r="Z241" i="6"/>
  <c r="Z240" i="6"/>
  <c r="Z239" i="6"/>
  <c r="Y229" i="6"/>
  <c r="Y228" i="6"/>
  <c r="Y233" i="6" s="1"/>
  <c r="Y234" i="6" s="1"/>
  <c r="Z226" i="6"/>
  <c r="Z225" i="6"/>
  <c r="Z224" i="6"/>
  <c r="Z223" i="6"/>
  <c r="Z222" i="6"/>
  <c r="Z221" i="6"/>
  <c r="U211" i="6"/>
  <c r="U210" i="6"/>
  <c r="U215" i="6" s="1"/>
  <c r="U216" i="6" s="1"/>
  <c r="V208" i="6"/>
  <c r="V207" i="6"/>
  <c r="V206" i="6"/>
  <c r="V205" i="6"/>
  <c r="V204" i="6"/>
  <c r="V203" i="6"/>
  <c r="Y193" i="6"/>
  <c r="Y192" i="6"/>
  <c r="Y197" i="6" s="1"/>
  <c r="Y198" i="6" s="1"/>
  <c r="Z190" i="6"/>
  <c r="Z189" i="6"/>
  <c r="Z188" i="6"/>
  <c r="Z187" i="6"/>
  <c r="Z186" i="6"/>
  <c r="Z185" i="6"/>
  <c r="Y175" i="6"/>
  <c r="Y174" i="6"/>
  <c r="Y179" i="6" s="1"/>
  <c r="Y180" i="6" s="1"/>
  <c r="Z172" i="6"/>
  <c r="Z171" i="6"/>
  <c r="Z170" i="6"/>
  <c r="Z169" i="6"/>
  <c r="Z168" i="6"/>
  <c r="Z167" i="6"/>
  <c r="Y157" i="6"/>
  <c r="Y156" i="6"/>
  <c r="Y161" i="6" s="1"/>
  <c r="Y162" i="6" s="1"/>
  <c r="Z154" i="6"/>
  <c r="Z153" i="6"/>
  <c r="Z152" i="6"/>
  <c r="Z151" i="6"/>
  <c r="Z150" i="6"/>
  <c r="Z149" i="6"/>
  <c r="Y139" i="6"/>
  <c r="Y138" i="6"/>
  <c r="Y143" i="6" s="1"/>
  <c r="Y144" i="6" s="1"/>
  <c r="Z136" i="6"/>
  <c r="Z135" i="6"/>
  <c r="Z134" i="6"/>
  <c r="Z133" i="6"/>
  <c r="Z132" i="6"/>
  <c r="Z131" i="6"/>
  <c r="AC121" i="6"/>
  <c r="AC120" i="6"/>
  <c r="AC125" i="6" s="1"/>
  <c r="AC126" i="6" s="1"/>
  <c r="AD118" i="6"/>
  <c r="AD117" i="6"/>
  <c r="AD116" i="6"/>
  <c r="AD115" i="6"/>
  <c r="AD114" i="6"/>
  <c r="AD113" i="6"/>
  <c r="Y103" i="6"/>
  <c r="Y102" i="6"/>
  <c r="Y107" i="6" s="1"/>
  <c r="Y108" i="6" s="1"/>
  <c r="Z100" i="6"/>
  <c r="Z99" i="6"/>
  <c r="Z98" i="6"/>
  <c r="Z97" i="6"/>
  <c r="Z96" i="6"/>
  <c r="Z95" i="6"/>
  <c r="W85" i="6"/>
  <c r="W84" i="6"/>
  <c r="W89" i="6" s="1"/>
  <c r="W90" i="6" s="1"/>
  <c r="X82" i="6"/>
  <c r="X81" i="6"/>
  <c r="X80" i="6"/>
  <c r="X79" i="6"/>
  <c r="X78" i="6"/>
  <c r="X77" i="6"/>
  <c r="Y67" i="6"/>
  <c r="Y66" i="6"/>
  <c r="Y71" i="6" s="1"/>
  <c r="Y72" i="6" s="1"/>
  <c r="Z64" i="6"/>
  <c r="Z63" i="6"/>
  <c r="Z62" i="6"/>
  <c r="Z61" i="6"/>
  <c r="Z60" i="6"/>
  <c r="Z59" i="6"/>
  <c r="W49" i="6"/>
  <c r="W48" i="6"/>
  <c r="W53" i="6" s="1"/>
  <c r="W54" i="6" s="1"/>
  <c r="X46" i="6"/>
  <c r="X45" i="6"/>
  <c r="X44" i="6"/>
  <c r="X43" i="6"/>
  <c r="X42" i="6"/>
  <c r="X41" i="6"/>
  <c r="Y31" i="6"/>
  <c r="Y30" i="6"/>
  <c r="Y35" i="6" s="1"/>
  <c r="Y36" i="6" s="1"/>
  <c r="Z28" i="6"/>
  <c r="Z27" i="6"/>
  <c r="Z26" i="6"/>
  <c r="Z25" i="6"/>
  <c r="Z24" i="6"/>
  <c r="Z23" i="6"/>
  <c r="Z5" i="6"/>
  <c r="Z6" i="6"/>
  <c r="Z7" i="6"/>
  <c r="Z8" i="6"/>
  <c r="Z9" i="6"/>
  <c r="Z10" i="6"/>
  <c r="Y12" i="6"/>
  <c r="Y17" i="6" s="1"/>
  <c r="Y18" i="6" s="1"/>
  <c r="Y13" i="6"/>
  <c r="AA121" i="6"/>
  <c r="AA120" i="6"/>
  <c r="AA125" i="6" s="1"/>
  <c r="AA126" i="6" s="1"/>
  <c r="AB118" i="6"/>
  <c r="AB117" i="6"/>
  <c r="AB116" i="6"/>
  <c r="AB115" i="6"/>
  <c r="AB114" i="6"/>
  <c r="AB113" i="6"/>
  <c r="U319" i="6"/>
  <c r="U318" i="6"/>
  <c r="U323" i="6" s="1"/>
  <c r="U324" i="6" s="1"/>
  <c r="V316" i="6"/>
  <c r="V315" i="6"/>
  <c r="V314" i="6"/>
  <c r="V313" i="6"/>
  <c r="V312" i="6"/>
  <c r="V311" i="6"/>
  <c r="U301" i="6"/>
  <c r="U300" i="6"/>
  <c r="U305" i="6" s="1"/>
  <c r="U306" i="6" s="1"/>
  <c r="V298" i="6"/>
  <c r="V297" i="6"/>
  <c r="V296" i="6"/>
  <c r="V295" i="6"/>
  <c r="V294" i="6"/>
  <c r="V293" i="6"/>
  <c r="W283" i="6"/>
  <c r="W282" i="6"/>
  <c r="W287" i="6" s="1"/>
  <c r="W288" i="6" s="1"/>
  <c r="X280" i="6"/>
  <c r="X279" i="6"/>
  <c r="X278" i="6"/>
  <c r="X277" i="6"/>
  <c r="X276" i="6"/>
  <c r="X275" i="6"/>
  <c r="U265" i="6"/>
  <c r="U264" i="6"/>
  <c r="U269" i="6" s="1"/>
  <c r="U270" i="6" s="1"/>
  <c r="V262" i="6"/>
  <c r="V261" i="6"/>
  <c r="V260" i="6"/>
  <c r="V259" i="6"/>
  <c r="V258" i="6"/>
  <c r="V257" i="6"/>
  <c r="W247" i="6"/>
  <c r="W246" i="6"/>
  <c r="W251" i="6" s="1"/>
  <c r="W252" i="6" s="1"/>
  <c r="X244" i="6"/>
  <c r="X243" i="6"/>
  <c r="X242" i="6"/>
  <c r="X241" i="6"/>
  <c r="X240" i="6"/>
  <c r="X239" i="6"/>
  <c r="W229" i="6"/>
  <c r="W228" i="6"/>
  <c r="W233" i="6" s="1"/>
  <c r="W234" i="6" s="1"/>
  <c r="X226" i="6"/>
  <c r="X225" i="6"/>
  <c r="X224" i="6"/>
  <c r="X223" i="6"/>
  <c r="X222" i="6"/>
  <c r="X221" i="6"/>
  <c r="S211" i="6"/>
  <c r="S210" i="6"/>
  <c r="S215" i="6" s="1"/>
  <c r="S216" i="6" s="1"/>
  <c r="T208" i="6"/>
  <c r="T207" i="6"/>
  <c r="T206" i="6"/>
  <c r="T205" i="6"/>
  <c r="T204" i="6"/>
  <c r="T203" i="6"/>
  <c r="W193" i="6"/>
  <c r="W192" i="6"/>
  <c r="W197" i="6" s="1"/>
  <c r="W198" i="6" s="1"/>
  <c r="X190" i="6"/>
  <c r="X189" i="6"/>
  <c r="X188" i="6"/>
  <c r="X187" i="6"/>
  <c r="X186" i="6"/>
  <c r="X185" i="6"/>
  <c r="W175" i="6"/>
  <c r="W174" i="6"/>
  <c r="W179" i="6" s="1"/>
  <c r="W180" i="6" s="1"/>
  <c r="X172" i="6"/>
  <c r="X171" i="6"/>
  <c r="X170" i="6"/>
  <c r="X169" i="6"/>
  <c r="X168" i="6"/>
  <c r="X167" i="6"/>
  <c r="W157" i="6"/>
  <c r="W156" i="6"/>
  <c r="W161" i="6" s="1"/>
  <c r="W162" i="6" s="1"/>
  <c r="X154" i="6"/>
  <c r="X153" i="6"/>
  <c r="X152" i="6"/>
  <c r="X151" i="6"/>
  <c r="X150" i="6"/>
  <c r="X149" i="6"/>
  <c r="W139" i="6"/>
  <c r="W138" i="6"/>
  <c r="W143" i="6" s="1"/>
  <c r="W144" i="6" s="1"/>
  <c r="X136" i="6"/>
  <c r="X135" i="6"/>
  <c r="X134" i="6"/>
  <c r="X133" i="6"/>
  <c r="X132" i="6"/>
  <c r="X131" i="6"/>
  <c r="W103" i="6"/>
  <c r="W102" i="6"/>
  <c r="W107" i="6" s="1"/>
  <c r="W108" i="6" s="1"/>
  <c r="X100" i="6"/>
  <c r="X99" i="6"/>
  <c r="X98" i="6"/>
  <c r="X97" i="6"/>
  <c r="X96" i="6"/>
  <c r="X95" i="6"/>
  <c r="U85" i="6"/>
  <c r="U84" i="6"/>
  <c r="U89" i="6" s="1"/>
  <c r="U90" i="6" s="1"/>
  <c r="V82" i="6"/>
  <c r="V81" i="6"/>
  <c r="V80" i="6"/>
  <c r="V79" i="6"/>
  <c r="V78" i="6"/>
  <c r="V77" i="6"/>
  <c r="W67" i="6"/>
  <c r="W66" i="6"/>
  <c r="W71" i="6" s="1"/>
  <c r="W72" i="6" s="1"/>
  <c r="X64" i="6"/>
  <c r="X63" i="6"/>
  <c r="X62" i="6"/>
  <c r="X61" i="6"/>
  <c r="X60" i="6"/>
  <c r="X59" i="6"/>
  <c r="U49" i="6"/>
  <c r="U48" i="6"/>
  <c r="U53" i="6" s="1"/>
  <c r="U54" i="6" s="1"/>
  <c r="V46" i="6"/>
  <c r="V45" i="6"/>
  <c r="V44" i="6"/>
  <c r="V43" i="6"/>
  <c r="V42" i="6"/>
  <c r="V41" i="6"/>
  <c r="W31" i="6"/>
  <c r="W30" i="6"/>
  <c r="W35" i="6" s="1"/>
  <c r="W36" i="6" s="1"/>
  <c r="X28" i="6"/>
  <c r="X27" i="6"/>
  <c r="X26" i="6"/>
  <c r="X25" i="6"/>
  <c r="X24" i="6"/>
  <c r="X23" i="6"/>
  <c r="W12" i="6"/>
  <c r="W17" i="6" s="1"/>
  <c r="W18" i="6" s="1"/>
  <c r="W13" i="6"/>
  <c r="X10" i="6"/>
  <c r="X9" i="6"/>
  <c r="X8" i="6"/>
  <c r="X7" i="6"/>
  <c r="X6" i="6"/>
  <c r="X5" i="6"/>
  <c r="AF121" i="6" l="1"/>
  <c r="X247" i="6"/>
  <c r="X301" i="6"/>
  <c r="X319" i="6"/>
  <c r="Z30" i="6"/>
  <c r="Z35" i="6" s="1"/>
  <c r="Z36" i="6" s="1"/>
  <c r="X264" i="6"/>
  <c r="X269" i="6" s="1"/>
  <c r="X270" i="6" s="1"/>
  <c r="X84" i="6"/>
  <c r="X89" i="6" s="1"/>
  <c r="X90" i="6" s="1"/>
  <c r="W91" i="6" s="1"/>
  <c r="AB86" i="6" s="1"/>
  <c r="AF120" i="6"/>
  <c r="AF125" i="6" s="1"/>
  <c r="AF126" i="6" s="1"/>
  <c r="AE127" i="6" s="1"/>
  <c r="AH126" i="6" s="1"/>
  <c r="AB13" i="6"/>
  <c r="AB12" i="6"/>
  <c r="AB17" i="6" s="1"/>
  <c r="AB18" i="6" s="1"/>
  <c r="AA19" i="6" s="1"/>
  <c r="AD16" i="6" s="1"/>
  <c r="Z84" i="6"/>
  <c r="Z89" i="6" s="1"/>
  <c r="Z90" i="6" s="1"/>
  <c r="Y91" i="6" s="1"/>
  <c r="AB87" i="6" s="1"/>
  <c r="X318" i="6"/>
  <c r="X323" i="6" s="1"/>
  <c r="X324" i="6" s="1"/>
  <c r="W325" i="6" s="1"/>
  <c r="Z320" i="6" s="1"/>
  <c r="X300" i="6"/>
  <c r="X305" i="6" s="1"/>
  <c r="X306" i="6" s="1"/>
  <c r="W307" i="6" s="1"/>
  <c r="Z302" i="6" s="1"/>
  <c r="Z283" i="6"/>
  <c r="Z282" i="6"/>
  <c r="Z287" i="6" s="1"/>
  <c r="Z288" i="6" s="1"/>
  <c r="Y289" i="6" s="1"/>
  <c r="AB285" i="6" s="1"/>
  <c r="W271" i="6"/>
  <c r="Z266" i="6" s="1"/>
  <c r="X265" i="6"/>
  <c r="Z247" i="6"/>
  <c r="Z229" i="6"/>
  <c r="V211" i="6"/>
  <c r="Z193" i="6"/>
  <c r="Z175" i="6"/>
  <c r="Z157" i="6"/>
  <c r="Z139" i="6"/>
  <c r="AD121" i="6"/>
  <c r="AD120" i="6"/>
  <c r="AD125" i="6" s="1"/>
  <c r="AD126" i="6" s="1"/>
  <c r="AC127" i="6" s="1"/>
  <c r="AH125" i="6" s="1"/>
  <c r="Z103" i="6"/>
  <c r="X85" i="6"/>
  <c r="Z67" i="6"/>
  <c r="Z66" i="6"/>
  <c r="Z71" i="6" s="1"/>
  <c r="Z72" i="6" s="1"/>
  <c r="Y73" i="6" s="1"/>
  <c r="AB69" i="6" s="1"/>
  <c r="X49" i="6"/>
  <c r="X48" i="6"/>
  <c r="X53" i="6" s="1"/>
  <c r="X54" i="6" s="1"/>
  <c r="W55" i="6" s="1"/>
  <c r="Z50" i="6" s="1"/>
  <c r="Z31" i="6"/>
  <c r="Z13" i="6"/>
  <c r="Z12" i="6"/>
  <c r="Z17" i="6" s="1"/>
  <c r="Z18" i="6" s="1"/>
  <c r="Y19" i="6" s="1"/>
  <c r="AD15" i="6" s="1"/>
  <c r="Z246" i="6"/>
  <c r="Z251" i="6" s="1"/>
  <c r="Z252" i="6" s="1"/>
  <c r="Y253" i="6" s="1"/>
  <c r="AB249" i="6" s="1"/>
  <c r="Z228" i="6"/>
  <c r="Z233" i="6" s="1"/>
  <c r="Z234" i="6" s="1"/>
  <c r="Y235" i="6" s="1"/>
  <c r="AB231" i="6" s="1"/>
  <c r="V210" i="6"/>
  <c r="V215" i="6" s="1"/>
  <c r="V216" i="6" s="1"/>
  <c r="U217" i="6" s="1"/>
  <c r="Z211" i="6" s="1"/>
  <c r="Z192" i="6"/>
  <c r="Z197" i="6" s="1"/>
  <c r="Z198" i="6" s="1"/>
  <c r="Y199" i="6" s="1"/>
  <c r="AB195" i="6" s="1"/>
  <c r="Z174" i="6"/>
  <c r="Z179" i="6" s="1"/>
  <c r="Z180" i="6" s="1"/>
  <c r="Y181" i="6" s="1"/>
  <c r="AB177" i="6" s="1"/>
  <c r="Z156" i="6"/>
  <c r="Z161" i="6" s="1"/>
  <c r="Z162" i="6" s="1"/>
  <c r="Y163" i="6" s="1"/>
  <c r="AB159" i="6" s="1"/>
  <c r="Z138" i="6"/>
  <c r="Z143" i="6" s="1"/>
  <c r="Z144" i="6" s="1"/>
  <c r="Y145" i="6" s="1"/>
  <c r="AB141" i="6" s="1"/>
  <c r="Z102" i="6"/>
  <c r="Z107" i="6" s="1"/>
  <c r="Z108" i="6" s="1"/>
  <c r="Y109" i="6" s="1"/>
  <c r="AB105" i="6" s="1"/>
  <c r="Y37" i="6"/>
  <c r="X246" i="6"/>
  <c r="X251" i="6" s="1"/>
  <c r="X252" i="6" s="1"/>
  <c r="W253" i="6" s="1"/>
  <c r="AB248" i="6" s="1"/>
  <c r="X192" i="6"/>
  <c r="X197" i="6" s="1"/>
  <c r="X198" i="6" s="1"/>
  <c r="W199" i="6" s="1"/>
  <c r="AB194" i="6" s="1"/>
  <c r="X103" i="6"/>
  <c r="V300" i="6"/>
  <c r="V305" i="6" s="1"/>
  <c r="V306" i="6" s="1"/>
  <c r="U307" i="6" s="1"/>
  <c r="Z301" i="6" s="1"/>
  <c r="V319" i="6"/>
  <c r="V318" i="6"/>
  <c r="V323" i="6" s="1"/>
  <c r="V324" i="6" s="1"/>
  <c r="U325" i="6" s="1"/>
  <c r="Z319" i="6" s="1"/>
  <c r="V301" i="6"/>
  <c r="X283" i="6"/>
  <c r="V264" i="6"/>
  <c r="V269" i="6" s="1"/>
  <c r="V270" i="6" s="1"/>
  <c r="U271" i="6" s="1"/>
  <c r="Z265" i="6" s="1"/>
  <c r="V265" i="6"/>
  <c r="X229" i="6"/>
  <c r="T211" i="6"/>
  <c r="X193" i="6"/>
  <c r="X174" i="6"/>
  <c r="X179" i="6" s="1"/>
  <c r="X180" i="6" s="1"/>
  <c r="W181" i="6" s="1"/>
  <c r="AB176" i="6" s="1"/>
  <c r="X175" i="6"/>
  <c r="X157" i="6"/>
  <c r="X139" i="6"/>
  <c r="X138" i="6"/>
  <c r="X143" i="6" s="1"/>
  <c r="X144" i="6" s="1"/>
  <c r="W145" i="6" s="1"/>
  <c r="AB140" i="6" s="1"/>
  <c r="AB121" i="6"/>
  <c r="X102" i="6"/>
  <c r="X107" i="6" s="1"/>
  <c r="X108" i="6" s="1"/>
  <c r="W109" i="6" s="1"/>
  <c r="AB104" i="6" s="1"/>
  <c r="V85" i="6"/>
  <c r="V84" i="6"/>
  <c r="V89" i="6" s="1"/>
  <c r="V90" i="6" s="1"/>
  <c r="U91" i="6" s="1"/>
  <c r="AB85" i="6" s="1"/>
  <c r="X67" i="6"/>
  <c r="X66" i="6"/>
  <c r="X71" i="6" s="1"/>
  <c r="X72" i="6" s="1"/>
  <c r="W73" i="6" s="1"/>
  <c r="AB68" i="6" s="1"/>
  <c r="V49" i="6"/>
  <c r="V48" i="6"/>
  <c r="V53" i="6" s="1"/>
  <c r="V54" i="6" s="1"/>
  <c r="U55" i="6" s="1"/>
  <c r="Z49" i="6" s="1"/>
  <c r="X30" i="6"/>
  <c r="X35" i="6" s="1"/>
  <c r="X36" i="6" s="1"/>
  <c r="W37" i="6" s="1"/>
  <c r="AB32" i="6" s="1"/>
  <c r="AB120" i="6"/>
  <c r="AB125" i="6" s="1"/>
  <c r="AB126" i="6" s="1"/>
  <c r="AA127" i="6" s="1"/>
  <c r="AH124" i="6" s="1"/>
  <c r="X282" i="6"/>
  <c r="X287" i="6" s="1"/>
  <c r="X288" i="6" s="1"/>
  <c r="W289" i="6" s="1"/>
  <c r="AB284" i="6" s="1"/>
  <c r="X228" i="6"/>
  <c r="X233" i="6" s="1"/>
  <c r="X234" i="6" s="1"/>
  <c r="W235" i="6" s="1"/>
  <c r="AB230" i="6" s="1"/>
  <c r="T210" i="6"/>
  <c r="T215" i="6" s="1"/>
  <c r="T216" i="6" s="1"/>
  <c r="S217" i="6" s="1"/>
  <c r="Z210" i="6" s="1"/>
  <c r="X156" i="6"/>
  <c r="X161" i="6" s="1"/>
  <c r="X162" i="6" s="1"/>
  <c r="W163" i="6" s="1"/>
  <c r="AB158" i="6" s="1"/>
  <c r="X31" i="6"/>
  <c r="X12" i="6"/>
  <c r="X17" i="6" s="1"/>
  <c r="X18" i="6" s="1"/>
  <c r="W19" i="6" s="1"/>
  <c r="AD14" i="6" s="1"/>
  <c r="X13" i="6"/>
  <c r="S319" i="6"/>
  <c r="S318" i="6"/>
  <c r="S323" i="6" s="1"/>
  <c r="S324" i="6" s="1"/>
  <c r="T316" i="6"/>
  <c r="T315" i="6"/>
  <c r="T314" i="6"/>
  <c r="T313" i="6"/>
  <c r="T312" i="6"/>
  <c r="T311" i="6"/>
  <c r="S301" i="6"/>
  <c r="S300" i="6"/>
  <c r="S305" i="6" s="1"/>
  <c r="S306" i="6" s="1"/>
  <c r="T298" i="6"/>
  <c r="T297" i="6"/>
  <c r="T296" i="6"/>
  <c r="T295" i="6"/>
  <c r="T294" i="6"/>
  <c r="T293" i="6"/>
  <c r="U283" i="6"/>
  <c r="U282" i="6"/>
  <c r="U287" i="6" s="1"/>
  <c r="U288" i="6" s="1"/>
  <c r="V280" i="6"/>
  <c r="V279" i="6"/>
  <c r="V278" i="6"/>
  <c r="V277" i="6"/>
  <c r="V276" i="6"/>
  <c r="V275" i="6"/>
  <c r="S265" i="6"/>
  <c r="S264" i="6"/>
  <c r="S269" i="6" s="1"/>
  <c r="S270" i="6" s="1"/>
  <c r="T262" i="6"/>
  <c r="T261" i="6"/>
  <c r="T260" i="6"/>
  <c r="T259" i="6"/>
  <c r="T258" i="6"/>
  <c r="T257" i="6"/>
  <c r="U247" i="6"/>
  <c r="U246" i="6"/>
  <c r="U251" i="6" s="1"/>
  <c r="U252" i="6" s="1"/>
  <c r="V244" i="6"/>
  <c r="V243" i="6"/>
  <c r="V242" i="6"/>
  <c r="V241" i="6"/>
  <c r="V240" i="6"/>
  <c r="V239" i="6"/>
  <c r="U229" i="6"/>
  <c r="U228" i="6"/>
  <c r="U233" i="6" s="1"/>
  <c r="U234" i="6" s="1"/>
  <c r="V226" i="6"/>
  <c r="V225" i="6"/>
  <c r="V224" i="6"/>
  <c r="V223" i="6"/>
  <c r="V222" i="6"/>
  <c r="V221" i="6"/>
  <c r="Q211" i="6"/>
  <c r="Q210" i="6"/>
  <c r="Q215" i="6" s="1"/>
  <c r="Q216" i="6" s="1"/>
  <c r="R208" i="6"/>
  <c r="R207" i="6"/>
  <c r="R206" i="6"/>
  <c r="R205" i="6"/>
  <c r="R204" i="6"/>
  <c r="R203" i="6"/>
  <c r="U193" i="6"/>
  <c r="U192" i="6"/>
  <c r="U197" i="6" s="1"/>
  <c r="U198" i="6" s="1"/>
  <c r="V190" i="6"/>
  <c r="V189" i="6"/>
  <c r="V188" i="6"/>
  <c r="V187" i="6"/>
  <c r="V186" i="6"/>
  <c r="V185" i="6"/>
  <c r="U175" i="6"/>
  <c r="U174" i="6"/>
  <c r="U179" i="6" s="1"/>
  <c r="U180" i="6" s="1"/>
  <c r="V172" i="6"/>
  <c r="V171" i="6"/>
  <c r="V170" i="6"/>
  <c r="V169" i="6"/>
  <c r="V168" i="6"/>
  <c r="V167" i="6"/>
  <c r="U157" i="6"/>
  <c r="U156" i="6"/>
  <c r="U161" i="6" s="1"/>
  <c r="U162" i="6" s="1"/>
  <c r="V154" i="6"/>
  <c r="V153" i="6"/>
  <c r="V152" i="6"/>
  <c r="V151" i="6"/>
  <c r="V150" i="6"/>
  <c r="V149" i="6"/>
  <c r="U139" i="6"/>
  <c r="U138" i="6"/>
  <c r="U143" i="6" s="1"/>
  <c r="U144" i="6" s="1"/>
  <c r="V136" i="6"/>
  <c r="V135" i="6"/>
  <c r="V134" i="6"/>
  <c r="V133" i="6"/>
  <c r="V132" i="6"/>
  <c r="V131" i="6"/>
  <c r="Y121" i="6"/>
  <c r="Y120" i="6"/>
  <c r="Y125" i="6" s="1"/>
  <c r="Y126" i="6" s="1"/>
  <c r="Z118" i="6"/>
  <c r="Z117" i="6"/>
  <c r="Z116" i="6"/>
  <c r="Z115" i="6"/>
  <c r="Z114" i="6"/>
  <c r="Z113" i="6"/>
  <c r="U103" i="6"/>
  <c r="U102" i="6"/>
  <c r="U107" i="6" s="1"/>
  <c r="U108" i="6" s="1"/>
  <c r="V100" i="6"/>
  <c r="V99" i="6"/>
  <c r="V98" i="6"/>
  <c r="V97" i="6"/>
  <c r="V96" i="6"/>
  <c r="V95" i="6"/>
  <c r="S85" i="6"/>
  <c r="S84" i="6"/>
  <c r="S89" i="6" s="1"/>
  <c r="S90" i="6" s="1"/>
  <c r="T82" i="6"/>
  <c r="T81" i="6"/>
  <c r="T80" i="6"/>
  <c r="T79" i="6"/>
  <c r="T78" i="6"/>
  <c r="T77" i="6"/>
  <c r="U67" i="6"/>
  <c r="U66" i="6"/>
  <c r="U71" i="6" s="1"/>
  <c r="U72" i="6" s="1"/>
  <c r="V64" i="6"/>
  <c r="V63" i="6"/>
  <c r="V62" i="6"/>
  <c r="V61" i="6"/>
  <c r="V60" i="6"/>
  <c r="V59" i="6"/>
  <c r="S49" i="6"/>
  <c r="S48" i="6"/>
  <c r="S53" i="6" s="1"/>
  <c r="S54" i="6" s="1"/>
  <c r="T46" i="6"/>
  <c r="T45" i="6"/>
  <c r="T44" i="6"/>
  <c r="T43" i="6"/>
  <c r="T42" i="6"/>
  <c r="T41" i="6"/>
  <c r="U31" i="6"/>
  <c r="U30" i="6"/>
  <c r="U35" i="6" s="1"/>
  <c r="U36" i="6" s="1"/>
  <c r="V28" i="6"/>
  <c r="V27" i="6"/>
  <c r="V26" i="6"/>
  <c r="V25" i="6"/>
  <c r="V24" i="6"/>
  <c r="V23" i="6"/>
  <c r="U12" i="6"/>
  <c r="U17" i="6" s="1"/>
  <c r="U18" i="6" s="1"/>
  <c r="U13" i="6"/>
  <c r="V8" i="6"/>
  <c r="V10" i="6"/>
  <c r="V9" i="6"/>
  <c r="V7" i="6"/>
  <c r="V6" i="6"/>
  <c r="V5" i="6"/>
  <c r="V66" i="6" l="1"/>
  <c r="V71" i="6" s="1"/>
  <c r="V72" i="6" s="1"/>
  <c r="V193" i="6"/>
  <c r="V12" i="6"/>
  <c r="V17" i="6" s="1"/>
  <c r="V18" i="6" s="1"/>
  <c r="U19" i="6" s="1"/>
  <c r="AD13" i="6" s="1"/>
  <c r="V157" i="6"/>
  <c r="T84" i="6"/>
  <c r="T89" i="6" s="1"/>
  <c r="T90" i="6" s="1"/>
  <c r="S91" i="6" s="1"/>
  <c r="AB84" i="6" s="1"/>
  <c r="V67" i="6"/>
  <c r="T264" i="6"/>
  <c r="T269" i="6" s="1"/>
  <c r="T270" i="6" s="1"/>
  <c r="S271" i="6" s="1"/>
  <c r="Z264" i="6" s="1"/>
  <c r="T300" i="6"/>
  <c r="T305" i="6" s="1"/>
  <c r="T306" i="6" s="1"/>
  <c r="S307" i="6" s="1"/>
  <c r="Z300" i="6" s="1"/>
  <c r="V103" i="6"/>
  <c r="T319" i="6"/>
  <c r="T301" i="6"/>
  <c r="V283" i="6"/>
  <c r="T265" i="6"/>
  <c r="V247" i="6"/>
  <c r="V228" i="6"/>
  <c r="V233" i="6" s="1"/>
  <c r="V234" i="6" s="1"/>
  <c r="U235" i="6" s="1"/>
  <c r="AB229" i="6" s="1"/>
  <c r="V229" i="6"/>
  <c r="R211" i="6"/>
  <c r="R210" i="6"/>
  <c r="R215" i="6" s="1"/>
  <c r="R216" i="6" s="1"/>
  <c r="Q217" i="6" s="1"/>
  <c r="Z209" i="6" s="1"/>
  <c r="V174" i="6"/>
  <c r="V179" i="6" s="1"/>
  <c r="V180" i="6" s="1"/>
  <c r="U181" i="6" s="1"/>
  <c r="AB175" i="6" s="1"/>
  <c r="V175" i="6"/>
  <c r="V156" i="6"/>
  <c r="V161" i="6" s="1"/>
  <c r="V162" i="6" s="1"/>
  <c r="U163" i="6" s="1"/>
  <c r="AB157" i="6" s="1"/>
  <c r="V139" i="6"/>
  <c r="V138" i="6"/>
  <c r="V143" i="6" s="1"/>
  <c r="V144" i="6" s="1"/>
  <c r="U145" i="6" s="1"/>
  <c r="AB139" i="6" s="1"/>
  <c r="Z121" i="6"/>
  <c r="Z120" i="6"/>
  <c r="Z125" i="6" s="1"/>
  <c r="Z126" i="6" s="1"/>
  <c r="Y127" i="6" s="1"/>
  <c r="AH123" i="6" s="1"/>
  <c r="V102" i="6"/>
  <c r="V107" i="6" s="1"/>
  <c r="V108" i="6" s="1"/>
  <c r="U109" i="6" s="1"/>
  <c r="AB103" i="6" s="1"/>
  <c r="U73" i="6"/>
  <c r="AB67" i="6" s="1"/>
  <c r="T48" i="6"/>
  <c r="T53" i="6" s="1"/>
  <c r="T54" i="6" s="1"/>
  <c r="S55" i="6" s="1"/>
  <c r="Z48" i="6" s="1"/>
  <c r="T49" i="6"/>
  <c r="V30" i="6"/>
  <c r="V35" i="6" s="1"/>
  <c r="V36" i="6" s="1"/>
  <c r="U37" i="6" s="1"/>
  <c r="AB31" i="6" s="1"/>
  <c r="V31" i="6"/>
  <c r="V13" i="6"/>
  <c r="T318" i="6"/>
  <c r="T323" i="6" s="1"/>
  <c r="T324" i="6" s="1"/>
  <c r="S325" i="6" s="1"/>
  <c r="Z318" i="6" s="1"/>
  <c r="V282" i="6"/>
  <c r="V287" i="6" s="1"/>
  <c r="V288" i="6" s="1"/>
  <c r="U289" i="6" s="1"/>
  <c r="AB283" i="6" s="1"/>
  <c r="V246" i="6"/>
  <c r="V251" i="6" s="1"/>
  <c r="V252" i="6" s="1"/>
  <c r="U253" i="6" s="1"/>
  <c r="AB247" i="6" s="1"/>
  <c r="V192" i="6"/>
  <c r="V197" i="6" s="1"/>
  <c r="V198" i="6" s="1"/>
  <c r="U199" i="6" s="1"/>
  <c r="AB193" i="6" s="1"/>
  <c r="T85" i="6"/>
  <c r="Q319" i="6"/>
  <c r="Q318" i="6"/>
  <c r="Q323" i="6" s="1"/>
  <c r="Q324" i="6" s="1"/>
  <c r="R316" i="6"/>
  <c r="R315" i="6"/>
  <c r="R314" i="6"/>
  <c r="R313" i="6"/>
  <c r="R312" i="6"/>
  <c r="R311" i="6"/>
  <c r="Q301" i="6"/>
  <c r="Q300" i="6"/>
  <c r="Q305" i="6" s="1"/>
  <c r="Q306" i="6" s="1"/>
  <c r="R298" i="6"/>
  <c r="R297" i="6"/>
  <c r="R296" i="6"/>
  <c r="R295" i="6"/>
  <c r="R294" i="6"/>
  <c r="R293" i="6"/>
  <c r="S283" i="6"/>
  <c r="S282" i="6"/>
  <c r="S287" i="6" s="1"/>
  <c r="S288" i="6" s="1"/>
  <c r="T280" i="6"/>
  <c r="T279" i="6"/>
  <c r="T278" i="6"/>
  <c r="T277" i="6"/>
  <c r="T276" i="6"/>
  <c r="T275" i="6"/>
  <c r="Q265" i="6"/>
  <c r="Q264" i="6"/>
  <c r="Q269" i="6" s="1"/>
  <c r="Q270" i="6" s="1"/>
  <c r="R262" i="6"/>
  <c r="R261" i="6"/>
  <c r="R260" i="6"/>
  <c r="R259" i="6"/>
  <c r="R258" i="6"/>
  <c r="R257" i="6"/>
  <c r="S247" i="6"/>
  <c r="S246" i="6"/>
  <c r="S251" i="6" s="1"/>
  <c r="S252" i="6" s="1"/>
  <c r="T244" i="6"/>
  <c r="T243" i="6"/>
  <c r="T242" i="6"/>
  <c r="T241" i="6"/>
  <c r="T240" i="6"/>
  <c r="T239" i="6"/>
  <c r="S229" i="6"/>
  <c r="S228" i="6"/>
  <c r="S233" i="6" s="1"/>
  <c r="S234" i="6" s="1"/>
  <c r="T226" i="6"/>
  <c r="T225" i="6"/>
  <c r="T224" i="6"/>
  <c r="T223" i="6"/>
  <c r="T222" i="6"/>
  <c r="T221" i="6"/>
  <c r="O211" i="6"/>
  <c r="O210" i="6"/>
  <c r="O215" i="6" s="1"/>
  <c r="O216" i="6" s="1"/>
  <c r="P208" i="6"/>
  <c r="P207" i="6"/>
  <c r="P206" i="6"/>
  <c r="P205" i="6"/>
  <c r="P204" i="6"/>
  <c r="P203" i="6"/>
  <c r="S193" i="6"/>
  <c r="S192" i="6"/>
  <c r="S197" i="6" s="1"/>
  <c r="S198" i="6" s="1"/>
  <c r="T190" i="6"/>
  <c r="T189" i="6"/>
  <c r="T188" i="6"/>
  <c r="T187" i="6"/>
  <c r="T186" i="6"/>
  <c r="T185" i="6"/>
  <c r="S175" i="6"/>
  <c r="S174" i="6"/>
  <c r="S179" i="6" s="1"/>
  <c r="S180" i="6" s="1"/>
  <c r="T172" i="6"/>
  <c r="T171" i="6"/>
  <c r="T170" i="6"/>
  <c r="T169" i="6"/>
  <c r="T168" i="6"/>
  <c r="T167" i="6"/>
  <c r="S157" i="6"/>
  <c r="S156" i="6"/>
  <c r="S161" i="6" s="1"/>
  <c r="S162" i="6" s="1"/>
  <c r="T154" i="6"/>
  <c r="T153" i="6"/>
  <c r="T152" i="6"/>
  <c r="T151" i="6"/>
  <c r="T150" i="6"/>
  <c r="T149" i="6"/>
  <c r="S139" i="6"/>
  <c r="S138" i="6"/>
  <c r="S143" i="6" s="1"/>
  <c r="S144" i="6" s="1"/>
  <c r="T136" i="6"/>
  <c r="T135" i="6"/>
  <c r="T134" i="6"/>
  <c r="T133" i="6"/>
  <c r="T132" i="6"/>
  <c r="T131" i="6"/>
  <c r="W121" i="6"/>
  <c r="W120" i="6"/>
  <c r="W125" i="6" s="1"/>
  <c r="W126" i="6" s="1"/>
  <c r="X118" i="6"/>
  <c r="X117" i="6"/>
  <c r="X115" i="6"/>
  <c r="X114" i="6"/>
  <c r="X113" i="6"/>
  <c r="S103" i="6"/>
  <c r="S102" i="6"/>
  <c r="S107" i="6" s="1"/>
  <c r="S108" i="6" s="1"/>
  <c r="T100" i="6"/>
  <c r="T99" i="6"/>
  <c r="T97" i="6"/>
  <c r="T96" i="6"/>
  <c r="T95" i="6"/>
  <c r="Q85" i="6"/>
  <c r="Q84" i="6"/>
  <c r="Q89" i="6" s="1"/>
  <c r="Q90" i="6" s="1"/>
  <c r="R82" i="6"/>
  <c r="R81" i="6"/>
  <c r="R79" i="6"/>
  <c r="R78" i="6"/>
  <c r="R77" i="6"/>
  <c r="S67" i="6"/>
  <c r="S66" i="6"/>
  <c r="S71" i="6" s="1"/>
  <c r="S72" i="6" s="1"/>
  <c r="T64" i="6"/>
  <c r="T63" i="6"/>
  <c r="T61" i="6"/>
  <c r="T60" i="6"/>
  <c r="T59" i="6"/>
  <c r="Q49" i="6"/>
  <c r="Q48" i="6"/>
  <c r="Q53" i="6" s="1"/>
  <c r="Q54" i="6" s="1"/>
  <c r="R46" i="6"/>
  <c r="R45" i="6"/>
  <c r="R43" i="6"/>
  <c r="R42" i="6"/>
  <c r="R41" i="6"/>
  <c r="S31" i="6"/>
  <c r="S30" i="6"/>
  <c r="S35" i="6" s="1"/>
  <c r="S36" i="6" s="1"/>
  <c r="T28" i="6"/>
  <c r="T27" i="6"/>
  <c r="T25" i="6"/>
  <c r="T24" i="6"/>
  <c r="T23" i="6"/>
  <c r="S12" i="6"/>
  <c r="S17" i="6" s="1"/>
  <c r="S18" i="6" s="1"/>
  <c r="S13" i="6"/>
  <c r="T5" i="6"/>
  <c r="T6" i="6"/>
  <c r="T7" i="6"/>
  <c r="T9" i="6"/>
  <c r="T10" i="6"/>
  <c r="T12" i="6" s="1"/>
  <c r="T17" i="6" s="1"/>
  <c r="T18" i="6" s="1"/>
  <c r="T13" i="6" l="1"/>
  <c r="T174" i="6"/>
  <c r="T179" i="6" s="1"/>
  <c r="T180" i="6" s="1"/>
  <c r="S181" i="6" s="1"/>
  <c r="AB174" i="6" s="1"/>
  <c r="R48" i="6"/>
  <c r="R53" i="6" s="1"/>
  <c r="R54" i="6" s="1"/>
  <c r="T139" i="6"/>
  <c r="R300" i="6"/>
  <c r="R305" i="6" s="1"/>
  <c r="R306" i="6" s="1"/>
  <c r="Q307" i="6" s="1"/>
  <c r="Z299" i="6" s="1"/>
  <c r="T102" i="6"/>
  <c r="T107" i="6" s="1"/>
  <c r="T108" i="6" s="1"/>
  <c r="S109" i="6" s="1"/>
  <c r="AB102" i="6" s="1"/>
  <c r="T228" i="6"/>
  <c r="T233" i="6" s="1"/>
  <c r="T234" i="6" s="1"/>
  <c r="S235" i="6" s="1"/>
  <c r="AB228" i="6" s="1"/>
  <c r="R84" i="6"/>
  <c r="R89" i="6" s="1"/>
  <c r="R90" i="6" s="1"/>
  <c r="Q91" i="6" s="1"/>
  <c r="AB83" i="6" s="1"/>
  <c r="R318" i="6"/>
  <c r="R323" i="6" s="1"/>
  <c r="R324" i="6" s="1"/>
  <c r="Q325" i="6" s="1"/>
  <c r="Z317" i="6" s="1"/>
  <c r="R319" i="6"/>
  <c r="R301" i="6"/>
  <c r="T283" i="6"/>
  <c r="T282" i="6"/>
  <c r="T287" i="6" s="1"/>
  <c r="T288" i="6" s="1"/>
  <c r="S289" i="6" s="1"/>
  <c r="AB282" i="6" s="1"/>
  <c r="R265" i="6"/>
  <c r="R264" i="6"/>
  <c r="R269" i="6" s="1"/>
  <c r="R270" i="6" s="1"/>
  <c r="Q271" i="6" s="1"/>
  <c r="Z263" i="6" s="1"/>
  <c r="T247" i="6"/>
  <c r="T246" i="6"/>
  <c r="T251" i="6" s="1"/>
  <c r="T252" i="6" s="1"/>
  <c r="S253" i="6" s="1"/>
  <c r="AB246" i="6" s="1"/>
  <c r="T229" i="6"/>
  <c r="P210" i="6"/>
  <c r="P215" i="6" s="1"/>
  <c r="P216" i="6" s="1"/>
  <c r="O217" i="6" s="1"/>
  <c r="Z208" i="6" s="1"/>
  <c r="P211" i="6"/>
  <c r="T192" i="6"/>
  <c r="T197" i="6" s="1"/>
  <c r="T198" i="6" s="1"/>
  <c r="S199" i="6" s="1"/>
  <c r="AB192" i="6" s="1"/>
  <c r="T193" i="6"/>
  <c r="T175" i="6"/>
  <c r="T157" i="6"/>
  <c r="T156" i="6"/>
  <c r="T161" i="6" s="1"/>
  <c r="T162" i="6" s="1"/>
  <c r="S163" i="6" s="1"/>
  <c r="AB156" i="6" s="1"/>
  <c r="T138" i="6"/>
  <c r="T143" i="6" s="1"/>
  <c r="T144" i="6" s="1"/>
  <c r="S145" i="6" s="1"/>
  <c r="AB138" i="6" s="1"/>
  <c r="X121" i="6"/>
  <c r="T103" i="6"/>
  <c r="R85" i="6"/>
  <c r="T66" i="6"/>
  <c r="T71" i="6" s="1"/>
  <c r="T72" i="6" s="1"/>
  <c r="S73" i="6" s="1"/>
  <c r="AB66" i="6" s="1"/>
  <c r="T67" i="6"/>
  <c r="R49" i="6"/>
  <c r="Q55" i="6"/>
  <c r="Z47" i="6" s="1"/>
  <c r="T31" i="6"/>
  <c r="T30" i="6"/>
  <c r="T35" i="6" s="1"/>
  <c r="T36" i="6" s="1"/>
  <c r="S37" i="6" s="1"/>
  <c r="AB30" i="6" s="1"/>
  <c r="S19" i="6"/>
  <c r="AD12" i="6" s="1"/>
  <c r="X120" i="6"/>
  <c r="X125" i="6" s="1"/>
  <c r="X126" i="6" s="1"/>
  <c r="W127" i="6" s="1"/>
  <c r="AH122" i="6" s="1"/>
  <c r="O319" i="6" l="1"/>
  <c r="O318" i="6"/>
  <c r="O323" i="6" s="1"/>
  <c r="O324" i="6" s="1"/>
  <c r="P316" i="6"/>
  <c r="P315" i="6"/>
  <c r="P314" i="6"/>
  <c r="P313" i="6"/>
  <c r="P312" i="6"/>
  <c r="P311" i="6"/>
  <c r="Q283" i="6"/>
  <c r="Q282" i="6"/>
  <c r="Q287" i="6" s="1"/>
  <c r="Q288" i="6" s="1"/>
  <c r="R280" i="6"/>
  <c r="R279" i="6"/>
  <c r="R278" i="6"/>
  <c r="R277" i="6"/>
  <c r="R276" i="6"/>
  <c r="R275" i="6"/>
  <c r="Q274" i="6"/>
  <c r="AA281" i="6" s="1"/>
  <c r="Q247" i="6"/>
  <c r="Q246" i="6"/>
  <c r="Q251" i="6" s="1"/>
  <c r="Q252" i="6" s="1"/>
  <c r="R244" i="6"/>
  <c r="R243" i="6"/>
  <c r="R242" i="6"/>
  <c r="R241" i="6"/>
  <c r="R240" i="6"/>
  <c r="R239" i="6"/>
  <c r="Q238" i="6"/>
  <c r="AA245" i="6" s="1"/>
  <c r="Q67" i="6"/>
  <c r="Q66" i="6"/>
  <c r="Q71" i="6" s="1"/>
  <c r="Q72" i="6" s="1"/>
  <c r="R64" i="6"/>
  <c r="R63" i="6"/>
  <c r="R62" i="6"/>
  <c r="R61" i="6"/>
  <c r="R60" i="6"/>
  <c r="R59" i="6"/>
  <c r="Q58" i="6"/>
  <c r="AA65" i="6" s="1"/>
  <c r="Q31" i="6"/>
  <c r="Q30" i="6"/>
  <c r="Q35" i="6" s="1"/>
  <c r="Q36" i="6" s="1"/>
  <c r="R28" i="6"/>
  <c r="R27" i="6"/>
  <c r="R26" i="6"/>
  <c r="R25" i="6"/>
  <c r="R24" i="6"/>
  <c r="R23" i="6"/>
  <c r="O301" i="6"/>
  <c r="O300" i="6"/>
  <c r="O305" i="6" s="1"/>
  <c r="O306" i="6" s="1"/>
  <c r="P298" i="6"/>
  <c r="P297" i="6"/>
  <c r="P296" i="6"/>
  <c r="P295" i="6"/>
  <c r="P294" i="6"/>
  <c r="P293" i="6"/>
  <c r="O265" i="6"/>
  <c r="O264" i="6"/>
  <c r="O269" i="6" s="1"/>
  <c r="O270" i="6" s="1"/>
  <c r="P262" i="6"/>
  <c r="P261" i="6"/>
  <c r="P260" i="6"/>
  <c r="P259" i="6"/>
  <c r="P258" i="6"/>
  <c r="P257" i="6"/>
  <c r="Q229" i="6"/>
  <c r="Q228" i="6"/>
  <c r="Q233" i="6" s="1"/>
  <c r="Q234" i="6" s="1"/>
  <c r="R226" i="6"/>
  <c r="R225" i="6"/>
  <c r="R224" i="6"/>
  <c r="R223" i="6"/>
  <c r="R222" i="6"/>
  <c r="R221" i="6"/>
  <c r="M211" i="6"/>
  <c r="M210" i="6"/>
  <c r="M215" i="6" s="1"/>
  <c r="M216" i="6" s="1"/>
  <c r="N208" i="6"/>
  <c r="N207" i="6"/>
  <c r="N206" i="6"/>
  <c r="N205" i="6"/>
  <c r="N204" i="6"/>
  <c r="N203" i="6"/>
  <c r="Q193" i="6"/>
  <c r="Q192" i="6"/>
  <c r="Q197" i="6" s="1"/>
  <c r="Q198" i="6" s="1"/>
  <c r="R190" i="6"/>
  <c r="R189" i="6"/>
  <c r="R188" i="6"/>
  <c r="R187" i="6"/>
  <c r="R186" i="6"/>
  <c r="R185" i="6"/>
  <c r="Q175" i="6"/>
  <c r="Q174" i="6"/>
  <c r="Q179" i="6" s="1"/>
  <c r="Q180" i="6" s="1"/>
  <c r="R172" i="6"/>
  <c r="R171" i="6"/>
  <c r="R170" i="6"/>
  <c r="R169" i="6"/>
  <c r="R168" i="6"/>
  <c r="R167" i="6"/>
  <c r="Q157" i="6"/>
  <c r="Q156" i="6"/>
  <c r="Q161" i="6" s="1"/>
  <c r="Q162" i="6" s="1"/>
  <c r="R154" i="6"/>
  <c r="R153" i="6"/>
  <c r="R152" i="6"/>
  <c r="R151" i="6"/>
  <c r="R150" i="6"/>
  <c r="R149" i="6"/>
  <c r="Q139" i="6"/>
  <c r="Q138" i="6"/>
  <c r="Q143" i="6" s="1"/>
  <c r="Q144" i="6" s="1"/>
  <c r="R136" i="6"/>
  <c r="R135" i="6"/>
  <c r="R134" i="6"/>
  <c r="R133" i="6"/>
  <c r="R132" i="6"/>
  <c r="R131" i="6"/>
  <c r="U121" i="6"/>
  <c r="U120" i="6"/>
  <c r="U125" i="6" s="1"/>
  <c r="U126" i="6" s="1"/>
  <c r="V118" i="6"/>
  <c r="V117" i="6"/>
  <c r="V116" i="6"/>
  <c r="V115" i="6"/>
  <c r="V114" i="6"/>
  <c r="V113" i="6"/>
  <c r="Q103" i="6"/>
  <c r="Q102" i="6"/>
  <c r="Q107" i="6" s="1"/>
  <c r="Q108" i="6" s="1"/>
  <c r="R100" i="6"/>
  <c r="R99" i="6"/>
  <c r="R98" i="6"/>
  <c r="R97" i="6"/>
  <c r="R96" i="6"/>
  <c r="R95" i="6"/>
  <c r="O85" i="6"/>
  <c r="O84" i="6"/>
  <c r="O89" i="6" s="1"/>
  <c r="O90" i="6" s="1"/>
  <c r="P82" i="6"/>
  <c r="P81" i="6"/>
  <c r="P80" i="6"/>
  <c r="P79" i="6"/>
  <c r="P78" i="6"/>
  <c r="P77" i="6"/>
  <c r="O49" i="6"/>
  <c r="O48" i="6"/>
  <c r="O53" i="6" s="1"/>
  <c r="O54" i="6" s="1"/>
  <c r="P46" i="6"/>
  <c r="P45" i="6"/>
  <c r="P44" i="6"/>
  <c r="P43" i="6"/>
  <c r="P42" i="6"/>
  <c r="P41" i="6"/>
  <c r="Q12" i="6"/>
  <c r="Q17" i="6" s="1"/>
  <c r="Q18" i="6" s="1"/>
  <c r="Q13" i="6"/>
  <c r="R10" i="6"/>
  <c r="R9" i="6"/>
  <c r="R8" i="6"/>
  <c r="R7" i="6"/>
  <c r="R6" i="6"/>
  <c r="R5" i="6"/>
  <c r="M301" i="6"/>
  <c r="M300" i="6"/>
  <c r="M305" i="6" s="1"/>
  <c r="M306" i="6" s="1"/>
  <c r="N298" i="6"/>
  <c r="N297" i="6"/>
  <c r="N296" i="6"/>
  <c r="N295" i="6"/>
  <c r="N294" i="6"/>
  <c r="N293" i="6"/>
  <c r="M265" i="6"/>
  <c r="M264" i="6"/>
  <c r="M269" i="6" s="1"/>
  <c r="M270" i="6" s="1"/>
  <c r="N262" i="6"/>
  <c r="N261" i="6"/>
  <c r="N260" i="6"/>
  <c r="N259" i="6"/>
  <c r="N258" i="6"/>
  <c r="N257" i="6"/>
  <c r="O229" i="6"/>
  <c r="O228" i="6"/>
  <c r="O233" i="6" s="1"/>
  <c r="O234" i="6" s="1"/>
  <c r="P226" i="6"/>
  <c r="P225" i="6"/>
  <c r="P224" i="6"/>
  <c r="P223" i="6"/>
  <c r="P222" i="6"/>
  <c r="P221" i="6"/>
  <c r="K211" i="6"/>
  <c r="K210" i="6"/>
  <c r="K215" i="6" s="1"/>
  <c r="K216" i="6" s="1"/>
  <c r="L208" i="6"/>
  <c r="L207" i="6"/>
  <c r="L206" i="6"/>
  <c r="L205" i="6"/>
  <c r="L204" i="6"/>
  <c r="L203" i="6"/>
  <c r="O193" i="6"/>
  <c r="O192" i="6"/>
  <c r="O197" i="6" s="1"/>
  <c r="O198" i="6" s="1"/>
  <c r="P190" i="6"/>
  <c r="P189" i="6"/>
  <c r="P188" i="6"/>
  <c r="P187" i="6"/>
  <c r="P186" i="6"/>
  <c r="P185" i="6"/>
  <c r="O175" i="6"/>
  <c r="O174" i="6"/>
  <c r="O179" i="6" s="1"/>
  <c r="O180" i="6" s="1"/>
  <c r="P172" i="6"/>
  <c r="P171" i="6"/>
  <c r="P170" i="6"/>
  <c r="P169" i="6"/>
  <c r="P168" i="6"/>
  <c r="P167" i="6"/>
  <c r="O157" i="6"/>
  <c r="O156" i="6"/>
  <c r="O161" i="6" s="1"/>
  <c r="O162" i="6" s="1"/>
  <c r="P154" i="6"/>
  <c r="P153" i="6"/>
  <c r="P152" i="6"/>
  <c r="P151" i="6"/>
  <c r="P150" i="6"/>
  <c r="P149" i="6"/>
  <c r="O139" i="6"/>
  <c r="O138" i="6"/>
  <c r="O143" i="6" s="1"/>
  <c r="O144" i="6" s="1"/>
  <c r="P136" i="6"/>
  <c r="P135" i="6"/>
  <c r="P134" i="6"/>
  <c r="P133" i="6"/>
  <c r="P132" i="6"/>
  <c r="P131" i="6"/>
  <c r="S121" i="6"/>
  <c r="S120" i="6"/>
  <c r="S125" i="6" s="1"/>
  <c r="S126" i="6" s="1"/>
  <c r="T118" i="6"/>
  <c r="T117" i="6"/>
  <c r="T116" i="6"/>
  <c r="T115" i="6"/>
  <c r="T114" i="6"/>
  <c r="T113" i="6"/>
  <c r="O103" i="6"/>
  <c r="O102" i="6"/>
  <c r="O107" i="6" s="1"/>
  <c r="O108" i="6" s="1"/>
  <c r="P100" i="6"/>
  <c r="P99" i="6"/>
  <c r="P98" i="6"/>
  <c r="P97" i="6"/>
  <c r="P96" i="6"/>
  <c r="P95" i="6"/>
  <c r="M85" i="6"/>
  <c r="M84" i="6"/>
  <c r="M89" i="6" s="1"/>
  <c r="M90" i="6" s="1"/>
  <c r="N82" i="6"/>
  <c r="N81" i="6"/>
  <c r="N80" i="6"/>
  <c r="N79" i="6"/>
  <c r="N78" i="6"/>
  <c r="N77" i="6"/>
  <c r="M49" i="6"/>
  <c r="M48" i="6"/>
  <c r="M53" i="6" s="1"/>
  <c r="M54" i="6" s="1"/>
  <c r="N46" i="6"/>
  <c r="N45" i="6"/>
  <c r="N44" i="6"/>
  <c r="N43" i="6"/>
  <c r="N42" i="6"/>
  <c r="N41" i="6"/>
  <c r="O12" i="6"/>
  <c r="O17" i="6" s="1"/>
  <c r="O18" i="6" s="1"/>
  <c r="O13" i="6"/>
  <c r="P5" i="6"/>
  <c r="P6" i="6"/>
  <c r="P7" i="6"/>
  <c r="P8" i="6"/>
  <c r="P9" i="6"/>
  <c r="P10" i="6"/>
  <c r="K301" i="6"/>
  <c r="K300" i="6"/>
  <c r="K305" i="6" s="1"/>
  <c r="K306" i="6" s="1"/>
  <c r="L298" i="6"/>
  <c r="L297" i="6"/>
  <c r="L296" i="6"/>
  <c r="L295" i="6"/>
  <c r="L294" i="6"/>
  <c r="L293" i="6"/>
  <c r="K265" i="6"/>
  <c r="K264" i="6"/>
  <c r="K269" i="6" s="1"/>
  <c r="K270" i="6" s="1"/>
  <c r="L262" i="6"/>
  <c r="L261" i="6"/>
  <c r="L260" i="6"/>
  <c r="L259" i="6"/>
  <c r="L258" i="6"/>
  <c r="L257" i="6"/>
  <c r="M229" i="6"/>
  <c r="M228" i="6"/>
  <c r="M233" i="6" s="1"/>
  <c r="M234" i="6" s="1"/>
  <c r="N226" i="6"/>
  <c r="N225" i="6"/>
  <c r="N224" i="6"/>
  <c r="N223" i="6"/>
  <c r="N222" i="6"/>
  <c r="N221" i="6"/>
  <c r="I211" i="6"/>
  <c r="I210" i="6"/>
  <c r="I215" i="6" s="1"/>
  <c r="I216" i="6" s="1"/>
  <c r="J208" i="6"/>
  <c r="J207" i="6"/>
  <c r="J206" i="6"/>
  <c r="J205" i="6"/>
  <c r="J204" i="6"/>
  <c r="J203" i="6"/>
  <c r="M193" i="6"/>
  <c r="M192" i="6"/>
  <c r="M197" i="6" s="1"/>
  <c r="M198" i="6" s="1"/>
  <c r="N190" i="6"/>
  <c r="N189" i="6"/>
  <c r="N188" i="6"/>
  <c r="N187" i="6"/>
  <c r="N186" i="6"/>
  <c r="N185" i="6"/>
  <c r="M175" i="6"/>
  <c r="M174" i="6"/>
  <c r="M179" i="6" s="1"/>
  <c r="M180" i="6" s="1"/>
  <c r="N172" i="6"/>
  <c r="N171" i="6"/>
  <c r="N170" i="6"/>
  <c r="N169" i="6"/>
  <c r="N168" i="6"/>
  <c r="N167" i="6"/>
  <c r="M157" i="6"/>
  <c r="M156" i="6"/>
  <c r="M161" i="6" s="1"/>
  <c r="M162" i="6" s="1"/>
  <c r="N154" i="6"/>
  <c r="N153" i="6"/>
  <c r="N152" i="6"/>
  <c r="N151" i="6"/>
  <c r="N150" i="6"/>
  <c r="N149" i="6"/>
  <c r="M139" i="6"/>
  <c r="M138" i="6"/>
  <c r="M143" i="6" s="1"/>
  <c r="M144" i="6" s="1"/>
  <c r="N136" i="6"/>
  <c r="N135" i="6"/>
  <c r="N134" i="6"/>
  <c r="N133" i="6"/>
  <c r="N132" i="6"/>
  <c r="N131" i="6"/>
  <c r="Q121" i="6"/>
  <c r="Q120" i="6"/>
  <c r="Q125" i="6" s="1"/>
  <c r="Q126" i="6" s="1"/>
  <c r="R118" i="6"/>
  <c r="R117" i="6"/>
  <c r="R116" i="6"/>
  <c r="R115" i="6"/>
  <c r="R114" i="6"/>
  <c r="R113" i="6"/>
  <c r="M103" i="6"/>
  <c r="M102" i="6"/>
  <c r="M107" i="6" s="1"/>
  <c r="M108" i="6" s="1"/>
  <c r="N100" i="6"/>
  <c r="N99" i="6"/>
  <c r="N98" i="6"/>
  <c r="N97" i="6"/>
  <c r="N96" i="6"/>
  <c r="N95" i="6"/>
  <c r="K85" i="6"/>
  <c r="K84" i="6"/>
  <c r="K89" i="6" s="1"/>
  <c r="K90" i="6" s="1"/>
  <c r="L82" i="6"/>
  <c r="L81" i="6"/>
  <c r="L80" i="6"/>
  <c r="L79" i="6"/>
  <c r="L78" i="6"/>
  <c r="L77" i="6"/>
  <c r="K49" i="6"/>
  <c r="K48" i="6"/>
  <c r="K53" i="6" s="1"/>
  <c r="K54" i="6" s="1"/>
  <c r="L46" i="6"/>
  <c r="L45" i="6"/>
  <c r="L44" i="6"/>
  <c r="L43" i="6"/>
  <c r="L42" i="6"/>
  <c r="L41" i="6"/>
  <c r="M12" i="6"/>
  <c r="M17" i="6" s="1"/>
  <c r="M18" i="6" s="1"/>
  <c r="M13" i="6"/>
  <c r="N5" i="6"/>
  <c r="N6" i="6"/>
  <c r="N7" i="6"/>
  <c r="N8" i="6"/>
  <c r="N9" i="6"/>
  <c r="N10" i="6"/>
  <c r="I301" i="6"/>
  <c r="I300" i="6"/>
  <c r="I305" i="6" s="1"/>
  <c r="I306" i="6" s="1"/>
  <c r="J298" i="6"/>
  <c r="J297" i="6"/>
  <c r="J296" i="6"/>
  <c r="J295" i="6"/>
  <c r="J294" i="6"/>
  <c r="J293" i="6"/>
  <c r="I265" i="6"/>
  <c r="I264" i="6"/>
  <c r="I269" i="6" s="1"/>
  <c r="I270" i="6" s="1"/>
  <c r="J262" i="6"/>
  <c r="J261" i="6"/>
  <c r="J260" i="6"/>
  <c r="J259" i="6"/>
  <c r="J258" i="6"/>
  <c r="J257" i="6"/>
  <c r="K229" i="6"/>
  <c r="K228" i="6"/>
  <c r="K233" i="6" s="1"/>
  <c r="K234" i="6" s="1"/>
  <c r="L226" i="6"/>
  <c r="L225" i="6"/>
  <c r="L224" i="6"/>
  <c r="L223" i="6"/>
  <c r="L222" i="6"/>
  <c r="L221" i="6"/>
  <c r="G211" i="6"/>
  <c r="G210" i="6"/>
  <c r="G215" i="6" s="1"/>
  <c r="G216" i="6" s="1"/>
  <c r="H208" i="6"/>
  <c r="H207" i="6"/>
  <c r="H206" i="6"/>
  <c r="H205" i="6"/>
  <c r="H204" i="6"/>
  <c r="H203" i="6"/>
  <c r="G202" i="6"/>
  <c r="Y204" i="6" s="1"/>
  <c r="K193" i="6"/>
  <c r="K192" i="6"/>
  <c r="K197" i="6" s="1"/>
  <c r="K198" i="6" s="1"/>
  <c r="L190" i="6"/>
  <c r="L189" i="6"/>
  <c r="L188" i="6"/>
  <c r="L187" i="6"/>
  <c r="L186" i="6"/>
  <c r="L185" i="6"/>
  <c r="K175" i="6"/>
  <c r="K174" i="6"/>
  <c r="K179" i="6" s="1"/>
  <c r="K180" i="6" s="1"/>
  <c r="L172" i="6"/>
  <c r="L171" i="6"/>
  <c r="L170" i="6"/>
  <c r="L169" i="6"/>
  <c r="L168" i="6"/>
  <c r="L167" i="6"/>
  <c r="K157" i="6"/>
  <c r="K156" i="6"/>
  <c r="K161" i="6" s="1"/>
  <c r="K162" i="6" s="1"/>
  <c r="L154" i="6"/>
  <c r="L153" i="6"/>
  <c r="L152" i="6"/>
  <c r="L151" i="6"/>
  <c r="L150" i="6"/>
  <c r="L149" i="6"/>
  <c r="K139" i="6"/>
  <c r="K138" i="6"/>
  <c r="K143" i="6" s="1"/>
  <c r="K144" i="6" s="1"/>
  <c r="L136" i="6"/>
  <c r="L135" i="6"/>
  <c r="L134" i="6"/>
  <c r="L133" i="6"/>
  <c r="L132" i="6"/>
  <c r="L131" i="6"/>
  <c r="O121" i="6"/>
  <c r="O120" i="6"/>
  <c r="O125" i="6" s="1"/>
  <c r="O126" i="6" s="1"/>
  <c r="P118" i="6"/>
  <c r="P117" i="6"/>
  <c r="P116" i="6"/>
  <c r="P115" i="6"/>
  <c r="P114" i="6"/>
  <c r="P113" i="6"/>
  <c r="K103" i="6"/>
  <c r="K102" i="6"/>
  <c r="K107" i="6" s="1"/>
  <c r="K108" i="6" s="1"/>
  <c r="L100" i="6"/>
  <c r="L99" i="6"/>
  <c r="L98" i="6"/>
  <c r="L97" i="6"/>
  <c r="L96" i="6"/>
  <c r="L95" i="6"/>
  <c r="I85" i="6"/>
  <c r="I84" i="6"/>
  <c r="I89" i="6" s="1"/>
  <c r="I90" i="6" s="1"/>
  <c r="J82" i="6"/>
  <c r="J81" i="6"/>
  <c r="J80" i="6"/>
  <c r="J79" i="6"/>
  <c r="J78" i="6"/>
  <c r="J77" i="6"/>
  <c r="I49" i="6"/>
  <c r="I48" i="6"/>
  <c r="I53" i="6" s="1"/>
  <c r="I54" i="6" s="1"/>
  <c r="J46" i="6"/>
  <c r="J45" i="6"/>
  <c r="J44" i="6"/>
  <c r="J43" i="6"/>
  <c r="J42" i="6"/>
  <c r="J41" i="6"/>
  <c r="K12" i="6"/>
  <c r="K17" i="6" s="1"/>
  <c r="K18" i="6" s="1"/>
  <c r="K13" i="6"/>
  <c r="L5" i="6"/>
  <c r="L6" i="6"/>
  <c r="L7" i="6"/>
  <c r="L8" i="6"/>
  <c r="L9" i="6"/>
  <c r="L10" i="6"/>
  <c r="M318" i="6"/>
  <c r="M323" i="6" s="1"/>
  <c r="M324" i="6" s="1"/>
  <c r="M319" i="6"/>
  <c r="N311" i="6"/>
  <c r="N312" i="6"/>
  <c r="N313" i="6"/>
  <c r="N314" i="6"/>
  <c r="N315" i="6"/>
  <c r="N316" i="6"/>
  <c r="N317" i="6"/>
  <c r="P276" i="6"/>
  <c r="P277" i="6"/>
  <c r="P278" i="6"/>
  <c r="P279" i="6"/>
  <c r="P280" i="6"/>
  <c r="P281" i="6"/>
  <c r="P275" i="6"/>
  <c r="O282" i="6"/>
  <c r="O287" i="6" s="1"/>
  <c r="O288" i="6" s="1"/>
  <c r="O283" i="6"/>
  <c r="P245" i="6"/>
  <c r="O246" i="6"/>
  <c r="O251" i="6" s="1"/>
  <c r="O252" i="6" s="1"/>
  <c r="O247" i="6"/>
  <c r="P244" i="6"/>
  <c r="P243" i="6"/>
  <c r="P242" i="6"/>
  <c r="P241" i="6"/>
  <c r="P240" i="6"/>
  <c r="P239" i="6"/>
  <c r="O67" i="6"/>
  <c r="O66" i="6"/>
  <c r="O71" i="6" s="1"/>
  <c r="O72" i="6" s="1"/>
  <c r="P60" i="6"/>
  <c r="P61" i="6"/>
  <c r="P62" i="6"/>
  <c r="P63" i="6"/>
  <c r="P64" i="6"/>
  <c r="P65" i="6"/>
  <c r="P59" i="6"/>
  <c r="P29" i="6"/>
  <c r="O31" i="6"/>
  <c r="O30" i="6"/>
  <c r="O35" i="6" s="1"/>
  <c r="O36" i="6" s="1"/>
  <c r="P28" i="6"/>
  <c r="P27" i="6"/>
  <c r="P26" i="6"/>
  <c r="P25" i="6"/>
  <c r="P24" i="6"/>
  <c r="P23" i="6"/>
  <c r="AC244" i="6"/>
  <c r="AC28" i="6"/>
  <c r="K318" i="6"/>
  <c r="K323" i="6" s="1"/>
  <c r="K324" i="6" s="1"/>
  <c r="K319" i="6"/>
  <c r="L311" i="6"/>
  <c r="L312" i="6"/>
  <c r="L313" i="6"/>
  <c r="L314" i="6"/>
  <c r="L315" i="6"/>
  <c r="L316" i="6"/>
  <c r="M283" i="6"/>
  <c r="M282" i="6"/>
  <c r="M287" i="6" s="1"/>
  <c r="M288" i="6" s="1"/>
  <c r="N280" i="6"/>
  <c r="N279" i="6"/>
  <c r="N278" i="6"/>
  <c r="N277" i="6"/>
  <c r="N276" i="6"/>
  <c r="N275" i="6"/>
  <c r="M246" i="6"/>
  <c r="M251" i="6" s="1"/>
  <c r="M252" i="6" s="1"/>
  <c r="M247" i="6"/>
  <c r="N239" i="6"/>
  <c r="N240" i="6"/>
  <c r="N241" i="6"/>
  <c r="N242" i="6"/>
  <c r="N243" i="6"/>
  <c r="N244" i="6"/>
  <c r="M66" i="6"/>
  <c r="M71" i="6" s="1"/>
  <c r="M72" i="6" s="1"/>
  <c r="M67" i="6"/>
  <c r="N59" i="6"/>
  <c r="N60" i="6"/>
  <c r="N61" i="6"/>
  <c r="N62" i="6"/>
  <c r="N63" i="6"/>
  <c r="N64" i="6"/>
  <c r="M30" i="6"/>
  <c r="M35" i="6" s="1"/>
  <c r="M36" i="6" s="1"/>
  <c r="M31" i="6"/>
  <c r="N23" i="6"/>
  <c r="N24" i="6"/>
  <c r="N25" i="6"/>
  <c r="N26" i="6"/>
  <c r="N27" i="6"/>
  <c r="N28" i="6"/>
  <c r="AF5" i="1"/>
  <c r="Y11" i="1"/>
  <c r="C25" i="1"/>
  <c r="Z40" i="6"/>
  <c r="J316" i="6"/>
  <c r="J315" i="6"/>
  <c r="J314" i="6"/>
  <c r="J313" i="6"/>
  <c r="J312" i="6"/>
  <c r="J311" i="6"/>
  <c r="H298" i="6"/>
  <c r="H297" i="6"/>
  <c r="H296" i="6"/>
  <c r="H295" i="6"/>
  <c r="H294" i="6"/>
  <c r="H293" i="6"/>
  <c r="L280" i="6"/>
  <c r="L279" i="6"/>
  <c r="L278" i="6"/>
  <c r="L277" i="6"/>
  <c r="L276" i="6"/>
  <c r="L275" i="6"/>
  <c r="H262" i="6"/>
  <c r="H261" i="6"/>
  <c r="H260" i="6"/>
  <c r="H259" i="6"/>
  <c r="H258" i="6"/>
  <c r="H257" i="6"/>
  <c r="L244" i="6"/>
  <c r="L243" i="6"/>
  <c r="L242" i="6"/>
  <c r="L241" i="6"/>
  <c r="L240" i="6"/>
  <c r="L239" i="6"/>
  <c r="J226" i="6"/>
  <c r="J225" i="6"/>
  <c r="J224" i="6"/>
  <c r="J223" i="6"/>
  <c r="J222" i="6"/>
  <c r="J221" i="6"/>
  <c r="F208" i="6"/>
  <c r="F207" i="6"/>
  <c r="F206" i="6"/>
  <c r="F205" i="6"/>
  <c r="F204" i="6"/>
  <c r="F203" i="6"/>
  <c r="J190" i="6"/>
  <c r="J189" i="6"/>
  <c r="J188" i="6"/>
  <c r="J187" i="6"/>
  <c r="J186" i="6"/>
  <c r="J185" i="6"/>
  <c r="J172" i="6"/>
  <c r="J171" i="6"/>
  <c r="J170" i="6"/>
  <c r="J169" i="6"/>
  <c r="J168" i="6"/>
  <c r="J167" i="6"/>
  <c r="J154" i="6"/>
  <c r="J153" i="6"/>
  <c r="J152" i="6"/>
  <c r="J151" i="6"/>
  <c r="J150" i="6"/>
  <c r="J149" i="6"/>
  <c r="J136" i="6"/>
  <c r="J135" i="6"/>
  <c r="J134" i="6"/>
  <c r="J133" i="6"/>
  <c r="J132" i="6"/>
  <c r="J131" i="6"/>
  <c r="N118" i="6"/>
  <c r="N117" i="6"/>
  <c r="N116" i="6"/>
  <c r="N115" i="6"/>
  <c r="N114" i="6"/>
  <c r="N113" i="6"/>
  <c r="J100" i="6"/>
  <c r="J99" i="6"/>
  <c r="J98" i="6"/>
  <c r="J97" i="6"/>
  <c r="J96" i="6"/>
  <c r="J95" i="6"/>
  <c r="H82" i="6"/>
  <c r="H81" i="6"/>
  <c r="H80" i="6"/>
  <c r="H79" i="6"/>
  <c r="H78" i="6"/>
  <c r="H77" i="6"/>
  <c r="L64" i="6"/>
  <c r="L63" i="6"/>
  <c r="L62" i="6"/>
  <c r="L61" i="6"/>
  <c r="L60" i="6"/>
  <c r="L59" i="6"/>
  <c r="H46" i="6"/>
  <c r="H45" i="6"/>
  <c r="H44" i="6"/>
  <c r="H43" i="6"/>
  <c r="H42" i="6"/>
  <c r="H41" i="6"/>
  <c r="L28" i="6"/>
  <c r="L27" i="6"/>
  <c r="L26" i="6"/>
  <c r="L25" i="6"/>
  <c r="L24" i="6"/>
  <c r="L23" i="6"/>
  <c r="J6" i="6"/>
  <c r="J7" i="6"/>
  <c r="J8" i="6"/>
  <c r="J9" i="6"/>
  <c r="J10" i="6"/>
  <c r="J5" i="6"/>
  <c r="I318" i="6"/>
  <c r="I323" i="6" s="1"/>
  <c r="I324" i="6" s="1"/>
  <c r="I319" i="6"/>
  <c r="G300" i="6"/>
  <c r="G305" i="6" s="1"/>
  <c r="G306" i="6" s="1"/>
  <c r="G301" i="6"/>
  <c r="K282" i="6"/>
  <c r="K287" i="6" s="1"/>
  <c r="K288" i="6" s="1"/>
  <c r="K283" i="6"/>
  <c r="G264" i="6"/>
  <c r="G269" i="6" s="1"/>
  <c r="G270" i="6" s="1"/>
  <c r="G265" i="6"/>
  <c r="K246" i="6"/>
  <c r="K251" i="6" s="1"/>
  <c r="K252" i="6" s="1"/>
  <c r="K247" i="6"/>
  <c r="I228" i="6"/>
  <c r="I233" i="6" s="1"/>
  <c r="I234" i="6" s="1"/>
  <c r="I229" i="6"/>
  <c r="I192" i="6"/>
  <c r="I197" i="6" s="1"/>
  <c r="I198" i="6" s="1"/>
  <c r="I193" i="6"/>
  <c r="I174" i="6"/>
  <c r="I179" i="6" s="1"/>
  <c r="I180" i="6" s="1"/>
  <c r="I175" i="6"/>
  <c r="I156" i="6"/>
  <c r="I161" i="6" s="1"/>
  <c r="I162" i="6" s="1"/>
  <c r="I157" i="6"/>
  <c r="I138" i="6"/>
  <c r="I143" i="6" s="1"/>
  <c r="I144" i="6" s="1"/>
  <c r="I139" i="6"/>
  <c r="M120" i="6"/>
  <c r="M125" i="6" s="1"/>
  <c r="M126" i="6" s="1"/>
  <c r="M121" i="6"/>
  <c r="I102" i="6"/>
  <c r="I107" i="6" s="1"/>
  <c r="I108" i="6" s="1"/>
  <c r="I103" i="6"/>
  <c r="G84" i="6"/>
  <c r="G89" i="6" s="1"/>
  <c r="G90" i="6" s="1"/>
  <c r="G85" i="6"/>
  <c r="K66" i="6"/>
  <c r="K71" i="6" s="1"/>
  <c r="K72" i="6" s="1"/>
  <c r="K67" i="6"/>
  <c r="G48" i="6"/>
  <c r="G53" i="6" s="1"/>
  <c r="G54" i="6" s="1"/>
  <c r="G49" i="6"/>
  <c r="K30" i="6"/>
  <c r="K35" i="6" s="1"/>
  <c r="K36" i="6" s="1"/>
  <c r="K31" i="6"/>
  <c r="I12" i="6"/>
  <c r="I17" i="6" s="1"/>
  <c r="I18" i="6" s="1"/>
  <c r="I13" i="6"/>
  <c r="I310" i="6"/>
  <c r="J310" i="6" s="1"/>
  <c r="K310" i="6" s="1"/>
  <c r="G292" i="6"/>
  <c r="H292" i="6" s="1"/>
  <c r="I292" i="6" s="1"/>
  <c r="K274" i="6"/>
  <c r="L274" i="6" s="1"/>
  <c r="M274" i="6" s="1"/>
  <c r="N274" i="6" s="1"/>
  <c r="AA279" i="6" s="1"/>
  <c r="G256" i="6"/>
  <c r="H256" i="6" s="1"/>
  <c r="I256" i="6" s="1"/>
  <c r="K238" i="6"/>
  <c r="L238" i="6" s="1"/>
  <c r="M238" i="6" s="1"/>
  <c r="N238" i="6" s="1"/>
  <c r="I220" i="6"/>
  <c r="J220" i="6" s="1"/>
  <c r="K220" i="6" s="1"/>
  <c r="I184" i="6"/>
  <c r="J184" i="6" s="1"/>
  <c r="K184" i="6" s="1"/>
  <c r="AA188" i="6" s="1"/>
  <c r="I166" i="6"/>
  <c r="J166" i="6" s="1"/>
  <c r="K166" i="6" s="1"/>
  <c r="I148" i="6"/>
  <c r="J148" i="6" s="1"/>
  <c r="K148" i="6" s="1"/>
  <c r="I130" i="6"/>
  <c r="J130" i="6" s="1"/>
  <c r="K130" i="6" s="1"/>
  <c r="M112" i="6"/>
  <c r="N112" i="6" s="1"/>
  <c r="O112" i="6" s="1"/>
  <c r="I94" i="6"/>
  <c r="J94" i="6" s="1"/>
  <c r="K94" i="6" s="1"/>
  <c r="L94" i="6" s="1"/>
  <c r="M94" i="6" s="1"/>
  <c r="G76" i="6"/>
  <c r="H76" i="6" s="1"/>
  <c r="I76" i="6" s="1"/>
  <c r="K58" i="6"/>
  <c r="L58" i="6" s="1"/>
  <c r="M58" i="6" s="1"/>
  <c r="N58" i="6" s="1"/>
  <c r="AA63" i="6" s="1"/>
  <c r="G40" i="6"/>
  <c r="H40" i="6" s="1"/>
  <c r="I40" i="6" s="1"/>
  <c r="K22" i="6"/>
  <c r="L22" i="6" s="1"/>
  <c r="M22" i="6" s="1"/>
  <c r="N22" i="6" s="1"/>
  <c r="O22" i="6" s="1"/>
  <c r="P22" i="6" s="1"/>
  <c r="Q22" i="6" s="1"/>
  <c r="I4" i="6"/>
  <c r="J4" i="6" s="1"/>
  <c r="K4" i="6" s="1"/>
  <c r="G318" i="6"/>
  <c r="G323" i="6" s="1"/>
  <c r="G324" i="6" s="1"/>
  <c r="H318" i="6"/>
  <c r="H323" i="6" s="1"/>
  <c r="H324" i="6" s="1"/>
  <c r="G319" i="6"/>
  <c r="H319" i="6"/>
  <c r="G310" i="6"/>
  <c r="I282" i="6"/>
  <c r="I287" i="6" s="1"/>
  <c r="I288" i="6" s="1"/>
  <c r="J282" i="6"/>
  <c r="J287" i="6" s="1"/>
  <c r="J288" i="6" s="1"/>
  <c r="I283" i="6"/>
  <c r="J283" i="6"/>
  <c r="I246" i="6"/>
  <c r="I251" i="6" s="1"/>
  <c r="I252" i="6" s="1"/>
  <c r="J246" i="6"/>
  <c r="J251" i="6" s="1"/>
  <c r="J252" i="6" s="1"/>
  <c r="I247" i="6"/>
  <c r="J247" i="6"/>
  <c r="G228" i="6"/>
  <c r="G233" i="6" s="1"/>
  <c r="G234" i="6" s="1"/>
  <c r="H228" i="6"/>
  <c r="H233" i="6" s="1"/>
  <c r="H234" i="6" s="1"/>
  <c r="G229" i="6"/>
  <c r="H229" i="6"/>
  <c r="G192" i="6"/>
  <c r="G197" i="6" s="1"/>
  <c r="G198" i="6" s="1"/>
  <c r="H192" i="6"/>
  <c r="H197" i="6" s="1"/>
  <c r="H198" i="6" s="1"/>
  <c r="G193" i="6"/>
  <c r="H193" i="6"/>
  <c r="G174" i="6"/>
  <c r="G179" i="6" s="1"/>
  <c r="G180" i="6" s="1"/>
  <c r="H174" i="6"/>
  <c r="H179" i="6" s="1"/>
  <c r="H180" i="6" s="1"/>
  <c r="G175" i="6"/>
  <c r="H175" i="6"/>
  <c r="G156" i="6"/>
  <c r="G161" i="6" s="1"/>
  <c r="G162" i="6" s="1"/>
  <c r="H156" i="6"/>
  <c r="H161" i="6" s="1"/>
  <c r="H162" i="6" s="1"/>
  <c r="G157" i="6"/>
  <c r="H157" i="6"/>
  <c r="G138" i="6"/>
  <c r="G143" i="6" s="1"/>
  <c r="G144" i="6" s="1"/>
  <c r="H138" i="6"/>
  <c r="H143" i="6" s="1"/>
  <c r="H144" i="6" s="1"/>
  <c r="G139" i="6"/>
  <c r="H139" i="6"/>
  <c r="G130" i="6"/>
  <c r="K120" i="6"/>
  <c r="K125" i="6" s="1"/>
  <c r="K126" i="6" s="1"/>
  <c r="L120" i="6"/>
  <c r="L125" i="6" s="1"/>
  <c r="L126" i="6" s="1"/>
  <c r="K121" i="6"/>
  <c r="L121" i="6"/>
  <c r="K112" i="6"/>
  <c r="G102" i="6"/>
  <c r="G107" i="6" s="1"/>
  <c r="G108" i="6" s="1"/>
  <c r="H102" i="6"/>
  <c r="H107" i="6" s="1"/>
  <c r="H108" i="6" s="1"/>
  <c r="G103" i="6"/>
  <c r="H103" i="6"/>
  <c r="G94" i="6"/>
  <c r="I66" i="6"/>
  <c r="I71" i="6" s="1"/>
  <c r="I72" i="6" s="1"/>
  <c r="J66" i="6"/>
  <c r="J71" i="6" s="1"/>
  <c r="J72" i="6" s="1"/>
  <c r="I67" i="6"/>
  <c r="J67" i="6"/>
  <c r="I30" i="6"/>
  <c r="I35" i="6" s="1"/>
  <c r="I36" i="6" s="1"/>
  <c r="J30" i="6"/>
  <c r="J35" i="6" s="1"/>
  <c r="J36" i="6" s="1"/>
  <c r="I31" i="6"/>
  <c r="J31" i="6"/>
  <c r="G12" i="6"/>
  <c r="G17" i="6" s="1"/>
  <c r="G18" i="6" s="1"/>
  <c r="H12" i="6"/>
  <c r="H17" i="6" s="1"/>
  <c r="H18" i="6" s="1"/>
  <c r="G13" i="6"/>
  <c r="H13" i="6"/>
  <c r="G4" i="6"/>
  <c r="J51" i="3"/>
  <c r="J45" i="3"/>
  <c r="H45" i="3"/>
  <c r="I45" i="3" s="1"/>
  <c r="H46" i="3"/>
  <c r="H47" i="3"/>
  <c r="H48" i="3"/>
  <c r="H49" i="3"/>
  <c r="H50" i="3"/>
  <c r="G46" i="3"/>
  <c r="J46" i="3" s="1"/>
  <c r="G47" i="3"/>
  <c r="J47" i="3" s="1"/>
  <c r="G48" i="3"/>
  <c r="J48" i="3" s="1"/>
  <c r="G49" i="3"/>
  <c r="G50" i="3"/>
  <c r="J50" i="3" s="1"/>
  <c r="H30" i="3"/>
  <c r="H29" i="3"/>
  <c r="H28" i="3"/>
  <c r="H27" i="3"/>
  <c r="H26" i="3"/>
  <c r="G282" i="6"/>
  <c r="G287" i="6" s="1"/>
  <c r="G288" i="6" s="1"/>
  <c r="H282" i="6"/>
  <c r="H287" i="6" s="1"/>
  <c r="H288" i="6" s="1"/>
  <c r="G283" i="6"/>
  <c r="H283" i="6"/>
  <c r="G246" i="6"/>
  <c r="G251" i="6" s="1"/>
  <c r="G252" i="6" s="1"/>
  <c r="H246" i="6"/>
  <c r="H251" i="6" s="1"/>
  <c r="H252" i="6" s="1"/>
  <c r="G247" i="6"/>
  <c r="H247" i="6"/>
  <c r="G120" i="6"/>
  <c r="G125" i="6" s="1"/>
  <c r="G126" i="6" s="1"/>
  <c r="H120" i="6"/>
  <c r="H125" i="6" s="1"/>
  <c r="H126" i="6" s="1"/>
  <c r="I120" i="6"/>
  <c r="I125" i="6" s="1"/>
  <c r="I126" i="6" s="1"/>
  <c r="J120" i="6"/>
  <c r="J125" i="6" s="1"/>
  <c r="J126" i="6" s="1"/>
  <c r="G121" i="6"/>
  <c r="H121" i="6"/>
  <c r="I121" i="6"/>
  <c r="J121" i="6"/>
  <c r="G66" i="6"/>
  <c r="G71" i="6" s="1"/>
  <c r="G72" i="6" s="1"/>
  <c r="H66" i="6"/>
  <c r="H71" i="6" s="1"/>
  <c r="H72" i="6" s="1"/>
  <c r="G67" i="6"/>
  <c r="H67" i="6"/>
  <c r="G30" i="6"/>
  <c r="G35" i="6" s="1"/>
  <c r="G36" i="6" s="1"/>
  <c r="H30" i="6"/>
  <c r="H35" i="6" s="1"/>
  <c r="H36" i="6" s="1"/>
  <c r="G31" i="6"/>
  <c r="H31" i="6"/>
  <c r="E264" i="6"/>
  <c r="E269" i="6" s="1"/>
  <c r="E270" i="6" s="1"/>
  <c r="F319" i="6"/>
  <c r="E319" i="6"/>
  <c r="D319" i="6"/>
  <c r="C319" i="6"/>
  <c r="F318" i="6"/>
  <c r="F323" i="6" s="1"/>
  <c r="F324" i="6" s="1"/>
  <c r="E318" i="6"/>
  <c r="E323" i="6" s="1"/>
  <c r="E324" i="6" s="1"/>
  <c r="D318" i="6"/>
  <c r="D323" i="6" s="1"/>
  <c r="D324" i="6" s="1"/>
  <c r="C318" i="6"/>
  <c r="C323" i="6" s="1"/>
  <c r="C324" i="6" s="1"/>
  <c r="C325" i="6" s="1"/>
  <c r="F301" i="6"/>
  <c r="E301" i="6"/>
  <c r="D301" i="6"/>
  <c r="C301" i="6"/>
  <c r="F300" i="6"/>
  <c r="F305" i="6" s="1"/>
  <c r="F306" i="6" s="1"/>
  <c r="E300" i="6"/>
  <c r="E305" i="6" s="1"/>
  <c r="E306" i="6" s="1"/>
  <c r="D300" i="6"/>
  <c r="D305" i="6" s="1"/>
  <c r="D306" i="6" s="1"/>
  <c r="C300" i="6"/>
  <c r="C305" i="6" s="1"/>
  <c r="C306" i="6" s="1"/>
  <c r="C307" i="6" s="1"/>
  <c r="F283" i="6"/>
  <c r="E283" i="6"/>
  <c r="D283" i="6"/>
  <c r="C283" i="6"/>
  <c r="F282" i="6"/>
  <c r="F287" i="6" s="1"/>
  <c r="F288" i="6" s="1"/>
  <c r="E282" i="6"/>
  <c r="E287" i="6" s="1"/>
  <c r="E288" i="6" s="1"/>
  <c r="D282" i="6"/>
  <c r="D287" i="6" s="1"/>
  <c r="D288" i="6" s="1"/>
  <c r="C282" i="6"/>
  <c r="C287" i="6" s="1"/>
  <c r="C288" i="6" s="1"/>
  <c r="F265" i="6"/>
  <c r="E265" i="6"/>
  <c r="D265" i="6"/>
  <c r="C265" i="6"/>
  <c r="F264" i="6"/>
  <c r="F269" i="6" s="1"/>
  <c r="F270" i="6" s="1"/>
  <c r="D264" i="6"/>
  <c r="D269" i="6" s="1"/>
  <c r="D270" i="6" s="1"/>
  <c r="C264" i="6"/>
  <c r="C269" i="6" s="1"/>
  <c r="C270" i="6" s="1"/>
  <c r="C271" i="6" s="1"/>
  <c r="F247" i="6"/>
  <c r="E247" i="6"/>
  <c r="D247" i="6"/>
  <c r="C247" i="6"/>
  <c r="F246" i="6"/>
  <c r="F251" i="6" s="1"/>
  <c r="F252" i="6" s="1"/>
  <c r="E246" i="6"/>
  <c r="E251" i="6" s="1"/>
  <c r="E252" i="6" s="1"/>
  <c r="D246" i="6"/>
  <c r="D251" i="6" s="1"/>
  <c r="D252" i="6" s="1"/>
  <c r="C246" i="6"/>
  <c r="C251" i="6" s="1"/>
  <c r="C252" i="6" s="1"/>
  <c r="F229" i="6"/>
  <c r="E229" i="6"/>
  <c r="D229" i="6"/>
  <c r="C229" i="6"/>
  <c r="F228" i="6"/>
  <c r="F233" i="6" s="1"/>
  <c r="F234" i="6" s="1"/>
  <c r="E228" i="6"/>
  <c r="E233" i="6" s="1"/>
  <c r="E234" i="6" s="1"/>
  <c r="D228" i="6"/>
  <c r="D233" i="6" s="1"/>
  <c r="D234" i="6" s="1"/>
  <c r="C228" i="6"/>
  <c r="C233" i="6" s="1"/>
  <c r="C234" i="6" s="1"/>
  <c r="C235" i="6" s="1"/>
  <c r="E211" i="6"/>
  <c r="D211" i="6"/>
  <c r="C211" i="6"/>
  <c r="E210" i="6"/>
  <c r="E215" i="6" s="1"/>
  <c r="E216" i="6" s="1"/>
  <c r="D210" i="6"/>
  <c r="D215" i="6" s="1"/>
  <c r="D216" i="6" s="1"/>
  <c r="C210" i="6"/>
  <c r="C215" i="6" s="1"/>
  <c r="C216" i="6" s="1"/>
  <c r="C217" i="6" s="1"/>
  <c r="F193" i="6"/>
  <c r="E193" i="6"/>
  <c r="D193" i="6"/>
  <c r="C193" i="6"/>
  <c r="F192" i="6"/>
  <c r="F197" i="6" s="1"/>
  <c r="F198" i="6" s="1"/>
  <c r="E192" i="6"/>
  <c r="E197" i="6" s="1"/>
  <c r="E198" i="6" s="1"/>
  <c r="D192" i="6"/>
  <c r="D197" i="6" s="1"/>
  <c r="D198" i="6" s="1"/>
  <c r="C192" i="6"/>
  <c r="C197" i="6" s="1"/>
  <c r="C198" i="6" s="1"/>
  <c r="C199" i="6" s="1"/>
  <c r="F175" i="6"/>
  <c r="E175" i="6"/>
  <c r="D175" i="6"/>
  <c r="C175" i="6"/>
  <c r="F174" i="6"/>
  <c r="F179" i="6" s="1"/>
  <c r="F180" i="6" s="1"/>
  <c r="E174" i="6"/>
  <c r="E179" i="6" s="1"/>
  <c r="E180" i="6" s="1"/>
  <c r="D174" i="6"/>
  <c r="D179" i="6" s="1"/>
  <c r="D180" i="6" s="1"/>
  <c r="C174" i="6"/>
  <c r="C179" i="6" s="1"/>
  <c r="C180" i="6" s="1"/>
  <c r="C181" i="6" s="1"/>
  <c r="F157" i="6"/>
  <c r="E157" i="6"/>
  <c r="D157" i="6"/>
  <c r="C157" i="6"/>
  <c r="F156" i="6"/>
  <c r="F161" i="6" s="1"/>
  <c r="F162" i="6" s="1"/>
  <c r="E156" i="6"/>
  <c r="E161" i="6" s="1"/>
  <c r="E162" i="6" s="1"/>
  <c r="D156" i="6"/>
  <c r="D161" i="6" s="1"/>
  <c r="D162" i="6" s="1"/>
  <c r="C156" i="6"/>
  <c r="C161" i="6" s="1"/>
  <c r="C162" i="6" s="1"/>
  <c r="C163" i="6" s="1"/>
  <c r="F139" i="6"/>
  <c r="E139" i="6"/>
  <c r="D139" i="6"/>
  <c r="C139" i="6"/>
  <c r="F138" i="6"/>
  <c r="F143" i="6" s="1"/>
  <c r="F144" i="6" s="1"/>
  <c r="E138" i="6"/>
  <c r="E143" i="6" s="1"/>
  <c r="E144" i="6" s="1"/>
  <c r="D138" i="6"/>
  <c r="D143" i="6" s="1"/>
  <c r="D144" i="6" s="1"/>
  <c r="C138" i="6"/>
  <c r="C143" i="6" s="1"/>
  <c r="C144" i="6" s="1"/>
  <c r="C145" i="6" s="1"/>
  <c r="F121" i="6"/>
  <c r="E121" i="6"/>
  <c r="D121" i="6"/>
  <c r="C121" i="6"/>
  <c r="F120" i="6"/>
  <c r="F125" i="6" s="1"/>
  <c r="F126" i="6" s="1"/>
  <c r="E120" i="6"/>
  <c r="E125" i="6" s="1"/>
  <c r="E126" i="6" s="1"/>
  <c r="D120" i="6"/>
  <c r="D125" i="6" s="1"/>
  <c r="D126" i="6" s="1"/>
  <c r="C120" i="6"/>
  <c r="C125" i="6" s="1"/>
  <c r="C126" i="6" s="1"/>
  <c r="F103" i="6"/>
  <c r="E103" i="6"/>
  <c r="D103" i="6"/>
  <c r="C103" i="6"/>
  <c r="F102" i="6"/>
  <c r="F107" i="6" s="1"/>
  <c r="F108" i="6" s="1"/>
  <c r="E102" i="6"/>
  <c r="E107" i="6" s="1"/>
  <c r="E108" i="6" s="1"/>
  <c r="D102" i="6"/>
  <c r="D107" i="6" s="1"/>
  <c r="D108" i="6" s="1"/>
  <c r="C102" i="6"/>
  <c r="C107" i="6" s="1"/>
  <c r="C108" i="6" s="1"/>
  <c r="C109" i="6" s="1"/>
  <c r="F85" i="6"/>
  <c r="E85" i="6"/>
  <c r="D85" i="6"/>
  <c r="C85" i="6"/>
  <c r="F84" i="6"/>
  <c r="F89" i="6" s="1"/>
  <c r="F90" i="6" s="1"/>
  <c r="E84" i="6"/>
  <c r="E89" i="6" s="1"/>
  <c r="E90" i="6" s="1"/>
  <c r="D84" i="6"/>
  <c r="D89" i="6" s="1"/>
  <c r="D90" i="6" s="1"/>
  <c r="C84" i="6"/>
  <c r="C89" i="6" s="1"/>
  <c r="C90" i="6" s="1"/>
  <c r="C91" i="6" s="1"/>
  <c r="F67" i="6"/>
  <c r="E67" i="6"/>
  <c r="D67" i="6"/>
  <c r="C67" i="6"/>
  <c r="F66" i="6"/>
  <c r="F71" i="6" s="1"/>
  <c r="F72" i="6" s="1"/>
  <c r="E66" i="6"/>
  <c r="E71" i="6" s="1"/>
  <c r="E72" i="6" s="1"/>
  <c r="D66" i="6"/>
  <c r="D71" i="6" s="1"/>
  <c r="D72" i="6" s="1"/>
  <c r="C66" i="6"/>
  <c r="C71" i="6" s="1"/>
  <c r="C72" i="6" s="1"/>
  <c r="F49" i="6"/>
  <c r="E49" i="6"/>
  <c r="D49" i="6"/>
  <c r="C49" i="6"/>
  <c r="F48" i="6"/>
  <c r="F53" i="6" s="1"/>
  <c r="F54" i="6" s="1"/>
  <c r="E48" i="6"/>
  <c r="E53" i="6" s="1"/>
  <c r="E54" i="6" s="1"/>
  <c r="D48" i="6"/>
  <c r="D53" i="6" s="1"/>
  <c r="D54" i="6" s="1"/>
  <c r="C48" i="6"/>
  <c r="C53" i="6" s="1"/>
  <c r="C54" i="6" s="1"/>
  <c r="C55" i="6" s="1"/>
  <c r="C30" i="6"/>
  <c r="C35" i="6" s="1"/>
  <c r="C36" i="6" s="1"/>
  <c r="D30" i="6"/>
  <c r="D35" i="6" s="1"/>
  <c r="D36" i="6" s="1"/>
  <c r="C31" i="6"/>
  <c r="D31" i="6"/>
  <c r="C12" i="6"/>
  <c r="C17" i="6" s="1"/>
  <c r="C18" i="6" s="1"/>
  <c r="C19" i="6" s="1"/>
  <c r="D12" i="6"/>
  <c r="D17" i="6" s="1"/>
  <c r="D18" i="6" s="1"/>
  <c r="C13" i="6"/>
  <c r="D13" i="6"/>
  <c r="E30" i="6"/>
  <c r="E35" i="6" s="1"/>
  <c r="E36" i="6" s="1"/>
  <c r="F31" i="6"/>
  <c r="E31" i="6"/>
  <c r="F30" i="6"/>
  <c r="F35" i="6" s="1"/>
  <c r="F36" i="6" s="1"/>
  <c r="F13" i="6"/>
  <c r="E13" i="6"/>
  <c r="F12" i="6"/>
  <c r="F17" i="6" s="1"/>
  <c r="F18" i="6" s="1"/>
  <c r="E12" i="6"/>
  <c r="E17" i="6" s="1"/>
  <c r="E18" i="6" s="1"/>
  <c r="J4" i="1"/>
  <c r="G3" i="2" s="1"/>
  <c r="H36" i="3"/>
  <c r="L17" i="5"/>
  <c r="L18" i="5"/>
  <c r="L19" i="5"/>
  <c r="L20" i="5"/>
  <c r="L21" i="5"/>
  <c r="L22" i="5"/>
  <c r="L23" i="5"/>
  <c r="L16" i="5"/>
  <c r="J18" i="1" l="1"/>
  <c r="P18" i="1" s="1"/>
  <c r="G25" i="2"/>
  <c r="I47" i="3"/>
  <c r="I46" i="3"/>
  <c r="I50" i="3"/>
  <c r="I48" i="3"/>
  <c r="I49" i="3"/>
  <c r="J300" i="6"/>
  <c r="J305" i="6" s="1"/>
  <c r="J306" i="6" s="1"/>
  <c r="N157" i="6"/>
  <c r="P246" i="6"/>
  <c r="P251" i="6" s="1"/>
  <c r="P252" i="6" s="1"/>
  <c r="O253" i="6" s="1"/>
  <c r="AB244" i="6" s="1"/>
  <c r="G109" i="6"/>
  <c r="AB96" i="6" s="1"/>
  <c r="J84" i="6"/>
  <c r="J89" i="6" s="1"/>
  <c r="J90" i="6" s="1"/>
  <c r="P156" i="6"/>
  <c r="P161" i="6" s="1"/>
  <c r="P162" i="6" s="1"/>
  <c r="O163" i="6" s="1"/>
  <c r="AB154" i="6" s="1"/>
  <c r="G253" i="6"/>
  <c r="AB240" i="6" s="1"/>
  <c r="N318" i="6"/>
  <c r="N323" i="6" s="1"/>
  <c r="N324" i="6" s="1"/>
  <c r="P229" i="6"/>
  <c r="N192" i="6"/>
  <c r="N197" i="6" s="1"/>
  <c r="N198" i="6" s="1"/>
  <c r="M199" i="6" s="1"/>
  <c r="AB189" i="6" s="1"/>
  <c r="N31" i="6"/>
  <c r="N247" i="6"/>
  <c r="AG118" i="6"/>
  <c r="P112" i="6"/>
  <c r="Q112" i="6" s="1"/>
  <c r="AA99" i="6"/>
  <c r="N94" i="6"/>
  <c r="O94" i="6" s="1"/>
  <c r="Y259" i="6"/>
  <c r="J256" i="6"/>
  <c r="K256" i="6" s="1"/>
  <c r="L130" i="6"/>
  <c r="M130" i="6" s="1"/>
  <c r="AA134" i="6"/>
  <c r="Y295" i="6"/>
  <c r="J292" i="6"/>
  <c r="K292" i="6" s="1"/>
  <c r="J40" i="6"/>
  <c r="K40" i="6" s="1"/>
  <c r="Y43" i="6"/>
  <c r="L4" i="6"/>
  <c r="M4" i="6" s="1"/>
  <c r="AC8" i="6"/>
  <c r="L148" i="6"/>
  <c r="M148" i="6" s="1"/>
  <c r="AA152" i="6"/>
  <c r="L220" i="6"/>
  <c r="M220" i="6" s="1"/>
  <c r="AA224" i="6"/>
  <c r="J76" i="6"/>
  <c r="K76" i="6" s="1"/>
  <c r="AA79" i="6"/>
  <c r="R22" i="6"/>
  <c r="S22" i="6" s="1"/>
  <c r="AA29" i="6"/>
  <c r="L166" i="6"/>
  <c r="M166" i="6" s="1"/>
  <c r="AA170" i="6"/>
  <c r="P138" i="6"/>
  <c r="P143" i="6" s="1"/>
  <c r="P144" i="6" s="1"/>
  <c r="O145" i="6" s="1"/>
  <c r="AB136" i="6" s="1"/>
  <c r="N30" i="6"/>
  <c r="N35" i="6" s="1"/>
  <c r="N36" i="6" s="1"/>
  <c r="M37" i="6" s="1"/>
  <c r="AB27" i="6" s="1"/>
  <c r="N66" i="6"/>
  <c r="N71" i="6" s="1"/>
  <c r="N72" i="6" s="1"/>
  <c r="M73" i="6" s="1"/>
  <c r="AB63" i="6" s="1"/>
  <c r="L318" i="6"/>
  <c r="L323" i="6" s="1"/>
  <c r="L324" i="6" s="1"/>
  <c r="P67" i="6"/>
  <c r="L12" i="6"/>
  <c r="L17" i="6" s="1"/>
  <c r="L18" i="6" s="1"/>
  <c r="K19" i="6" s="1"/>
  <c r="AD8" i="6" s="1"/>
  <c r="L102" i="6"/>
  <c r="L107" i="6" s="1"/>
  <c r="L108" i="6" s="1"/>
  <c r="K109" i="6" s="1"/>
  <c r="AB98" i="6" s="1"/>
  <c r="L184" i="6"/>
  <c r="M184" i="6" s="1"/>
  <c r="N156" i="6"/>
  <c r="N161" i="6" s="1"/>
  <c r="N162" i="6" s="1"/>
  <c r="M163" i="6" s="1"/>
  <c r="AB153" i="6" s="1"/>
  <c r="P157" i="6"/>
  <c r="N264" i="6"/>
  <c r="N269" i="6" s="1"/>
  <c r="N270" i="6" s="1"/>
  <c r="M271" i="6" s="1"/>
  <c r="Z261" i="6" s="1"/>
  <c r="V120" i="6"/>
  <c r="V125" i="6" s="1"/>
  <c r="V126" i="6" s="1"/>
  <c r="U127" i="6" s="1"/>
  <c r="AH121" i="6" s="1"/>
  <c r="R58" i="6"/>
  <c r="S58" i="6" s="1"/>
  <c r="G199" i="6"/>
  <c r="AB186" i="6" s="1"/>
  <c r="P247" i="6"/>
  <c r="J264" i="6"/>
  <c r="J269" i="6" s="1"/>
  <c r="J270" i="6" s="1"/>
  <c r="I271" i="6" s="1"/>
  <c r="Z259" i="6" s="1"/>
  <c r="L265" i="6"/>
  <c r="R66" i="6"/>
  <c r="R71" i="6" s="1"/>
  <c r="R72" i="6" s="1"/>
  <c r="Q73" i="6" s="1"/>
  <c r="AB65" i="6" s="1"/>
  <c r="R238" i="6"/>
  <c r="S238" i="6" s="1"/>
  <c r="H202" i="6"/>
  <c r="I202" i="6" s="1"/>
  <c r="AA98" i="6"/>
  <c r="P282" i="6"/>
  <c r="P287" i="6" s="1"/>
  <c r="P288" i="6" s="1"/>
  <c r="O289" i="6" s="1"/>
  <c r="AB280" i="6" s="1"/>
  <c r="I91" i="6"/>
  <c r="AB79" i="6" s="1"/>
  <c r="J301" i="6"/>
  <c r="T121" i="6"/>
  <c r="R274" i="6"/>
  <c r="S274" i="6" s="1"/>
  <c r="P283" i="6"/>
  <c r="N319" i="6"/>
  <c r="P193" i="6"/>
  <c r="N301" i="6"/>
  <c r="R283" i="6"/>
  <c r="J85" i="6"/>
  <c r="L174" i="6"/>
  <c r="L179" i="6" s="1"/>
  <c r="L180" i="6" s="1"/>
  <c r="K181" i="6" s="1"/>
  <c r="AB170" i="6" s="1"/>
  <c r="L228" i="6"/>
  <c r="L233" i="6" s="1"/>
  <c r="L234" i="6" s="1"/>
  <c r="K235" i="6" s="1"/>
  <c r="AB224" i="6" s="1"/>
  <c r="L229" i="6"/>
  <c r="P301" i="6"/>
  <c r="P318" i="6"/>
  <c r="P323" i="6" s="1"/>
  <c r="P324" i="6" s="1"/>
  <c r="O325" i="6" s="1"/>
  <c r="Z316" i="6" s="1"/>
  <c r="P319" i="6"/>
  <c r="P300" i="6"/>
  <c r="P305" i="6" s="1"/>
  <c r="P306" i="6" s="1"/>
  <c r="O307" i="6" s="1"/>
  <c r="Z298" i="6" s="1"/>
  <c r="R282" i="6"/>
  <c r="R287" i="6" s="1"/>
  <c r="R288" i="6" s="1"/>
  <c r="Q289" i="6" s="1"/>
  <c r="AB281" i="6" s="1"/>
  <c r="P265" i="6"/>
  <c r="R247" i="6"/>
  <c r="R246" i="6"/>
  <c r="R251" i="6" s="1"/>
  <c r="R252" i="6" s="1"/>
  <c r="Q253" i="6" s="1"/>
  <c r="AB245" i="6" s="1"/>
  <c r="R228" i="6"/>
  <c r="R233" i="6" s="1"/>
  <c r="R234" i="6" s="1"/>
  <c r="Q235" i="6" s="1"/>
  <c r="AB227" i="6" s="1"/>
  <c r="R229" i="6"/>
  <c r="N211" i="6"/>
  <c r="R193" i="6"/>
  <c r="R192" i="6"/>
  <c r="R197" i="6" s="1"/>
  <c r="R198" i="6" s="1"/>
  <c r="Q199" i="6" s="1"/>
  <c r="AB191" i="6" s="1"/>
  <c r="R175" i="6"/>
  <c r="R174" i="6"/>
  <c r="R179" i="6" s="1"/>
  <c r="R180" i="6" s="1"/>
  <c r="Q181" i="6" s="1"/>
  <c r="AB173" i="6" s="1"/>
  <c r="R157" i="6"/>
  <c r="R156" i="6"/>
  <c r="R161" i="6" s="1"/>
  <c r="R162" i="6" s="1"/>
  <c r="Q163" i="6" s="1"/>
  <c r="AB155" i="6" s="1"/>
  <c r="R138" i="6"/>
  <c r="R143" i="6" s="1"/>
  <c r="R144" i="6" s="1"/>
  <c r="Q145" i="6" s="1"/>
  <c r="AB137" i="6" s="1"/>
  <c r="R139" i="6"/>
  <c r="V121" i="6"/>
  <c r="R102" i="6"/>
  <c r="R107" i="6" s="1"/>
  <c r="R108" i="6" s="1"/>
  <c r="Q109" i="6" s="1"/>
  <c r="AB101" i="6" s="1"/>
  <c r="R103" i="6"/>
  <c r="P85" i="6"/>
  <c r="P84" i="6"/>
  <c r="P89" i="6" s="1"/>
  <c r="P90" i="6" s="1"/>
  <c r="O91" i="6" s="1"/>
  <c r="AB82" i="6" s="1"/>
  <c r="R67" i="6"/>
  <c r="P49" i="6"/>
  <c r="P48" i="6"/>
  <c r="P53" i="6" s="1"/>
  <c r="P54" i="6" s="1"/>
  <c r="O55" i="6" s="1"/>
  <c r="Z46" i="6" s="1"/>
  <c r="R31" i="6"/>
  <c r="R30" i="6"/>
  <c r="R35" i="6" s="1"/>
  <c r="R36" i="6" s="1"/>
  <c r="Q37" i="6" s="1"/>
  <c r="AB29" i="6" s="1"/>
  <c r="R12" i="6"/>
  <c r="R17" i="6" s="1"/>
  <c r="R18" i="6" s="1"/>
  <c r="Q19" i="6" s="1"/>
  <c r="AD11" i="6" s="1"/>
  <c r="R13" i="6"/>
  <c r="P264" i="6"/>
  <c r="P269" i="6" s="1"/>
  <c r="P270" i="6" s="1"/>
  <c r="O271" i="6" s="1"/>
  <c r="Z262" i="6" s="1"/>
  <c r="N210" i="6"/>
  <c r="N215" i="6" s="1"/>
  <c r="N216" i="6" s="1"/>
  <c r="M217" i="6" s="1"/>
  <c r="Z207" i="6" s="1"/>
  <c r="N300" i="6"/>
  <c r="N305" i="6" s="1"/>
  <c r="N306" i="6" s="1"/>
  <c r="M307" i="6" s="1"/>
  <c r="Z297" i="6" s="1"/>
  <c r="N265" i="6"/>
  <c r="P228" i="6"/>
  <c r="P233" i="6" s="1"/>
  <c r="P234" i="6" s="1"/>
  <c r="O235" i="6" s="1"/>
  <c r="AB226" i="6" s="1"/>
  <c r="L210" i="6"/>
  <c r="L215" i="6" s="1"/>
  <c r="L216" i="6" s="1"/>
  <c r="K217" i="6" s="1"/>
  <c r="Z206" i="6" s="1"/>
  <c r="L211" i="6"/>
  <c r="P192" i="6"/>
  <c r="P197" i="6" s="1"/>
  <c r="P198" i="6" s="1"/>
  <c r="O199" i="6" s="1"/>
  <c r="AB190" i="6" s="1"/>
  <c r="P175" i="6"/>
  <c r="P174" i="6"/>
  <c r="P179" i="6" s="1"/>
  <c r="P180" i="6" s="1"/>
  <c r="O181" i="6" s="1"/>
  <c r="AB172" i="6" s="1"/>
  <c r="P139" i="6"/>
  <c r="L301" i="6"/>
  <c r="L300" i="6"/>
  <c r="L305" i="6" s="1"/>
  <c r="L306" i="6" s="1"/>
  <c r="K307" i="6" s="1"/>
  <c r="Z296" i="6" s="1"/>
  <c r="L264" i="6"/>
  <c r="L269" i="6" s="1"/>
  <c r="L270" i="6" s="1"/>
  <c r="K271" i="6" s="1"/>
  <c r="Z260" i="6" s="1"/>
  <c r="N229" i="6"/>
  <c r="J211" i="6"/>
  <c r="J210" i="6"/>
  <c r="J215" i="6" s="1"/>
  <c r="J216" i="6" s="1"/>
  <c r="I217" i="6" s="1"/>
  <c r="Z205" i="6" s="1"/>
  <c r="N193" i="6"/>
  <c r="N175" i="6"/>
  <c r="N139" i="6"/>
  <c r="P102" i="6"/>
  <c r="P107" i="6" s="1"/>
  <c r="P108" i="6" s="1"/>
  <c r="O109" i="6" s="1"/>
  <c r="AB100" i="6" s="1"/>
  <c r="N103" i="6"/>
  <c r="N48" i="6"/>
  <c r="N53" i="6" s="1"/>
  <c r="N54" i="6" s="1"/>
  <c r="M55" i="6" s="1"/>
  <c r="Z45" i="6" s="1"/>
  <c r="R121" i="6"/>
  <c r="R120" i="6"/>
  <c r="R125" i="6" s="1"/>
  <c r="R126" i="6" s="1"/>
  <c r="Q127" i="6" s="1"/>
  <c r="AH119" i="6" s="1"/>
  <c r="P103" i="6"/>
  <c r="N102" i="6"/>
  <c r="N107" i="6" s="1"/>
  <c r="N108" i="6" s="1"/>
  <c r="M109" i="6" s="1"/>
  <c r="AB99" i="6" s="1"/>
  <c r="N85" i="6"/>
  <c r="L85" i="6"/>
  <c r="L84" i="6"/>
  <c r="L89" i="6" s="1"/>
  <c r="L90" i="6" s="1"/>
  <c r="K91" i="6" s="1"/>
  <c r="AB80" i="6" s="1"/>
  <c r="N49" i="6"/>
  <c r="L49" i="6"/>
  <c r="L48" i="6"/>
  <c r="L53" i="6" s="1"/>
  <c r="L54" i="6" s="1"/>
  <c r="K55" i="6" s="1"/>
  <c r="Z44" i="6" s="1"/>
  <c r="P13" i="6"/>
  <c r="P12" i="6"/>
  <c r="P17" i="6" s="1"/>
  <c r="P18" i="6" s="1"/>
  <c r="O19" i="6" s="1"/>
  <c r="AD10" i="6" s="1"/>
  <c r="N13" i="6"/>
  <c r="N12" i="6"/>
  <c r="N17" i="6" s="1"/>
  <c r="N18" i="6" s="1"/>
  <c r="M19" i="6" s="1"/>
  <c r="AD9" i="6" s="1"/>
  <c r="T120" i="6"/>
  <c r="T125" i="6" s="1"/>
  <c r="T126" i="6" s="1"/>
  <c r="S127" i="6" s="1"/>
  <c r="AH120" i="6" s="1"/>
  <c r="N84" i="6"/>
  <c r="N89" i="6" s="1"/>
  <c r="N90" i="6" s="1"/>
  <c r="M91" i="6" s="1"/>
  <c r="AB81" i="6" s="1"/>
  <c r="N228" i="6"/>
  <c r="N233" i="6" s="1"/>
  <c r="N234" i="6" s="1"/>
  <c r="M235" i="6" s="1"/>
  <c r="AB225" i="6" s="1"/>
  <c r="N174" i="6"/>
  <c r="N179" i="6" s="1"/>
  <c r="N180" i="6" s="1"/>
  <c r="M181" i="6" s="1"/>
  <c r="AB171" i="6" s="1"/>
  <c r="N138" i="6"/>
  <c r="N143" i="6" s="1"/>
  <c r="N144" i="6" s="1"/>
  <c r="M145" i="6" s="1"/>
  <c r="AB135" i="6" s="1"/>
  <c r="I307" i="6"/>
  <c r="Z295" i="6" s="1"/>
  <c r="H211" i="6"/>
  <c r="L192" i="6"/>
  <c r="L197" i="6" s="1"/>
  <c r="L198" i="6" s="1"/>
  <c r="K199" i="6" s="1"/>
  <c r="AB188" i="6" s="1"/>
  <c r="L193" i="6"/>
  <c r="L175" i="6"/>
  <c r="L157" i="6"/>
  <c r="L139" i="6"/>
  <c r="P120" i="6"/>
  <c r="P125" i="6" s="1"/>
  <c r="P126" i="6" s="1"/>
  <c r="O127" i="6" s="1"/>
  <c r="AH118" i="6" s="1"/>
  <c r="P121" i="6"/>
  <c r="J49" i="6"/>
  <c r="L13" i="6"/>
  <c r="L103" i="6"/>
  <c r="L138" i="6"/>
  <c r="L143" i="6" s="1"/>
  <c r="L144" i="6" s="1"/>
  <c r="K145" i="6" s="1"/>
  <c r="AB134" i="6" s="1"/>
  <c r="J265" i="6"/>
  <c r="L156" i="6"/>
  <c r="L161" i="6" s="1"/>
  <c r="L162" i="6" s="1"/>
  <c r="K163" i="6" s="1"/>
  <c r="AB152" i="6" s="1"/>
  <c r="H210" i="6"/>
  <c r="H215" i="6" s="1"/>
  <c r="H216" i="6" s="1"/>
  <c r="G217" i="6" s="1"/>
  <c r="Z204" i="6" s="1"/>
  <c r="J48" i="6"/>
  <c r="J53" i="6" s="1"/>
  <c r="J54" i="6" s="1"/>
  <c r="I55" i="6" s="1"/>
  <c r="Z43" i="6" s="1"/>
  <c r="M325" i="6"/>
  <c r="Z315" i="6" s="1"/>
  <c r="P66" i="6"/>
  <c r="P71" i="6" s="1"/>
  <c r="P72" i="6" s="1"/>
  <c r="O73" i="6" s="1"/>
  <c r="AB64" i="6" s="1"/>
  <c r="P30" i="6"/>
  <c r="P35" i="6" s="1"/>
  <c r="P36" i="6" s="1"/>
  <c r="O37" i="6" s="1"/>
  <c r="AB28" i="6" s="1"/>
  <c r="P31" i="6"/>
  <c r="Y314" i="6"/>
  <c r="L310" i="6"/>
  <c r="M310" i="6" s="1"/>
  <c r="N310" i="6" s="1"/>
  <c r="O310" i="6" s="1"/>
  <c r="N67" i="6"/>
  <c r="N246" i="6"/>
  <c r="N251" i="6" s="1"/>
  <c r="N252" i="6" s="1"/>
  <c r="M253" i="6" s="1"/>
  <c r="AB243" i="6" s="1"/>
  <c r="L319" i="6"/>
  <c r="G325" i="6"/>
  <c r="Z312" i="6" s="1"/>
  <c r="L30" i="6"/>
  <c r="L35" i="6" s="1"/>
  <c r="L36" i="6" s="1"/>
  <c r="K37" i="6" s="1"/>
  <c r="AB26" i="6" s="1"/>
  <c r="L282" i="6"/>
  <c r="L287" i="6" s="1"/>
  <c r="L288" i="6" s="1"/>
  <c r="K289" i="6" s="1"/>
  <c r="AB278" i="6" s="1"/>
  <c r="J102" i="6"/>
  <c r="J107" i="6" s="1"/>
  <c r="J108" i="6" s="1"/>
  <c r="I109" i="6" s="1"/>
  <c r="AB97" i="6" s="1"/>
  <c r="J49" i="3"/>
  <c r="J319" i="6"/>
  <c r="K325" i="6"/>
  <c r="Z314" i="6" s="1"/>
  <c r="N283" i="6"/>
  <c r="N282" i="6"/>
  <c r="N287" i="6" s="1"/>
  <c r="N288" i="6" s="1"/>
  <c r="M289" i="6" s="1"/>
  <c r="AB279" i="6" s="1"/>
  <c r="V4" i="1"/>
  <c r="J318" i="6"/>
  <c r="J323" i="6" s="1"/>
  <c r="J324" i="6" s="1"/>
  <c r="I325" i="6" s="1"/>
  <c r="Z313" i="6" s="1"/>
  <c r="H300" i="6"/>
  <c r="H305" i="6" s="1"/>
  <c r="H306" i="6" s="1"/>
  <c r="G307" i="6" s="1"/>
  <c r="Z294" i="6" s="1"/>
  <c r="H301" i="6"/>
  <c r="L283" i="6"/>
  <c r="H265" i="6"/>
  <c r="H264" i="6"/>
  <c r="H269" i="6" s="1"/>
  <c r="H270" i="6" s="1"/>
  <c r="G271" i="6" s="1"/>
  <c r="Z258" i="6" s="1"/>
  <c r="L246" i="6"/>
  <c r="L251" i="6" s="1"/>
  <c r="L252" i="6" s="1"/>
  <c r="K253" i="6" s="1"/>
  <c r="AB242" i="6" s="1"/>
  <c r="J228" i="6"/>
  <c r="J233" i="6" s="1"/>
  <c r="J234" i="6" s="1"/>
  <c r="I235" i="6" s="1"/>
  <c r="AB223" i="6" s="1"/>
  <c r="F211" i="6"/>
  <c r="J193" i="6"/>
  <c r="J192" i="6"/>
  <c r="J197" i="6" s="1"/>
  <c r="J198" i="6" s="1"/>
  <c r="I199" i="6" s="1"/>
  <c r="AB187" i="6" s="1"/>
  <c r="J174" i="6"/>
  <c r="J179" i="6" s="1"/>
  <c r="J180" i="6" s="1"/>
  <c r="I181" i="6" s="1"/>
  <c r="AB169" i="6" s="1"/>
  <c r="J175" i="6"/>
  <c r="J157" i="6"/>
  <c r="J156" i="6"/>
  <c r="J161" i="6" s="1"/>
  <c r="J162" i="6" s="1"/>
  <c r="I163" i="6" s="1"/>
  <c r="AB151" i="6" s="1"/>
  <c r="J139" i="6"/>
  <c r="N120" i="6"/>
  <c r="N125" i="6" s="1"/>
  <c r="N126" i="6" s="1"/>
  <c r="M127" i="6" s="1"/>
  <c r="AH117" i="6" s="1"/>
  <c r="N121" i="6"/>
  <c r="H84" i="6"/>
  <c r="H89" i="6" s="1"/>
  <c r="H90" i="6" s="1"/>
  <c r="G91" i="6" s="1"/>
  <c r="AB78" i="6" s="1"/>
  <c r="H85" i="6"/>
  <c r="L67" i="6"/>
  <c r="L66" i="6"/>
  <c r="L71" i="6" s="1"/>
  <c r="L72" i="6" s="1"/>
  <c r="K73" i="6" s="1"/>
  <c r="AB62" i="6" s="1"/>
  <c r="H48" i="6"/>
  <c r="H53" i="6" s="1"/>
  <c r="H54" i="6" s="1"/>
  <c r="G55" i="6" s="1"/>
  <c r="Z42" i="6" s="1"/>
  <c r="H49" i="6"/>
  <c r="J13" i="6"/>
  <c r="J12" i="6"/>
  <c r="J17" i="6" s="1"/>
  <c r="J18" i="6" s="1"/>
  <c r="I19" i="6" s="1"/>
  <c r="AD7" i="6" s="1"/>
  <c r="L247" i="6"/>
  <c r="J229" i="6"/>
  <c r="F210" i="6"/>
  <c r="F215" i="6" s="1"/>
  <c r="F216" i="6" s="1"/>
  <c r="E217" i="6" s="1"/>
  <c r="Z203" i="6" s="1"/>
  <c r="J138" i="6"/>
  <c r="J143" i="6" s="1"/>
  <c r="J144" i="6" s="1"/>
  <c r="I145" i="6" s="1"/>
  <c r="AB133" i="6" s="1"/>
  <c r="J103" i="6"/>
  <c r="L31" i="6"/>
  <c r="E307" i="6"/>
  <c r="Z293" i="6" s="1"/>
  <c r="I289" i="6"/>
  <c r="AB277" i="6" s="1"/>
  <c r="E271" i="6"/>
  <c r="Z257" i="6" s="1"/>
  <c r="I253" i="6"/>
  <c r="AB241" i="6" s="1"/>
  <c r="G235" i="6"/>
  <c r="AB222" i="6" s="1"/>
  <c r="G181" i="6"/>
  <c r="AB168" i="6" s="1"/>
  <c r="G163" i="6"/>
  <c r="AB150" i="6" s="1"/>
  <c r="G145" i="6"/>
  <c r="AB132" i="6" s="1"/>
  <c r="K127" i="6"/>
  <c r="AH116" i="6" s="1"/>
  <c r="E91" i="6"/>
  <c r="AB77" i="6" s="1"/>
  <c r="I73" i="6"/>
  <c r="AB61" i="6" s="1"/>
  <c r="E55" i="6"/>
  <c r="Z41" i="6" s="1"/>
  <c r="I37" i="6"/>
  <c r="AB25" i="6" s="1"/>
  <c r="G19" i="6"/>
  <c r="AD6" i="6" s="1"/>
  <c r="C289" i="6"/>
  <c r="AB274" i="6" s="1"/>
  <c r="E289" i="6"/>
  <c r="AB275" i="6" s="1"/>
  <c r="G289" i="6"/>
  <c r="AB276" i="6" s="1"/>
  <c r="E253" i="6"/>
  <c r="AB239" i="6" s="1"/>
  <c r="C253" i="6"/>
  <c r="AB238" i="6" s="1"/>
  <c r="I127" i="6"/>
  <c r="AH115" i="6" s="1"/>
  <c r="G127" i="6"/>
  <c r="AH114" i="6" s="1"/>
  <c r="E127" i="6"/>
  <c r="AH113" i="6" s="1"/>
  <c r="C127" i="6"/>
  <c r="AH112" i="6" s="1"/>
  <c r="E325" i="6"/>
  <c r="Z311" i="6" s="1"/>
  <c r="E235" i="6"/>
  <c r="AB221" i="6" s="1"/>
  <c r="E199" i="6"/>
  <c r="AB185" i="6" s="1"/>
  <c r="E181" i="6"/>
  <c r="AB167" i="6" s="1"/>
  <c r="E163" i="6"/>
  <c r="AB149" i="6" s="1"/>
  <c r="E145" i="6"/>
  <c r="AB131" i="6" s="1"/>
  <c r="E109" i="6"/>
  <c r="AB95" i="6" s="1"/>
  <c r="G73" i="6"/>
  <c r="AB60" i="6" s="1"/>
  <c r="E73" i="6"/>
  <c r="AB59" i="6" s="1"/>
  <c r="C73" i="6"/>
  <c r="AB58" i="6" s="1"/>
  <c r="G37" i="6"/>
  <c r="AB24" i="6" s="1"/>
  <c r="E37" i="6"/>
  <c r="AB23" i="6" s="1"/>
  <c r="C37" i="6"/>
  <c r="AB22" i="6" s="1"/>
  <c r="E19" i="6"/>
  <c r="AD5" i="6" s="1"/>
  <c r="D6" i="4"/>
  <c r="F32" i="3"/>
  <c r="I32" i="3" s="1"/>
  <c r="J19" i="1" s="1"/>
  <c r="H19" i="3"/>
  <c r="H18" i="3"/>
  <c r="F14" i="3"/>
  <c r="H14" i="3" s="1"/>
  <c r="J14" i="3" s="1"/>
  <c r="F4" i="3"/>
  <c r="H4" i="3" s="1"/>
  <c r="F10" i="3"/>
  <c r="H10" i="3" s="1"/>
  <c r="F3" i="3"/>
  <c r="H3" i="3" s="1"/>
  <c r="AA18" i="1"/>
  <c r="C27" i="1"/>
  <c r="C28" i="1" s="1"/>
  <c r="C29" i="1" s="1"/>
  <c r="C18" i="1"/>
  <c r="C14" i="1"/>
  <c r="C12" i="1"/>
  <c r="AA135" i="6" l="1"/>
  <c r="N130" i="6"/>
  <c r="O130" i="6" s="1"/>
  <c r="AA66" i="6"/>
  <c r="T58" i="6"/>
  <c r="U58" i="6" s="1"/>
  <c r="Y260" i="6"/>
  <c r="L256" i="6"/>
  <c r="M256" i="6" s="1"/>
  <c r="J202" i="6"/>
  <c r="K202" i="6" s="1"/>
  <c r="Y205" i="6"/>
  <c r="T22" i="6"/>
  <c r="U22" i="6" s="1"/>
  <c r="AA30" i="6"/>
  <c r="N4" i="6"/>
  <c r="O4" i="6" s="1"/>
  <c r="AC9" i="6"/>
  <c r="AA246" i="6"/>
  <c r="T238" i="6"/>
  <c r="U238" i="6" s="1"/>
  <c r="AA100" i="6"/>
  <c r="P94" i="6"/>
  <c r="Q94" i="6" s="1"/>
  <c r="N148" i="6"/>
  <c r="O148" i="6" s="1"/>
  <c r="AA153" i="6"/>
  <c r="L76" i="6"/>
  <c r="M76" i="6" s="1"/>
  <c r="AA80" i="6"/>
  <c r="Y44" i="6"/>
  <c r="L40" i="6"/>
  <c r="M40" i="6" s="1"/>
  <c r="T274" i="6"/>
  <c r="U274" i="6" s="1"/>
  <c r="AA282" i="6"/>
  <c r="Y316" i="6"/>
  <c r="P310" i="6"/>
  <c r="Q310" i="6" s="1"/>
  <c r="L292" i="6"/>
  <c r="M292" i="6" s="1"/>
  <c r="Y296" i="6"/>
  <c r="R112" i="6"/>
  <c r="S112" i="6" s="1"/>
  <c r="AG119" i="6"/>
  <c r="N166" i="6"/>
  <c r="O166" i="6" s="1"/>
  <c r="AA171" i="6"/>
  <c r="N184" i="6"/>
  <c r="O184" i="6" s="1"/>
  <c r="AA189" i="6"/>
  <c r="N220" i="6"/>
  <c r="O220" i="6" s="1"/>
  <c r="AA225" i="6"/>
  <c r="C7" i="4"/>
  <c r="C15" i="1"/>
  <c r="C16" i="1" s="1"/>
  <c r="C20" i="1" s="1"/>
  <c r="G4" i="2"/>
  <c r="V274" i="6" l="1"/>
  <c r="W274" i="6" s="1"/>
  <c r="AA283" i="6"/>
  <c r="Y261" i="6"/>
  <c r="N256" i="6"/>
  <c r="O256" i="6" s="1"/>
  <c r="L202" i="6"/>
  <c r="M202" i="6" s="1"/>
  <c r="Y206" i="6"/>
  <c r="N40" i="6"/>
  <c r="O40" i="6" s="1"/>
  <c r="Y45" i="6"/>
  <c r="Y297" i="6"/>
  <c r="N292" i="6"/>
  <c r="O292" i="6" s="1"/>
  <c r="N76" i="6"/>
  <c r="O76" i="6" s="1"/>
  <c r="AA81" i="6"/>
  <c r="P4" i="6"/>
  <c r="Q4" i="6" s="1"/>
  <c r="AC10" i="6"/>
  <c r="T112" i="6"/>
  <c r="U112" i="6" s="1"/>
  <c r="AG120" i="6"/>
  <c r="R310" i="6"/>
  <c r="S310" i="6" s="1"/>
  <c r="Y317" i="6"/>
  <c r="AA136" i="6"/>
  <c r="P130" i="6"/>
  <c r="Q130" i="6" s="1"/>
  <c r="R94" i="6"/>
  <c r="S94" i="6" s="1"/>
  <c r="AA101" i="6"/>
  <c r="AA172" i="6"/>
  <c r="P166" i="6"/>
  <c r="Q166" i="6" s="1"/>
  <c r="V238" i="6"/>
  <c r="W238" i="6" s="1"/>
  <c r="AA247" i="6"/>
  <c r="V58" i="6"/>
  <c r="W58" i="6" s="1"/>
  <c r="AA67" i="6"/>
  <c r="AA226" i="6"/>
  <c r="P220" i="6"/>
  <c r="Q220" i="6" s="1"/>
  <c r="P184" i="6"/>
  <c r="Q184" i="6" s="1"/>
  <c r="AA190" i="6"/>
  <c r="AA154" i="6"/>
  <c r="P148" i="6"/>
  <c r="Q148" i="6" s="1"/>
  <c r="V22" i="6"/>
  <c r="W22" i="6" s="1"/>
  <c r="AA31" i="6"/>
  <c r="C22" i="1"/>
  <c r="C23" i="1" s="1"/>
  <c r="D7" i="4"/>
  <c r="N21" i="2"/>
  <c r="G18" i="2"/>
  <c r="F17" i="2"/>
  <c r="O15" i="2"/>
  <c r="G12" i="2"/>
  <c r="I12" i="2" s="1"/>
  <c r="M23" i="1"/>
  <c r="D13" i="4" s="1"/>
  <c r="C14" i="4" s="1"/>
  <c r="D14" i="4" s="1"/>
  <c r="C15" i="4" s="1"/>
  <c r="G10" i="2"/>
  <c r="K22" i="1"/>
  <c r="N22" i="1"/>
  <c r="I4" i="2"/>
  <c r="C42" i="1"/>
  <c r="F35" i="3"/>
  <c r="I35" i="3" s="1"/>
  <c r="P19" i="1" s="1"/>
  <c r="J5" i="1"/>
  <c r="F34" i="3" s="1"/>
  <c r="I34" i="3" s="1"/>
  <c r="J7" i="1" s="1"/>
  <c r="X22" i="6" l="1"/>
  <c r="Y22" i="6" s="1"/>
  <c r="Z22" i="6" s="1"/>
  <c r="AA32" i="6"/>
  <c r="X58" i="6"/>
  <c r="Y58" i="6" s="1"/>
  <c r="AA68" i="6"/>
  <c r="X238" i="6"/>
  <c r="Y238" i="6" s="1"/>
  <c r="AA248" i="6"/>
  <c r="X274" i="6"/>
  <c r="Y274" i="6" s="1"/>
  <c r="AA284" i="6"/>
  <c r="AA227" i="6"/>
  <c r="R220" i="6"/>
  <c r="S220" i="6" s="1"/>
  <c r="T94" i="6"/>
  <c r="U94" i="6" s="1"/>
  <c r="AA102" i="6"/>
  <c r="R4" i="6"/>
  <c r="S4" i="6" s="1"/>
  <c r="AC11" i="6"/>
  <c r="Y207" i="6"/>
  <c r="N202" i="6"/>
  <c r="O202" i="6" s="1"/>
  <c r="Y46" i="6"/>
  <c r="P40" i="6"/>
  <c r="Q40" i="6" s="1"/>
  <c r="AA137" i="6"/>
  <c r="R130" i="6"/>
  <c r="S130" i="6" s="1"/>
  <c r="Y262" i="6"/>
  <c r="P256" i="6"/>
  <c r="Q256" i="6" s="1"/>
  <c r="P76" i="6"/>
  <c r="Q76" i="6" s="1"/>
  <c r="AA82" i="6"/>
  <c r="AA173" i="6"/>
  <c r="R166" i="6"/>
  <c r="S166" i="6" s="1"/>
  <c r="V112" i="6"/>
  <c r="W112" i="6" s="1"/>
  <c r="AG121" i="6"/>
  <c r="Y298" i="6"/>
  <c r="P292" i="6"/>
  <c r="Q292" i="6" s="1"/>
  <c r="R184" i="6"/>
  <c r="S184" i="6" s="1"/>
  <c r="AA191" i="6"/>
  <c r="AA155" i="6"/>
  <c r="R148" i="6"/>
  <c r="S148" i="6" s="1"/>
  <c r="T310" i="6"/>
  <c r="U310" i="6" s="1"/>
  <c r="Y318" i="6"/>
  <c r="G11" i="2"/>
  <c r="I11" i="2" s="1"/>
  <c r="J11" i="2" s="1"/>
  <c r="Q11" i="2" s="1"/>
  <c r="R11" i="2" s="1"/>
  <c r="M24" i="1" s="1"/>
  <c r="G7" i="2"/>
  <c r="I7" i="2" s="1"/>
  <c r="J7" i="2" s="1"/>
  <c r="Q7" i="2" s="1"/>
  <c r="R7" i="2" s="1"/>
  <c r="C30" i="1"/>
  <c r="F9" i="3" s="1"/>
  <c r="H9" i="3" s="1"/>
  <c r="J9" i="3" s="1"/>
  <c r="J8" i="3" s="1"/>
  <c r="F31" i="3"/>
  <c r="H31" i="3" s="1"/>
  <c r="G21" i="2"/>
  <c r="I3" i="2"/>
  <c r="J3" i="2" s="1"/>
  <c r="Q3" i="2" s="1"/>
  <c r="R3" i="2" s="1"/>
  <c r="D15" i="4"/>
  <c r="C8" i="4"/>
  <c r="J6" i="1"/>
  <c r="M6" i="1" s="1"/>
  <c r="F28" i="3" s="1"/>
  <c r="J3" i="3"/>
  <c r="I25" i="2"/>
  <c r="J25" i="2" s="1"/>
  <c r="Q25" i="2" s="1"/>
  <c r="R25" i="2" s="1"/>
  <c r="AG12" i="1" s="1"/>
  <c r="I8" i="2"/>
  <c r="F25" i="3"/>
  <c r="J25" i="3" s="1"/>
  <c r="J4" i="2"/>
  <c r="N4" i="2" s="1"/>
  <c r="J4" i="3"/>
  <c r="G13" i="2"/>
  <c r="J12" i="2"/>
  <c r="Q12" i="2" s="1"/>
  <c r="R12" i="2" s="1"/>
  <c r="I10" i="2"/>
  <c r="Q22" i="1"/>
  <c r="T22" i="1" s="1"/>
  <c r="D14" i="5" l="1"/>
  <c r="K41" i="3"/>
  <c r="J12" i="1"/>
  <c r="Z274" i="6"/>
  <c r="AA285" i="6"/>
  <c r="AA249" i="6"/>
  <c r="Z238" i="6"/>
  <c r="Z58" i="6"/>
  <c r="AA69" i="6"/>
  <c r="V310" i="6"/>
  <c r="W310" i="6" s="1"/>
  <c r="Y319" i="6"/>
  <c r="P202" i="6"/>
  <c r="Q202" i="6" s="1"/>
  <c r="Y208" i="6"/>
  <c r="Y263" i="6"/>
  <c r="R256" i="6"/>
  <c r="S256" i="6" s="1"/>
  <c r="T4" i="6"/>
  <c r="U4" i="6" s="1"/>
  <c r="AC12" i="6"/>
  <c r="R76" i="6"/>
  <c r="S76" i="6" s="1"/>
  <c r="AA83" i="6"/>
  <c r="T130" i="6"/>
  <c r="U130" i="6" s="1"/>
  <c r="AA138" i="6"/>
  <c r="R292" i="6"/>
  <c r="S292" i="6" s="1"/>
  <c r="Y299" i="6"/>
  <c r="AG122" i="6"/>
  <c r="X112" i="6"/>
  <c r="Y112" i="6" s="1"/>
  <c r="V94" i="6"/>
  <c r="W94" i="6" s="1"/>
  <c r="AA103" i="6"/>
  <c r="T148" i="6"/>
  <c r="U148" i="6" s="1"/>
  <c r="AA156" i="6"/>
  <c r="T220" i="6"/>
  <c r="U220" i="6" s="1"/>
  <c r="AA228" i="6"/>
  <c r="T184" i="6"/>
  <c r="U184" i="6" s="1"/>
  <c r="AA192" i="6"/>
  <c r="T166" i="6"/>
  <c r="U166" i="6" s="1"/>
  <c r="AA174" i="6"/>
  <c r="R40" i="6"/>
  <c r="S40" i="6" s="1"/>
  <c r="Y47" i="6"/>
  <c r="F11" i="3"/>
  <c r="H11" i="3" s="1"/>
  <c r="J11" i="3" s="1"/>
  <c r="G8" i="2"/>
  <c r="J8" i="2" s="1"/>
  <c r="Q8" i="2" s="1"/>
  <c r="R8" i="2" s="1"/>
  <c r="Y12" i="1" s="1"/>
  <c r="I31" i="3"/>
  <c r="V5" i="1" s="1"/>
  <c r="G6" i="2"/>
  <c r="F6" i="3" s="1"/>
  <c r="H6" i="3" s="1"/>
  <c r="G9" i="2"/>
  <c r="Q4" i="2"/>
  <c r="R4" i="2" s="1"/>
  <c r="M12" i="1" s="1"/>
  <c r="X19" i="1"/>
  <c r="G17" i="2" s="1"/>
  <c r="G14" i="2"/>
  <c r="G15" i="2"/>
  <c r="D8" i="4"/>
  <c r="C16" i="4"/>
  <c r="F29" i="3"/>
  <c r="I29" i="3" s="1"/>
  <c r="I28" i="3"/>
  <c r="F27" i="3"/>
  <c r="I27" i="3" s="1"/>
  <c r="F26" i="3"/>
  <c r="I26" i="3" s="1"/>
  <c r="F30" i="3"/>
  <c r="I30" i="3" s="1"/>
  <c r="F24" i="3"/>
  <c r="I24" i="3" s="1"/>
  <c r="AF6" i="1" s="1"/>
  <c r="I13" i="2"/>
  <c r="J13" i="2" s="1"/>
  <c r="Q13" i="2" s="1"/>
  <c r="R13" i="2" s="1"/>
  <c r="P24" i="1" s="1"/>
  <c r="F12" i="3"/>
  <c r="H12" i="3" s="1"/>
  <c r="J12" i="3" s="1"/>
  <c r="F16" i="3"/>
  <c r="H16" i="3" s="1"/>
  <c r="J16" i="3" s="1"/>
  <c r="I18" i="2"/>
  <c r="J10" i="2"/>
  <c r="Q10" i="2" s="1"/>
  <c r="R10" i="2" s="1"/>
  <c r="G5" i="2"/>
  <c r="K10" i="1"/>
  <c r="N10" i="1" s="1"/>
  <c r="J24" i="1" l="1"/>
  <c r="C30" i="2"/>
  <c r="X310" i="6"/>
  <c r="Y320" i="6"/>
  <c r="X94" i="6"/>
  <c r="Y94" i="6" s="1"/>
  <c r="AA104" i="6"/>
  <c r="V4" i="6"/>
  <c r="W4" i="6" s="1"/>
  <c r="AC13" i="6"/>
  <c r="V166" i="6"/>
  <c r="W166" i="6" s="1"/>
  <c r="AA175" i="6"/>
  <c r="V184" i="6"/>
  <c r="W184" i="6" s="1"/>
  <c r="AA193" i="6"/>
  <c r="Z112" i="6"/>
  <c r="AA112" i="6" s="1"/>
  <c r="AG123" i="6"/>
  <c r="V220" i="6"/>
  <c r="W220" i="6" s="1"/>
  <c r="AA229" i="6"/>
  <c r="T76" i="6"/>
  <c r="U76" i="6" s="1"/>
  <c r="AA84" i="6"/>
  <c r="T256" i="6"/>
  <c r="U256" i="6" s="1"/>
  <c r="Y264" i="6"/>
  <c r="T292" i="6"/>
  <c r="U292" i="6" s="1"/>
  <c r="Y300" i="6"/>
  <c r="T40" i="6"/>
  <c r="U40" i="6" s="1"/>
  <c r="Y48" i="6"/>
  <c r="V148" i="6"/>
  <c r="W148" i="6" s="1"/>
  <c r="AA157" i="6"/>
  <c r="V130" i="6"/>
  <c r="W130" i="6" s="1"/>
  <c r="AA139" i="6"/>
  <c r="R202" i="6"/>
  <c r="S202" i="6" s="1"/>
  <c r="Y209" i="6"/>
  <c r="M7" i="1"/>
  <c r="I15" i="2"/>
  <c r="J15" i="2" s="1"/>
  <c r="Q15" i="2" s="1"/>
  <c r="R15" i="2" s="1"/>
  <c r="V24" i="1" s="1"/>
  <c r="F13" i="3"/>
  <c r="I14" i="2"/>
  <c r="J14" i="2" s="1"/>
  <c r="AB17" i="1"/>
  <c r="G16" i="2"/>
  <c r="C9" i="4"/>
  <c r="Q10" i="1"/>
  <c r="T10" i="1" s="1"/>
  <c r="W10" i="1" s="1"/>
  <c r="J18" i="2"/>
  <c r="Q18" i="2" s="1"/>
  <c r="R18" i="2" s="1"/>
  <c r="I5" i="2"/>
  <c r="I9" i="2"/>
  <c r="J9" i="2" s="1"/>
  <c r="Q9" i="2" s="1"/>
  <c r="R9" i="2" s="1"/>
  <c r="AB12" i="1" s="1"/>
  <c r="I6" i="2"/>
  <c r="X24" i="1"/>
  <c r="Z94" i="6" l="1"/>
  <c r="AA105" i="6"/>
  <c r="X130" i="6"/>
  <c r="Y130" i="6" s="1"/>
  <c r="AA140" i="6"/>
  <c r="V256" i="6"/>
  <c r="W256" i="6" s="1"/>
  <c r="Y265" i="6"/>
  <c r="X184" i="6"/>
  <c r="Y184" i="6" s="1"/>
  <c r="AA194" i="6"/>
  <c r="X166" i="6"/>
  <c r="Y166" i="6" s="1"/>
  <c r="AA176" i="6"/>
  <c r="X4" i="6"/>
  <c r="Y4" i="6" s="1"/>
  <c r="AC14" i="6"/>
  <c r="V76" i="6"/>
  <c r="W76" i="6" s="1"/>
  <c r="AA85" i="6"/>
  <c r="V40" i="6"/>
  <c r="W40" i="6" s="1"/>
  <c r="Y49" i="6"/>
  <c r="X148" i="6"/>
  <c r="Y148" i="6" s="1"/>
  <c r="AA158" i="6"/>
  <c r="X220" i="6"/>
  <c r="Y220" i="6" s="1"/>
  <c r="AA230" i="6"/>
  <c r="T202" i="6"/>
  <c r="U202" i="6" s="1"/>
  <c r="Y210" i="6"/>
  <c r="V292" i="6"/>
  <c r="W292" i="6" s="1"/>
  <c r="Y301" i="6"/>
  <c r="AB112" i="6"/>
  <c r="AC112" i="6" s="1"/>
  <c r="AG124" i="6"/>
  <c r="H13" i="3"/>
  <c r="J13" i="3" s="1"/>
  <c r="Q14" i="2"/>
  <c r="R14" i="2" s="1"/>
  <c r="I16" i="2"/>
  <c r="J16" i="2" s="1"/>
  <c r="Q16" i="2" s="1"/>
  <c r="R16" i="2" s="1"/>
  <c r="AA19" i="1" s="1"/>
  <c r="I17" i="2"/>
  <c r="J17" i="2" s="1"/>
  <c r="Q17" i="2" s="1"/>
  <c r="R17" i="2" s="1"/>
  <c r="F15" i="3"/>
  <c r="H15" i="3" s="1"/>
  <c r="J15" i="3" s="1"/>
  <c r="D9" i="4"/>
  <c r="C43" i="1"/>
  <c r="C44" i="1" s="1"/>
  <c r="F5" i="3"/>
  <c r="H5" i="3" s="1"/>
  <c r="J5" i="3" s="1"/>
  <c r="J6" i="2"/>
  <c r="J6" i="3"/>
  <c r="J10" i="3"/>
  <c r="J5" i="2"/>
  <c r="Q5" i="2" s="1"/>
  <c r="R5" i="2" s="1"/>
  <c r="Z10" i="1"/>
  <c r="AC10" i="1" s="1"/>
  <c r="G19" i="2" s="1"/>
  <c r="P12" i="1" l="1"/>
  <c r="V12" i="1" s="1"/>
  <c r="S24" i="1"/>
  <c r="F30" i="2"/>
  <c r="X292" i="6"/>
  <c r="Y302" i="6"/>
  <c r="X40" i="6"/>
  <c r="Y50" i="6"/>
  <c r="Z184" i="6"/>
  <c r="AA195" i="6"/>
  <c r="Y266" i="6"/>
  <c r="X256" i="6"/>
  <c r="Z220" i="6"/>
  <c r="AA231" i="6"/>
  <c r="Z130" i="6"/>
  <c r="AA141" i="6"/>
  <c r="V202" i="6"/>
  <c r="Y211" i="6"/>
  <c r="Z4" i="6"/>
  <c r="AA4" i="6" s="1"/>
  <c r="AC15" i="6"/>
  <c r="X76" i="6"/>
  <c r="Y76" i="6" s="1"/>
  <c r="AA86" i="6"/>
  <c r="AD112" i="6"/>
  <c r="AE112" i="6" s="1"/>
  <c r="AG125" i="6"/>
  <c r="Z148" i="6"/>
  <c r="AA159" i="6"/>
  <c r="Z166" i="6"/>
  <c r="AA177" i="6"/>
  <c r="I19" i="2"/>
  <c r="J19" i="2" s="1"/>
  <c r="Q19" i="2" s="1"/>
  <c r="R19" i="2" s="1"/>
  <c r="G20" i="2"/>
  <c r="I20" i="2" s="1"/>
  <c r="J20" i="2" s="1"/>
  <c r="Q20" i="2" s="1"/>
  <c r="R20" i="2" s="1"/>
  <c r="Q6" i="2"/>
  <c r="R6" i="2" s="1"/>
  <c r="G30" i="2" s="1"/>
  <c r="F7" i="3"/>
  <c r="J7" i="3" s="1"/>
  <c r="C10" i="4"/>
  <c r="AF17" i="1"/>
  <c r="S12" i="1" l="1"/>
  <c r="D30" i="2"/>
  <c r="AB4" i="6"/>
  <c r="AC16" i="6"/>
  <c r="AF112" i="6"/>
  <c r="AG126" i="6"/>
  <c r="Z76" i="6"/>
  <c r="AA87" i="6"/>
  <c r="AE19" i="1"/>
  <c r="D10" i="4"/>
  <c r="I21" i="2"/>
  <c r="J21" i="2" s="1"/>
  <c r="J18" i="3"/>
  <c r="F17" i="3"/>
  <c r="AI17" i="1"/>
  <c r="G22" i="2" s="1"/>
  <c r="Q21" i="2" l="1"/>
  <c r="R21" i="2" s="1"/>
  <c r="AH19" i="1" s="1"/>
  <c r="H17" i="3"/>
  <c r="J17" i="3" s="1"/>
  <c r="I22" i="2"/>
  <c r="J22" i="2" s="1"/>
  <c r="AL17" i="1"/>
  <c r="AN12" i="1" s="1"/>
  <c r="C11" i="4"/>
  <c r="AH27" i="1"/>
  <c r="J19" i="3"/>
  <c r="Q22" i="2" l="1"/>
  <c r="R22" i="2" s="1"/>
  <c r="AK19" i="1" s="1"/>
  <c r="F36" i="3"/>
  <c r="I36" i="3" s="1"/>
  <c r="AN13" i="1" s="1"/>
  <c r="D11" i="4"/>
  <c r="AK25" i="1"/>
  <c r="G26" i="2" s="1"/>
  <c r="F33" i="3" l="1"/>
  <c r="I33" i="3" s="1"/>
  <c r="AO17" i="1"/>
  <c r="G23" i="2"/>
  <c r="I23" i="2" s="1"/>
  <c r="J23" i="2" s="1"/>
  <c r="Q23" i="2" s="1"/>
  <c r="R23" i="2" s="1"/>
  <c r="C12" i="4"/>
  <c r="I26" i="2"/>
  <c r="AP17" i="1" l="1"/>
  <c r="F23" i="3" s="1"/>
  <c r="G24" i="2" s="1"/>
  <c r="I24" i="2" s="1"/>
  <c r="F20" i="3" s="1"/>
  <c r="H20" i="3" s="1"/>
  <c r="J20" i="3" s="1"/>
  <c r="D12" i="4"/>
  <c r="K26" i="4" s="1"/>
  <c r="K27" i="4" s="1"/>
  <c r="J26" i="2"/>
  <c r="Q26" i="2" s="1"/>
  <c r="K28" i="4" l="1"/>
  <c r="K29" i="4" s="1"/>
  <c r="E33" i="5"/>
  <c r="R24" i="2"/>
  <c r="J24" i="2"/>
  <c r="I23" i="3"/>
  <c r="J4" i="5"/>
  <c r="J5" i="5"/>
  <c r="R26" i="2"/>
  <c r="D16" i="4"/>
  <c r="R28" i="2" l="1"/>
  <c r="AN19" i="1"/>
  <c r="E30" i="2"/>
  <c r="D4" i="5"/>
  <c r="X31" i="1"/>
  <c r="C17" i="4"/>
  <c r="D8" i="5" l="1"/>
  <c r="D15" i="5" s="1"/>
  <c r="D13" i="5"/>
  <c r="H30" i="2"/>
  <c r="I30" i="2" s="1"/>
  <c r="D6" i="5"/>
  <c r="G4" i="5"/>
  <c r="D17" i="4"/>
  <c r="H26" i="4" l="1"/>
  <c r="H27" i="4" s="1"/>
  <c r="H28" i="4" s="1"/>
  <c r="H29" i="4" s="1"/>
  <c r="G5" i="5"/>
  <c r="D16" i="5"/>
  <c r="D17" i="5" s="1"/>
  <c r="C18" i="4"/>
  <c r="D18" i="4" l="1"/>
  <c r="C19" i="4" l="1"/>
  <c r="H5" i="5" l="1"/>
  <c r="H4" i="5"/>
  <c r="D19" i="4"/>
  <c r="K4" i="5" l="1"/>
  <c r="L4" i="5" s="1"/>
  <c r="K5" i="5"/>
  <c r="C20" i="4"/>
  <c r="L5" i="5" l="1"/>
  <c r="M5" i="5" s="1"/>
  <c r="N5" i="5" s="1"/>
  <c r="O5" i="5" s="1"/>
  <c r="P5" i="5" s="1"/>
  <c r="M4" i="5"/>
  <c r="N4" i="5" s="1"/>
  <c r="O4" i="5" s="1"/>
  <c r="P4" i="5" s="1"/>
  <c r="D20" i="4"/>
  <c r="L26" i="4" l="1"/>
  <c r="I27" i="4"/>
  <c r="I28" i="4"/>
  <c r="I29" i="4"/>
  <c r="H30" i="4" s="1"/>
  <c r="G10" i="1" s="1"/>
  <c r="I26" i="4"/>
  <c r="L28" i="4"/>
  <c r="L27" i="4"/>
  <c r="L29" i="4"/>
  <c r="K30" i="4" s="1"/>
  <c r="Q4" i="5"/>
  <c r="Q5" i="5" s="1"/>
  <c r="C21" i="4"/>
  <c r="L25" i="4" l="1"/>
  <c r="I25" i="4"/>
  <c r="D35" i="5"/>
  <c r="I10" i="5" l="1"/>
  <c r="J10" i="5" s="1"/>
  <c r="I12" i="5"/>
  <c r="J12" i="5" s="1"/>
  <c r="J35" i="3"/>
  <c r="K3" i="3"/>
  <c r="K12" i="3"/>
  <c r="K17" i="3"/>
  <c r="K18" i="3"/>
  <c r="K15" i="3"/>
  <c r="K7" i="3"/>
  <c r="I23" i="5"/>
  <c r="J23" i="5" s="1"/>
  <c r="I20" i="5"/>
  <c r="J20" i="5" s="1"/>
  <c r="J34" i="3"/>
  <c r="G41" i="3" s="1"/>
  <c r="K4" i="3"/>
  <c r="K11" i="3"/>
  <c r="J30" i="3"/>
  <c r="K5" i="3"/>
  <c r="J28" i="3"/>
  <c r="I6" i="5"/>
  <c r="I18" i="5"/>
  <c r="J18" i="5" s="1"/>
  <c r="I7" i="5"/>
  <c r="J7" i="5" s="1"/>
  <c r="K20" i="3"/>
  <c r="K13" i="3"/>
  <c r="K8" i="3"/>
  <c r="K19" i="3"/>
  <c r="J31" i="3"/>
  <c r="H41" i="3" s="1"/>
  <c r="I17" i="5"/>
  <c r="J17" i="5" s="1"/>
  <c r="I8" i="5"/>
  <c r="J8" i="5" s="1"/>
  <c r="I19" i="5"/>
  <c r="J19" i="5" s="1"/>
  <c r="J32" i="3"/>
  <c r="I41" i="3" s="1"/>
  <c r="J24" i="3"/>
  <c r="J29" i="3"/>
  <c r="J33" i="3"/>
  <c r="K6" i="3"/>
  <c r="I22" i="5"/>
  <c r="J22" i="5" s="1"/>
  <c r="J23" i="3"/>
  <c r="J41" i="3" s="1"/>
  <c r="I11" i="5"/>
  <c r="J11" i="5" s="1"/>
  <c r="I13" i="5"/>
  <c r="J13" i="5" s="1"/>
  <c r="K14" i="3"/>
  <c r="K16" i="3"/>
  <c r="J26" i="3"/>
  <c r="F41" i="3" s="1"/>
  <c r="I21" i="5"/>
  <c r="J21" i="5" s="1"/>
  <c r="K9" i="3"/>
  <c r="J36" i="3"/>
  <c r="I9" i="5"/>
  <c r="J9" i="5" s="1"/>
  <c r="K10" i="3"/>
  <c r="I16" i="5"/>
  <c r="J16" i="5" s="1"/>
  <c r="I14" i="5"/>
  <c r="J14" i="5" s="1"/>
  <c r="I15" i="5"/>
  <c r="J15" i="5" s="1"/>
  <c r="J27" i="3"/>
  <c r="E41" i="3" l="1"/>
  <c r="D12" i="5"/>
  <c r="D18" i="5" s="1"/>
  <c r="H24" i="5"/>
  <c r="J6" i="5"/>
  <c r="H9" i="5" l="1"/>
  <c r="K9" i="5" s="1"/>
  <c r="L9" i="5" s="1"/>
  <c r="M9" i="5" s="1"/>
  <c r="N9" i="5" s="1"/>
  <c r="O9" i="5" s="1"/>
  <c r="P9" i="5" s="1"/>
  <c r="H16" i="5" l="1"/>
  <c r="K16" i="5" s="1"/>
  <c r="M16" i="5" s="1"/>
  <c r="N16" i="5" s="1"/>
  <c r="H23" i="5"/>
  <c r="K23" i="5" s="1"/>
  <c r="M23" i="5" s="1"/>
  <c r="N23" i="5" s="1"/>
  <c r="H7" i="5"/>
  <c r="H10" i="5"/>
  <c r="K10" i="5" s="1"/>
  <c r="L10" i="5" s="1"/>
  <c r="M10" i="5" s="1"/>
  <c r="N10" i="5" s="1"/>
  <c r="O10" i="5" s="1"/>
  <c r="P10" i="5" s="1"/>
  <c r="H19" i="5"/>
  <c r="K19" i="5" s="1"/>
  <c r="M19" i="5" s="1"/>
  <c r="N19" i="5" s="1"/>
  <c r="O19" i="5" s="1"/>
  <c r="P19" i="5" s="1"/>
  <c r="H14" i="5"/>
  <c r="K14" i="5" s="1"/>
  <c r="L14" i="5" s="1"/>
  <c r="M14" i="5" s="1"/>
  <c r="N14" i="5" s="1"/>
  <c r="H17" i="5"/>
  <c r="K17" i="5" s="1"/>
  <c r="M17" i="5" s="1"/>
  <c r="N17" i="5" s="1"/>
  <c r="O17" i="5" s="1"/>
  <c r="P17" i="5" s="1"/>
  <c r="H20" i="5"/>
  <c r="K20" i="5" s="1"/>
  <c r="M20" i="5" s="1"/>
  <c r="N20" i="5" s="1"/>
  <c r="O20" i="5" s="1"/>
  <c r="P20" i="5" s="1"/>
  <c r="H18" i="5"/>
  <c r="K18" i="5" s="1"/>
  <c r="M18" i="5" s="1"/>
  <c r="N18" i="5" s="1"/>
  <c r="O18" i="5" s="1"/>
  <c r="P18" i="5" s="1"/>
  <c r="H6" i="5"/>
  <c r="K6" i="5" s="1"/>
  <c r="H13" i="5"/>
  <c r="K13" i="5" s="1"/>
  <c r="L13" i="5" s="1"/>
  <c r="M13" i="5" s="1"/>
  <c r="N13" i="5" s="1"/>
  <c r="O13" i="5" s="1"/>
  <c r="P13" i="5" s="1"/>
  <c r="H22" i="5"/>
  <c r="K22" i="5" s="1"/>
  <c r="M22" i="5" s="1"/>
  <c r="N22" i="5" s="1"/>
  <c r="O22" i="5" s="1"/>
  <c r="P22" i="5" s="1"/>
  <c r="H11" i="5"/>
  <c r="K11" i="5" s="1"/>
  <c r="L11" i="5" s="1"/>
  <c r="M11" i="5" s="1"/>
  <c r="N11" i="5" s="1"/>
  <c r="O11" i="5" s="1"/>
  <c r="P11" i="5" s="1"/>
  <c r="H21" i="5"/>
  <c r="K21" i="5" s="1"/>
  <c r="M21" i="5" s="1"/>
  <c r="N21" i="5" s="1"/>
  <c r="O21" i="5" s="1"/>
  <c r="P21" i="5" s="1"/>
  <c r="H15" i="5"/>
  <c r="K15" i="5" s="1"/>
  <c r="L15" i="5" s="1"/>
  <c r="M15" i="5" s="1"/>
  <c r="N15" i="5" s="1"/>
  <c r="O15" i="5" s="1"/>
  <c r="P15" i="5" s="1"/>
  <c r="H12" i="5"/>
  <c r="K12" i="5" s="1"/>
  <c r="L12" i="5" s="1"/>
  <c r="M12" i="5" s="1"/>
  <c r="N12" i="5" s="1"/>
  <c r="O12" i="5" s="1"/>
  <c r="P12" i="5" s="1"/>
  <c r="H8" i="5"/>
  <c r="K8" i="5" s="1"/>
  <c r="L8" i="5" s="1"/>
  <c r="M8" i="5" s="1"/>
  <c r="N8" i="5" s="1"/>
  <c r="O8" i="5" s="1"/>
  <c r="P8" i="5" s="1"/>
  <c r="O16" i="5" l="1"/>
  <c r="P16" i="5" s="1"/>
  <c r="O23" i="5"/>
  <c r="P23" i="5" s="1"/>
  <c r="O14" i="5"/>
  <c r="P14" i="5" s="1"/>
  <c r="G24" i="5"/>
  <c r="I24" i="5" s="1"/>
  <c r="L6" i="5"/>
  <c r="M6" i="5" s="1"/>
  <c r="N6" i="5" s="1"/>
  <c r="O6" i="5" s="1"/>
  <c r="P6" i="5" s="1"/>
  <c r="Q6" i="5" s="1"/>
  <c r="K7" i="5"/>
  <c r="L7" i="5" s="1"/>
  <c r="M7" i="5" s="1"/>
  <c r="N7" i="5" s="1"/>
  <c r="O7" i="5" s="1"/>
  <c r="D39" i="5" l="1"/>
  <c r="D41" i="5"/>
  <c r="P7" i="5"/>
  <c r="Q7" i="5" s="1"/>
  <c r="Q8" i="5" s="1"/>
  <c r="Q9" i="5" s="1"/>
  <c r="Q10" i="5" s="1"/>
  <c r="D40" i="5"/>
  <c r="D36" i="5" l="1"/>
  <c r="D32" i="5"/>
  <c r="Q11" i="5"/>
  <c r="Q12" i="5" s="1"/>
  <c r="Q13" i="5" s="1"/>
  <c r="Q14" i="5" l="1"/>
  <c r="Q15" i="5" s="1"/>
  <c r="Q16" i="5" s="1"/>
  <c r="Q17" i="5" s="1"/>
  <c r="Q18" i="5" s="1"/>
  <c r="Q19" i="5" s="1"/>
  <c r="Q20" i="5" s="1"/>
  <c r="Q21" i="5" s="1"/>
  <c r="Q22" i="5" s="1"/>
  <c r="Q23" i="5" s="1"/>
  <c r="D38" i="5" s="1"/>
  <c r="D37" i="5"/>
</calcChain>
</file>

<file path=xl/sharedStrings.xml><?xml version="1.0" encoding="utf-8"?>
<sst xmlns="http://schemas.openxmlformats.org/spreadsheetml/2006/main" count="1003" uniqueCount="470">
  <si>
    <t>Substrate Mixing</t>
  </si>
  <si>
    <t>Prairie:</t>
  </si>
  <si>
    <t>kg/batch</t>
  </si>
  <si>
    <t>kg solids</t>
  </si>
  <si>
    <t>kg H2O</t>
  </si>
  <si>
    <t>Growth Media</t>
  </si>
  <si>
    <t>Autoclave</t>
  </si>
  <si>
    <t>Time:</t>
  </si>
  <si>
    <t>Energy Ex:</t>
  </si>
  <si>
    <t>$/batch</t>
  </si>
  <si>
    <t>Solid-state Bioreactor</t>
  </si>
  <si>
    <t>Inoculum:</t>
  </si>
  <si>
    <t>Induction Tank</t>
  </si>
  <si>
    <t>Reaction Tank</t>
  </si>
  <si>
    <t>Lime</t>
  </si>
  <si>
    <t>AP</t>
  </si>
  <si>
    <t>L/batch</t>
  </si>
  <si>
    <t>Pump</t>
  </si>
  <si>
    <t>Centrifuge</t>
  </si>
  <si>
    <t>Designed Scale:</t>
  </si>
  <si>
    <t>kg of prairie per batch</t>
  </si>
  <si>
    <t>error</t>
  </si>
  <si>
    <t>Solver calculation:</t>
  </si>
  <si>
    <t>Desired:</t>
  </si>
  <si>
    <t>Current</t>
  </si>
  <si>
    <t>DON’T TOUCH</t>
  </si>
  <si>
    <t>Waste Tank</t>
  </si>
  <si>
    <t>Flow</t>
  </si>
  <si>
    <t>Water</t>
  </si>
  <si>
    <t>Belt Conveyor</t>
  </si>
  <si>
    <t>Screw Conveyor</t>
  </si>
  <si>
    <t>Filter Press</t>
  </si>
  <si>
    <t>Ultrafiltration</t>
  </si>
  <si>
    <t>Equip. ID</t>
  </si>
  <si>
    <t>Equipment Title</t>
  </si>
  <si>
    <t>Source</t>
  </si>
  <si>
    <t>Description</t>
  </si>
  <si>
    <t># Needed</t>
  </si>
  <si>
    <t>Reference Year</t>
  </si>
  <si>
    <t>Reference CEPCI</t>
  </si>
  <si>
    <t>Size Needed</t>
  </si>
  <si>
    <t>Reference Size</t>
  </si>
  <si>
    <t>Units</t>
  </si>
  <si>
    <t>Reference Cost</t>
  </si>
  <si>
    <t>Mill</t>
  </si>
  <si>
    <t>Solids Mixer</t>
  </si>
  <si>
    <t>Max size</t>
  </si>
  <si>
    <t>m3</t>
  </si>
  <si>
    <t>Scaling factor</t>
  </si>
  <si>
    <t>SuperPro</t>
  </si>
  <si>
    <t>Bulk Density</t>
  </si>
  <si>
    <t>kg/m3</t>
  </si>
  <si>
    <t>Old Cost</t>
  </si>
  <si>
    <t>CEPCI</t>
  </si>
  <si>
    <t>Belt conveyor x2</t>
  </si>
  <si>
    <t>Screw conveyor</t>
  </si>
  <si>
    <t>Solid-state bioreactor</t>
  </si>
  <si>
    <t>Centrifugal pump</t>
  </si>
  <si>
    <t>Acid storage tank</t>
  </si>
  <si>
    <t>Acid Storage Tank</t>
  </si>
  <si>
    <t>Reaction tank</t>
  </si>
  <si>
    <t>Induction mixing tank</t>
  </si>
  <si>
    <t>NREL, 2011</t>
  </si>
  <si>
    <t>Acid Hydrolyzate Pump</t>
  </si>
  <si>
    <t>gpm</t>
  </si>
  <si>
    <t>gal</t>
  </si>
  <si>
    <t>Sized to hold 3 batches of AP. (From DAP Make-up Tank)</t>
  </si>
  <si>
    <t>Lignin Wet Cake Conveyor</t>
  </si>
  <si>
    <t>Lignin Wet Cake Screw</t>
  </si>
  <si>
    <t>kg/hr</t>
  </si>
  <si>
    <t>Reaction tank agitator</t>
  </si>
  <si>
    <t>DAP Make-up Tank</t>
  </si>
  <si>
    <t>3 batch</t>
  </si>
  <si>
    <t>Short Storage Tank &amp; Pump</t>
  </si>
  <si>
    <t>kW</t>
  </si>
  <si>
    <t>Agitator (https://checalc.com/solved/agitator.html)</t>
  </si>
  <si>
    <t>Centrifuge feed pump</t>
  </si>
  <si>
    <t>Short-term Storage Tank</t>
  </si>
  <si>
    <t>AP Pump</t>
  </si>
  <si>
    <t>Water Pump</t>
  </si>
  <si>
    <t>****************</t>
  </si>
  <si>
    <t>(Ammonia addition tank)</t>
  </si>
  <si>
    <t>Pumps AP in 10 min</t>
  </si>
  <si>
    <t>Pumps water in 1 hour</t>
  </si>
  <si>
    <t>Unit size</t>
  </si>
  <si>
    <t>Induction tank agitator</t>
  </si>
  <si>
    <t>(Media tank agitator)</t>
  </si>
  <si>
    <t>L/hr</t>
  </si>
  <si>
    <t>Shaalan et al (2007)</t>
  </si>
  <si>
    <t>m3/hr</t>
  </si>
  <si>
    <t>Perez et al (2022) for cost, Bryjak and Rekuc (2009) and Zaccaria et al (2019)</t>
  </si>
  <si>
    <t xml:space="preserve">Laccase Product </t>
  </si>
  <si>
    <t>Water Holding Tank</t>
  </si>
  <si>
    <t>Water Storage Tank</t>
  </si>
  <si>
    <t>(Ammonia addition tank). Needs to be able to hold alkaline solutions</t>
  </si>
  <si>
    <t>NREL, 2010</t>
  </si>
  <si>
    <t>Alibaba</t>
  </si>
  <si>
    <t>L</t>
  </si>
  <si>
    <t>Fertilizer Mixer. Price is doubled to account for shipping overseas</t>
  </si>
  <si>
    <t>Bed Depth</t>
  </si>
  <si>
    <t>cm</t>
  </si>
  <si>
    <t>m</t>
  </si>
  <si>
    <t>Tray Width</t>
  </si>
  <si>
    <t>ft</t>
  </si>
  <si>
    <t>Tray Length</t>
  </si>
  <si>
    <t>Tray Area</t>
  </si>
  <si>
    <t>m2</t>
  </si>
  <si>
    <t>Biomass in Tray</t>
  </si>
  <si>
    <t>kg</t>
  </si>
  <si>
    <t>Trays Needed</t>
  </si>
  <si>
    <t>Space Between Trays</t>
  </si>
  <si>
    <t>Working Volume</t>
  </si>
  <si>
    <t>Bioreactor Size</t>
  </si>
  <si>
    <t>Solid-state Bioreactor Assumptions</t>
  </si>
  <si>
    <t>Vasco-Correa and Shah (2019)</t>
  </si>
  <si>
    <t>Blower for bioreactor</t>
  </si>
  <si>
    <t>cm3</t>
  </si>
  <si>
    <t>Reference reactor size</t>
  </si>
  <si>
    <t>Air flow used</t>
  </si>
  <si>
    <t>L/min</t>
  </si>
  <si>
    <t>cfm</t>
  </si>
  <si>
    <t>scfm</t>
  </si>
  <si>
    <t>Ratio flow to size</t>
  </si>
  <si>
    <t>scfm/m3</t>
  </si>
  <si>
    <t>Blower Size needed</t>
  </si>
  <si>
    <t>Max Bioreactor Size</t>
  </si>
  <si>
    <t>Num. Bioreactors</t>
  </si>
  <si>
    <t>Each Bioreactor size</t>
  </si>
  <si>
    <t>Blower for delivering temperature controlled air</t>
  </si>
  <si>
    <t>Growth-Phase Time</t>
  </si>
  <si>
    <t>days</t>
  </si>
  <si>
    <t>Inoculum ratio</t>
  </si>
  <si>
    <t>g/g subsrate</t>
  </si>
  <si>
    <t>Acid Pump</t>
  </si>
  <si>
    <t>Cost type</t>
  </si>
  <si>
    <t>Electricity</t>
  </si>
  <si>
    <t>Amount Needed</t>
  </si>
  <si>
    <t>Cost/batch</t>
  </si>
  <si>
    <t>Cost/yr</t>
  </si>
  <si>
    <t>&lt;- Wet weight @ 90% TS</t>
  </si>
  <si>
    <t>Miao et al (2011)</t>
  </si>
  <si>
    <t>kJ/kg DM</t>
  </si>
  <si>
    <t>Unit</t>
  </si>
  <si>
    <t>$/kWh</t>
  </si>
  <si>
    <t>Costs:</t>
  </si>
  <si>
    <t>Electricity:</t>
  </si>
  <si>
    <t>Cost per Unit</t>
  </si>
  <si>
    <t>$/kg DM</t>
  </si>
  <si>
    <t>kWh</t>
  </si>
  <si>
    <t>$/hr</t>
  </si>
  <si>
    <t xml:space="preserve">https://www.sparksbelting.com/cd/calculator_sliderbed.html </t>
  </si>
  <si>
    <t>HP</t>
  </si>
  <si>
    <t>$/belt</t>
  </si>
  <si>
    <t>$/autoclave</t>
  </si>
  <si>
    <t>Extra 50% volume accounted for</t>
  </si>
  <si>
    <t xml:space="preserve">Calculated by fitting info from here https://www.mk-technology.com/?pageID=166 </t>
  </si>
  <si>
    <t>HP/kg/hr</t>
  </si>
  <si>
    <t>$/kg/hr</t>
  </si>
  <si>
    <t>All pump power calculations using this link, with 20m head. https://www.engineeringtoolbox.com/pumps-power-d_505.html</t>
  </si>
  <si>
    <t>CapEx tab</t>
  </si>
  <si>
    <t>https://onlinelibrary.wiley.com/doi/10.1002/ceat.201800292 For our scales, 12 kW can be used. 2x multiplier because they said that their energy reduction is 50%, which we won't account for in this analysis.</t>
  </si>
  <si>
    <t>kWh/m3</t>
  </si>
  <si>
    <t>$/m3</t>
  </si>
  <si>
    <t>Elec. and chemicals</t>
  </si>
  <si>
    <t>https://www.sciencedirect.com/science/article/pii/S001191642100480X. Cost adjusted as well</t>
  </si>
  <si>
    <t>Chemicals</t>
  </si>
  <si>
    <t>Sorbitol</t>
  </si>
  <si>
    <t>Type</t>
  </si>
  <si>
    <t>Cost/item</t>
  </si>
  <si>
    <t>Chemical</t>
  </si>
  <si>
    <t>Additional Costs</t>
  </si>
  <si>
    <t>Resource</t>
  </si>
  <si>
    <t>Labor</t>
  </si>
  <si>
    <t>Employee Salary</t>
  </si>
  <si>
    <t>Operators</t>
  </si>
  <si>
    <t>Assuming 4 employees, plus 1 for every additional bioreactor needed. Each paid 30/hr</t>
  </si>
  <si>
    <t>Corn steep</t>
  </si>
  <si>
    <t>K2HPO4</t>
  </si>
  <si>
    <t>CaCl2</t>
  </si>
  <si>
    <t>CuSO4 * 5H2O</t>
  </si>
  <si>
    <t>MgSO4 * 7H2O</t>
  </si>
  <si>
    <t xml:space="preserve">https://www.alibaba.com/product-detail/Factory-Supply-HALAL-high-quality-best_1600892198756.html?spm=a2700.7735675.0.0.6bd0ha7lha7ldR </t>
  </si>
  <si>
    <t xml:space="preserve">https://www.alibaba.com/product-detail/CAS-No-7758-11-4-K2HPO4_1600574493131.html?s=p </t>
  </si>
  <si>
    <t xml:space="preserve">https://www.alibaba.com/product-detail/JRZ-Copper-Sulfate-CuSO4-5H2O-Crystal_649316840.html?spm=a2700.galleryofferlist.p_offer.d_image.6880125a8dSol9&amp;s=p </t>
  </si>
  <si>
    <t xml:space="preserve">https://www.alibaba.com/product-detail/Supply-Calcium-Chloride-For-Pools-CAS10035_1600945523319.html?spm=a2700.galleryofferlist.p_offer.d_image.69f2270foYHUbL&amp;s=p </t>
  </si>
  <si>
    <t xml:space="preserve">https://www.alibaba.com/product-detail/Jiuchong-Fertilizer-Price-MgSO4-7H2O-Magnesium_1600981493179.html?spm=a2700.galleryofferlist.p_offer.d_image.7e3844e3t9VrX2&amp;s=p </t>
  </si>
  <si>
    <t>Inoculum</t>
  </si>
  <si>
    <t>Field and Forest price for bulk (80 lb). Since we would need a lot more, I assume the price based on their scaling system.</t>
  </si>
  <si>
    <t>lb</t>
  </si>
  <si>
    <t>Since pyrolysis plant isn't modeled here, we assume a certain value for the AP</t>
  </si>
  <si>
    <t/>
  </si>
  <si>
    <t>Lac Loss</t>
  </si>
  <si>
    <t>Laccase Yield</t>
  </si>
  <si>
    <t>U/g</t>
  </si>
  <si>
    <t>Packaging</t>
  </si>
  <si>
    <t>Container/vessel</t>
  </si>
  <si>
    <t>Units/batch</t>
  </si>
  <si>
    <t>Waste</t>
  </si>
  <si>
    <t>MT</t>
  </si>
  <si>
    <t>Assuming anything that's not the laccase product is waste. This realistically wouldn't be true, since the biomass and media can be repurposed as compost of AD substrate</t>
  </si>
  <si>
    <t>Linear vs. concurrent schedule</t>
  </si>
  <si>
    <t>Process</t>
  </si>
  <si>
    <t>Time Start (hr)</t>
  </si>
  <si>
    <t>Time Finish (hr)</t>
  </si>
  <si>
    <t>Biomass Milling</t>
  </si>
  <si>
    <t>Linear Schedule</t>
  </si>
  <si>
    <t>Substrate Transport</t>
  </si>
  <si>
    <t>Substrate Sterilization</t>
  </si>
  <si>
    <t>Sunstrate Transport</t>
  </si>
  <si>
    <t>Fungal Fermentation</t>
  </si>
  <si>
    <t>Fungus Transport</t>
  </si>
  <si>
    <t>Overliming</t>
  </si>
  <si>
    <t>Centrifuging</t>
  </si>
  <si>
    <t>Treated AP storage</t>
  </si>
  <si>
    <t>Induction Phase</t>
  </si>
  <si>
    <t>Assumptions:</t>
  </si>
  <si>
    <t>Assuming CIP/SIP were done in a prior step</t>
  </si>
  <si>
    <t>Assuming CIP was done in a prior step</t>
  </si>
  <si>
    <t>Total Batch Time:</t>
  </si>
  <si>
    <t>hr</t>
  </si>
  <si>
    <t>Linear schedule: Entire process happens one-at-a-time. Next batch doesn't start until current batch finishes</t>
  </si>
  <si>
    <t>Total batch time for batches 2-5 are expected to be the same.</t>
  </si>
  <si>
    <t>Batch Schedule:</t>
  </si>
  <si>
    <t>Concurrent</t>
  </si>
  <si>
    <t>Batches/yr:</t>
  </si>
  <si>
    <t>Capacity Factor:</t>
  </si>
  <si>
    <t>New Purchase Cost</t>
  </si>
  <si>
    <t xml:space="preserve">https://onlinelibrary.wiley.com/doi/pdf/10.1002/9783527611119.app4 </t>
  </si>
  <si>
    <t>Assuming fully soaked biomass has a bulk density of 600 kg/m3</t>
  </si>
  <si>
    <t>Prairie grass</t>
  </si>
  <si>
    <t>dry MT</t>
  </si>
  <si>
    <t>Autoclave steam</t>
  </si>
  <si>
    <t>Steam</t>
  </si>
  <si>
    <t>$/MT steam</t>
  </si>
  <si>
    <t>Total Purchase Cost:</t>
  </si>
  <si>
    <t>Total Capital Cost:</t>
  </si>
  <si>
    <t>CapEx Summary:</t>
  </si>
  <si>
    <t>Maintenance Cost:</t>
  </si>
  <si>
    <t>Annual OpEx Summary:</t>
  </si>
  <si>
    <t>Itemized Cost:</t>
  </si>
  <si>
    <t>Property Tax</t>
  </si>
  <si>
    <t>Property Insurance</t>
  </si>
  <si>
    <t>Economic Assumptions:</t>
  </si>
  <si>
    <t>Construction years and percentage each year:</t>
  </si>
  <si>
    <t>Income tax:</t>
  </si>
  <si>
    <t>Year</t>
  </si>
  <si>
    <t>Capital Expense:</t>
  </si>
  <si>
    <t>Operating Expense:</t>
  </si>
  <si>
    <t>Fixed OpEx:</t>
  </si>
  <si>
    <t>Variable OpEx:</t>
  </si>
  <si>
    <t>Production (kU):</t>
  </si>
  <si>
    <t>Laccase Price ($/kU)</t>
  </si>
  <si>
    <t>Revenue:</t>
  </si>
  <si>
    <t>Start-up Period (years)</t>
  </si>
  <si>
    <t>MU/batch</t>
  </si>
  <si>
    <t>Taxes:</t>
  </si>
  <si>
    <t>Gross Profit:</t>
  </si>
  <si>
    <t>Discount rate:</t>
  </si>
  <si>
    <t>Depreciation:</t>
  </si>
  <si>
    <t>Depreciation Time (years):</t>
  </si>
  <si>
    <t>Salvage value:</t>
  </si>
  <si>
    <t>Taxable Income:</t>
  </si>
  <si>
    <t>sorbitol</t>
  </si>
  <si>
    <t>gallon jug from alibaba</t>
  </si>
  <si>
    <t>https://www.chemanalyst.com/Pricing-data/sorbitol-1274</t>
  </si>
  <si>
    <t>Stabilizer &amp; Bottling</t>
  </si>
  <si>
    <t>Stabilizer Mixing Tank</t>
  </si>
  <si>
    <t>For mixing stabilizer (sorbitol) and concentrated laccase solution. Price is multiplied by two to account for light mixing system.</t>
  </si>
  <si>
    <t>Stainless steel. 80% working volume. Holds 2 batches worth of water (Using water storage tank)</t>
  </si>
  <si>
    <t xml:space="preserve">Stainless steel. 80% working volume </t>
  </si>
  <si>
    <t>Automated Bottler</t>
  </si>
  <si>
    <t>FCI - Lang Factor</t>
  </si>
  <si>
    <t>https://pressbooks.bccampus.ca/chbe220/chapter/lang-factor-and-return-on-investment/</t>
  </si>
  <si>
    <t>Fixed Capital Cost:</t>
  </si>
  <si>
    <t>TCC - Lang Factor</t>
  </si>
  <si>
    <t>IRR - 5 year:</t>
  </si>
  <si>
    <t>IRR - 18 year:</t>
  </si>
  <si>
    <t>IRR - 8 year:</t>
  </si>
  <si>
    <t>Net Profit</t>
  </si>
  <si>
    <t>Cumulative DCF:</t>
  </si>
  <si>
    <t>Annual Cash Flow:</t>
  </si>
  <si>
    <t>Break-even period (years):</t>
  </si>
  <si>
    <t>Start-up Capacity:</t>
  </si>
  <si>
    <t xml:space="preserve">https://www.alibaba.com/product-detail/Solidpack-Automatic-home-care-liquid-1_1600371645904.html?spm=a2700.galleryofferlist.p_offer.d_title.26277f5eiSD0YX&amp;s=p </t>
  </si>
  <si>
    <t>Alibaba. Price is doubled to account for shipping. Purchasing as units, so no scaling</t>
  </si>
  <si>
    <t>bottle/hr</t>
  </si>
  <si>
    <t>NPV at desired break-even time</t>
  </si>
  <si>
    <t>Bottler</t>
  </si>
  <si>
    <t>Utilities</t>
  </si>
  <si>
    <t>Prairie Grass</t>
  </si>
  <si>
    <t>Timepoint (hr):</t>
  </si>
  <si>
    <t>Sample #1</t>
  </si>
  <si>
    <t>emissivity</t>
  </si>
  <si>
    <t>Dilution Factor</t>
  </si>
  <si>
    <t>Lac. Activity (U/mL)</t>
  </si>
  <si>
    <t>(U/g)</t>
  </si>
  <si>
    <t>Vt/Vs</t>
  </si>
  <si>
    <t>Slope (DeltaA/t)</t>
  </si>
  <si>
    <t>r2</t>
  </si>
  <si>
    <t>Average U/g</t>
  </si>
  <si>
    <t>Sample #2</t>
  </si>
  <si>
    <t>Sample #3</t>
  </si>
  <si>
    <t>Sample #4</t>
  </si>
  <si>
    <t>Sample #5</t>
  </si>
  <si>
    <t>Sample #6</t>
  </si>
  <si>
    <t>Sample #7</t>
  </si>
  <si>
    <t>Sample #8</t>
  </si>
  <si>
    <t>Sample #9</t>
  </si>
  <si>
    <t>Sample #10</t>
  </si>
  <si>
    <t>Sample #11</t>
  </si>
  <si>
    <t>Sample #12</t>
  </si>
  <si>
    <t>Sample #13</t>
  </si>
  <si>
    <t>Sample #14</t>
  </si>
  <si>
    <t>Sample #15</t>
  </si>
  <si>
    <t>Sample #16</t>
  </si>
  <si>
    <t>Sample #17</t>
  </si>
  <si>
    <t>Sample #18</t>
  </si>
  <si>
    <t xml:space="preserve">Hammer Mill </t>
  </si>
  <si>
    <t>Fringe Benefits for labor</t>
  </si>
  <si>
    <t>Pur. Cost:</t>
  </si>
  <si>
    <t>Sell Compost?</t>
  </si>
  <si>
    <t>Compost Revenue/yr</t>
  </si>
  <si>
    <t>No</t>
  </si>
  <si>
    <t>Discounted ROI 5-year:</t>
  </si>
  <si>
    <t>Discounted ROI 8-year:</t>
  </si>
  <si>
    <t>Discounted ROI 18-year:</t>
  </si>
  <si>
    <t>Scales (MT/batch):</t>
  </si>
  <si>
    <t>TCI</t>
  </si>
  <si>
    <t>MLSP</t>
  </si>
  <si>
    <t>Opex</t>
  </si>
  <si>
    <t>2 Mg/batch</t>
  </si>
  <si>
    <t>4 Mg/batch</t>
  </si>
  <si>
    <t>8 Mg/batch</t>
  </si>
  <si>
    <t>10 Mg/batch</t>
  </si>
  <si>
    <t>15 Mg/batch</t>
  </si>
  <si>
    <t xml:space="preserve">Discounted Cash Flow - 10% Discount - </t>
  </si>
  <si>
    <t>ID#</t>
  </si>
  <si>
    <t>Factors</t>
  </si>
  <si>
    <t>Bed depth     (cm)</t>
  </si>
  <si>
    <t>S:I ratio    (g/g)</t>
  </si>
  <si>
    <t>Time    (days)</t>
  </si>
  <si>
    <t>Parameters</t>
  </si>
  <si>
    <t>Assumption</t>
  </si>
  <si>
    <t>Materials Cost (Cm)</t>
  </si>
  <si>
    <t>Prairie biomass</t>
  </si>
  <si>
    <t>Raw AP</t>
  </si>
  <si>
    <t>CaOH (lime)</t>
  </si>
  <si>
    <t>$150/Mg</t>
  </si>
  <si>
    <t>$6/kg</t>
  </si>
  <si>
    <t>$4.8/kg</t>
  </si>
  <si>
    <t>$1/kg</t>
  </si>
  <si>
    <t>$0.4/kg</t>
  </si>
  <si>
    <t>$0.18/kg</t>
  </si>
  <si>
    <t>$.03/Mg</t>
  </si>
  <si>
    <t>$</t>
  </si>
  <si>
    <t>$/lb</t>
  </si>
  <si>
    <t>Calculated</t>
  </si>
  <si>
    <t>$73/Mg</t>
  </si>
  <si>
    <t>$760/Mg</t>
  </si>
  <si>
    <t>70% Sorbitol</t>
  </si>
  <si>
    <t>$0.58/bottle</t>
  </si>
  <si>
    <t>Utilities Cost (Cu)</t>
  </si>
  <si>
    <t>$0.10/kWh</t>
  </si>
  <si>
    <t>$12/Mg</t>
  </si>
  <si>
    <t>Labor Cost (Cl)</t>
  </si>
  <si>
    <t>Wage</t>
  </si>
  <si>
    <t>$30/hr</t>
  </si>
  <si>
    <t>Benefits factor</t>
  </si>
  <si>
    <t>Facility Costs (Cf)</t>
  </si>
  <si>
    <t>Maintenance</t>
  </si>
  <si>
    <t>0.02xCPC</t>
  </si>
  <si>
    <t>Depreciation</t>
  </si>
  <si>
    <t>Straight-line method</t>
  </si>
  <si>
    <t>Property tax &amp; insurance</t>
  </si>
  <si>
    <t>0.01xTCI</t>
  </si>
  <si>
    <r>
      <rPr>
        <b/>
        <sz val="11"/>
        <color theme="1"/>
        <rFont val="Calibri"/>
        <family val="2"/>
        <scheme val="minor"/>
      </rPr>
      <t>Table 3.</t>
    </r>
    <r>
      <rPr>
        <sz val="11"/>
        <color theme="1"/>
        <rFont val="Calibri"/>
        <family val="2"/>
        <scheme val="minor"/>
      </rPr>
      <t xml:space="preserve"> Parameters to be evaluated for sensitivity analysis.</t>
    </r>
  </si>
  <si>
    <t>Parameter</t>
  </si>
  <si>
    <t>Pessimistic</t>
  </si>
  <si>
    <t>Base</t>
  </si>
  <si>
    <t>Optimistic</t>
  </si>
  <si>
    <t>Prairie biomass cost ($/Mg)</t>
  </si>
  <si>
    <t xml:space="preserve">Inoculum cost </t>
  </si>
  <si>
    <t>+25%</t>
  </si>
  <si>
    <t>Laccase activity loss (%)</t>
  </si>
  <si>
    <t>AP cost ($/m3)</t>
  </si>
  <si>
    <t xml:space="preserve">Operating cost </t>
  </si>
  <si>
    <t>-</t>
  </si>
  <si>
    <t>Coefficient</t>
  </si>
  <si>
    <t>Variable</t>
  </si>
  <si>
    <t>Estimate</t>
  </si>
  <si>
    <t>F-value</t>
  </si>
  <si>
    <t>p-value</t>
  </si>
  <si>
    <t>Intercept</t>
  </si>
  <si>
    <t>β0</t>
  </si>
  <si>
    <t>βi</t>
  </si>
  <si>
    <t>βj</t>
  </si>
  <si>
    <t>βk</t>
  </si>
  <si>
    <t>βii</t>
  </si>
  <si>
    <t>βjj</t>
  </si>
  <si>
    <t>βkk</t>
  </si>
  <si>
    <t>βij</t>
  </si>
  <si>
    <t>βik</t>
  </si>
  <si>
    <t>βjk</t>
  </si>
  <si>
    <t>Milling              U101</t>
  </si>
  <si>
    <t>Time (hr)</t>
  </si>
  <si>
    <t>Lac</t>
  </si>
  <si>
    <t>Induction Limited</t>
  </si>
  <si>
    <t>Growth Limited</t>
  </si>
  <si>
    <t>Concurrent Schedule (Batches 2-5)</t>
  </si>
  <si>
    <t>HP needs calculated here: https://checalc.com/fan.html. 10x multiplier added to power needs to eliminate any dead zones.</t>
  </si>
  <si>
    <t>Assuming all other energy inputs are 50% the blower</t>
  </si>
  <si>
    <t>LPP</t>
  </si>
  <si>
    <t>Stabilizer concentration</t>
  </si>
  <si>
    <t>error^2</t>
  </si>
  <si>
    <t>a</t>
  </si>
  <si>
    <t>k</t>
  </si>
  <si>
    <t>n</t>
  </si>
  <si>
    <t>Estimated based on Packed Bed Bioreactor cost with size adjusted (Flowsheet page) and 2x cost for more automation and complex design. Limited reactor space to 500 m3</t>
  </si>
  <si>
    <t>Tray Bioreactor</t>
  </si>
  <si>
    <t>Downstream Processing</t>
  </si>
  <si>
    <t>Ancillary</t>
  </si>
  <si>
    <t>AP Processing</t>
  </si>
  <si>
    <t>Growth Time</t>
  </si>
  <si>
    <t>Optimized Conditions</t>
  </si>
  <si>
    <t>Start time</t>
  </si>
  <si>
    <t>End time</t>
  </si>
  <si>
    <t>Batch 1</t>
  </si>
  <si>
    <t>Batch 2</t>
  </si>
  <si>
    <t>Batch 3</t>
  </si>
  <si>
    <t>Batch 4</t>
  </si>
  <si>
    <t>Batch 5</t>
  </si>
  <si>
    <t>Average batch time:</t>
  </si>
  <si>
    <t>S:I Ratio</t>
  </si>
  <si>
    <t>Time</t>
  </si>
  <si>
    <t>Induction time</t>
  </si>
  <si>
    <t>Solid Media Processing</t>
  </si>
  <si>
    <t>Validated yield</t>
  </si>
  <si>
    <t>Validated time</t>
  </si>
  <si>
    <t>+50%</t>
  </si>
  <si>
    <t>$500/m3</t>
  </si>
  <si>
    <t>MLSP ($/kU)</t>
  </si>
  <si>
    <t>AP cost 
($/m3)</t>
  </si>
  <si>
    <t>Prairie biomass cost 
($/Mg)</t>
  </si>
  <si>
    <t xml:space="preserve">Prairie biomass cost </t>
  </si>
  <si>
    <t xml:space="preserve">AP cost </t>
  </si>
  <si>
    <t>Inoculum cost</t>
  </si>
  <si>
    <t>Laccase activity loss</t>
  </si>
  <si>
    <t>Laccase activity loss 
(%)</t>
  </si>
  <si>
    <r>
      <rPr>
        <b/>
        <sz val="11"/>
        <color theme="1"/>
        <rFont val="Calibri"/>
        <family val="2"/>
        <scheme val="minor"/>
      </rPr>
      <t>Table 1.</t>
    </r>
    <r>
      <rPr>
        <sz val="11"/>
        <color theme="1"/>
        <rFont val="Calibri"/>
        <family val="2"/>
        <scheme val="minor"/>
      </rPr>
      <t xml:space="preserve"> Central composite design of substrate bed depth, substrate:inoculum (S:I) ratio, and time with the minimum laccase selling price (MLSP) as the response.</t>
    </r>
  </si>
  <si>
    <r>
      <rPr>
        <b/>
        <sz val="11"/>
        <color theme="1"/>
        <rFont val="Calibri"/>
        <family val="2"/>
        <scheme val="minor"/>
      </rPr>
      <t>Table 2.</t>
    </r>
    <r>
      <rPr>
        <sz val="11"/>
        <color theme="1"/>
        <rFont val="Calibri"/>
        <family val="2"/>
        <scheme val="minor"/>
      </rPr>
      <t xml:space="preserve"> Component assumptions for operational costs.</t>
    </r>
  </si>
  <si>
    <t>S:I Ratio2</t>
  </si>
  <si>
    <t>Time2</t>
  </si>
  <si>
    <t>S:I Ratio · Time</t>
  </si>
  <si>
    <t>Bed Depth2</t>
  </si>
  <si>
    <t>Bed Depth · S:I Ratio</t>
  </si>
  <si>
    <t>Bed Depth · Time</t>
  </si>
  <si>
    <t>&lt;0.0001</t>
  </si>
  <si>
    <r>
      <rPr>
        <b/>
        <sz val="11"/>
        <color theme="1"/>
        <rFont val="Calibri"/>
        <family val="2"/>
        <scheme val="minor"/>
      </rPr>
      <t>Table 4.</t>
    </r>
    <r>
      <rPr>
        <sz val="11"/>
        <color theme="1"/>
        <rFont val="Calibri"/>
        <family val="2"/>
        <scheme val="minor"/>
      </rPr>
      <t xml:space="preserve"> The individual parameter estimates and statistical significance values for the central composite design.</t>
    </r>
  </si>
  <si>
    <t xml:space="preserve">In the concurrent schedule, the next batch begins during the longest procedure (the induction phase or growth phase) of the previous/current batch. This makes it so that the time between batches is reduced to mostly the duration of the longest procedure, in order to get more batches. I assume that this can only happen five times in a row before the cycle needs to be "refreshed." I assume the cleanout time is equal to 2 hours. </t>
  </si>
  <si>
    <t>Bed Height (cm)</t>
  </si>
  <si>
    <t>Growth Time (days)</t>
  </si>
  <si>
    <t>Predicted ($/kU)</t>
  </si>
  <si>
    <t xml:space="preserve">MLSP </t>
  </si>
  <si>
    <t>Validated ($/kU)</t>
  </si>
  <si>
    <t># Batches per year</t>
  </si>
  <si>
    <t>Capital Cost</t>
  </si>
  <si>
    <t>S:I Ratio (g/g)</t>
  </si>
  <si>
    <t>Scale (Mg/batch):</t>
  </si>
  <si>
    <t>x</t>
  </si>
  <si>
    <t>Others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</si>
</sst>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8" formatCode="&quot;$&quot;#,##0.00_);[Red]\(&quot;$&quot;#,##0.00\)"/>
    <numFmt numFmtId="44" formatCode="_(&quot;$&quot;* #,##0.00_);_(&quot;$&quot;* \(#,##0.00\);_(&quot;$&quot;* &quot;-&quot;??_);_(@_)"/>
    <numFmt numFmtId="164" formatCode="0.0"/>
    <numFmt numFmtId="165" formatCode="0.0000"/>
    <numFmt numFmtId="166" formatCode="&quot;$&quot;#,##0"/>
    <numFmt numFmtId="167" formatCode="_(&quot;$&quot;* #,##0_);_(&quot;$&quot;* \(#,##0\);_(&quot;$&quot;* &quot;-&quot;??_);_(@_)"/>
    <numFmt numFmtId="168" formatCode="0.0%"/>
    <numFmt numFmtId="169" formatCode="_(&quot;$&quot;* #,##0.0000_);_(&quot;$&quot;* \(#,##0.0000\);_(&quot;$&quot;* &quot;-&quot;??_);_(@_)"/>
    <numFmt numFmtId="170" formatCode="0.000"/>
  </numFmts>
  <fonts count="1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2"/>
      <color theme="9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rgb="FF2D3B45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theme="0" tint="-0.14999847407452621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50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8" fillId="0" borderId="0" applyNumberFormat="0" applyFill="0" applyBorder="0" applyAlignment="0" applyProtection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</cellStyleXfs>
  <cellXfs count="341">
    <xf numFmtId="0" fontId="0" fillId="0" borderId="0" xfId="0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164" fontId="0" fillId="0" borderId="7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164" fontId="0" fillId="0" borderId="4" xfId="0" applyNumberFormat="1" applyBorder="1" applyAlignment="1">
      <alignment horizontal="center"/>
    </xf>
    <xf numFmtId="0" fontId="0" fillId="2" borderId="0" xfId="0" applyFill="1"/>
    <xf numFmtId="0" fontId="2" fillId="2" borderId="0" xfId="0" applyFont="1" applyFill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right"/>
    </xf>
    <xf numFmtId="0" fontId="0" fillId="2" borderId="12" xfId="0" applyFill="1" applyBorder="1"/>
    <xf numFmtId="0" fontId="0" fillId="2" borderId="13" xfId="0" applyFill="1" applyBorder="1"/>
    <xf numFmtId="0" fontId="0" fillId="2" borderId="12" xfId="0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14" xfId="0" applyFont="1" applyFill="1" applyBorder="1"/>
    <xf numFmtId="0" fontId="1" fillId="2" borderId="14" xfId="0" applyFont="1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4" fillId="2" borderId="15" xfId="0" applyFont="1" applyFill="1" applyBorder="1" applyAlignment="1">
      <alignment horizontal="center"/>
    </xf>
    <xf numFmtId="0" fontId="3" fillId="2" borderId="17" xfId="0" applyFont="1" applyFill="1" applyBorder="1" applyAlignment="1">
      <alignment horizontal="center"/>
    </xf>
    <xf numFmtId="164" fontId="2" fillId="2" borderId="18" xfId="0" applyNumberFormat="1" applyFont="1" applyFill="1" applyBorder="1" applyAlignment="1">
      <alignment horizontal="center"/>
    </xf>
    <xf numFmtId="0" fontId="2" fillId="2" borderId="19" xfId="0" applyFont="1" applyFill="1" applyBorder="1"/>
    <xf numFmtId="164" fontId="3" fillId="2" borderId="20" xfId="0" applyNumberFormat="1" applyFont="1" applyFill="1" applyBorder="1" applyAlignment="1">
      <alignment horizontal="center"/>
    </xf>
    <xf numFmtId="0" fontId="3" fillId="2" borderId="21" xfId="0" applyFont="1" applyFill="1" applyBorder="1"/>
    <xf numFmtId="0" fontId="1" fillId="2" borderId="23" xfId="0" applyFont="1" applyFill="1" applyBorder="1"/>
    <xf numFmtId="0" fontId="3" fillId="2" borderId="18" xfId="0" applyFont="1" applyFill="1" applyBorder="1" applyAlignment="1">
      <alignment horizontal="center"/>
    </xf>
    <xf numFmtId="0" fontId="3" fillId="2" borderId="19" xfId="0" applyFont="1" applyFill="1" applyBorder="1"/>
    <xf numFmtId="0" fontId="2" fillId="2" borderId="18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164" fontId="3" fillId="2" borderId="19" xfId="0" applyNumberFormat="1" applyFont="1" applyFill="1" applyBorder="1" applyAlignment="1">
      <alignment horizontal="center"/>
    </xf>
    <xf numFmtId="164" fontId="3" fillId="2" borderId="24" xfId="0" applyNumberFormat="1" applyFont="1" applyFill="1" applyBorder="1" applyAlignment="1">
      <alignment horizontal="center"/>
    </xf>
    <xf numFmtId="0" fontId="3" fillId="2" borderId="24" xfId="0" applyFont="1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8" xfId="0" applyFill="1" applyBorder="1"/>
    <xf numFmtId="0" fontId="2" fillId="0" borderId="9" xfId="0" applyFont="1" applyBorder="1" applyAlignment="1">
      <alignment horizontal="center"/>
    </xf>
    <xf numFmtId="164" fontId="3" fillId="2" borderId="17" xfId="0" applyNumberFormat="1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13" xfId="0" applyFill="1" applyBorder="1" applyAlignment="1">
      <alignment horizontal="center"/>
    </xf>
    <xf numFmtId="2" fontId="0" fillId="2" borderId="12" xfId="0" applyNumberFormat="1" applyFill="1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5" xfId="0" applyBorder="1" applyAlignment="1">
      <alignment vertical="center"/>
    </xf>
    <xf numFmtId="0" fontId="8" fillId="0" borderId="25" xfId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0" fillId="0" borderId="26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6" xfId="0" applyBorder="1" applyAlignment="1">
      <alignment horizontal="center" vertical="center"/>
    </xf>
    <xf numFmtId="0" fontId="0" fillId="2" borderId="19" xfId="0" applyFill="1" applyBorder="1" applyAlignment="1">
      <alignment horizontal="center"/>
    </xf>
    <xf numFmtId="0" fontId="3" fillId="2" borderId="19" xfId="0" applyFont="1" applyFill="1" applyBorder="1" applyAlignment="1">
      <alignment horizontal="center"/>
    </xf>
    <xf numFmtId="1" fontId="0" fillId="0" borderId="16" xfId="0" applyNumberForma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8" fillId="0" borderId="0" xfId="1" applyFill="1" applyAlignment="1">
      <alignment horizontal="center"/>
    </xf>
    <xf numFmtId="0" fontId="0" fillId="2" borderId="25" xfId="0" applyFill="1" applyBorder="1" applyAlignment="1">
      <alignment horizontal="center"/>
    </xf>
    <xf numFmtId="2" fontId="0" fillId="2" borderId="25" xfId="0" applyNumberFormat="1" applyFill="1" applyBorder="1" applyAlignment="1">
      <alignment horizontal="center"/>
    </xf>
    <xf numFmtId="0" fontId="0" fillId="2" borderId="29" xfId="0" applyFill="1" applyBorder="1" applyAlignment="1">
      <alignment horizontal="right"/>
    </xf>
    <xf numFmtId="0" fontId="0" fillId="2" borderId="30" xfId="0" applyFill="1" applyBorder="1"/>
    <xf numFmtId="0" fontId="2" fillId="2" borderId="33" xfId="0" applyFont="1" applyFill="1" applyBorder="1" applyAlignment="1">
      <alignment horizontal="right"/>
    </xf>
    <xf numFmtId="164" fontId="2" fillId="2" borderId="34" xfId="0" applyNumberFormat="1" applyFont="1" applyFill="1" applyBorder="1" applyAlignment="1">
      <alignment horizontal="center"/>
    </xf>
    <xf numFmtId="0" fontId="2" fillId="2" borderId="35" xfId="0" applyFont="1" applyFill="1" applyBorder="1"/>
    <xf numFmtId="0" fontId="0" fillId="2" borderId="6" xfId="0" applyFill="1" applyBorder="1" applyAlignment="1">
      <alignment horizontal="right" vertical="center"/>
    </xf>
    <xf numFmtId="0" fontId="0" fillId="0" borderId="7" xfId="0" applyBorder="1"/>
    <xf numFmtId="0" fontId="2" fillId="2" borderId="0" xfId="0" applyFont="1" applyFill="1" applyAlignment="1">
      <alignment vertical="center"/>
    </xf>
    <xf numFmtId="0" fontId="2" fillId="2" borderId="1" xfId="0" applyFont="1" applyFill="1" applyBorder="1" applyAlignment="1">
      <alignment horizontal="right" vertical="center"/>
    </xf>
    <xf numFmtId="0" fontId="2" fillId="2" borderId="2" xfId="0" applyFont="1" applyFill="1" applyBorder="1" applyAlignment="1">
      <alignment vertical="center"/>
    </xf>
    <xf numFmtId="0" fontId="2" fillId="2" borderId="29" xfId="0" applyFont="1" applyFill="1" applyBorder="1" applyAlignment="1">
      <alignment horizontal="right"/>
    </xf>
    <xf numFmtId="0" fontId="2" fillId="2" borderId="30" xfId="0" applyFont="1" applyFill="1" applyBorder="1"/>
    <xf numFmtId="0" fontId="2" fillId="4" borderId="5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/>
    </xf>
    <xf numFmtId="166" fontId="0" fillId="2" borderId="13" xfId="2" applyNumberFormat="1" applyFont="1" applyFill="1" applyBorder="1" applyAlignment="1">
      <alignment horizontal="center"/>
    </xf>
    <xf numFmtId="167" fontId="0" fillId="2" borderId="13" xfId="2" applyNumberFormat="1" applyFont="1" applyFill="1" applyBorder="1" applyAlignment="1">
      <alignment horizontal="center"/>
    </xf>
    <xf numFmtId="167" fontId="0" fillId="2" borderId="13" xfId="2" applyNumberFormat="1" applyFont="1" applyFill="1" applyBorder="1"/>
    <xf numFmtId="167" fontId="0" fillId="2" borderId="14" xfId="2" applyNumberFormat="1" applyFont="1" applyFill="1" applyBorder="1"/>
    <xf numFmtId="0" fontId="6" fillId="0" borderId="25" xfId="0" applyFont="1" applyBorder="1" applyAlignment="1">
      <alignment horizontal="center" vertical="center"/>
    </xf>
    <xf numFmtId="0" fontId="0" fillId="3" borderId="25" xfId="0" applyFill="1" applyBorder="1" applyAlignment="1">
      <alignment vertical="center"/>
    </xf>
    <xf numFmtId="0" fontId="8" fillId="3" borderId="25" xfId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8" fillId="0" borderId="0" xfId="1" applyAlignment="1">
      <alignment horizontal="center"/>
    </xf>
    <xf numFmtId="0" fontId="0" fillId="5" borderId="25" xfId="0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/>
    </xf>
    <xf numFmtId="164" fontId="0" fillId="2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25" xfId="0" applyBorder="1" applyAlignment="1">
      <alignment horizontal="center"/>
    </xf>
    <xf numFmtId="0" fontId="8" fillId="0" borderId="25" xfId="1" applyBorder="1" applyAlignment="1">
      <alignment horizontal="center"/>
    </xf>
    <xf numFmtId="0" fontId="0" fillId="6" borderId="25" xfId="0" applyFill="1" applyBorder="1" applyAlignment="1">
      <alignment horizontal="center"/>
    </xf>
    <xf numFmtId="0" fontId="8" fillId="6" borderId="25" xfId="1" applyFill="1" applyBorder="1" applyAlignment="1">
      <alignment horizontal="center"/>
    </xf>
    <xf numFmtId="0" fontId="0" fillId="5" borderId="25" xfId="0" applyFill="1" applyBorder="1" applyAlignment="1">
      <alignment vertical="center"/>
    </xf>
    <xf numFmtId="0" fontId="0" fillId="6" borderId="25" xfId="0" applyFill="1" applyBorder="1" applyAlignment="1">
      <alignment vertical="center"/>
    </xf>
    <xf numFmtId="0" fontId="0" fillId="7" borderId="25" xfId="0" applyFill="1" applyBorder="1" applyAlignment="1">
      <alignment horizontal="center" vertical="center"/>
    </xf>
    <xf numFmtId="0" fontId="0" fillId="0" borderId="25" xfId="0" applyBorder="1" applyAlignment="1">
      <alignment horizontal="left"/>
    </xf>
    <xf numFmtId="0" fontId="0" fillId="0" borderId="25" xfId="0" applyBorder="1"/>
    <xf numFmtId="0" fontId="8" fillId="2" borderId="25" xfId="1" applyFill="1" applyBorder="1" applyAlignment="1">
      <alignment horizontal="center"/>
    </xf>
    <xf numFmtId="0" fontId="0" fillId="0" borderId="25" xfId="0" quotePrefix="1" applyBorder="1" applyAlignment="1">
      <alignment horizontal="center" vertical="center"/>
    </xf>
    <xf numFmtId="168" fontId="11" fillId="2" borderId="3" xfId="3" applyNumberFormat="1" applyFont="1" applyFill="1" applyBorder="1" applyAlignment="1">
      <alignment vertical="center" wrapText="1"/>
    </xf>
    <xf numFmtId="0" fontId="11" fillId="2" borderId="4" xfId="0" applyFont="1" applyFill="1" applyBorder="1" applyAlignment="1">
      <alignment vertical="center" wrapText="1"/>
    </xf>
    <xf numFmtId="9" fontId="11" fillId="2" borderId="3" xfId="0" applyNumberFormat="1" applyFont="1" applyFill="1" applyBorder="1" applyAlignment="1">
      <alignment vertical="center" wrapText="1"/>
    </xf>
    <xf numFmtId="9" fontId="11" fillId="2" borderId="4" xfId="0" applyNumberFormat="1" applyFont="1" applyFill="1" applyBorder="1" applyAlignment="1">
      <alignment vertical="center" wrapText="1"/>
    </xf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left"/>
    </xf>
    <xf numFmtId="2" fontId="5" fillId="2" borderId="36" xfId="0" applyNumberFormat="1" applyFont="1" applyFill="1" applyBorder="1" applyAlignment="1">
      <alignment horizontal="center"/>
    </xf>
    <xf numFmtId="0" fontId="2" fillId="2" borderId="37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quotePrefix="1"/>
    <xf numFmtId="2" fontId="0" fillId="0" borderId="25" xfId="0" applyNumberForma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41" xfId="0" applyFont="1" applyBorder="1" applyAlignment="1">
      <alignment horizontal="center"/>
    </xf>
    <xf numFmtId="0" fontId="2" fillId="0" borderId="42" xfId="0" applyFont="1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4" xfId="0" applyBorder="1"/>
    <xf numFmtId="0" fontId="0" fillId="0" borderId="45" xfId="0" applyBorder="1" applyAlignment="1">
      <alignment horizontal="center"/>
    </xf>
    <xf numFmtId="2" fontId="0" fillId="0" borderId="46" xfId="0" applyNumberFormat="1" applyBorder="1" applyAlignment="1">
      <alignment horizontal="center"/>
    </xf>
    <xf numFmtId="0" fontId="0" fillId="0" borderId="47" xfId="0" applyBorder="1"/>
    <xf numFmtId="2" fontId="2" fillId="0" borderId="10" xfId="0" applyNumberFormat="1" applyFont="1" applyBorder="1" applyAlignment="1">
      <alignment horizontal="center"/>
    </xf>
    <xf numFmtId="0" fontId="2" fillId="0" borderId="11" xfId="0" applyFont="1" applyBorder="1"/>
    <xf numFmtId="0" fontId="2" fillId="0" borderId="49" xfId="0" applyFont="1" applyBorder="1" applyAlignment="1">
      <alignment horizontal="center"/>
    </xf>
    <xf numFmtId="0" fontId="0" fillId="0" borderId="41" xfId="0" applyBorder="1" applyAlignment="1">
      <alignment horizontal="center"/>
    </xf>
    <xf numFmtId="0" fontId="2" fillId="2" borderId="51" xfId="0" applyFont="1" applyFill="1" applyBorder="1" applyAlignment="1">
      <alignment horizontal="center"/>
    </xf>
    <xf numFmtId="0" fontId="2" fillId="8" borderId="52" xfId="0" applyFont="1" applyFill="1" applyBorder="1" applyAlignment="1">
      <alignment horizontal="center"/>
    </xf>
    <xf numFmtId="0" fontId="0" fillId="2" borderId="43" xfId="0" applyFill="1" applyBorder="1" applyAlignment="1">
      <alignment horizontal="center"/>
    </xf>
    <xf numFmtId="0" fontId="0" fillId="8" borderId="44" xfId="0" applyFill="1" applyBorder="1" applyAlignment="1">
      <alignment horizontal="center"/>
    </xf>
    <xf numFmtId="0" fontId="2" fillId="2" borderId="45" xfId="0" applyFont="1" applyFill="1" applyBorder="1" applyAlignment="1">
      <alignment horizontal="center" vertical="center"/>
    </xf>
    <xf numFmtId="1" fontId="0" fillId="3" borderId="25" xfId="0" applyNumberFormat="1" applyFill="1" applyBorder="1" applyAlignment="1">
      <alignment horizontal="center" vertical="center"/>
    </xf>
    <xf numFmtId="1" fontId="0" fillId="5" borderId="25" xfId="0" applyNumberFormat="1" applyFill="1" applyBorder="1" applyAlignment="1">
      <alignment horizontal="center" vertical="center"/>
    </xf>
    <xf numFmtId="1" fontId="0" fillId="6" borderId="25" xfId="0" applyNumberFormat="1" applyFill="1" applyBorder="1" applyAlignment="1">
      <alignment horizontal="center"/>
    </xf>
    <xf numFmtId="0" fontId="14" fillId="2" borderId="0" xfId="0" applyFont="1" applyFill="1"/>
    <xf numFmtId="167" fontId="2" fillId="0" borderId="42" xfId="2" applyNumberFormat="1" applyFont="1" applyBorder="1" applyAlignment="1">
      <alignment horizontal="center"/>
    </xf>
    <xf numFmtId="0" fontId="2" fillId="0" borderId="43" xfId="0" applyFont="1" applyBorder="1" applyAlignment="1">
      <alignment horizontal="center"/>
    </xf>
    <xf numFmtId="167" fontId="2" fillId="0" borderId="44" xfId="2" applyNumberFormat="1" applyFont="1" applyBorder="1" applyAlignment="1">
      <alignment horizontal="center"/>
    </xf>
    <xf numFmtId="0" fontId="6" fillId="0" borderId="45" xfId="0" applyFont="1" applyBorder="1" applyAlignment="1">
      <alignment horizontal="center"/>
    </xf>
    <xf numFmtId="167" fontId="6" fillId="0" borderId="47" xfId="2" applyNumberFormat="1" applyFont="1" applyBorder="1" applyAlignment="1">
      <alignment horizontal="center"/>
    </xf>
    <xf numFmtId="167" fontId="0" fillId="0" borderId="0" xfId="0" applyNumberFormat="1" applyAlignment="1">
      <alignment horizontal="center"/>
    </xf>
    <xf numFmtId="44" fontId="0" fillId="0" borderId="0" xfId="0" applyNumberFormat="1" applyAlignment="1">
      <alignment horizontal="center"/>
    </xf>
    <xf numFmtId="44" fontId="0" fillId="0" borderId="0" xfId="0" applyNumberFormat="1"/>
    <xf numFmtId="0" fontId="6" fillId="0" borderId="43" xfId="0" applyFont="1" applyBorder="1" applyAlignment="1">
      <alignment horizontal="center"/>
    </xf>
    <xf numFmtId="0" fontId="6" fillId="0" borderId="43" xfId="0" applyFont="1" applyBorder="1" applyAlignment="1">
      <alignment horizontal="center" vertical="center"/>
    </xf>
    <xf numFmtId="167" fontId="6" fillId="0" borderId="44" xfId="2" applyNumberFormat="1" applyFont="1" applyBorder="1" applyAlignment="1">
      <alignment horizontal="center"/>
    </xf>
    <xf numFmtId="167" fontId="6" fillId="0" borderId="44" xfId="2" applyNumberFormat="1" applyFont="1" applyBorder="1" applyAlignment="1">
      <alignment horizontal="center" vertical="center"/>
    </xf>
    <xf numFmtId="0" fontId="0" fillId="0" borderId="44" xfId="0" applyBorder="1" applyAlignment="1">
      <alignment horizontal="center"/>
    </xf>
    <xf numFmtId="9" fontId="0" fillId="0" borderId="44" xfId="3" applyFont="1" applyBorder="1" applyAlignment="1">
      <alignment horizontal="center"/>
    </xf>
    <xf numFmtId="44" fontId="0" fillId="0" borderId="0" xfId="2" applyFont="1" applyAlignment="1">
      <alignment horizontal="center"/>
    </xf>
    <xf numFmtId="1" fontId="2" fillId="2" borderId="18" xfId="0" applyNumberFormat="1" applyFont="1" applyFill="1" applyBorder="1" applyAlignment="1">
      <alignment horizontal="center"/>
    </xf>
    <xf numFmtId="44" fontId="0" fillId="0" borderId="0" xfId="2" applyFont="1"/>
    <xf numFmtId="0" fontId="2" fillId="0" borderId="44" xfId="2" applyNumberFormat="1" applyFont="1" applyBorder="1" applyAlignment="1">
      <alignment horizontal="center"/>
    </xf>
    <xf numFmtId="0" fontId="0" fillId="0" borderId="0" xfId="0" applyAlignment="1">
      <alignment horizontal="left"/>
    </xf>
    <xf numFmtId="167" fontId="2" fillId="0" borderId="0" xfId="2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167" fontId="6" fillId="0" borderId="0" xfId="2" applyNumberFormat="1" applyFont="1" applyBorder="1" applyAlignment="1">
      <alignment horizontal="center"/>
    </xf>
    <xf numFmtId="167" fontId="2" fillId="0" borderId="50" xfId="2" applyNumberFormat="1" applyFont="1" applyBorder="1" applyAlignment="1">
      <alignment horizontal="center"/>
    </xf>
    <xf numFmtId="0" fontId="0" fillId="2" borderId="25" xfId="0" applyFill="1" applyBorder="1" applyAlignment="1">
      <alignment vertical="center"/>
    </xf>
    <xf numFmtId="1" fontId="0" fillId="0" borderId="0" xfId="0" applyNumberFormat="1" applyAlignment="1">
      <alignment horizontal="center" vertical="center"/>
    </xf>
    <xf numFmtId="0" fontId="0" fillId="0" borderId="49" xfId="0" applyBorder="1" applyAlignment="1">
      <alignment horizontal="center"/>
    </xf>
    <xf numFmtId="9" fontId="0" fillId="0" borderId="50" xfId="3" applyFont="1" applyBorder="1" applyAlignment="1">
      <alignment horizontal="center"/>
    </xf>
    <xf numFmtId="0" fontId="0" fillId="0" borderId="43" xfId="0" applyBorder="1" applyAlignment="1">
      <alignment horizontal="center" vertical="center"/>
    </xf>
    <xf numFmtId="9" fontId="0" fillId="0" borderId="44" xfId="0" applyNumberFormat="1" applyBorder="1" applyAlignment="1">
      <alignment horizontal="center" vertical="center"/>
    </xf>
    <xf numFmtId="9" fontId="0" fillId="0" borderId="44" xfId="0" applyNumberFormat="1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3" xfId="0" applyBorder="1" applyAlignment="1">
      <alignment horizontal="center"/>
    </xf>
    <xf numFmtId="9" fontId="0" fillId="0" borderId="54" xfId="3" applyFont="1" applyBorder="1" applyAlignment="1">
      <alignment horizontal="center"/>
    </xf>
    <xf numFmtId="9" fontId="0" fillId="0" borderId="50" xfId="0" applyNumberFormat="1" applyBorder="1" applyAlignment="1">
      <alignment horizontal="center"/>
    </xf>
    <xf numFmtId="0" fontId="16" fillId="0" borderId="0" xfId="0" applyFont="1"/>
    <xf numFmtId="0" fontId="2" fillId="2" borderId="27" xfId="0" applyFont="1" applyFill="1" applyBorder="1" applyAlignment="1">
      <alignment horizontal="right" vertical="center"/>
    </xf>
    <xf numFmtId="165" fontId="2" fillId="4" borderId="14" xfId="0" applyNumberFormat="1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vertical="center"/>
    </xf>
    <xf numFmtId="0" fontId="0" fillId="2" borderId="29" xfId="0" applyFill="1" applyBorder="1" applyAlignment="1">
      <alignment horizontal="right" vertical="center"/>
    </xf>
    <xf numFmtId="0" fontId="0" fillId="4" borderId="13" xfId="0" applyFill="1" applyBorder="1" applyAlignment="1">
      <alignment horizontal="center" vertical="center"/>
    </xf>
    <xf numFmtId="0" fontId="0" fillId="2" borderId="30" xfId="0" applyFill="1" applyBorder="1" applyAlignment="1">
      <alignment horizontal="left" vertical="center"/>
    </xf>
    <xf numFmtId="0" fontId="0" fillId="4" borderId="0" xfId="0" applyFill="1" applyAlignment="1">
      <alignment horizontal="center" vertical="center"/>
    </xf>
    <xf numFmtId="0" fontId="0" fillId="2" borderId="7" xfId="0" applyFill="1" applyBorder="1" applyAlignment="1">
      <alignment vertical="center"/>
    </xf>
    <xf numFmtId="0" fontId="0" fillId="2" borderId="30" xfId="0" applyFill="1" applyBorder="1" applyAlignment="1">
      <alignment vertical="center"/>
    </xf>
    <xf numFmtId="2" fontId="0" fillId="2" borderId="13" xfId="0" applyNumberFormat="1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2" borderId="32" xfId="0" applyFill="1" applyBorder="1" applyAlignment="1">
      <alignment vertical="center"/>
    </xf>
    <xf numFmtId="0" fontId="0" fillId="2" borderId="14" xfId="0" applyFill="1" applyBorder="1" applyAlignment="1">
      <alignment horizontal="center" vertical="center"/>
    </xf>
    <xf numFmtId="0" fontId="0" fillId="2" borderId="28" xfId="0" applyFill="1" applyBorder="1" applyAlignment="1">
      <alignment vertical="center"/>
    </xf>
    <xf numFmtId="164" fontId="0" fillId="2" borderId="13" xfId="0" applyNumberFormat="1" applyFill="1" applyBorder="1" applyAlignment="1">
      <alignment vertical="center"/>
    </xf>
    <xf numFmtId="0" fontId="0" fillId="2" borderId="13" xfId="0" applyFill="1" applyBorder="1" applyAlignment="1">
      <alignment horizontal="center" vertical="center"/>
    </xf>
    <xf numFmtId="9" fontId="0" fillId="4" borderId="13" xfId="3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right" vertical="center"/>
    </xf>
    <xf numFmtId="164" fontId="2" fillId="2" borderId="24" xfId="0" applyNumberFormat="1" applyFont="1" applyFill="1" applyBorder="1" applyAlignment="1">
      <alignment horizontal="center" vertical="center"/>
    </xf>
    <xf numFmtId="0" fontId="2" fillId="2" borderId="32" xfId="0" applyFont="1" applyFill="1" applyBorder="1" applyAlignment="1">
      <alignment vertical="center"/>
    </xf>
    <xf numFmtId="0" fontId="0" fillId="2" borderId="0" xfId="0" applyFill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2" borderId="24" xfId="0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0" fillId="2" borderId="24" xfId="0" applyFill="1" applyBorder="1" applyAlignment="1">
      <alignment horizontal="center" vertical="center"/>
    </xf>
    <xf numFmtId="0" fontId="0" fillId="6" borderId="25" xfId="0" applyFill="1" applyBorder="1"/>
    <xf numFmtId="0" fontId="0" fillId="7" borderId="25" xfId="0" applyFill="1" applyBorder="1" applyAlignment="1">
      <alignment vertical="center"/>
    </xf>
    <xf numFmtId="44" fontId="0" fillId="0" borderId="25" xfId="2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44" fontId="0" fillId="2" borderId="25" xfId="2" applyFont="1" applyFill="1" applyBorder="1" applyAlignment="1">
      <alignment horizontal="center"/>
    </xf>
    <xf numFmtId="44" fontId="0" fillId="6" borderId="25" xfId="2" applyFont="1" applyFill="1" applyBorder="1" applyAlignment="1">
      <alignment horizontal="center"/>
    </xf>
    <xf numFmtId="44" fontId="0" fillId="0" borderId="25" xfId="2" applyFont="1" applyBorder="1" applyAlignment="1">
      <alignment horizontal="center"/>
    </xf>
    <xf numFmtId="44" fontId="1" fillId="2" borderId="22" xfId="2" applyFont="1" applyFill="1" applyBorder="1" applyAlignment="1">
      <alignment horizontal="center"/>
    </xf>
    <xf numFmtId="44" fontId="1" fillId="2" borderId="22" xfId="2" applyFont="1" applyFill="1" applyBorder="1"/>
    <xf numFmtId="0" fontId="0" fillId="0" borderId="4" xfId="0" applyBorder="1" applyAlignment="1">
      <alignment horizontal="center"/>
    </xf>
    <xf numFmtId="168" fontId="0" fillId="0" borderId="0" xfId="3" applyNumberFormat="1" applyFont="1" applyAlignment="1">
      <alignment horizontal="center"/>
    </xf>
    <xf numFmtId="9" fontId="0" fillId="0" borderId="42" xfId="3" applyFont="1" applyBorder="1" applyAlignment="1">
      <alignment horizontal="center"/>
    </xf>
    <xf numFmtId="0" fontId="2" fillId="0" borderId="45" xfId="0" applyFont="1" applyBorder="1" applyAlignment="1">
      <alignment horizontal="center"/>
    </xf>
    <xf numFmtId="0" fontId="2" fillId="0" borderId="47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6" xfId="0" applyBorder="1"/>
    <xf numFmtId="0" fontId="0" fillId="0" borderId="3" xfId="0" applyBorder="1"/>
    <xf numFmtId="0" fontId="0" fillId="0" borderId="8" xfId="0" applyBorder="1"/>
    <xf numFmtId="0" fontId="0" fillId="0" borderId="4" xfId="0" applyBorder="1"/>
    <xf numFmtId="0" fontId="2" fillId="2" borderId="13" xfId="0" applyFont="1" applyFill="1" applyBorder="1"/>
    <xf numFmtId="0" fontId="0" fillId="2" borderId="14" xfId="0" applyFill="1" applyBorder="1"/>
    <xf numFmtId="0" fontId="0" fillId="2" borderId="0" xfId="0" applyFill="1" applyAlignment="1">
      <alignment horizontal="left"/>
    </xf>
    <xf numFmtId="8" fontId="0" fillId="2" borderId="0" xfId="0" applyNumberFormat="1" applyFill="1" applyAlignment="1">
      <alignment horizontal="left"/>
    </xf>
    <xf numFmtId="0" fontId="13" fillId="2" borderId="0" xfId="0" applyFont="1" applyFill="1" applyAlignment="1">
      <alignment horizontal="left"/>
    </xf>
    <xf numFmtId="0" fontId="2" fillId="2" borderId="13" xfId="0" applyFont="1" applyFill="1" applyBorder="1" applyAlignment="1">
      <alignment horizontal="center"/>
    </xf>
    <xf numFmtId="0" fontId="0" fillId="8" borderId="50" xfId="0" applyFill="1" applyBorder="1" applyAlignment="1">
      <alignment horizontal="center"/>
    </xf>
    <xf numFmtId="168" fontId="9" fillId="0" borderId="0" xfId="3" applyNumberFormat="1" applyFont="1" applyAlignment="1">
      <alignment horizontal="center"/>
    </xf>
    <xf numFmtId="0" fontId="2" fillId="2" borderId="13" xfId="0" applyFont="1" applyFill="1" applyBorder="1" applyAlignment="1">
      <alignment horizontal="left"/>
    </xf>
    <xf numFmtId="0" fontId="8" fillId="0" borderId="0" xfId="1" applyAlignment="1">
      <alignment horizontal="left"/>
    </xf>
    <xf numFmtId="2" fontId="0" fillId="2" borderId="0" xfId="0" applyNumberFormat="1" applyFill="1" applyAlignment="1">
      <alignment horizontal="left"/>
    </xf>
    <xf numFmtId="1" fontId="0" fillId="2" borderId="0" xfId="0" applyNumberFormat="1" applyFill="1" applyAlignment="1">
      <alignment horizontal="left"/>
    </xf>
    <xf numFmtId="0" fontId="0" fillId="2" borderId="14" xfId="0" applyFill="1" applyBorder="1" applyAlignment="1">
      <alignment horizontal="left"/>
    </xf>
    <xf numFmtId="0" fontId="2" fillId="0" borderId="0" xfId="0" applyFont="1"/>
    <xf numFmtId="0" fontId="0" fillId="9" borderId="0" xfId="0" applyFill="1" applyAlignment="1">
      <alignment horizontal="center"/>
    </xf>
    <xf numFmtId="2" fontId="0" fillId="0" borderId="0" xfId="0" applyNumberFormat="1"/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2" fontId="2" fillId="0" borderId="7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2" fontId="2" fillId="0" borderId="0" xfId="0" applyNumberFormat="1" applyFont="1" applyAlignment="1">
      <alignment horizontal="center"/>
    </xf>
    <xf numFmtId="0" fontId="2" fillId="0" borderId="8" xfId="0" applyFont="1" applyBorder="1"/>
    <xf numFmtId="0" fontId="2" fillId="0" borderId="4" xfId="0" applyFont="1" applyBorder="1"/>
    <xf numFmtId="44" fontId="2" fillId="0" borderId="25" xfId="2" applyFont="1" applyBorder="1" applyAlignment="1">
      <alignment horizontal="center" vertical="center"/>
    </xf>
    <xf numFmtId="44" fontId="0" fillId="0" borderId="0" xfId="0" applyNumberFormat="1" applyAlignment="1">
      <alignment vertical="center"/>
    </xf>
    <xf numFmtId="44" fontId="0" fillId="0" borderId="0" xfId="0" applyNumberFormat="1" applyAlignment="1">
      <alignment horizontal="center" vertical="center"/>
    </xf>
    <xf numFmtId="169" fontId="0" fillId="0" borderId="0" xfId="0" applyNumberFormat="1" applyAlignment="1">
      <alignment horizontal="center"/>
    </xf>
    <xf numFmtId="165" fontId="0" fillId="2" borderId="0" xfId="0" quotePrefix="1" applyNumberFormat="1" applyFill="1" applyAlignment="1">
      <alignment horizontal="center"/>
    </xf>
    <xf numFmtId="165" fontId="0" fillId="2" borderId="0" xfId="0" applyNumberFormat="1" applyFill="1" applyAlignment="1">
      <alignment horizontal="center"/>
    </xf>
    <xf numFmtId="165" fontId="0" fillId="2" borderId="14" xfId="0" applyNumberFormat="1" applyFill="1" applyBorder="1" applyAlignment="1">
      <alignment horizontal="center"/>
    </xf>
    <xf numFmtId="44" fontId="6" fillId="0" borderId="47" xfId="2" applyFont="1" applyBorder="1" applyAlignment="1">
      <alignment horizontal="center"/>
    </xf>
    <xf numFmtId="168" fontId="0" fillId="2" borderId="0" xfId="3" applyNumberFormat="1" applyFont="1" applyFill="1" applyAlignment="1">
      <alignment horizontal="center"/>
    </xf>
    <xf numFmtId="168" fontId="0" fillId="2" borderId="0" xfId="0" applyNumberFormat="1" applyFill="1" applyAlignment="1">
      <alignment horizontal="center"/>
    </xf>
    <xf numFmtId="168" fontId="0" fillId="2" borderId="14" xfId="0" applyNumberFormat="1" applyFill="1" applyBorder="1" applyAlignment="1">
      <alignment horizontal="center"/>
    </xf>
    <xf numFmtId="168" fontId="0" fillId="2" borderId="14" xfId="3" applyNumberFormat="1" applyFont="1" applyFill="1" applyBorder="1" applyAlignment="1">
      <alignment horizontal="center"/>
    </xf>
    <xf numFmtId="0" fontId="0" fillId="2" borderId="0" xfId="0" applyFill="1" applyAlignment="1">
      <alignment horizontal="center" wrapText="1"/>
    </xf>
    <xf numFmtId="0" fontId="2" fillId="2" borderId="0" xfId="0" applyFont="1" applyFill="1" applyAlignment="1">
      <alignment horizontal="left" vertical="center" wrapText="1"/>
    </xf>
    <xf numFmtId="170" fontId="0" fillId="2" borderId="0" xfId="0" applyNumberFormat="1" applyFill="1" applyAlignment="1">
      <alignment horizontal="left"/>
    </xf>
    <xf numFmtId="170" fontId="0" fillId="2" borderId="14" xfId="0" applyNumberFormat="1" applyFill="1" applyBorder="1" applyAlignment="1">
      <alignment horizontal="left"/>
    </xf>
    <xf numFmtId="0" fontId="0" fillId="2" borderId="0" xfId="0" applyFill="1" applyAlignment="1">
      <alignment wrapText="1"/>
    </xf>
    <xf numFmtId="0" fontId="0" fillId="2" borderId="13" xfId="0" applyFill="1" applyBorder="1" applyAlignment="1">
      <alignment horizontal="left"/>
    </xf>
    <xf numFmtId="165" fontId="0" fillId="0" borderId="0" xfId="0" applyNumberFormat="1" applyAlignment="1">
      <alignment horizontal="left"/>
    </xf>
    <xf numFmtId="170" fontId="0" fillId="0" borderId="0" xfId="0" applyNumberFormat="1" applyAlignment="1">
      <alignment horizontal="left"/>
    </xf>
    <xf numFmtId="2" fontId="0" fillId="0" borderId="0" xfId="0" applyNumberFormat="1" applyAlignment="1">
      <alignment horizontal="left"/>
    </xf>
    <xf numFmtId="164" fontId="0" fillId="0" borderId="0" xfId="0" applyNumberFormat="1" applyAlignment="1">
      <alignment horizontal="left"/>
    </xf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  <xf numFmtId="170" fontId="0" fillId="0" borderId="14" xfId="0" applyNumberFormat="1" applyBorder="1" applyAlignment="1">
      <alignment horizontal="left"/>
    </xf>
    <xf numFmtId="9" fontId="0" fillId="2" borderId="0" xfId="0" quotePrefix="1" applyNumberFormat="1" applyFill="1" applyAlignment="1">
      <alignment horizontal="center" vertical="center"/>
    </xf>
    <xf numFmtId="0" fontId="0" fillId="2" borderId="0" xfId="0" quotePrefix="1" applyFill="1" applyAlignment="1">
      <alignment horizontal="center" vertical="center"/>
    </xf>
    <xf numFmtId="9" fontId="0" fillId="2" borderId="0" xfId="0" applyNumberFormat="1" applyFill="1" applyAlignment="1">
      <alignment horizontal="center" vertical="center"/>
    </xf>
    <xf numFmtId="0" fontId="2" fillId="2" borderId="13" xfId="0" applyFont="1" applyFill="1" applyBorder="1" applyAlignment="1">
      <alignment vertical="center"/>
    </xf>
    <xf numFmtId="0" fontId="2" fillId="2" borderId="13" xfId="0" applyFont="1" applyFill="1" applyBorder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0" fillId="2" borderId="0" xfId="0" applyFill="1" applyAlignment="1">
      <alignment vertical="center"/>
    </xf>
    <xf numFmtId="168" fontId="0" fillId="0" borderId="47" xfId="0" applyNumberFormat="1" applyBorder="1" applyAlignment="1">
      <alignment horizontal="center"/>
    </xf>
    <xf numFmtId="0" fontId="2" fillId="0" borderId="0" xfId="0" applyFont="1" applyAlignment="1">
      <alignment horizontal="left"/>
    </xf>
    <xf numFmtId="164" fontId="2" fillId="2" borderId="47" xfId="0" applyNumberFormat="1" applyFont="1" applyFill="1" applyBorder="1" applyAlignment="1">
      <alignment horizontal="center" vertical="center"/>
    </xf>
    <xf numFmtId="0" fontId="0" fillId="2" borderId="14" xfId="0" quotePrefix="1" applyFill="1" applyBorder="1" applyAlignment="1">
      <alignment horizontal="center" vertical="center"/>
    </xf>
    <xf numFmtId="9" fontId="0" fillId="2" borderId="14" xfId="0" applyNumberFormat="1" applyFill="1" applyBorder="1" applyAlignment="1">
      <alignment horizontal="center" vertical="center"/>
    </xf>
    <xf numFmtId="9" fontId="0" fillId="0" borderId="0" xfId="3" applyFont="1"/>
    <xf numFmtId="0" fontId="2" fillId="0" borderId="14" xfId="0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0" fontId="5" fillId="2" borderId="9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0" fontId="0" fillId="2" borderId="31" xfId="0" applyFill="1" applyBorder="1" applyAlignment="1">
      <alignment horizontal="right" vertical="center" wrapText="1"/>
    </xf>
    <xf numFmtId="0" fontId="0" fillId="2" borderId="27" xfId="0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0" fillId="2" borderId="31" xfId="0" applyFill="1" applyBorder="1" applyAlignment="1">
      <alignment horizontal="right" vertical="center"/>
    </xf>
    <xf numFmtId="0" fontId="0" fillId="2" borderId="6" xfId="0" applyFill="1" applyBorder="1" applyAlignment="1">
      <alignment horizontal="right" vertical="center"/>
    </xf>
    <xf numFmtId="0" fontId="0" fillId="2" borderId="27" xfId="0" applyFill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0" fillId="0" borderId="0" xfId="0" applyAlignment="1">
      <alignment horizontal="center"/>
    </xf>
    <xf numFmtId="0" fontId="12" fillId="0" borderId="38" xfId="0" applyFont="1" applyBorder="1" applyAlignment="1">
      <alignment horizontal="center"/>
    </xf>
    <xf numFmtId="0" fontId="12" fillId="0" borderId="39" xfId="0" applyFont="1" applyBorder="1" applyAlignment="1">
      <alignment horizontal="center"/>
    </xf>
    <xf numFmtId="0" fontId="12" fillId="0" borderId="40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0" fillId="0" borderId="25" xfId="0" applyBorder="1" applyAlignment="1">
      <alignment horizontal="center"/>
    </xf>
    <xf numFmtId="0" fontId="12" fillId="0" borderId="9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0" fillId="0" borderId="53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2" borderId="0" xfId="0" applyFill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13" xfId="0" applyFont="1" applyBorder="1" applyAlignment="1">
      <alignment horizontal="left"/>
    </xf>
    <xf numFmtId="0" fontId="2" fillId="2" borderId="24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left"/>
    </xf>
    <xf numFmtId="0" fontId="0" fillId="2" borderId="14" xfId="0" applyFill="1" applyBorder="1" applyAlignment="1">
      <alignment horizontal="center" wrapText="1"/>
    </xf>
    <xf numFmtId="0" fontId="0" fillId="0" borderId="14" xfId="0" applyBorder="1" applyAlignment="1">
      <alignment horizontal="center" vertical="center" wrapText="1"/>
    </xf>
    <xf numFmtId="0" fontId="2" fillId="2" borderId="13" xfId="0" applyFont="1" applyFill="1" applyBorder="1" applyAlignment="1">
      <alignment horizontal="left"/>
    </xf>
    <xf numFmtId="0" fontId="2" fillId="2" borderId="24" xfId="0" applyFont="1" applyFill="1" applyBorder="1" applyAlignment="1">
      <alignment horizontal="left"/>
    </xf>
    <xf numFmtId="0" fontId="2" fillId="2" borderId="14" xfId="0" applyFont="1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</cellXfs>
  <cellStyles count="4">
    <cellStyle name="Currency" xfId="2" builtinId="4"/>
    <cellStyle name="Hyperlink" xfId="1" builtinId="8"/>
    <cellStyle name="Normal" xfId="0" builtinId="0"/>
    <cellStyle name="Percent" xfId="3" builtinId="5"/>
  </cellStyles>
  <dxfs count="39">
    <dxf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Estimating the per lb</a:t>
            </a:r>
            <a:r>
              <a:rPr lang="en-US" baseline="0"/>
              <a:t> price of grain spawn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'Operating Costs'!$I$44</c:f>
              <c:strCache>
                <c:ptCount val="1"/>
                <c:pt idx="0">
                  <c:v>$/lb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wer"/>
            <c:dispRSqr val="1"/>
            <c:dispEq val="1"/>
            <c:trendlineLbl>
              <c:layout>
                <c:manualLayout>
                  <c:x val="2.2736234125540801E-3"/>
                  <c:y val="-0.23859396216249668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'Operating Costs'!$G$45:$G$50</c:f>
              <c:numCache>
                <c:formatCode>General</c:formatCode>
                <c:ptCount val="6"/>
                <c:pt idx="0">
                  <c:v>4</c:v>
                </c:pt>
                <c:pt idx="1">
                  <c:v>8</c:v>
                </c:pt>
                <c:pt idx="2">
                  <c:v>20</c:v>
                </c:pt>
                <c:pt idx="3">
                  <c:v>40</c:v>
                </c:pt>
                <c:pt idx="4">
                  <c:v>60</c:v>
                </c:pt>
                <c:pt idx="5">
                  <c:v>80</c:v>
                </c:pt>
              </c:numCache>
            </c:numRef>
          </c:xVal>
          <c:yVal>
            <c:numRef>
              <c:f>'Operating Costs'!$I$45:$I$50</c:f>
              <c:numCache>
                <c:formatCode>General</c:formatCode>
                <c:ptCount val="6"/>
                <c:pt idx="0">
                  <c:v>6</c:v>
                </c:pt>
                <c:pt idx="1">
                  <c:v>5.25</c:v>
                </c:pt>
                <c:pt idx="2">
                  <c:v>4.5</c:v>
                </c:pt>
                <c:pt idx="3">
                  <c:v>3.75</c:v>
                </c:pt>
                <c:pt idx="4">
                  <c:v>3</c:v>
                </c:pt>
                <c:pt idx="5">
                  <c:v>2.625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C2B-4572-BC8A-3B351E7C79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77558239"/>
        <c:axId val="1934996495"/>
      </c:scatterChart>
      <c:valAx>
        <c:axId val="67755823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lb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34996495"/>
        <c:crosses val="autoZero"/>
        <c:crossBetween val="midCat"/>
      </c:valAx>
      <c:valAx>
        <c:axId val="19349964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$/lb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755823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v>Minimum Selling Price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6"/>
            <c:spPr>
              <a:solidFill>
                <a:schemeClr val="tx1"/>
              </a:solidFill>
              <a:ln w="12700">
                <a:solidFill>
                  <a:schemeClr val="tx1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5.1031653577032119E-17"/>
                  <c:y val="-2.339181286549707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D687-4EDD-BE7B-1A4948C82B6F}"/>
                </c:ext>
              </c:extLst>
            </c:dLbl>
            <c:dLbl>
              <c:idx val="1"/>
              <c:layout>
                <c:manualLayout>
                  <c:x val="0"/>
                  <c:y val="-2.807017543859653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D687-4EDD-BE7B-1A4948C82B6F}"/>
                </c:ext>
              </c:extLst>
            </c:dLbl>
            <c:dLbl>
              <c:idx val="2"/>
              <c:layout>
                <c:manualLayout>
                  <c:x val="-3.8970076548364652E-2"/>
                  <c:y val="-7.953216374269006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D687-4EDD-BE7B-1A4948C82B6F}"/>
                </c:ext>
              </c:extLst>
            </c:dLbl>
            <c:dLbl>
              <c:idx val="3"/>
              <c:layout>
                <c:manualLayout>
                  <c:x val="-2.7835768963117608E-3"/>
                  <c:y val="-4.210526315789473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D687-4EDD-BE7B-1A4948C82B6F}"/>
                </c:ext>
              </c:extLst>
            </c:dLbl>
            <c:dLbl>
              <c:idx val="4"/>
              <c:layout>
                <c:manualLayout>
                  <c:x val="-3.3402922755741124E-2"/>
                  <c:y val="-5.614035087719302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D687-4EDD-BE7B-1A4948C82B6F}"/>
                </c:ext>
              </c:extLst>
            </c:dLbl>
            <c:numFmt formatCode="_(&quot;$&quot;* #,##0.000_);_(&quot;$&quot;* \(#,##0.000\);_(&quot;$&quot;* &quot;-&quot;???_);_(@_)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/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tx1"/>
                </a:solidFill>
                <a:prstDash val="sysDot"/>
              </a:ln>
              <a:effectLst/>
            </c:spPr>
            <c:trendlineType val="power"/>
            <c:dispRSqr val="1"/>
            <c:dispEq val="1"/>
            <c:trendlineLbl>
              <c:layout>
                <c:manualLayout>
                  <c:x val="-0.18039835834716908"/>
                  <c:y val="-0.31031247409863238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900" b="1" i="0" u="none" strike="noStrike" kern="1200" baseline="0">
                        <a:solidFill>
                          <a:schemeClr val="tx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="1" baseline="0">
                        <a:solidFill>
                          <a:schemeClr val="tx1"/>
                        </a:solidFill>
                      </a:rPr>
                      <a:t>Minimum Selling Price</a:t>
                    </a:r>
                  </a:p>
                  <a:p>
                    <a:pPr>
                      <a:defRPr b="1">
                        <a:solidFill>
                          <a:schemeClr val="tx1"/>
                        </a:solidFill>
                      </a:defRPr>
                    </a:pPr>
                    <a:r>
                      <a:rPr lang="en-US" b="1" baseline="0">
                        <a:solidFill>
                          <a:schemeClr val="tx1"/>
                        </a:solidFill>
                      </a:rPr>
                      <a:t>y = 0.1013x</a:t>
                    </a:r>
                    <a:r>
                      <a:rPr lang="en-US" b="1" baseline="30000">
                        <a:solidFill>
                          <a:schemeClr val="tx1"/>
                        </a:solidFill>
                      </a:rPr>
                      <a:t>-0.301</a:t>
                    </a:r>
                    <a:br>
                      <a:rPr lang="en-US" b="1" baseline="0">
                        <a:solidFill>
                          <a:schemeClr val="tx1"/>
                        </a:solidFill>
                      </a:rPr>
                    </a:br>
                    <a:r>
                      <a:rPr lang="en-US" b="1" baseline="0">
                        <a:solidFill>
                          <a:schemeClr val="tx1"/>
                        </a:solidFill>
                      </a:rPr>
                      <a:t>R² = 0.9774</a:t>
                    </a:r>
                    <a:endParaRPr lang="en-US" b="1">
                      <a:solidFill>
                        <a:schemeClr val="tx1"/>
                      </a:solidFill>
                    </a:endParaRPr>
                  </a:p>
                </c:rich>
              </c:tx>
              <c:numFmt formatCode="General" sourceLinked="0"/>
              <c:spPr>
                <a:noFill/>
                <a:ln>
                  <a:solidFill>
                    <a:schemeClr val="tx1"/>
                  </a:solidFill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1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'Figures and Tables'!$B$4:$B$8</c:f>
              <c:numCache>
                <c:formatCode>General</c:formatCode>
                <c:ptCount val="5"/>
                <c:pt idx="0">
                  <c:v>2</c:v>
                </c:pt>
                <c:pt idx="1">
                  <c:v>4</c:v>
                </c:pt>
                <c:pt idx="2">
                  <c:v>8</c:v>
                </c:pt>
                <c:pt idx="3">
                  <c:v>10</c:v>
                </c:pt>
                <c:pt idx="4">
                  <c:v>15</c:v>
                </c:pt>
              </c:numCache>
            </c:numRef>
          </c:xVal>
          <c:yVal>
            <c:numRef>
              <c:f>'Figures and Tables'!$C$4:$C$8</c:f>
              <c:numCache>
                <c:formatCode>General</c:formatCode>
                <c:ptCount val="5"/>
                <c:pt idx="0">
                  <c:v>8.4699999999999998E-2</c:v>
                </c:pt>
                <c:pt idx="1">
                  <c:v>6.5699999999999995E-2</c:v>
                </c:pt>
                <c:pt idx="2">
                  <c:v>5.0799999999999998E-2</c:v>
                </c:pt>
                <c:pt idx="3">
                  <c:v>5.0900000000000001E-2</c:v>
                </c:pt>
                <c:pt idx="4">
                  <c:v>4.7E-2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687-4EDD-BE7B-1A4948C82B6F}"/>
            </c:ext>
          </c:extLst>
        </c:ser>
        <c:ser>
          <c:idx val="1"/>
          <c:order val="1"/>
          <c:tx>
            <c:v>Production Cost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6"/>
            <c:spPr>
              <a:solidFill>
                <a:schemeClr val="bg1"/>
              </a:solidFill>
              <a:ln w="12700">
                <a:solidFill>
                  <a:schemeClr val="tx1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2.7835768963117096E-3"/>
                  <c:y val="-2.807017543859649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D687-4EDD-BE7B-1A4948C82B6F}"/>
                </c:ext>
              </c:extLst>
            </c:dLbl>
            <c:dLbl>
              <c:idx val="1"/>
              <c:layout>
                <c:manualLayout>
                  <c:x val="8.350730688935281E-3"/>
                  <c:y val="-4.210526315789481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D687-4EDD-BE7B-1A4948C82B6F}"/>
                </c:ext>
              </c:extLst>
            </c:dLbl>
            <c:dLbl>
              <c:idx val="2"/>
              <c:layout>
                <c:manualLayout>
                  <c:x val="-5.0104384133611693E-2"/>
                  <c:y val="-6.08187134502924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D687-4EDD-BE7B-1A4948C82B6F}"/>
                </c:ext>
              </c:extLst>
            </c:dLbl>
            <c:dLbl>
              <c:idx val="3"/>
              <c:layout>
                <c:manualLayout>
                  <c:x val="-3.8970076548364652E-2"/>
                  <c:y val="-5.614035087719298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D687-4EDD-BE7B-1A4948C82B6F}"/>
                </c:ext>
              </c:extLst>
            </c:dLbl>
            <c:dLbl>
              <c:idx val="4"/>
              <c:layout>
                <c:manualLayout>
                  <c:x val="-4.4537230340988172E-2"/>
                  <c:y val="-6.08187134502924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D687-4EDD-BE7B-1A4948C82B6F}"/>
                </c:ext>
              </c:extLst>
            </c:dLbl>
            <c:numFmt formatCode="&quot;$&quot;#,##0.0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/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tx1"/>
                </a:solidFill>
                <a:prstDash val="sysDot"/>
              </a:ln>
              <a:effectLst/>
            </c:spPr>
            <c:trendlineType val="power"/>
            <c:dispRSqr val="1"/>
            <c:dispEq val="1"/>
            <c:trendlineLbl>
              <c:layout>
                <c:manualLayout>
                  <c:x val="7.0165206384692522E-2"/>
                  <c:y val="-0.55461472579085513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900" b="1" i="0" u="none" strike="noStrike" kern="1200" baseline="0">
                        <a:solidFill>
                          <a:schemeClr val="tx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="1" baseline="0">
                        <a:solidFill>
                          <a:schemeClr val="tx1"/>
                        </a:solidFill>
                      </a:rPr>
                      <a:t>Unit Production Cost</a:t>
                    </a:r>
                  </a:p>
                  <a:p>
                    <a:pPr>
                      <a:defRPr b="1">
                        <a:solidFill>
                          <a:schemeClr val="tx1"/>
                        </a:solidFill>
                      </a:defRPr>
                    </a:pPr>
                    <a:r>
                      <a:rPr lang="en-US" b="1" baseline="0">
                        <a:solidFill>
                          <a:schemeClr val="tx1"/>
                        </a:solidFill>
                      </a:rPr>
                      <a:t>y = 0.0318x</a:t>
                    </a:r>
                    <a:r>
                      <a:rPr lang="en-US" b="1" baseline="30000">
                        <a:solidFill>
                          <a:schemeClr val="tx1"/>
                        </a:solidFill>
                      </a:rPr>
                      <a:t>-0.363</a:t>
                    </a:r>
                    <a:br>
                      <a:rPr lang="en-US" b="1" baseline="0">
                        <a:solidFill>
                          <a:schemeClr val="tx1"/>
                        </a:solidFill>
                      </a:rPr>
                    </a:br>
                    <a:r>
                      <a:rPr lang="en-US" b="1" baseline="0">
                        <a:solidFill>
                          <a:schemeClr val="tx1"/>
                        </a:solidFill>
                      </a:rPr>
                      <a:t>R² = 0.9465</a:t>
                    </a:r>
                    <a:endParaRPr lang="en-US" b="1">
                      <a:solidFill>
                        <a:schemeClr val="tx1"/>
                      </a:solidFill>
                    </a:endParaRPr>
                  </a:p>
                </c:rich>
              </c:tx>
              <c:numFmt formatCode="General" sourceLinked="0"/>
              <c:spPr>
                <a:noFill/>
                <a:ln>
                  <a:solidFill>
                    <a:schemeClr val="tx1"/>
                  </a:solidFill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1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'Figures and Tables'!$B$4:$B$8</c:f>
              <c:numCache>
                <c:formatCode>General</c:formatCode>
                <c:ptCount val="5"/>
                <c:pt idx="0">
                  <c:v>2</c:v>
                </c:pt>
                <c:pt idx="1">
                  <c:v>4</c:v>
                </c:pt>
                <c:pt idx="2">
                  <c:v>8</c:v>
                </c:pt>
                <c:pt idx="3">
                  <c:v>10</c:v>
                </c:pt>
                <c:pt idx="4">
                  <c:v>15</c:v>
                </c:pt>
              </c:numCache>
            </c:numRef>
          </c:xVal>
          <c:yVal>
            <c:numRef>
              <c:f>'Figures and Tables'!$D$4:$D$8</c:f>
              <c:numCache>
                <c:formatCode>General</c:formatCode>
                <c:ptCount val="5"/>
                <c:pt idx="0">
                  <c:v>2.64E-2</c:v>
                </c:pt>
                <c:pt idx="1">
                  <c:v>1.8200000000000001E-2</c:v>
                </c:pt>
                <c:pt idx="2">
                  <c:v>1.3299999999999999E-2</c:v>
                </c:pt>
                <c:pt idx="3">
                  <c:v>1.4200000000000001E-2</c:v>
                </c:pt>
                <c:pt idx="4">
                  <c:v>1.2800000000000001E-2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687-4EDD-BE7B-1A4948C82B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5107551"/>
        <c:axId val="1049554767"/>
      </c:scatterChart>
      <c:valAx>
        <c:axId val="905107551"/>
        <c:scaling>
          <c:orientation val="minMax"/>
          <c:min val="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="1">
                    <a:solidFill>
                      <a:schemeClr val="tx1"/>
                    </a:solidFill>
                  </a:rPr>
                  <a:t>Scale (Mg/batch)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49554767"/>
        <c:crosses val="autoZero"/>
        <c:crossBetween val="midCat"/>
        <c:majorUnit val="4"/>
      </c:valAx>
      <c:valAx>
        <c:axId val="1049554767"/>
        <c:scaling>
          <c:orientation val="minMax"/>
          <c:max val="0.1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="1">
                    <a:solidFill>
                      <a:schemeClr val="tx1"/>
                    </a:solidFill>
                  </a:rPr>
                  <a:t>Price ($/kU)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05107551"/>
        <c:crosses val="autoZero"/>
        <c:crossBetween val="midCat"/>
        <c:majorUnit val="2.0000000000000004E-2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0128668947566586"/>
          <c:y val="5.146198830409357E-2"/>
          <c:w val="0.76822128003230372"/>
          <c:h val="0.74080324170005063"/>
        </c:manualLayout>
      </c:layout>
      <c:barChart>
        <c:barDir val="col"/>
        <c:grouping val="stacked"/>
        <c:varyColors val="0"/>
        <c:ser>
          <c:idx val="6"/>
          <c:order val="0"/>
          <c:tx>
            <c:strRef>
              <c:f>'Figures and Tables'!$I$3</c:f>
              <c:strCache>
                <c:ptCount val="1"/>
                <c:pt idx="0">
                  <c:v>Labor</c:v>
                </c:pt>
              </c:strCache>
            </c:strRef>
          </c:tx>
          <c:spPr>
            <a:solidFill>
              <a:schemeClr val="bg2">
                <a:lumMod val="90000"/>
              </a:schemeClr>
            </a:solidFill>
            <a:ln>
              <a:solidFill>
                <a:schemeClr val="tx1"/>
              </a:solidFill>
            </a:ln>
            <a:effectLst/>
          </c:spPr>
          <c:invertIfNegative val="0"/>
          <c:val>
            <c:numRef>
              <c:f>'Figures and Tables'!$I$4:$I$8</c:f>
              <c:numCache>
                <c:formatCode>General</c:formatCode>
                <c:ptCount val="5"/>
                <c:pt idx="0">
                  <c:v>249600</c:v>
                </c:pt>
                <c:pt idx="1">
                  <c:v>249600</c:v>
                </c:pt>
                <c:pt idx="2">
                  <c:v>312000</c:v>
                </c:pt>
                <c:pt idx="3">
                  <c:v>374400</c:v>
                </c:pt>
                <c:pt idx="4">
                  <c:v>436800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A3AB-4949-AA13-D2310AEFAC14}"/>
            </c:ext>
          </c:extLst>
        </c:ser>
        <c:ser>
          <c:idx val="3"/>
          <c:order val="1"/>
          <c:tx>
            <c:strRef>
              <c:f>'Figures and Tables'!$H$3</c:f>
              <c:strCache>
                <c:ptCount val="1"/>
                <c:pt idx="0">
                  <c:v>Inoculum</c:v>
                </c:pt>
              </c:strCache>
            </c:strRef>
          </c:tx>
          <c:spPr>
            <a:solidFill>
              <a:schemeClr val="bg2">
                <a:lumMod val="50000"/>
              </a:schemeClr>
            </a:solidFill>
            <a:ln>
              <a:solidFill>
                <a:schemeClr val="tx1"/>
              </a:solidFill>
            </a:ln>
            <a:effectLst/>
          </c:spPr>
          <c:invertIfNegative val="0"/>
          <c:val>
            <c:numRef>
              <c:f>'Figures and Tables'!$H$4:$H$8</c:f>
              <c:numCache>
                <c:formatCode>General</c:formatCode>
                <c:ptCount val="5"/>
                <c:pt idx="0">
                  <c:v>65357.538354802426</c:v>
                </c:pt>
                <c:pt idx="1">
                  <c:v>52940.413240662419</c:v>
                </c:pt>
                <c:pt idx="2">
                  <c:v>87390.955710016628</c:v>
                </c:pt>
                <c:pt idx="3">
                  <c:v>213244.54137055349</c:v>
                </c:pt>
                <c:pt idx="4">
                  <c:v>287279.73951224156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A3AB-4949-AA13-D2310AEFAC14}"/>
            </c:ext>
          </c:extLst>
        </c:ser>
        <c:ser>
          <c:idx val="0"/>
          <c:order val="2"/>
          <c:tx>
            <c:strRef>
              <c:f>'Figures and Tables'!$E$3</c:f>
              <c:strCache>
                <c:ptCount val="1"/>
                <c:pt idx="0">
                  <c:v>Utilities</c:v>
                </c:pt>
              </c:strCache>
            </c:strRef>
          </c:tx>
          <c:spPr>
            <a:pattFill prst="pct20">
              <a:fgClr>
                <a:schemeClr val="bg2">
                  <a:lumMod val="50000"/>
                </a:schemeClr>
              </a:fgClr>
              <a:bgClr>
                <a:schemeClr val="bg1">
                  <a:lumMod val="95000"/>
                </a:schemeClr>
              </a:bgClr>
            </a:pattFill>
            <a:ln>
              <a:solidFill>
                <a:schemeClr val="tx1"/>
              </a:solidFill>
            </a:ln>
            <a:effectLst/>
          </c:spPr>
          <c:invertIfNegative val="0"/>
          <c:cat>
            <c:numRef>
              <c:f>'Figures and Tables'!$B$4:$B$8</c:f>
              <c:numCache>
                <c:formatCode>General</c:formatCode>
                <c:ptCount val="5"/>
                <c:pt idx="0">
                  <c:v>2</c:v>
                </c:pt>
                <c:pt idx="1">
                  <c:v>4</c:v>
                </c:pt>
                <c:pt idx="2">
                  <c:v>8</c:v>
                </c:pt>
                <c:pt idx="3">
                  <c:v>10</c:v>
                </c:pt>
                <c:pt idx="4">
                  <c:v>15</c:v>
                </c:pt>
              </c:numCache>
            </c:numRef>
          </c:cat>
          <c:val>
            <c:numRef>
              <c:f>'Figures and Tables'!$E$4:$E$8</c:f>
              <c:numCache>
                <c:formatCode>General</c:formatCode>
                <c:ptCount val="5"/>
                <c:pt idx="0">
                  <c:v>31128.030524012931</c:v>
                </c:pt>
                <c:pt idx="1">
                  <c:v>56676.795761526169</c:v>
                </c:pt>
                <c:pt idx="2">
                  <c:v>76334.235028884097</c:v>
                </c:pt>
                <c:pt idx="3">
                  <c:v>79295.711392537662</c:v>
                </c:pt>
                <c:pt idx="4">
                  <c:v>105082.42780375446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A3AB-4949-AA13-D2310AEFAC14}"/>
            </c:ext>
          </c:extLst>
        </c:ser>
        <c:ser>
          <c:idx val="1"/>
          <c:order val="3"/>
          <c:tx>
            <c:strRef>
              <c:f>'Figures and Tables'!$F$3</c:f>
              <c:strCache>
                <c:ptCount val="1"/>
                <c:pt idx="0">
                  <c:v>Chemicals</c:v>
                </c:pt>
              </c:strCache>
            </c:strRef>
          </c:tx>
          <c:spPr>
            <a:pattFill prst="wdDnDiag">
              <a:fgClr>
                <a:schemeClr val="bg2">
                  <a:lumMod val="25000"/>
                </a:schemeClr>
              </a:fgClr>
              <a:bgClr>
                <a:schemeClr val="bg1"/>
              </a:bgClr>
            </a:pattFill>
            <a:ln>
              <a:solidFill>
                <a:schemeClr val="tx1"/>
              </a:solidFill>
            </a:ln>
            <a:effectLst/>
          </c:spPr>
          <c:invertIfNegative val="0"/>
          <c:val>
            <c:numRef>
              <c:f>'Figures and Tables'!$F$4:$F$8</c:f>
              <c:numCache>
                <c:formatCode>General</c:formatCode>
                <c:ptCount val="5"/>
                <c:pt idx="0">
                  <c:v>13056.804376306678</c:v>
                </c:pt>
                <c:pt idx="1">
                  <c:v>25898.542838132256</c:v>
                </c:pt>
                <c:pt idx="2">
                  <c:v>51372.114306608913</c:v>
                </c:pt>
                <c:pt idx="3">
                  <c:v>65259.867092017244</c:v>
                </c:pt>
                <c:pt idx="4">
                  <c:v>97889.800638025888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3AB-4949-AA13-D2310AEFAC14}"/>
            </c:ext>
          </c:extLst>
        </c:ser>
        <c:ser>
          <c:idx val="2"/>
          <c:order val="4"/>
          <c:tx>
            <c:strRef>
              <c:f>'Figures and Tables'!$G$3</c:f>
              <c:strCache>
                <c:ptCount val="1"/>
                <c:pt idx="0">
                  <c:v>Others</c:v>
                </c:pt>
              </c:strCache>
            </c:strRef>
          </c:tx>
          <c:spPr>
            <a:solidFill>
              <a:schemeClr val="bg2">
                <a:lumMod val="25000"/>
              </a:schemeClr>
            </a:solidFill>
            <a:ln>
              <a:solidFill>
                <a:schemeClr val="tx1"/>
              </a:solidFill>
            </a:ln>
            <a:effectLst/>
          </c:spPr>
          <c:invertIfNegative val="0"/>
          <c:val>
            <c:numRef>
              <c:f>'Figures and Tables'!$G$4:$G$8</c:f>
              <c:numCache>
                <c:formatCode>General</c:formatCode>
                <c:ptCount val="5"/>
                <c:pt idx="0">
                  <c:v>13731.319701837812</c:v>
                </c:pt>
                <c:pt idx="1">
                  <c:v>27327.460862944426</c:v>
                </c:pt>
                <c:pt idx="2">
                  <c:v>54206.503120073103</c:v>
                </c:pt>
                <c:pt idx="3">
                  <c:v>68620.099410576717</c:v>
                </c:pt>
                <c:pt idx="4">
                  <c:v>102924.60088028078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A3AB-4949-AA13-D2310AEFAC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46241519"/>
        <c:axId val="1150762527"/>
      </c:barChart>
      <c:catAx>
        <c:axId val="84624151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="1">
                    <a:solidFill>
                      <a:schemeClr val="tx1"/>
                    </a:solidFill>
                  </a:rPr>
                  <a:t>Scale (Mg/batch)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0762527"/>
        <c:crosses val="autoZero"/>
        <c:auto val="1"/>
        <c:lblAlgn val="ctr"/>
        <c:lblOffset val="100"/>
        <c:noMultiLvlLbl val="0"/>
      </c:catAx>
      <c:valAx>
        <c:axId val="1150762527"/>
        <c:scaling>
          <c:orientation val="minMax"/>
          <c:max val="120000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="1">
                    <a:solidFill>
                      <a:schemeClr val="tx1"/>
                    </a:solidFill>
                  </a:rPr>
                  <a:t>Cost</a:t>
                </a:r>
                <a:r>
                  <a:rPr lang="en-US" b="1" baseline="0">
                    <a:solidFill>
                      <a:schemeClr val="tx1"/>
                    </a:solidFill>
                  </a:rPr>
                  <a:t> </a:t>
                </a:r>
                <a:r>
                  <a:rPr lang="en-US" b="1">
                    <a:solidFill>
                      <a:schemeClr val="tx1"/>
                    </a:solidFill>
                  </a:rPr>
                  <a:t>($/year)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462415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0800410343717429"/>
          <c:y val="4.6198277846848046E-2"/>
          <c:w val="0.58676357762971931"/>
          <c:h val="0.24269061104204079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4"/>
          <c:order val="0"/>
          <c:tx>
            <c:strRef>
              <c:f>'Figures and Tables'!$G$11</c:f>
              <c:strCache>
                <c:ptCount val="1"/>
                <c:pt idx="0">
                  <c:v>Solid Media Processing</c:v>
                </c:pt>
              </c:strCache>
            </c:strRef>
          </c:tx>
          <c:spPr>
            <a:solidFill>
              <a:schemeClr val="bg2">
                <a:lumMod val="90000"/>
              </a:schemeClr>
            </a:solidFill>
            <a:ln>
              <a:solidFill>
                <a:schemeClr val="tx1"/>
              </a:solidFill>
            </a:ln>
            <a:effectLst/>
          </c:spPr>
          <c:invertIfNegative val="0"/>
          <c:cat>
            <c:numRef>
              <c:f>'Figures and Tables'!$B$12:$B$16</c:f>
              <c:numCache>
                <c:formatCode>General</c:formatCode>
                <c:ptCount val="5"/>
                <c:pt idx="0">
                  <c:v>2</c:v>
                </c:pt>
                <c:pt idx="1">
                  <c:v>4</c:v>
                </c:pt>
                <c:pt idx="2">
                  <c:v>8</c:v>
                </c:pt>
                <c:pt idx="3">
                  <c:v>10</c:v>
                </c:pt>
                <c:pt idx="4">
                  <c:v>15</c:v>
                </c:pt>
              </c:numCache>
            </c:numRef>
          </c:cat>
          <c:val>
            <c:numRef>
              <c:f>'Figures and Tables'!$G$12:$G$16</c:f>
              <c:numCache>
                <c:formatCode>General</c:formatCode>
                <c:ptCount val="5"/>
                <c:pt idx="0">
                  <c:v>1708190.9932411797</c:v>
                </c:pt>
                <c:pt idx="1">
                  <c:v>3182135.4195621912</c:v>
                </c:pt>
                <c:pt idx="2">
                  <c:v>5731143.7698130719</c:v>
                </c:pt>
                <c:pt idx="3">
                  <c:v>7350017.6442628941</c:v>
                </c:pt>
                <c:pt idx="4">
                  <c:v>10946856.125784054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A44-4B4B-B82E-ADC3DA445C4E}"/>
            </c:ext>
          </c:extLst>
        </c:ser>
        <c:ser>
          <c:idx val="0"/>
          <c:order val="1"/>
          <c:tx>
            <c:strRef>
              <c:f>'Figures and Tables'!$C$11</c:f>
              <c:strCache>
                <c:ptCount val="1"/>
                <c:pt idx="0">
                  <c:v>Tray Bioreactor</c:v>
                </c:pt>
              </c:strCache>
            </c:strRef>
          </c:tx>
          <c:spPr>
            <a:solidFill>
              <a:schemeClr val="bg2">
                <a:lumMod val="50000"/>
              </a:schemeClr>
            </a:solidFill>
            <a:ln>
              <a:solidFill>
                <a:schemeClr val="tx1"/>
              </a:solidFill>
            </a:ln>
            <a:effectLst/>
          </c:spPr>
          <c:invertIfNegative val="0"/>
          <c:cat>
            <c:numRef>
              <c:f>'Figures and Tables'!$B$12:$B$16</c:f>
              <c:numCache>
                <c:formatCode>General</c:formatCode>
                <c:ptCount val="5"/>
                <c:pt idx="0">
                  <c:v>2</c:v>
                </c:pt>
                <c:pt idx="1">
                  <c:v>4</c:v>
                </c:pt>
                <c:pt idx="2">
                  <c:v>8</c:v>
                </c:pt>
                <c:pt idx="3">
                  <c:v>10</c:v>
                </c:pt>
                <c:pt idx="4">
                  <c:v>15</c:v>
                </c:pt>
              </c:numCache>
            </c:numRef>
          </c:cat>
          <c:val>
            <c:numRef>
              <c:f>'Figures and Tables'!$C$12:$C$16</c:f>
              <c:numCache>
                <c:formatCode>General</c:formatCode>
                <c:ptCount val="5"/>
                <c:pt idx="0">
                  <c:v>1347369.0444051274</c:v>
                </c:pt>
                <c:pt idx="1">
                  <c:v>2391840.2068859646</c:v>
                </c:pt>
                <c:pt idx="2">
                  <c:v>4081414.6370332874</c:v>
                </c:pt>
                <c:pt idx="3">
                  <c:v>4829548.9778367197</c:v>
                </c:pt>
                <c:pt idx="4">
                  <c:v>6835503.9844276048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A44-4B4B-B82E-ADC3DA445C4E}"/>
            </c:ext>
          </c:extLst>
        </c:ser>
        <c:ser>
          <c:idx val="1"/>
          <c:order val="2"/>
          <c:tx>
            <c:strRef>
              <c:f>'Figures and Tables'!$D$11</c:f>
              <c:strCache>
                <c:ptCount val="1"/>
                <c:pt idx="0">
                  <c:v>Induction Tank</c:v>
                </c:pt>
              </c:strCache>
            </c:strRef>
          </c:tx>
          <c:spPr>
            <a:solidFill>
              <a:schemeClr val="bg1">
                <a:lumMod val="95000"/>
              </a:schemeClr>
            </a:solidFill>
            <a:ln>
              <a:solidFill>
                <a:schemeClr val="tx1"/>
              </a:solidFill>
            </a:ln>
            <a:effectLst/>
          </c:spPr>
          <c:invertIfNegative val="0"/>
          <c:cat>
            <c:numRef>
              <c:f>'Figures and Tables'!$B$12:$B$16</c:f>
              <c:numCache>
                <c:formatCode>General</c:formatCode>
                <c:ptCount val="5"/>
                <c:pt idx="0">
                  <c:v>2</c:v>
                </c:pt>
                <c:pt idx="1">
                  <c:v>4</c:v>
                </c:pt>
                <c:pt idx="2">
                  <c:v>8</c:v>
                </c:pt>
                <c:pt idx="3">
                  <c:v>10</c:v>
                </c:pt>
                <c:pt idx="4">
                  <c:v>15</c:v>
                </c:pt>
              </c:numCache>
            </c:numRef>
          </c:cat>
          <c:val>
            <c:numRef>
              <c:f>'Figures and Tables'!$D$12:$D$16</c:f>
              <c:numCache>
                <c:formatCode>General</c:formatCode>
                <c:ptCount val="5"/>
                <c:pt idx="0">
                  <c:v>637476.35520534788</c:v>
                </c:pt>
                <c:pt idx="1">
                  <c:v>976555.1156159055</c:v>
                </c:pt>
                <c:pt idx="2">
                  <c:v>1533788.9483220519</c:v>
                </c:pt>
                <c:pt idx="3">
                  <c:v>1885940.6993008761</c:v>
                </c:pt>
                <c:pt idx="4">
                  <c:v>2454122.9337351252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A44-4B4B-B82E-ADC3DA445C4E}"/>
            </c:ext>
          </c:extLst>
        </c:ser>
        <c:ser>
          <c:idx val="2"/>
          <c:order val="3"/>
          <c:tx>
            <c:strRef>
              <c:f>'Figures and Tables'!$E$11</c:f>
              <c:strCache>
                <c:ptCount val="1"/>
                <c:pt idx="0">
                  <c:v>Downstream Processing</c:v>
                </c:pt>
              </c:strCache>
            </c:strRef>
          </c:tx>
          <c:spPr>
            <a:pattFill prst="pct20">
              <a:fgClr>
                <a:schemeClr val="tx1">
                  <a:lumMod val="50000"/>
                  <a:lumOff val="50000"/>
                </a:schemeClr>
              </a:fgClr>
              <a:bgClr>
                <a:schemeClr val="bg1">
                  <a:lumMod val="85000"/>
                </a:schemeClr>
              </a:bgClr>
            </a:pattFill>
            <a:ln>
              <a:solidFill>
                <a:schemeClr val="tx1"/>
              </a:solidFill>
            </a:ln>
            <a:effectLst/>
          </c:spPr>
          <c:invertIfNegative val="0"/>
          <c:cat>
            <c:numRef>
              <c:f>'Figures and Tables'!$B$12:$B$16</c:f>
              <c:numCache>
                <c:formatCode>General</c:formatCode>
                <c:ptCount val="5"/>
                <c:pt idx="0">
                  <c:v>2</c:v>
                </c:pt>
                <c:pt idx="1">
                  <c:v>4</c:v>
                </c:pt>
                <c:pt idx="2">
                  <c:v>8</c:v>
                </c:pt>
                <c:pt idx="3">
                  <c:v>10</c:v>
                </c:pt>
                <c:pt idx="4">
                  <c:v>15</c:v>
                </c:pt>
              </c:numCache>
            </c:numRef>
          </c:cat>
          <c:val>
            <c:numRef>
              <c:f>'Figures and Tables'!$E$12:$E$16</c:f>
              <c:numCache>
                <c:formatCode>General</c:formatCode>
                <c:ptCount val="5"/>
                <c:pt idx="0">
                  <c:v>795998.60243115854</c:v>
                </c:pt>
                <c:pt idx="1">
                  <c:v>1048850.9533019559</c:v>
                </c:pt>
                <c:pt idx="2">
                  <c:v>1478492.4568620906</c:v>
                </c:pt>
                <c:pt idx="3">
                  <c:v>1762801.1019679278</c:v>
                </c:pt>
                <c:pt idx="4">
                  <c:v>2413886.9391026529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A44-4B4B-B82E-ADC3DA445C4E}"/>
            </c:ext>
          </c:extLst>
        </c:ser>
        <c:ser>
          <c:idx val="3"/>
          <c:order val="4"/>
          <c:tx>
            <c:strRef>
              <c:f>'Figures and Tables'!$F$11</c:f>
              <c:strCache>
                <c:ptCount val="1"/>
                <c:pt idx="0">
                  <c:v>AP Processing</c:v>
                </c:pt>
              </c:strCache>
            </c:strRef>
          </c:tx>
          <c:spPr>
            <a:pattFill prst="wdDnDiag">
              <a:fgClr>
                <a:schemeClr val="tx1"/>
              </a:fgClr>
              <a:bgClr>
                <a:schemeClr val="bg1"/>
              </a:bgClr>
            </a:pattFill>
            <a:ln>
              <a:solidFill>
                <a:schemeClr val="tx1"/>
              </a:solidFill>
            </a:ln>
            <a:effectLst/>
          </c:spPr>
          <c:invertIfNegative val="0"/>
          <c:cat>
            <c:numRef>
              <c:f>'Figures and Tables'!$B$12:$B$16</c:f>
              <c:numCache>
                <c:formatCode>General</c:formatCode>
                <c:ptCount val="5"/>
                <c:pt idx="0">
                  <c:v>2</c:v>
                </c:pt>
                <c:pt idx="1">
                  <c:v>4</c:v>
                </c:pt>
                <c:pt idx="2">
                  <c:v>8</c:v>
                </c:pt>
                <c:pt idx="3">
                  <c:v>10</c:v>
                </c:pt>
                <c:pt idx="4">
                  <c:v>15</c:v>
                </c:pt>
              </c:numCache>
            </c:numRef>
          </c:cat>
          <c:val>
            <c:numRef>
              <c:f>'Figures and Tables'!$F$12:$F$16</c:f>
              <c:numCache>
                <c:formatCode>General</c:formatCode>
                <c:ptCount val="5"/>
                <c:pt idx="0">
                  <c:v>444673.41210260196</c:v>
                </c:pt>
                <c:pt idx="1">
                  <c:v>678990.40006332751</c:v>
                </c:pt>
                <c:pt idx="2">
                  <c:v>1041570.9601076407</c:v>
                </c:pt>
                <c:pt idx="3">
                  <c:v>1196468.6965085703</c:v>
                </c:pt>
                <c:pt idx="4">
                  <c:v>1540863.8476522544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A44-4B4B-B82E-ADC3DA445C4E}"/>
            </c:ext>
          </c:extLst>
        </c:ser>
        <c:ser>
          <c:idx val="5"/>
          <c:order val="5"/>
          <c:tx>
            <c:strRef>
              <c:f>'Figures and Tables'!$H$11</c:f>
              <c:strCache>
                <c:ptCount val="1"/>
                <c:pt idx="0">
                  <c:v>Ancillary</c:v>
                </c:pt>
              </c:strCache>
            </c:strRef>
          </c:tx>
          <c:spPr>
            <a:solidFill>
              <a:schemeClr val="tx1"/>
            </a:solidFill>
            <a:ln>
              <a:solidFill>
                <a:schemeClr val="tx1"/>
              </a:solidFill>
            </a:ln>
            <a:effectLst/>
          </c:spPr>
          <c:invertIfNegative val="0"/>
          <c:cat>
            <c:numRef>
              <c:f>'Figures and Tables'!$B$12:$B$16</c:f>
              <c:numCache>
                <c:formatCode>General</c:formatCode>
                <c:ptCount val="5"/>
                <c:pt idx="0">
                  <c:v>2</c:v>
                </c:pt>
                <c:pt idx="1">
                  <c:v>4</c:v>
                </c:pt>
                <c:pt idx="2">
                  <c:v>8</c:v>
                </c:pt>
                <c:pt idx="3">
                  <c:v>10</c:v>
                </c:pt>
                <c:pt idx="4">
                  <c:v>15</c:v>
                </c:pt>
              </c:numCache>
            </c:numRef>
          </c:cat>
          <c:val>
            <c:numRef>
              <c:f>'Figures and Tables'!$H$12:$H$16</c:f>
              <c:numCache>
                <c:formatCode>General</c:formatCode>
                <c:ptCount val="5"/>
                <c:pt idx="0">
                  <c:v>524621.57048593799</c:v>
                </c:pt>
                <c:pt idx="1">
                  <c:v>845243.01346096152</c:v>
                </c:pt>
                <c:pt idx="2">
                  <c:v>1375411.5759162442</c:v>
                </c:pt>
                <c:pt idx="3">
                  <c:v>1624677.2158403802</c:v>
                </c:pt>
                <c:pt idx="4">
                  <c:v>2160164.9072052795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A44-4B4B-B82E-ADC3DA445C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50112559"/>
        <c:axId val="1119580287"/>
      </c:barChart>
      <c:catAx>
        <c:axId val="85011255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="1">
                    <a:solidFill>
                      <a:schemeClr val="tx1"/>
                    </a:solidFill>
                  </a:rPr>
                  <a:t>Scale (Mg/batch)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9580287"/>
        <c:crosses val="autoZero"/>
        <c:auto val="1"/>
        <c:lblAlgn val="ctr"/>
        <c:lblOffset val="100"/>
        <c:noMultiLvlLbl val="0"/>
      </c:catAx>
      <c:valAx>
        <c:axId val="1119580287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="1">
                    <a:solidFill>
                      <a:schemeClr val="tx1"/>
                    </a:solidFill>
                  </a:rPr>
                  <a:t>Cost ($)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5011255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2368621801692667"/>
          <c:y val="4.9121701892526591E-2"/>
          <c:w val="0.59143538450625066"/>
          <c:h val="0.23508882442326284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4"/>
          <c:order val="0"/>
          <c:tx>
            <c:strRef>
              <c:f>'Figures and Tables'!$T$2</c:f>
              <c:strCache>
                <c:ptCount val="1"/>
                <c:pt idx="0">
                  <c:v>15 Mg/batch</c:v>
                </c:pt>
              </c:strCache>
            </c:strRef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6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'Figures and Tables'!$O$3:$O$22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'Figures and Tables'!$T$3:$T$22</c:f>
              <c:numCache>
                <c:formatCode>General</c:formatCode>
                <c:ptCount val="20"/>
                <c:pt idx="0">
                  <c:v>-10.397666802310782</c:v>
                </c:pt>
                <c:pt idx="1">
                  <c:v>-24.205694265222558</c:v>
                </c:pt>
                <c:pt idx="2">
                  <c:v>-19.522802535284221</c:v>
                </c:pt>
                <c:pt idx="3">
                  <c:v>-13.923825984010096</c:v>
                </c:pt>
                <c:pt idx="4">
                  <c:v>-8.8338473010336163</c:v>
                </c:pt>
                <c:pt idx="5">
                  <c:v>-4.2065939528731819</c:v>
                </c:pt>
                <c:pt idx="6">
                  <c:v>-6.0535967350006098E-14</c:v>
                </c:pt>
                <c:pt idx="7">
                  <c:v>3.8241763207936863</c:v>
                </c:pt>
                <c:pt idx="8">
                  <c:v>7.3007002487880008</c:v>
                </c:pt>
                <c:pt idx="9">
                  <c:v>10.461176546964651</c:v>
                </c:pt>
                <c:pt idx="10">
                  <c:v>13.334336818034332</c:v>
                </c:pt>
                <c:pt idx="11">
                  <c:v>15.946300700824951</c:v>
                </c:pt>
                <c:pt idx="12">
                  <c:v>18.053656166572349</c:v>
                </c:pt>
                <c:pt idx="13">
                  <c:v>19.969433862706346</c:v>
                </c:pt>
                <c:pt idx="14">
                  <c:v>21.711049950100886</c:v>
                </c:pt>
                <c:pt idx="15">
                  <c:v>23.294337302277743</c:v>
                </c:pt>
                <c:pt idx="16">
                  <c:v>24.733689440620342</c:v>
                </c:pt>
                <c:pt idx="17">
                  <c:v>26.042191384568156</c:v>
                </c:pt>
                <c:pt idx="18">
                  <c:v>27.231738606338897</c:v>
                </c:pt>
                <c:pt idx="19">
                  <c:v>28.313145171585024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64B-4AA6-9498-6B7A3F4A6AF0}"/>
            </c:ext>
          </c:extLst>
        </c:ser>
        <c:ser>
          <c:idx val="3"/>
          <c:order val="1"/>
          <c:tx>
            <c:strRef>
              <c:f>'Figures and Tables'!$S$2</c:f>
              <c:strCache>
                <c:ptCount val="1"/>
                <c:pt idx="0">
                  <c:v>10 Mg/batch</c:v>
                </c:pt>
              </c:strCache>
            </c:strRef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triangle"/>
            <c:size val="6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'Figures and Tables'!$O$3:$O$22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'Figures and Tables'!$S$3:$S$22</c:f>
              <c:numCache>
                <c:formatCode>General</c:formatCode>
                <c:ptCount val="20"/>
                <c:pt idx="0">
                  <c:v>-7.4446875251310196</c:v>
                </c:pt>
                <c:pt idx="1">
                  <c:v>-17.29513971090589</c:v>
                </c:pt>
                <c:pt idx="2">
                  <c:v>-13.958873653422089</c:v>
                </c:pt>
                <c:pt idx="3">
                  <c:v>-9.9555853895339634</c:v>
                </c:pt>
                <c:pt idx="4">
                  <c:v>-6.3162324223629387</c:v>
                </c:pt>
                <c:pt idx="5">
                  <c:v>-3.0077297249347352</c:v>
                </c:pt>
                <c:pt idx="6">
                  <c:v>-5.5879354476928712E-15</c:v>
                </c:pt>
                <c:pt idx="7">
                  <c:v>2.7342997499406581</c:v>
                </c:pt>
                <c:pt idx="8">
                  <c:v>5.2200267953412611</c:v>
                </c:pt>
                <c:pt idx="9">
                  <c:v>7.4797786547963545</c:v>
                </c:pt>
                <c:pt idx="10">
                  <c:v>9.5340985270282577</c:v>
                </c:pt>
                <c:pt idx="11">
                  <c:v>11.401662047239078</c:v>
                </c:pt>
                <c:pt idx="12">
                  <c:v>12.910374173822138</c:v>
                </c:pt>
                <c:pt idx="13">
                  <c:v>14.28193065253401</c:v>
                </c:pt>
                <c:pt idx="14">
                  <c:v>15.528800178635713</c:v>
                </c:pt>
                <c:pt idx="15">
                  <c:v>16.662317929637261</c:v>
                </c:pt>
                <c:pt idx="16">
                  <c:v>17.692788612365938</c:v>
                </c:pt>
                <c:pt idx="17">
                  <c:v>18.629580142119284</c:v>
                </c:pt>
                <c:pt idx="18">
                  <c:v>19.481208805531416</c:v>
                </c:pt>
                <c:pt idx="19">
                  <c:v>20.255416681360625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64B-4AA6-9498-6B7A3F4A6AF0}"/>
            </c:ext>
          </c:extLst>
        </c:ser>
        <c:ser>
          <c:idx val="2"/>
          <c:order val="2"/>
          <c:tx>
            <c:strRef>
              <c:f>'Figures and Tables'!$R$2</c:f>
              <c:strCache>
                <c:ptCount val="1"/>
                <c:pt idx="0">
                  <c:v>8 Mg/batch</c:v>
                </c:pt>
              </c:strCache>
            </c:strRef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x"/>
            <c:size val="6"/>
            <c:spPr>
              <a:noFill/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'Figures and Tables'!$O$3:$O$22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'Figures and Tables'!$R$3:$R$22</c:f>
              <c:numCache>
                <c:formatCode>General</c:formatCode>
                <c:ptCount val="20"/>
                <c:pt idx="0">
                  <c:v>-6.0923156024566349</c:v>
                </c:pt>
                <c:pt idx="1">
                  <c:v>-14.150093810979918</c:v>
                </c:pt>
                <c:pt idx="2">
                  <c:v>-11.421397386050238</c:v>
                </c:pt>
                <c:pt idx="3">
                  <c:v>-8.1458361016648215</c:v>
                </c:pt>
                <c:pt idx="4">
                  <c:v>-5.1680531158598964</c:v>
                </c:pt>
                <c:pt idx="5">
                  <c:v>-2.4609776742190559</c:v>
                </c:pt>
                <c:pt idx="6">
                  <c:v>-1.1082738637924195E-13</c:v>
                </c:pt>
                <c:pt idx="7">
                  <c:v>2.2372524311080211</c:v>
                </c:pt>
                <c:pt idx="8">
                  <c:v>4.2711182775699585</c:v>
                </c:pt>
                <c:pt idx="9">
                  <c:v>6.1200872288989938</c:v>
                </c:pt>
                <c:pt idx="10">
                  <c:v>7.8009680937435704</c:v>
                </c:pt>
                <c:pt idx="11">
                  <c:v>9.32904160723864</c:v>
                </c:pt>
                <c:pt idx="12">
                  <c:v>10.563673891201903</c:v>
                </c:pt>
                <c:pt idx="13">
                  <c:v>11.686066876623052</c:v>
                </c:pt>
                <c:pt idx="14">
                  <c:v>12.706424136096823</c:v>
                </c:pt>
                <c:pt idx="15">
                  <c:v>13.634021644709341</c:v>
                </c:pt>
                <c:pt idx="16">
                  <c:v>14.477292107084358</c:v>
                </c:pt>
                <c:pt idx="17">
                  <c:v>15.243901618334373</c:v>
                </c:pt>
                <c:pt idx="18">
                  <c:v>15.940819355834387</c:v>
                </c:pt>
                <c:pt idx="19">
                  <c:v>16.574380935379857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64B-4AA6-9498-6B7A3F4A6AF0}"/>
            </c:ext>
          </c:extLst>
        </c:ser>
        <c:ser>
          <c:idx val="1"/>
          <c:order val="3"/>
          <c:tx>
            <c:strRef>
              <c:f>'Figures and Tables'!$Q$2</c:f>
              <c:strCache>
                <c:ptCount val="1"/>
                <c:pt idx="0">
                  <c:v>4 Mg/batch</c:v>
                </c:pt>
              </c:strCache>
            </c:strRef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bg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'Figures and Tables'!$O$3:$O$22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'Figures and Tables'!$Q$3:$Q$22</c:f>
              <c:numCache>
                <c:formatCode>General</c:formatCode>
                <c:ptCount val="20"/>
                <c:pt idx="0">
                  <c:v>-3.7296383587682054</c:v>
                </c:pt>
                <c:pt idx="1">
                  <c:v>-8.6282542401095963</c:v>
                </c:pt>
                <c:pt idx="2">
                  <c:v>-6.9736210251531174</c:v>
                </c:pt>
                <c:pt idx="3">
                  <c:v>-4.9736455667771127</c:v>
                </c:pt>
                <c:pt idx="4">
                  <c:v>-3.1554860591625635</c:v>
                </c:pt>
                <c:pt idx="5">
                  <c:v>-1.5026137795129737</c:v>
                </c:pt>
                <c:pt idx="6">
                  <c:v>-2.616195164853707E-6</c:v>
                </c:pt>
                <c:pt idx="7">
                  <c:v>1.3660075322755705</c:v>
                </c:pt>
                <c:pt idx="8">
                  <c:v>2.6078349399762391</c:v>
                </c:pt>
                <c:pt idx="9">
                  <c:v>3.7367689469768468</c:v>
                </c:pt>
                <c:pt idx="10">
                  <c:v>4.763072589704672</c:v>
                </c:pt>
                <c:pt idx="11">
                  <c:v>5.6960759012754218</c:v>
                </c:pt>
                <c:pt idx="12">
                  <c:v>6.4517632090745494</c:v>
                </c:pt>
                <c:pt idx="13">
                  <c:v>7.1387516707101195</c:v>
                </c:pt>
                <c:pt idx="14">
                  <c:v>7.7632866358333645</c:v>
                </c:pt>
                <c:pt idx="15">
                  <c:v>8.3310456950363161</c:v>
                </c:pt>
                <c:pt idx="16">
                  <c:v>8.8471902943117247</c:v>
                </c:pt>
                <c:pt idx="17">
                  <c:v>9.3164126572893693</c:v>
                </c:pt>
                <c:pt idx="18">
                  <c:v>9.7429784418145005</c:v>
                </c:pt>
                <c:pt idx="19">
                  <c:v>10.130765518655529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64B-4AA6-9498-6B7A3F4A6AF0}"/>
            </c:ext>
          </c:extLst>
        </c:ser>
        <c:ser>
          <c:idx val="0"/>
          <c:order val="4"/>
          <c:tx>
            <c:strRef>
              <c:f>'Figures and Tables'!$P$2</c:f>
              <c:strCache>
                <c:ptCount val="1"/>
                <c:pt idx="0">
                  <c:v>2 Mg/batch</c:v>
                </c:pt>
              </c:strCache>
            </c:strRef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6"/>
            <c:spPr>
              <a:solidFill>
                <a:schemeClr val="bg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'Figures and Tables'!$O$3:$O$22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'Figures and Tables'!$P$3:$P$22</c:f>
              <c:numCache>
                <c:formatCode>General</c:formatCode>
                <c:ptCount val="20"/>
                <c:pt idx="0">
                  <c:v>-2.3634866281156857</c:v>
                </c:pt>
                <c:pt idx="1">
                  <c:v>-5.4143141376210773</c:v>
                </c:pt>
                <c:pt idx="2">
                  <c:v>-4.3904801526628958</c:v>
                </c:pt>
                <c:pt idx="3">
                  <c:v>-3.1313271504663183</c:v>
                </c:pt>
                <c:pt idx="4">
                  <c:v>-1.9866426030148847</c:v>
                </c:pt>
                <c:pt idx="5">
                  <c:v>-0.94602028714994524</c:v>
                </c:pt>
                <c:pt idx="6">
                  <c:v>0</c:v>
                </c:pt>
                <c:pt idx="7">
                  <c:v>0.86001844286358631</c:v>
                </c:pt>
                <c:pt idx="8">
                  <c:v>1.6418533909213919</c:v>
                </c:pt>
                <c:pt idx="9">
                  <c:v>2.3526124346103061</c:v>
                </c:pt>
                <c:pt idx="10">
                  <c:v>2.9987570197820461</c:v>
                </c:pt>
                <c:pt idx="11">
                  <c:v>3.5861611881199917</c:v>
                </c:pt>
                <c:pt idx="12">
                  <c:v>4.0648270456577844</c:v>
                </c:pt>
                <c:pt idx="13">
                  <c:v>4.499977825237595</c:v>
                </c:pt>
                <c:pt idx="14">
                  <c:v>4.8955694430374246</c:v>
                </c:pt>
                <c:pt idx="15">
                  <c:v>5.2551981864918131</c:v>
                </c:pt>
                <c:pt idx="16">
                  <c:v>5.5821334078139859</c:v>
                </c:pt>
                <c:pt idx="17">
                  <c:v>5.8793472453795967</c:v>
                </c:pt>
                <c:pt idx="18">
                  <c:v>6.1495416431665157</c:v>
                </c:pt>
                <c:pt idx="19">
                  <c:v>6.3951729138818969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64B-4AA6-9498-6B7A3F4A6A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5446559"/>
        <c:axId val="1157760351"/>
      </c:scatterChart>
      <c:valAx>
        <c:axId val="52544655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="1">
                    <a:solidFill>
                      <a:schemeClr val="tx1"/>
                    </a:solidFill>
                  </a:rPr>
                  <a:t>Time (years)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7760351"/>
        <c:crosses val="autoZero"/>
        <c:crossBetween val="midCat"/>
      </c:valAx>
      <c:valAx>
        <c:axId val="1157760351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="1">
                    <a:solidFill>
                      <a:schemeClr val="tx1"/>
                    </a:solidFill>
                  </a:rPr>
                  <a:t>Present</a:t>
                </a:r>
                <a:r>
                  <a:rPr lang="en-US" b="1" baseline="0">
                    <a:solidFill>
                      <a:schemeClr val="tx1"/>
                    </a:solidFill>
                  </a:rPr>
                  <a:t> Value (million $USD)</a:t>
                </a:r>
                <a:endParaRPr lang="en-US" b="1">
                  <a:solidFill>
                    <a:schemeClr val="tx1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544655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4311661981709489"/>
          <c:y val="8.18702399042225E-2"/>
          <c:w val="0.46000979877515308"/>
          <c:h val="0.2116970115577658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4331043014527642"/>
          <c:y val="4.6457607433217189E-2"/>
          <c:w val="0.70668956985472353"/>
          <c:h val="0.74725525163013162"/>
        </c:manualLayout>
      </c:layout>
      <c:barChart>
        <c:barDir val="bar"/>
        <c:grouping val="stacked"/>
        <c:varyColors val="0"/>
        <c:ser>
          <c:idx val="2"/>
          <c:order val="0"/>
          <c:tx>
            <c:strRef>
              <c:f>'Figures and Tables'!$AP$26</c:f>
              <c:strCache>
                <c:ptCount val="1"/>
                <c:pt idx="0">
                  <c:v>Optimistic</c:v>
                </c:pt>
              </c:strCache>
            </c:strRef>
          </c:tx>
          <c:spPr>
            <a:solidFill>
              <a:schemeClr val="bg2">
                <a:lumMod val="90000"/>
              </a:schemeClr>
            </a:solidFill>
            <a:ln>
              <a:solidFill>
                <a:schemeClr val="tx1"/>
              </a:solidFill>
            </a:ln>
            <a:effectLst/>
          </c:spPr>
          <c:invertIfNegative val="0"/>
          <c:dLbls>
            <c:dLbl>
              <c:idx val="0"/>
              <c:layout>
                <c:manualLayout>
                  <c:x val="-3.6096071081493819E-2"/>
                  <c:y val="3.6479109334560148E-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AF13-458C-8278-80524C051331}"/>
                </c:ext>
              </c:extLst>
            </c:dLbl>
            <c:dLbl>
              <c:idx val="1"/>
              <c:layout>
                <c:manualLayout>
                  <c:x val="-4.1649312786339023E-2"/>
                  <c:y val="3.6479109326066695E-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AF13-458C-8278-80524C051331}"/>
                </c:ext>
              </c:extLst>
            </c:dLbl>
            <c:dLbl>
              <c:idx val="2"/>
              <c:layout>
                <c:manualLayout>
                  <c:x val="-4.1649312786339127E-2"/>
                  <c:y val="3.6479109334560148E-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AF13-458C-8278-80524C051331}"/>
                </c:ext>
              </c:extLst>
            </c:dLbl>
            <c:dLbl>
              <c:idx val="3"/>
              <c:layout>
                <c:manualLayout>
                  <c:x val="-5.5777830717020291E-2"/>
                  <c:y val="7.3161586509003449E-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AF13-458C-8278-80524C051331}"/>
                </c:ext>
              </c:extLst>
            </c:dLbl>
            <c:dLbl>
              <c:idx val="4"/>
              <c:layout>
                <c:manualLayout>
                  <c:x val="-0.14360278014611236"/>
                  <c:y val="1.0974237976350516E-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AF13-458C-8278-80524C051331}"/>
                </c:ext>
              </c:extLst>
            </c:dLbl>
            <c:dLbl>
              <c:idx val="5"/>
              <c:layout>
                <c:manualLayout>
                  <c:x val="-0.13303408729959709"/>
                  <c:y val="2.3106258059206225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/>
                      </a:solidFill>
                      <a:latin typeface="Times New Roman" panose="02020603050405020304" pitchFamily="18" charset="0"/>
                      <a:ea typeface="+mn-ea"/>
                      <a:cs typeface="Times New Roman" panose="02020603050405020304" pitchFamily="18" charset="0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8.7954744634530346E-2"/>
                      <c:h val="6.0325300676613715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F-AF13-458C-8278-80524C051331}"/>
                </c:ext>
              </c:extLst>
            </c:dLbl>
            <c:dLbl>
              <c:idx val="6"/>
              <c:layout>
                <c:manualLayout>
                  <c:x val="-0.13768138656234849"/>
                  <c:y val="7.3161586509003449E-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AF13-458C-8278-80524C05133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'Figures and Tables'!$AM$27:$AM$33</c:f>
              <c:strCache>
                <c:ptCount val="7"/>
                <c:pt idx="0">
                  <c:v>AP cost </c:v>
                </c:pt>
                <c:pt idx="1">
                  <c:v>Prairie biomass cost </c:v>
                </c:pt>
                <c:pt idx="2">
                  <c:v>Inoculum cost</c:v>
                </c:pt>
                <c:pt idx="3">
                  <c:v>Operating cost </c:v>
                </c:pt>
                <c:pt idx="4">
                  <c:v>Capital Cost</c:v>
                </c:pt>
                <c:pt idx="5">
                  <c:v>Laccase activity loss</c:v>
                </c:pt>
                <c:pt idx="6">
                  <c:v># Batches per year</c:v>
                </c:pt>
              </c:strCache>
            </c:strRef>
          </c:cat>
          <c:val>
            <c:numRef>
              <c:f>'Figures and Tables'!$AP$27:$AP$33</c:f>
              <c:numCache>
                <c:formatCode>0.0%</c:formatCode>
                <c:ptCount val="7"/>
                <c:pt idx="0">
                  <c:v>-1.9685039370077938E-3</c:v>
                </c:pt>
                <c:pt idx="1">
                  <c:v>-1.9685039370077938E-3</c:v>
                </c:pt>
                <c:pt idx="2">
                  <c:v>-8.4645669291338547E-3</c:v>
                </c:pt>
                <c:pt idx="3">
                  <c:v>-4.3307086614173242E-2</c:v>
                </c:pt>
                <c:pt idx="4">
                  <c:v>-0.20590551181102357</c:v>
                </c:pt>
                <c:pt idx="5">
                  <c:v>-0.1673228346456693</c:v>
                </c:pt>
                <c:pt idx="6">
                  <c:v>-0.18799212598425188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F13-458C-8278-80524C051331}"/>
            </c:ext>
          </c:extLst>
        </c:ser>
        <c:ser>
          <c:idx val="0"/>
          <c:order val="1"/>
          <c:tx>
            <c:strRef>
              <c:f>'Figures and Tables'!$AN$26</c:f>
              <c:strCache>
                <c:ptCount val="1"/>
                <c:pt idx="0">
                  <c:v>Pessimistic</c:v>
                </c:pt>
              </c:strCache>
            </c:strRef>
          </c:tx>
          <c:spPr>
            <a:solidFill>
              <a:schemeClr val="tx1"/>
            </a:solidFill>
            <a:ln>
              <a:solidFill>
                <a:schemeClr val="tx1"/>
              </a:solidFill>
            </a:ln>
            <a:effectLst/>
          </c:spPr>
          <c:invertIfNegative val="0"/>
          <c:dLbls>
            <c:dLbl>
              <c:idx val="0"/>
              <c:layout>
                <c:manualLayout>
                  <c:x val="3.0542829376648518E-2"/>
                  <c:y val="-8.4934545043079868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AF13-458C-8278-80524C051331}"/>
                </c:ext>
              </c:extLst>
            </c:dLbl>
            <c:dLbl>
              <c:idx val="1"/>
              <c:layout>
                <c:manualLayout>
                  <c:x val="3.3319450229071117E-2"/>
                  <c:y val="-8.4934545043079868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AF13-458C-8278-80524C051331}"/>
                </c:ext>
              </c:extLst>
            </c:dLbl>
            <c:dLbl>
              <c:idx val="2"/>
              <c:layout>
                <c:manualLayout>
                  <c:x val="3.8872691933916424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AF13-458C-8278-80524C051331}"/>
                </c:ext>
              </c:extLst>
            </c:dLbl>
            <c:dLbl>
              <c:idx val="3"/>
              <c:layout>
                <c:manualLayout>
                  <c:x val="5.8309037900874633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AF13-458C-8278-80524C051331}"/>
                </c:ext>
              </c:extLst>
            </c:dLbl>
            <c:dLbl>
              <c:idx val="4"/>
              <c:layout>
                <c:manualLayout>
                  <c:x val="0.1402579952187504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AF13-458C-8278-80524C051331}"/>
                </c:ext>
              </c:extLst>
            </c:dLbl>
            <c:dLbl>
              <c:idx val="5"/>
              <c:layout>
                <c:manualLayout>
                  <c:x val="0.16394336058311162"/>
                  <c:y val="-2.1292824097036922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AF13-458C-8278-80524C051331}"/>
                </c:ext>
              </c:extLst>
            </c:dLbl>
            <c:dLbl>
              <c:idx val="6"/>
              <c:layout>
                <c:manualLayout>
                  <c:x val="0.19643600481468479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F13-458C-8278-80524C05133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'Figures and Tables'!$AM$27:$AM$33</c:f>
              <c:strCache>
                <c:ptCount val="7"/>
                <c:pt idx="0">
                  <c:v>AP cost </c:v>
                </c:pt>
                <c:pt idx="1">
                  <c:v>Prairie biomass cost </c:v>
                </c:pt>
                <c:pt idx="2">
                  <c:v>Inoculum cost</c:v>
                </c:pt>
                <c:pt idx="3">
                  <c:v>Operating cost </c:v>
                </c:pt>
                <c:pt idx="4">
                  <c:v>Capital Cost</c:v>
                </c:pt>
                <c:pt idx="5">
                  <c:v>Laccase activity loss</c:v>
                </c:pt>
                <c:pt idx="6">
                  <c:v># Batches per year</c:v>
                </c:pt>
              </c:strCache>
            </c:strRef>
          </c:cat>
          <c:val>
            <c:numRef>
              <c:f>'Figures and Tables'!$AN$27:$AN$33</c:f>
              <c:numCache>
                <c:formatCode>0.0%</c:formatCode>
                <c:ptCount val="7"/>
                <c:pt idx="0">
                  <c:v>1.9685039370079304E-3</c:v>
                </c:pt>
                <c:pt idx="1">
                  <c:v>1.9685039370079304E-3</c:v>
                </c:pt>
                <c:pt idx="2">
                  <c:v>7.8740157480315862E-3</c:v>
                </c:pt>
                <c:pt idx="3">
                  <c:v>5.3149606299212622E-2</c:v>
                </c:pt>
                <c:pt idx="4">
                  <c:v>0.20590551181102371</c:v>
                </c:pt>
                <c:pt idx="5">
                  <c:v>0.25000000000000006</c:v>
                </c:pt>
                <c:pt idx="6">
                  <c:v>0.31358267716535432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F13-458C-8278-80524C051331}"/>
            </c:ext>
          </c:extLst>
        </c:ser>
        <c:ser>
          <c:idx val="1"/>
          <c:order val="2"/>
          <c:tx>
            <c:strRef>
              <c:f>'Figures and Tables'!$AO$26</c:f>
              <c:strCache>
                <c:ptCount val="1"/>
                <c:pt idx="0">
                  <c:v>Base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'Figures and Tables'!$AM$27:$AM$33</c:f>
              <c:strCache>
                <c:ptCount val="7"/>
                <c:pt idx="0">
                  <c:v>AP cost </c:v>
                </c:pt>
                <c:pt idx="1">
                  <c:v>Prairie biomass cost </c:v>
                </c:pt>
                <c:pt idx="2">
                  <c:v>Inoculum cost</c:v>
                </c:pt>
                <c:pt idx="3">
                  <c:v>Operating cost </c:v>
                </c:pt>
                <c:pt idx="4">
                  <c:v>Capital Cost</c:v>
                </c:pt>
                <c:pt idx="5">
                  <c:v>Laccase activity loss</c:v>
                </c:pt>
                <c:pt idx="6">
                  <c:v># Batches per year</c:v>
                </c:pt>
              </c:strCache>
            </c:strRef>
          </c:cat>
          <c:val>
            <c:numRef>
              <c:f>'Figures and Tables'!$AO$27:$AO$32</c:f>
              <c:numCache>
                <c:formatCode>0.0%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F13-458C-8278-80524C0513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51266015"/>
        <c:axId val="971955919"/>
      </c:barChart>
      <c:catAx>
        <c:axId val="851266015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1" i="0" u="none" strike="noStrike" kern="1200" baseline="0">
                <a:solidFill>
                  <a:schemeClr val="tx1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en-US"/>
          </a:p>
        </c:txPr>
        <c:crossAx val="971955919"/>
        <c:crosses val="autoZero"/>
        <c:auto val="1"/>
        <c:lblAlgn val="ctr"/>
        <c:lblOffset val="100"/>
        <c:noMultiLvlLbl val="0"/>
      </c:catAx>
      <c:valAx>
        <c:axId val="97195591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sz="1100" b="1">
                    <a:solidFill>
                      <a:schemeClr val="tx1"/>
                    </a:solidFill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Change in MLSP</a:t>
                </a:r>
              </a:p>
            </c:rich>
          </c:tx>
          <c:layout>
            <c:manualLayout>
              <c:xMode val="edge"/>
              <c:yMode val="edge"/>
              <c:x val="0.46303558073629242"/>
              <c:y val="0.8865531400711649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chemeClr val="tx1"/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en-US"/>
            </a:p>
          </c:txPr>
        </c:title>
        <c:numFmt formatCode="0%" sourceLinked="0"/>
        <c:majorTickMark val="none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en-US"/>
          </a:p>
        </c:txPr>
        <c:crossAx val="8512660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0.6568145343297056"/>
          <c:y val="0.66280263747519363"/>
          <c:w val="0.28884432380508501"/>
          <c:h val="0.11059359930495473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'Experimental Data'!$Z$309</c:f>
              <c:strCache>
                <c:ptCount val="1"/>
                <c:pt idx="0">
                  <c:v>Lac</c:v>
                </c:pt>
              </c:strCache>
            </c:strRef>
          </c:tx>
          <c:spPr>
            <a:ln w="19050" cap="rnd">
              <a:solidFill>
                <a:schemeClr val="tx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'Experimental Data'!$Y$310:$Y$320</c:f>
              <c:numCache>
                <c:formatCode>General</c:formatCode>
                <c:ptCount val="11"/>
                <c:pt idx="0">
                  <c:v>0</c:v>
                </c:pt>
                <c:pt idx="1">
                  <c:v>17.5</c:v>
                </c:pt>
                <c:pt idx="2">
                  <c:v>41.5</c:v>
                </c:pt>
                <c:pt idx="3">
                  <c:v>66</c:v>
                </c:pt>
                <c:pt idx="4">
                  <c:v>90</c:v>
                </c:pt>
                <c:pt idx="5">
                  <c:v>113.5</c:v>
                </c:pt>
                <c:pt idx="6">
                  <c:v>195.5</c:v>
                </c:pt>
                <c:pt idx="7">
                  <c:v>219.5</c:v>
                </c:pt>
                <c:pt idx="8">
                  <c:v>258</c:v>
                </c:pt>
                <c:pt idx="9">
                  <c:v>330.5</c:v>
                </c:pt>
                <c:pt idx="10">
                  <c:v>380</c:v>
                </c:pt>
              </c:numCache>
            </c:numRef>
          </c:xVal>
          <c:yVal>
            <c:numRef>
              <c:f>'Experimental Data'!$Z$310:$Z$320</c:f>
              <c:numCache>
                <c:formatCode>General</c:formatCode>
                <c:ptCount val="11"/>
                <c:pt idx="0">
                  <c:v>5</c:v>
                </c:pt>
                <c:pt idx="1">
                  <c:v>17.062896825396827</c:v>
                </c:pt>
                <c:pt idx="2">
                  <c:v>38.588888888888881</c:v>
                </c:pt>
                <c:pt idx="3">
                  <c:v>159.06507936507938</c:v>
                </c:pt>
                <c:pt idx="4">
                  <c:v>312.43492063492067</c:v>
                </c:pt>
                <c:pt idx="5">
                  <c:v>293.14732142857144</c:v>
                </c:pt>
                <c:pt idx="6">
                  <c:v>704.96825396825386</c:v>
                </c:pt>
                <c:pt idx="7">
                  <c:v>668.73412698412699</c:v>
                </c:pt>
                <c:pt idx="8">
                  <c:v>891.43253968253953</c:v>
                </c:pt>
                <c:pt idx="9">
                  <c:v>730.70634920634916</c:v>
                </c:pt>
                <c:pt idx="10">
                  <c:v>375.30158730158729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BAA-433F-BD91-27A67F8541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38104463"/>
        <c:axId val="1635880655"/>
      </c:scatterChart>
      <c:valAx>
        <c:axId val="183810446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35880655"/>
        <c:crosses val="autoZero"/>
        <c:crossBetween val="midCat"/>
      </c:valAx>
      <c:valAx>
        <c:axId val="16358806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810446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'Experimental Data'!$AB$273</c:f>
              <c:strCache>
                <c:ptCount val="1"/>
                <c:pt idx="0">
                  <c:v>Lac</c:v>
                </c:pt>
              </c:strCache>
            </c:strRef>
          </c:tx>
          <c:spPr>
            <a:ln w="19050" cap="rnd">
              <a:solidFill>
                <a:schemeClr val="tx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'Experimental Data'!$AA$274:$AA$285</c:f>
              <c:numCache>
                <c:formatCode>General</c:formatCode>
                <c:ptCount val="12"/>
                <c:pt idx="0">
                  <c:v>0</c:v>
                </c:pt>
                <c:pt idx="1">
                  <c:v>22</c:v>
                </c:pt>
                <c:pt idx="2">
                  <c:v>44</c:v>
                </c:pt>
                <c:pt idx="3">
                  <c:v>68</c:v>
                </c:pt>
                <c:pt idx="4">
                  <c:v>92.5</c:v>
                </c:pt>
                <c:pt idx="5">
                  <c:v>116.5</c:v>
                </c:pt>
                <c:pt idx="6">
                  <c:v>140</c:v>
                </c:pt>
                <c:pt idx="7">
                  <c:v>222</c:v>
                </c:pt>
                <c:pt idx="8">
                  <c:v>246</c:v>
                </c:pt>
                <c:pt idx="9">
                  <c:v>284.5</c:v>
                </c:pt>
                <c:pt idx="10">
                  <c:v>357</c:v>
                </c:pt>
                <c:pt idx="11">
                  <c:v>406.5</c:v>
                </c:pt>
              </c:numCache>
            </c:numRef>
          </c:xVal>
          <c:yVal>
            <c:numRef>
              <c:f>'Experimental Data'!$AB$274:$AB$285</c:f>
              <c:numCache>
                <c:formatCode>General</c:formatCode>
                <c:ptCount val="12"/>
                <c:pt idx="0">
                  <c:v>5.5679166666666671</c:v>
                </c:pt>
                <c:pt idx="1">
                  <c:v>13.238690476190474</c:v>
                </c:pt>
                <c:pt idx="2">
                  <c:v>24.670238095238098</c:v>
                </c:pt>
                <c:pt idx="3">
                  <c:v>49.00277777777778</c:v>
                </c:pt>
                <c:pt idx="4">
                  <c:v>129.45714285714286</c:v>
                </c:pt>
                <c:pt idx="5">
                  <c:v>214.33809523809529</c:v>
                </c:pt>
                <c:pt idx="6">
                  <c:v>192.92162698412696</c:v>
                </c:pt>
                <c:pt idx="7">
                  <c:v>523.98015873015868</c:v>
                </c:pt>
                <c:pt idx="8">
                  <c:v>570.2539682539682</c:v>
                </c:pt>
                <c:pt idx="9">
                  <c:v>751.60714285714278</c:v>
                </c:pt>
                <c:pt idx="10">
                  <c:v>715.00793650793651</c:v>
                </c:pt>
                <c:pt idx="11">
                  <c:v>449.23015873015873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A01-4BF9-84F3-5C5E078889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38024703"/>
        <c:axId val="1635906943"/>
      </c:scatterChart>
      <c:valAx>
        <c:axId val="163802470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35906943"/>
        <c:crosses val="autoZero"/>
        <c:crossBetween val="midCat"/>
      </c:valAx>
      <c:valAx>
        <c:axId val="16359069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3802470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bg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'Experimental Data'!$AB$237</c:f>
              <c:strCache>
                <c:ptCount val="1"/>
                <c:pt idx="0">
                  <c:v>Lac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og"/>
            <c:dispRSqr val="0"/>
            <c:dispEq val="0"/>
          </c:trendline>
          <c:xVal>
            <c:numRef>
              <c:f>'Experimental Data'!$AA$238:$AA$249</c:f>
              <c:numCache>
                <c:formatCode>General</c:formatCode>
                <c:ptCount val="12"/>
                <c:pt idx="0">
                  <c:v>0</c:v>
                </c:pt>
                <c:pt idx="1">
                  <c:v>22</c:v>
                </c:pt>
                <c:pt idx="2">
                  <c:v>44</c:v>
                </c:pt>
                <c:pt idx="3">
                  <c:v>68</c:v>
                </c:pt>
                <c:pt idx="4">
                  <c:v>92.5</c:v>
                </c:pt>
                <c:pt idx="5">
                  <c:v>116.5</c:v>
                </c:pt>
                <c:pt idx="6">
                  <c:v>140</c:v>
                </c:pt>
                <c:pt idx="7">
                  <c:v>222</c:v>
                </c:pt>
                <c:pt idx="8">
                  <c:v>246</c:v>
                </c:pt>
                <c:pt idx="9">
                  <c:v>284.5</c:v>
                </c:pt>
                <c:pt idx="10">
                  <c:v>357</c:v>
                </c:pt>
                <c:pt idx="11">
                  <c:v>406.5</c:v>
                </c:pt>
              </c:numCache>
            </c:numRef>
          </c:xVal>
          <c:yVal>
            <c:numRef>
              <c:f>'Experimental Data'!$AB$238:$AB$249</c:f>
              <c:numCache>
                <c:formatCode>General</c:formatCode>
                <c:ptCount val="12"/>
                <c:pt idx="0">
                  <c:v>1.6962500000000003</c:v>
                </c:pt>
                <c:pt idx="1">
                  <c:v>16.446825396825396</c:v>
                </c:pt>
                <c:pt idx="2">
                  <c:v>39.583730158730155</c:v>
                </c:pt>
                <c:pt idx="3">
                  <c:v>85.373809523809541</c:v>
                </c:pt>
                <c:pt idx="4">
                  <c:v>214.63015873015874</c:v>
                </c:pt>
                <c:pt idx="5">
                  <c:v>320.5761904761905</c:v>
                </c:pt>
                <c:pt idx="6">
                  <c:v>272.38343253968259</c:v>
                </c:pt>
                <c:pt idx="7">
                  <c:v>614.61111111111097</c:v>
                </c:pt>
                <c:pt idx="8">
                  <c:v>661.06746031746025</c:v>
                </c:pt>
                <c:pt idx="9">
                  <c:v>796.69444444444468</c:v>
                </c:pt>
                <c:pt idx="10">
                  <c:v>624.28571428571422</c:v>
                </c:pt>
                <c:pt idx="11">
                  <c:v>440.83333333333337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685-4B44-8D9C-BDC424CD13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10180799"/>
        <c:axId val="1632528383"/>
      </c:scatterChart>
      <c:valAx>
        <c:axId val="20101807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32528383"/>
        <c:crosses val="autoZero"/>
        <c:crossBetween val="midCat"/>
      </c:valAx>
      <c:valAx>
        <c:axId val="16325283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1018079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'Experimental Data'!$AB$57</c:f>
              <c:strCache>
                <c:ptCount val="1"/>
                <c:pt idx="0">
                  <c:v>Lac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'Experimental Data'!$AA$58:$AA$69</c:f>
              <c:numCache>
                <c:formatCode>General</c:formatCode>
                <c:ptCount val="12"/>
                <c:pt idx="0">
                  <c:v>0</c:v>
                </c:pt>
                <c:pt idx="1">
                  <c:v>22</c:v>
                </c:pt>
                <c:pt idx="2">
                  <c:v>44</c:v>
                </c:pt>
                <c:pt idx="3">
                  <c:v>68</c:v>
                </c:pt>
                <c:pt idx="4">
                  <c:v>92.5</c:v>
                </c:pt>
                <c:pt idx="5">
                  <c:v>116.5</c:v>
                </c:pt>
                <c:pt idx="6">
                  <c:v>140</c:v>
                </c:pt>
                <c:pt idx="7">
                  <c:v>222</c:v>
                </c:pt>
                <c:pt idx="8">
                  <c:v>246</c:v>
                </c:pt>
                <c:pt idx="9">
                  <c:v>284.5</c:v>
                </c:pt>
                <c:pt idx="10">
                  <c:v>357</c:v>
                </c:pt>
                <c:pt idx="11">
                  <c:v>406.5</c:v>
                </c:pt>
              </c:numCache>
            </c:numRef>
          </c:xVal>
          <c:yVal>
            <c:numRef>
              <c:f>'Experimental Data'!$AB$58:$AB$69</c:f>
              <c:numCache>
                <c:formatCode>General</c:formatCode>
                <c:ptCount val="12"/>
                <c:pt idx="0">
                  <c:v>5.5583333333333336</c:v>
                </c:pt>
                <c:pt idx="1">
                  <c:v>14.247222222222225</c:v>
                </c:pt>
                <c:pt idx="2">
                  <c:v>22.472916666666663</c:v>
                </c:pt>
                <c:pt idx="3">
                  <c:v>43.709126984126982</c:v>
                </c:pt>
                <c:pt idx="4">
                  <c:v>127.48571428571424</c:v>
                </c:pt>
                <c:pt idx="5">
                  <c:v>223.0269841269841</c:v>
                </c:pt>
                <c:pt idx="6">
                  <c:v>204.55853174603178</c:v>
                </c:pt>
                <c:pt idx="7">
                  <c:v>533.92857142857144</c:v>
                </c:pt>
                <c:pt idx="8">
                  <c:v>567.71963824289389</c:v>
                </c:pt>
                <c:pt idx="9">
                  <c:v>765.57142857142856</c:v>
                </c:pt>
                <c:pt idx="10">
                  <c:v>811.57142857142856</c:v>
                </c:pt>
                <c:pt idx="11">
                  <c:v>743.66666666666652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F89-4066-84BE-F1EB5F8525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12463663"/>
        <c:axId val="1635931247"/>
      </c:scatterChart>
      <c:valAx>
        <c:axId val="201246366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35931247"/>
        <c:crosses val="autoZero"/>
        <c:crossBetween val="midCat"/>
      </c:valAx>
      <c:valAx>
        <c:axId val="16359312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1246366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'Experimental Data'!$AB$21</c:f>
              <c:strCache>
                <c:ptCount val="1"/>
                <c:pt idx="0">
                  <c:v>Lac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'Experimental Data'!$AA$22:$AA$32</c:f>
              <c:numCache>
                <c:formatCode>General</c:formatCode>
                <c:ptCount val="11"/>
                <c:pt idx="0">
                  <c:v>0</c:v>
                </c:pt>
                <c:pt idx="1">
                  <c:v>22</c:v>
                </c:pt>
                <c:pt idx="2">
                  <c:v>44</c:v>
                </c:pt>
                <c:pt idx="3">
                  <c:v>68</c:v>
                </c:pt>
                <c:pt idx="4">
                  <c:v>92.5</c:v>
                </c:pt>
                <c:pt idx="5">
                  <c:v>116.5</c:v>
                </c:pt>
                <c:pt idx="6">
                  <c:v>140</c:v>
                </c:pt>
                <c:pt idx="7">
                  <c:v>222</c:v>
                </c:pt>
                <c:pt idx="8">
                  <c:v>246</c:v>
                </c:pt>
                <c:pt idx="9">
                  <c:v>284.5</c:v>
                </c:pt>
                <c:pt idx="10">
                  <c:v>357</c:v>
                </c:pt>
              </c:numCache>
            </c:numRef>
          </c:xVal>
          <c:yVal>
            <c:numRef>
              <c:f>'Experimental Data'!$AB$22:$AB$32</c:f>
              <c:numCache>
                <c:formatCode>General</c:formatCode>
                <c:ptCount val="11"/>
                <c:pt idx="0">
                  <c:v>5.0631944444444441</c:v>
                </c:pt>
                <c:pt idx="1">
                  <c:v>14.397817460317462</c:v>
                </c:pt>
                <c:pt idx="2">
                  <c:v>26.039285714285711</c:v>
                </c:pt>
                <c:pt idx="3">
                  <c:v>60.676190476190484</c:v>
                </c:pt>
                <c:pt idx="4">
                  <c:v>150.37619047619046</c:v>
                </c:pt>
                <c:pt idx="5">
                  <c:v>279.35873015873011</c:v>
                </c:pt>
                <c:pt idx="6">
                  <c:v>238.44246031746039</c:v>
                </c:pt>
                <c:pt idx="7">
                  <c:v>656.23015873015868</c:v>
                </c:pt>
                <c:pt idx="8">
                  <c:v>614.89341085271315</c:v>
                </c:pt>
                <c:pt idx="9">
                  <c:v>842.5119047619047</c:v>
                </c:pt>
                <c:pt idx="10">
                  <c:v>793.8650793650794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1C6-4AD3-A740-703539975F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29429375"/>
        <c:axId val="1633174943"/>
      </c:scatterChart>
      <c:valAx>
        <c:axId val="182942937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33174943"/>
        <c:crosses val="autoZero"/>
        <c:crossBetween val="midCat"/>
      </c:valAx>
      <c:valAx>
        <c:axId val="16331749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942937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'Experimental Data'!$Y$293:$Y$302</c:f>
              <c:numCache>
                <c:formatCode>General</c:formatCode>
                <c:ptCount val="10"/>
                <c:pt idx="0">
                  <c:v>11</c:v>
                </c:pt>
                <c:pt idx="1">
                  <c:v>35.5</c:v>
                </c:pt>
                <c:pt idx="2">
                  <c:v>83</c:v>
                </c:pt>
                <c:pt idx="3">
                  <c:v>106.5</c:v>
                </c:pt>
                <c:pt idx="4">
                  <c:v>131</c:v>
                </c:pt>
                <c:pt idx="5">
                  <c:v>164.5</c:v>
                </c:pt>
                <c:pt idx="6">
                  <c:v>188.5</c:v>
                </c:pt>
                <c:pt idx="7">
                  <c:v>227</c:v>
                </c:pt>
                <c:pt idx="8">
                  <c:v>299.5</c:v>
                </c:pt>
                <c:pt idx="9">
                  <c:v>349</c:v>
                </c:pt>
              </c:numCache>
            </c:numRef>
          </c:xVal>
          <c:yVal>
            <c:numRef>
              <c:f>'Experimental Data'!$Z$293:$Z$302</c:f>
              <c:numCache>
                <c:formatCode>General</c:formatCode>
                <c:ptCount val="10"/>
                <c:pt idx="0">
                  <c:v>11.819444444444446</c:v>
                </c:pt>
                <c:pt idx="1">
                  <c:v>37.274603174603172</c:v>
                </c:pt>
                <c:pt idx="2">
                  <c:v>251.13809523809522</c:v>
                </c:pt>
                <c:pt idx="3">
                  <c:v>432.39087301587301</c:v>
                </c:pt>
                <c:pt idx="4">
                  <c:v>579.65476190476181</c:v>
                </c:pt>
                <c:pt idx="5">
                  <c:v>597.54365079365061</c:v>
                </c:pt>
                <c:pt idx="6">
                  <c:v>643.90873015873024</c:v>
                </c:pt>
                <c:pt idx="7">
                  <c:v>641.44444444444446</c:v>
                </c:pt>
                <c:pt idx="8">
                  <c:v>472.96031746031753</c:v>
                </c:pt>
                <c:pt idx="9">
                  <c:v>254.09523809523819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860-41B6-8323-DC940797D1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88400607"/>
        <c:axId val="1898945151"/>
      </c:scatterChart>
      <c:valAx>
        <c:axId val="198840060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98945151"/>
        <c:crosses val="autoZero"/>
        <c:crossBetween val="midCat"/>
      </c:valAx>
      <c:valAx>
        <c:axId val="18989451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8840060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'Experimental Data'!$Y$257:$Y$266</c:f>
              <c:numCache>
                <c:formatCode>General</c:formatCode>
                <c:ptCount val="10"/>
                <c:pt idx="0">
                  <c:v>11</c:v>
                </c:pt>
                <c:pt idx="1">
                  <c:v>35.5</c:v>
                </c:pt>
                <c:pt idx="2">
                  <c:v>83</c:v>
                </c:pt>
                <c:pt idx="3">
                  <c:v>106.5</c:v>
                </c:pt>
                <c:pt idx="4">
                  <c:v>131</c:v>
                </c:pt>
                <c:pt idx="5">
                  <c:v>164.5</c:v>
                </c:pt>
                <c:pt idx="6">
                  <c:v>188.5</c:v>
                </c:pt>
                <c:pt idx="7">
                  <c:v>227</c:v>
                </c:pt>
                <c:pt idx="8">
                  <c:v>299.5</c:v>
                </c:pt>
                <c:pt idx="9">
                  <c:v>349</c:v>
                </c:pt>
              </c:numCache>
            </c:numRef>
          </c:xVal>
          <c:yVal>
            <c:numRef>
              <c:f>'Experimental Data'!$Z$257:$Z$266</c:f>
              <c:numCache>
                <c:formatCode>General</c:formatCode>
                <c:ptCount val="10"/>
                <c:pt idx="0">
                  <c:v>18.016666666666666</c:v>
                </c:pt>
                <c:pt idx="1">
                  <c:v>28.257142857142853</c:v>
                </c:pt>
                <c:pt idx="2">
                  <c:v>183.01428571428573</c:v>
                </c:pt>
                <c:pt idx="3">
                  <c:v>349.60912698412693</c:v>
                </c:pt>
                <c:pt idx="4">
                  <c:v>515.94841269841277</c:v>
                </c:pt>
                <c:pt idx="5">
                  <c:v>619.72222222222217</c:v>
                </c:pt>
                <c:pt idx="6">
                  <c:v>583.85317460317469</c:v>
                </c:pt>
                <c:pt idx="7">
                  <c:v>793.7738095238094</c:v>
                </c:pt>
                <c:pt idx="8">
                  <c:v>721.21428571428578</c:v>
                </c:pt>
                <c:pt idx="9">
                  <c:v>411.80952380952374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684-4B33-95FC-CA939B33F3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88414047"/>
        <c:axId val="1898947135"/>
      </c:scatterChart>
      <c:valAx>
        <c:axId val="198841404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98947135"/>
        <c:crosses val="autoZero"/>
        <c:crossBetween val="midCat"/>
      </c:valAx>
      <c:valAx>
        <c:axId val="18989471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8841404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'Experimental Data'!$AA$221:$AA$231</c:f>
              <c:numCache>
                <c:formatCode>General</c:formatCode>
                <c:ptCount val="11"/>
                <c:pt idx="0">
                  <c:v>17.5</c:v>
                </c:pt>
                <c:pt idx="1">
                  <c:v>41.5</c:v>
                </c:pt>
                <c:pt idx="2">
                  <c:v>66</c:v>
                </c:pt>
                <c:pt idx="3">
                  <c:v>113.5</c:v>
                </c:pt>
                <c:pt idx="4">
                  <c:v>137</c:v>
                </c:pt>
                <c:pt idx="5">
                  <c:v>161.5</c:v>
                </c:pt>
                <c:pt idx="6">
                  <c:v>195</c:v>
                </c:pt>
                <c:pt idx="7">
                  <c:v>219</c:v>
                </c:pt>
                <c:pt idx="8">
                  <c:v>257.5</c:v>
                </c:pt>
                <c:pt idx="9">
                  <c:v>330</c:v>
                </c:pt>
                <c:pt idx="10">
                  <c:v>379.5</c:v>
                </c:pt>
              </c:numCache>
            </c:numRef>
          </c:xVal>
          <c:yVal>
            <c:numRef>
              <c:f>'Experimental Data'!$AB$221:$AB$231</c:f>
              <c:numCache>
                <c:formatCode>General</c:formatCode>
                <c:ptCount val="11"/>
                <c:pt idx="0">
                  <c:v>13.736111111111107</c:v>
                </c:pt>
                <c:pt idx="1">
                  <c:v>30.347222222222221</c:v>
                </c:pt>
                <c:pt idx="2">
                  <c:v>89.992063492063494</c:v>
                </c:pt>
                <c:pt idx="3">
                  <c:v>273.22539682539684</c:v>
                </c:pt>
                <c:pt idx="4">
                  <c:v>368.59325396825398</c:v>
                </c:pt>
                <c:pt idx="5">
                  <c:v>505.36111111111126</c:v>
                </c:pt>
                <c:pt idx="6">
                  <c:v>519.23412698412699</c:v>
                </c:pt>
                <c:pt idx="7">
                  <c:v>464.74603174603163</c:v>
                </c:pt>
                <c:pt idx="8">
                  <c:v>793.7738095238094</c:v>
                </c:pt>
                <c:pt idx="9">
                  <c:v>542.50793650793651</c:v>
                </c:pt>
                <c:pt idx="10">
                  <c:v>315.97619047619042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B4B-4C56-A027-32B6B1DD3C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88389087"/>
        <c:axId val="1908897647"/>
      </c:scatterChart>
      <c:valAx>
        <c:axId val="198838908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08897647"/>
        <c:crosses val="autoZero"/>
        <c:crossBetween val="midCat"/>
      </c:valAx>
      <c:valAx>
        <c:axId val="19088976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8838908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'Experimental Data'!$Y$203:$Y$211</c:f>
              <c:numCache>
                <c:formatCode>General</c:formatCode>
                <c:ptCount val="9"/>
                <c:pt idx="0">
                  <c:v>18</c:v>
                </c:pt>
                <c:pt idx="1">
                  <c:v>65.5</c:v>
                </c:pt>
                <c:pt idx="2">
                  <c:v>89</c:v>
                </c:pt>
                <c:pt idx="3">
                  <c:v>113.5</c:v>
                </c:pt>
                <c:pt idx="4">
                  <c:v>147</c:v>
                </c:pt>
                <c:pt idx="5">
                  <c:v>171</c:v>
                </c:pt>
                <c:pt idx="6">
                  <c:v>209.5</c:v>
                </c:pt>
                <c:pt idx="7">
                  <c:v>282</c:v>
                </c:pt>
                <c:pt idx="8">
                  <c:v>331.5</c:v>
                </c:pt>
              </c:numCache>
            </c:numRef>
          </c:xVal>
          <c:yVal>
            <c:numRef>
              <c:f>'Experimental Data'!$Z$203:$Z$211</c:f>
              <c:numCache>
                <c:formatCode>General</c:formatCode>
                <c:ptCount val="9"/>
                <c:pt idx="0">
                  <c:v>21.430158730158727</c:v>
                </c:pt>
                <c:pt idx="1">
                  <c:v>185.60634920634917</c:v>
                </c:pt>
                <c:pt idx="2">
                  <c:v>391.36507936507945</c:v>
                </c:pt>
                <c:pt idx="3">
                  <c:v>603.93253968253975</c:v>
                </c:pt>
                <c:pt idx="4">
                  <c:v>619.35714285714289</c:v>
                </c:pt>
                <c:pt idx="5">
                  <c:v>633.59523809523819</c:v>
                </c:pt>
                <c:pt idx="6">
                  <c:v>747.31746031746025</c:v>
                </c:pt>
                <c:pt idx="7">
                  <c:v>478.07142857142856</c:v>
                </c:pt>
                <c:pt idx="8">
                  <c:v>238.21428571428569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3CF-416A-B13E-F42CD8C96B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88390527"/>
        <c:axId val="1908896159"/>
      </c:scatterChart>
      <c:valAx>
        <c:axId val="198839052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08896159"/>
        <c:crosses val="autoZero"/>
        <c:crossBetween val="midCat"/>
      </c:valAx>
      <c:valAx>
        <c:axId val="19088961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8839052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'Experimental Data'!$AA$185:$AA$195</c:f>
              <c:numCache>
                <c:formatCode>General</c:formatCode>
                <c:ptCount val="11"/>
                <c:pt idx="0">
                  <c:v>17.5</c:v>
                </c:pt>
                <c:pt idx="1">
                  <c:v>41.5</c:v>
                </c:pt>
                <c:pt idx="2">
                  <c:v>66</c:v>
                </c:pt>
                <c:pt idx="3">
                  <c:v>113.5</c:v>
                </c:pt>
                <c:pt idx="4">
                  <c:v>137</c:v>
                </c:pt>
                <c:pt idx="5">
                  <c:v>161.5</c:v>
                </c:pt>
                <c:pt idx="6">
                  <c:v>195</c:v>
                </c:pt>
                <c:pt idx="7">
                  <c:v>219</c:v>
                </c:pt>
                <c:pt idx="8">
                  <c:v>257.5</c:v>
                </c:pt>
                <c:pt idx="9">
                  <c:v>330</c:v>
                </c:pt>
                <c:pt idx="10">
                  <c:v>379.5</c:v>
                </c:pt>
              </c:numCache>
            </c:numRef>
          </c:xVal>
          <c:yVal>
            <c:numRef>
              <c:f>'Experimental Data'!$AB$185:$AB$195</c:f>
              <c:numCache>
                <c:formatCode>General</c:formatCode>
                <c:ptCount val="11"/>
                <c:pt idx="0">
                  <c:v>20.964682539682542</c:v>
                </c:pt>
                <c:pt idx="1">
                  <c:v>30.12361111111111</c:v>
                </c:pt>
                <c:pt idx="2">
                  <c:v>91.780952380952385</c:v>
                </c:pt>
                <c:pt idx="3">
                  <c:v>245.99047619047613</c:v>
                </c:pt>
                <c:pt idx="4">
                  <c:v>326.47222222222223</c:v>
                </c:pt>
                <c:pt idx="5">
                  <c:v>473.96428571428578</c:v>
                </c:pt>
                <c:pt idx="6">
                  <c:v>487.92857142857144</c:v>
                </c:pt>
                <c:pt idx="7">
                  <c:v>510.92857142857144</c:v>
                </c:pt>
                <c:pt idx="8">
                  <c:v>674.48412698412699</c:v>
                </c:pt>
                <c:pt idx="9">
                  <c:v>670.10317460317458</c:v>
                </c:pt>
                <c:pt idx="10">
                  <c:v>355.58730158730162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A65-4687-8209-BCF4705061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34165583"/>
        <c:axId val="1730453791"/>
      </c:scatterChart>
      <c:valAx>
        <c:axId val="173416558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30453791"/>
        <c:crosses val="autoZero"/>
        <c:crossBetween val="midCat"/>
      </c:valAx>
      <c:valAx>
        <c:axId val="17304537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3416558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'Experimental Data'!$AA$167:$AA$177</c:f>
              <c:numCache>
                <c:formatCode>General</c:formatCode>
                <c:ptCount val="11"/>
                <c:pt idx="0">
                  <c:v>17.5</c:v>
                </c:pt>
                <c:pt idx="1">
                  <c:v>41.5</c:v>
                </c:pt>
                <c:pt idx="2">
                  <c:v>66</c:v>
                </c:pt>
                <c:pt idx="3">
                  <c:v>113.5</c:v>
                </c:pt>
                <c:pt idx="4">
                  <c:v>137</c:v>
                </c:pt>
                <c:pt idx="5">
                  <c:v>161.5</c:v>
                </c:pt>
                <c:pt idx="6">
                  <c:v>195</c:v>
                </c:pt>
                <c:pt idx="7">
                  <c:v>219</c:v>
                </c:pt>
                <c:pt idx="8">
                  <c:v>257.5</c:v>
                </c:pt>
                <c:pt idx="9">
                  <c:v>330</c:v>
                </c:pt>
                <c:pt idx="10">
                  <c:v>379.5</c:v>
                </c:pt>
              </c:numCache>
            </c:numRef>
          </c:xVal>
          <c:yVal>
            <c:numRef>
              <c:f>'Experimental Data'!$AB$167:$AB$177</c:f>
              <c:numCache>
                <c:formatCode>General</c:formatCode>
                <c:ptCount val="11"/>
                <c:pt idx="0">
                  <c:v>12.983134920634919</c:v>
                </c:pt>
                <c:pt idx="1">
                  <c:v>21.49861111111111</c:v>
                </c:pt>
                <c:pt idx="2">
                  <c:v>58.120634920634927</c:v>
                </c:pt>
                <c:pt idx="3">
                  <c:v>185.4603174603175</c:v>
                </c:pt>
                <c:pt idx="4">
                  <c:v>295.30357142857144</c:v>
                </c:pt>
                <c:pt idx="5">
                  <c:v>420.66269841269838</c:v>
                </c:pt>
                <c:pt idx="6">
                  <c:v>436.36111111111109</c:v>
                </c:pt>
                <c:pt idx="7">
                  <c:v>508.3730158730159</c:v>
                </c:pt>
                <c:pt idx="8">
                  <c:v>678.40873015873035</c:v>
                </c:pt>
                <c:pt idx="9">
                  <c:v>754.61904761904782</c:v>
                </c:pt>
                <c:pt idx="10">
                  <c:v>560.57936507936518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266-473D-946E-91200E30E4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2373519"/>
        <c:axId val="1900334287"/>
      </c:scatterChart>
      <c:valAx>
        <c:axId val="209237351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00334287"/>
        <c:crosses val="autoZero"/>
        <c:crossBetween val="midCat"/>
      </c:valAx>
      <c:valAx>
        <c:axId val="19003342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237351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'Experimental Data'!$AA$149:$AA$159</c:f>
              <c:numCache>
                <c:formatCode>General</c:formatCode>
                <c:ptCount val="11"/>
                <c:pt idx="0">
                  <c:v>17.5</c:v>
                </c:pt>
                <c:pt idx="1">
                  <c:v>41.5</c:v>
                </c:pt>
                <c:pt idx="2">
                  <c:v>66</c:v>
                </c:pt>
                <c:pt idx="3">
                  <c:v>113.5</c:v>
                </c:pt>
                <c:pt idx="4">
                  <c:v>137</c:v>
                </c:pt>
                <c:pt idx="5">
                  <c:v>161.5</c:v>
                </c:pt>
                <c:pt idx="6">
                  <c:v>195</c:v>
                </c:pt>
                <c:pt idx="7">
                  <c:v>219</c:v>
                </c:pt>
                <c:pt idx="8">
                  <c:v>257.5</c:v>
                </c:pt>
                <c:pt idx="9">
                  <c:v>330</c:v>
                </c:pt>
                <c:pt idx="10">
                  <c:v>379.5</c:v>
                </c:pt>
              </c:numCache>
            </c:numRef>
          </c:xVal>
          <c:yVal>
            <c:numRef>
              <c:f>'Experimental Data'!$AB$149:$AB$159</c:f>
              <c:numCache>
                <c:formatCode>General</c:formatCode>
                <c:ptCount val="11"/>
                <c:pt idx="0">
                  <c:v>15.155357142857142</c:v>
                </c:pt>
                <c:pt idx="1">
                  <c:v>31.561111111111106</c:v>
                </c:pt>
                <c:pt idx="2">
                  <c:v>94.993650793650787</c:v>
                </c:pt>
                <c:pt idx="3">
                  <c:v>265.44920634920641</c:v>
                </c:pt>
                <c:pt idx="4">
                  <c:v>409.93849206349211</c:v>
                </c:pt>
                <c:pt idx="5">
                  <c:v>541.23015873015868</c:v>
                </c:pt>
                <c:pt idx="6">
                  <c:v>583.30555555555566</c:v>
                </c:pt>
                <c:pt idx="7">
                  <c:v>582.11904761904759</c:v>
                </c:pt>
                <c:pt idx="8">
                  <c:v>697.94047619047603</c:v>
                </c:pt>
                <c:pt idx="9">
                  <c:v>529.91269841269855</c:v>
                </c:pt>
                <c:pt idx="10">
                  <c:v>297.90476190476193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922-41E9-801C-5C9A5DAE59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2376879"/>
        <c:axId val="1894914031"/>
      </c:scatterChart>
      <c:valAx>
        <c:axId val="209237687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94914031"/>
        <c:crosses val="autoZero"/>
        <c:crossBetween val="midCat"/>
      </c:valAx>
      <c:valAx>
        <c:axId val="18949140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237687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'Experimental Data'!$AA$131:$AA$141</c:f>
              <c:numCache>
                <c:formatCode>General</c:formatCode>
                <c:ptCount val="11"/>
                <c:pt idx="0">
                  <c:v>17.5</c:v>
                </c:pt>
                <c:pt idx="1">
                  <c:v>41.5</c:v>
                </c:pt>
                <c:pt idx="2">
                  <c:v>66</c:v>
                </c:pt>
                <c:pt idx="3">
                  <c:v>113.5</c:v>
                </c:pt>
                <c:pt idx="4">
                  <c:v>137</c:v>
                </c:pt>
                <c:pt idx="5">
                  <c:v>161.5</c:v>
                </c:pt>
                <c:pt idx="6">
                  <c:v>195</c:v>
                </c:pt>
                <c:pt idx="7">
                  <c:v>219</c:v>
                </c:pt>
                <c:pt idx="8">
                  <c:v>257.5</c:v>
                </c:pt>
                <c:pt idx="9">
                  <c:v>330</c:v>
                </c:pt>
                <c:pt idx="10">
                  <c:v>379.5</c:v>
                </c:pt>
              </c:numCache>
            </c:numRef>
          </c:xVal>
          <c:yVal>
            <c:numRef>
              <c:f>'Experimental Data'!$AB$131:$AB$141</c:f>
              <c:numCache>
                <c:formatCode>General</c:formatCode>
                <c:ptCount val="11"/>
                <c:pt idx="0">
                  <c:v>14.484523809523811</c:v>
                </c:pt>
                <c:pt idx="1">
                  <c:v>23.06388888888889</c:v>
                </c:pt>
                <c:pt idx="2">
                  <c:v>76.484126984127002</c:v>
                </c:pt>
                <c:pt idx="3">
                  <c:v>209.48253968253971</c:v>
                </c:pt>
                <c:pt idx="4">
                  <c:v>350.52182539682531</c:v>
                </c:pt>
                <c:pt idx="5">
                  <c:v>476.61111111111109</c:v>
                </c:pt>
                <c:pt idx="6">
                  <c:v>534.74999999999989</c:v>
                </c:pt>
                <c:pt idx="7">
                  <c:v>554.00793650793628</c:v>
                </c:pt>
                <c:pt idx="8">
                  <c:v>713.82142857142867</c:v>
                </c:pt>
                <c:pt idx="9">
                  <c:v>545.97619047619037</c:v>
                </c:pt>
                <c:pt idx="10">
                  <c:v>372.38095238095246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9CB-4D03-B426-63363D3284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2403279"/>
        <c:axId val="1894935359"/>
      </c:scatterChart>
      <c:valAx>
        <c:axId val="209240327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94935359"/>
        <c:crosses val="autoZero"/>
        <c:crossBetween val="midCat"/>
      </c:valAx>
      <c:valAx>
        <c:axId val="18949353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240327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'Experimental Data'!$AG$112:$AG$126</c:f>
              <c:numCache>
                <c:formatCode>General</c:formatCode>
                <c:ptCount val="15"/>
                <c:pt idx="0">
                  <c:v>0</c:v>
                </c:pt>
                <c:pt idx="1">
                  <c:v>18.5</c:v>
                </c:pt>
                <c:pt idx="2">
                  <c:v>40.5</c:v>
                </c:pt>
                <c:pt idx="3">
                  <c:v>62.5</c:v>
                </c:pt>
                <c:pt idx="4">
                  <c:v>86.5</c:v>
                </c:pt>
                <c:pt idx="5">
                  <c:v>111</c:v>
                </c:pt>
                <c:pt idx="6">
                  <c:v>158.5</c:v>
                </c:pt>
                <c:pt idx="7">
                  <c:v>182</c:v>
                </c:pt>
                <c:pt idx="8">
                  <c:v>206.5</c:v>
                </c:pt>
                <c:pt idx="9">
                  <c:v>240</c:v>
                </c:pt>
                <c:pt idx="10">
                  <c:v>264</c:v>
                </c:pt>
                <c:pt idx="11">
                  <c:v>302.5</c:v>
                </c:pt>
                <c:pt idx="12">
                  <c:v>375</c:v>
                </c:pt>
                <c:pt idx="13">
                  <c:v>424.5</c:v>
                </c:pt>
                <c:pt idx="14">
                  <c:v>447.5</c:v>
                </c:pt>
              </c:numCache>
            </c:numRef>
          </c:xVal>
          <c:yVal>
            <c:numRef>
              <c:f>'Experimental Data'!$AH$112:$AH$126</c:f>
              <c:numCache>
                <c:formatCode>General</c:formatCode>
                <c:ptCount val="15"/>
                <c:pt idx="0">
                  <c:v>11.995138888888885</c:v>
                </c:pt>
                <c:pt idx="1">
                  <c:v>20.824583333333337</c:v>
                </c:pt>
                <c:pt idx="2">
                  <c:v>24.118055555555564</c:v>
                </c:pt>
                <c:pt idx="3">
                  <c:v>26.548115079365076</c:v>
                </c:pt>
                <c:pt idx="4">
                  <c:v>22.790079365079368</c:v>
                </c:pt>
                <c:pt idx="5">
                  <c:v>32.674603174603178</c:v>
                </c:pt>
                <c:pt idx="6">
                  <c:v>47.131746031746026</c:v>
                </c:pt>
                <c:pt idx="7">
                  <c:v>114.54365079365076</c:v>
                </c:pt>
                <c:pt idx="8">
                  <c:v>179.16269841269843</c:v>
                </c:pt>
                <c:pt idx="9">
                  <c:v>259.20634920634916</c:v>
                </c:pt>
                <c:pt idx="10">
                  <c:v>248.01518087855291</c:v>
                </c:pt>
                <c:pt idx="11">
                  <c:v>484.00396825396808</c:v>
                </c:pt>
                <c:pt idx="12">
                  <c:v>637.79365079365084</c:v>
                </c:pt>
                <c:pt idx="13">
                  <c:v>759.91269841269832</c:v>
                </c:pt>
                <c:pt idx="14">
                  <c:v>658.78571428571422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933-4D46-B70A-A9F2288FAB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2372559"/>
        <c:axId val="2085073423"/>
      </c:scatterChart>
      <c:valAx>
        <c:axId val="209237255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5073423"/>
        <c:crosses val="autoZero"/>
        <c:crossBetween val="midCat"/>
      </c:valAx>
      <c:valAx>
        <c:axId val="20850734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237255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'Experimental Data'!$AA$95:$AA$105</c:f>
              <c:numCache>
                <c:formatCode>General</c:formatCode>
                <c:ptCount val="11"/>
                <c:pt idx="0">
                  <c:v>17.5</c:v>
                </c:pt>
                <c:pt idx="1">
                  <c:v>41.5</c:v>
                </c:pt>
                <c:pt idx="2">
                  <c:v>66</c:v>
                </c:pt>
                <c:pt idx="3">
                  <c:v>113.5</c:v>
                </c:pt>
                <c:pt idx="4">
                  <c:v>137</c:v>
                </c:pt>
                <c:pt idx="5">
                  <c:v>161.5</c:v>
                </c:pt>
                <c:pt idx="6">
                  <c:v>195</c:v>
                </c:pt>
                <c:pt idx="7">
                  <c:v>219</c:v>
                </c:pt>
                <c:pt idx="8">
                  <c:v>257.5</c:v>
                </c:pt>
                <c:pt idx="9">
                  <c:v>330</c:v>
                </c:pt>
                <c:pt idx="10">
                  <c:v>379.5</c:v>
                </c:pt>
              </c:numCache>
            </c:numRef>
          </c:xVal>
          <c:yVal>
            <c:numRef>
              <c:f>'Experimental Data'!$AB$95:$AB$105</c:f>
              <c:numCache>
                <c:formatCode>General</c:formatCode>
                <c:ptCount val="11"/>
                <c:pt idx="0">
                  <c:v>36.781746031746032</c:v>
                </c:pt>
                <c:pt idx="1">
                  <c:v>37.406944444444449</c:v>
                </c:pt>
                <c:pt idx="2">
                  <c:v>60.311111111111089</c:v>
                </c:pt>
                <c:pt idx="3">
                  <c:v>145.26507936507937</c:v>
                </c:pt>
                <c:pt idx="4">
                  <c:v>286.22222222222217</c:v>
                </c:pt>
                <c:pt idx="5">
                  <c:v>405.329365079365</c:v>
                </c:pt>
                <c:pt idx="6">
                  <c:v>492.76587301587307</c:v>
                </c:pt>
                <c:pt idx="7">
                  <c:v>555.68475452196367</c:v>
                </c:pt>
                <c:pt idx="8">
                  <c:v>811.84523809523796</c:v>
                </c:pt>
                <c:pt idx="9">
                  <c:v>692.55555555555566</c:v>
                </c:pt>
                <c:pt idx="10">
                  <c:v>576.27777777777771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C94-4FE3-B926-2BA2A59F3D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88399647"/>
        <c:axId val="2085072927"/>
      </c:scatterChart>
      <c:valAx>
        <c:axId val="198839964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5072927"/>
        <c:crosses val="autoZero"/>
        <c:crossBetween val="midCat"/>
      </c:valAx>
      <c:valAx>
        <c:axId val="20850729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8839964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'Experimental Data'!$AA$76:$AA$87</c:f>
              <c:numCache>
                <c:formatCode>General</c:formatCode>
                <c:ptCount val="12"/>
                <c:pt idx="0">
                  <c:v>0</c:v>
                </c:pt>
                <c:pt idx="1">
                  <c:v>11</c:v>
                </c:pt>
                <c:pt idx="2">
                  <c:v>35.5</c:v>
                </c:pt>
                <c:pt idx="3">
                  <c:v>83</c:v>
                </c:pt>
                <c:pt idx="4">
                  <c:v>106.5</c:v>
                </c:pt>
                <c:pt idx="5">
                  <c:v>131</c:v>
                </c:pt>
                <c:pt idx="6">
                  <c:v>164.5</c:v>
                </c:pt>
                <c:pt idx="7">
                  <c:v>188.5</c:v>
                </c:pt>
                <c:pt idx="8">
                  <c:v>227</c:v>
                </c:pt>
                <c:pt idx="9">
                  <c:v>299.5</c:v>
                </c:pt>
                <c:pt idx="10">
                  <c:v>349</c:v>
                </c:pt>
                <c:pt idx="11">
                  <c:v>372</c:v>
                </c:pt>
              </c:numCache>
            </c:numRef>
          </c:xVal>
          <c:yVal>
            <c:numRef>
              <c:f>'Experimental Data'!$AB$76:$AB$87</c:f>
              <c:numCache>
                <c:formatCode>General</c:formatCode>
                <c:ptCount val="12"/>
                <c:pt idx="0">
                  <c:v>5</c:v>
                </c:pt>
                <c:pt idx="1">
                  <c:v>17.601388888888891</c:v>
                </c:pt>
                <c:pt idx="2">
                  <c:v>30.119047619047624</c:v>
                </c:pt>
                <c:pt idx="3">
                  <c:v>164.10317460317458</c:v>
                </c:pt>
                <c:pt idx="4">
                  <c:v>370.96626984126982</c:v>
                </c:pt>
                <c:pt idx="5">
                  <c:v>539.95238095238085</c:v>
                </c:pt>
                <c:pt idx="6">
                  <c:v>628.8492063492065</c:v>
                </c:pt>
                <c:pt idx="7">
                  <c:v>645.53779069767427</c:v>
                </c:pt>
                <c:pt idx="8">
                  <c:v>631.86111111111109</c:v>
                </c:pt>
                <c:pt idx="9">
                  <c:v>930.76984126984109</c:v>
                </c:pt>
                <c:pt idx="10">
                  <c:v>1202.2063492063492</c:v>
                </c:pt>
                <c:pt idx="11">
                  <c:v>658.78571428571422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0E2-4039-9BE1-E8EC0D9562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88386207"/>
        <c:axId val="1894927423"/>
      </c:scatterChart>
      <c:valAx>
        <c:axId val="198838620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94927423"/>
        <c:crosses val="autoZero"/>
        <c:crossBetween val="midCat"/>
      </c:valAx>
      <c:valAx>
        <c:axId val="18949274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8838620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'Experimental Data'!$Y$40:$Y$50</c:f>
              <c:numCache>
                <c:formatCode>General</c:formatCode>
                <c:ptCount val="11"/>
                <c:pt idx="0">
                  <c:v>0</c:v>
                </c:pt>
                <c:pt idx="1">
                  <c:v>11</c:v>
                </c:pt>
                <c:pt idx="2">
                  <c:v>35.5</c:v>
                </c:pt>
                <c:pt idx="3">
                  <c:v>83</c:v>
                </c:pt>
                <c:pt idx="4">
                  <c:v>106.5</c:v>
                </c:pt>
                <c:pt idx="5">
                  <c:v>131</c:v>
                </c:pt>
                <c:pt idx="6">
                  <c:v>164.5</c:v>
                </c:pt>
                <c:pt idx="7">
                  <c:v>188.5</c:v>
                </c:pt>
                <c:pt idx="8">
                  <c:v>227</c:v>
                </c:pt>
                <c:pt idx="9">
                  <c:v>299.5</c:v>
                </c:pt>
                <c:pt idx="10">
                  <c:v>349</c:v>
                </c:pt>
              </c:numCache>
            </c:numRef>
          </c:xVal>
          <c:yVal>
            <c:numRef>
              <c:f>'Experimental Data'!$Z$40:$Z$50</c:f>
              <c:numCache>
                <c:formatCode>General</c:formatCode>
                <c:ptCount val="11"/>
                <c:pt idx="0">
                  <c:v>5</c:v>
                </c:pt>
                <c:pt idx="1">
                  <c:v>14.59861111111111</c:v>
                </c:pt>
                <c:pt idx="2">
                  <c:v>30.265079365079369</c:v>
                </c:pt>
                <c:pt idx="3">
                  <c:v>179.32698412698412</c:v>
                </c:pt>
                <c:pt idx="4">
                  <c:v>365.17063492063494</c:v>
                </c:pt>
                <c:pt idx="5">
                  <c:v>541.23015873015868</c:v>
                </c:pt>
                <c:pt idx="6">
                  <c:v>591.61111111111109</c:v>
                </c:pt>
                <c:pt idx="7">
                  <c:v>625.73966408268723</c:v>
                </c:pt>
                <c:pt idx="8">
                  <c:v>844.06349206349205</c:v>
                </c:pt>
                <c:pt idx="9">
                  <c:v>736</c:v>
                </c:pt>
                <c:pt idx="10">
                  <c:v>536.48412698412687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C8E-451D-B66B-BE2A607922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387216"/>
        <c:axId val="1908889215"/>
      </c:scatterChart>
      <c:valAx>
        <c:axId val="313872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08889215"/>
        <c:crosses val="autoZero"/>
        <c:crossBetween val="midCat"/>
      </c:valAx>
      <c:valAx>
        <c:axId val="19088892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3872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'Experimental Data'!$AC$4:$AC$16</c:f>
              <c:numCache>
                <c:formatCode>General</c:formatCode>
                <c:ptCount val="13"/>
                <c:pt idx="0">
                  <c:v>0</c:v>
                </c:pt>
                <c:pt idx="1">
                  <c:v>17.5</c:v>
                </c:pt>
                <c:pt idx="2">
                  <c:v>41.5</c:v>
                </c:pt>
                <c:pt idx="3">
                  <c:v>66</c:v>
                </c:pt>
                <c:pt idx="4">
                  <c:v>113.5</c:v>
                </c:pt>
                <c:pt idx="5">
                  <c:v>137</c:v>
                </c:pt>
                <c:pt idx="6">
                  <c:v>161.5</c:v>
                </c:pt>
                <c:pt idx="7">
                  <c:v>195</c:v>
                </c:pt>
                <c:pt idx="8">
                  <c:v>219</c:v>
                </c:pt>
                <c:pt idx="9">
                  <c:v>257.5</c:v>
                </c:pt>
                <c:pt idx="10">
                  <c:v>330</c:v>
                </c:pt>
                <c:pt idx="11">
                  <c:v>379.5</c:v>
                </c:pt>
                <c:pt idx="12">
                  <c:v>402.5</c:v>
                </c:pt>
              </c:numCache>
            </c:numRef>
          </c:xVal>
          <c:yVal>
            <c:numRef>
              <c:f>'Experimental Data'!$AD$4:$AD$16</c:f>
              <c:numCache>
                <c:formatCode>General</c:formatCode>
                <c:ptCount val="13"/>
                <c:pt idx="0">
                  <c:v>5</c:v>
                </c:pt>
                <c:pt idx="1">
                  <c:v>13.580952380952382</c:v>
                </c:pt>
                <c:pt idx="2">
                  <c:v>22.233333333333338</c:v>
                </c:pt>
                <c:pt idx="3">
                  <c:v>56.076190476190462</c:v>
                </c:pt>
                <c:pt idx="4">
                  <c:v>160.30634920634918</c:v>
                </c:pt>
                <c:pt idx="5">
                  <c:v>222.88095238095235</c:v>
                </c:pt>
                <c:pt idx="6">
                  <c:v>301.00793650793651</c:v>
                </c:pt>
                <c:pt idx="7">
                  <c:v>550.76785714285711</c:v>
                </c:pt>
                <c:pt idx="8">
                  <c:v>614.04651162790697</c:v>
                </c:pt>
                <c:pt idx="9">
                  <c:v>964.35714285714289</c:v>
                </c:pt>
                <c:pt idx="10">
                  <c:v>790.39682539682565</c:v>
                </c:pt>
                <c:pt idx="11">
                  <c:v>823.48214285714278</c:v>
                </c:pt>
                <c:pt idx="12">
                  <c:v>675.94444444444446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C9D-4A3B-A37B-DAC2BF7DB1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380496"/>
        <c:axId val="1894921471"/>
      </c:scatterChart>
      <c:valAx>
        <c:axId val="313804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94921471"/>
        <c:crosses val="autoZero"/>
        <c:crossBetween val="midCat"/>
      </c:valAx>
      <c:valAx>
        <c:axId val="18949214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3804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5" Type="http://schemas.openxmlformats.org/officeDocument/2006/relationships/chart" Target="../charts/chart6.xml"/><Relationship Id="rId4" Type="http://schemas.openxmlformats.org/officeDocument/2006/relationships/chart" Target="../charts/chart5.xm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4.xml"/><Relationship Id="rId13" Type="http://schemas.openxmlformats.org/officeDocument/2006/relationships/chart" Target="../charts/chart19.xml"/><Relationship Id="rId18" Type="http://schemas.openxmlformats.org/officeDocument/2006/relationships/chart" Target="../charts/chart24.xml"/><Relationship Id="rId3" Type="http://schemas.openxmlformats.org/officeDocument/2006/relationships/chart" Target="../charts/chart9.xml"/><Relationship Id="rId7" Type="http://schemas.openxmlformats.org/officeDocument/2006/relationships/chart" Target="../charts/chart13.xml"/><Relationship Id="rId12" Type="http://schemas.openxmlformats.org/officeDocument/2006/relationships/chart" Target="../charts/chart18.xml"/><Relationship Id="rId17" Type="http://schemas.openxmlformats.org/officeDocument/2006/relationships/chart" Target="../charts/chart23.xml"/><Relationship Id="rId2" Type="http://schemas.openxmlformats.org/officeDocument/2006/relationships/chart" Target="../charts/chart8.xml"/><Relationship Id="rId16" Type="http://schemas.openxmlformats.org/officeDocument/2006/relationships/chart" Target="../charts/chart22.xml"/><Relationship Id="rId1" Type="http://schemas.openxmlformats.org/officeDocument/2006/relationships/chart" Target="../charts/chart7.xml"/><Relationship Id="rId6" Type="http://schemas.openxmlformats.org/officeDocument/2006/relationships/chart" Target="../charts/chart12.xml"/><Relationship Id="rId11" Type="http://schemas.openxmlformats.org/officeDocument/2006/relationships/chart" Target="../charts/chart17.xml"/><Relationship Id="rId5" Type="http://schemas.openxmlformats.org/officeDocument/2006/relationships/chart" Target="../charts/chart11.xml"/><Relationship Id="rId15" Type="http://schemas.openxmlformats.org/officeDocument/2006/relationships/chart" Target="../charts/chart21.xml"/><Relationship Id="rId10" Type="http://schemas.openxmlformats.org/officeDocument/2006/relationships/chart" Target="../charts/chart16.xml"/><Relationship Id="rId4" Type="http://schemas.openxmlformats.org/officeDocument/2006/relationships/chart" Target="../charts/chart10.xml"/><Relationship Id="rId9" Type="http://schemas.openxmlformats.org/officeDocument/2006/relationships/chart" Target="../charts/chart15.xml"/><Relationship Id="rId14" Type="http://schemas.openxmlformats.org/officeDocument/2006/relationships/chart" Target="../charts/chart2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10027</xdr:colOff>
      <xdr:row>8</xdr:row>
      <xdr:rowOff>179572</xdr:rowOff>
    </xdr:from>
    <xdr:to>
      <xdr:col>16</xdr:col>
      <xdr:colOff>708602</xdr:colOff>
      <xdr:row>8</xdr:row>
      <xdr:rowOff>179572</xdr:rowOff>
    </xdr:to>
    <xdr:cxnSp macro="">
      <xdr:nvCxnSpPr>
        <xdr:cNvPr id="67" name="Straight Arrow Connector 66">
          <a:extLst>
            <a:ext uri="{FF2B5EF4-FFF2-40B4-BE49-F238E27FC236}">
              <a16:creationId xmlns:a16="http://schemas.microsoft.com/office/drawing/2014/main" id="{B86AC9A1-90CD-4DA7-A2D9-BA8C16AA7895}"/>
            </a:ext>
          </a:extLst>
        </xdr:cNvPr>
        <xdr:cNvCxnSpPr/>
      </xdr:nvCxnSpPr>
      <xdr:spPr>
        <a:xfrm>
          <a:off x="10297027" y="1533125"/>
          <a:ext cx="6985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320040</xdr:colOff>
      <xdr:row>4</xdr:row>
      <xdr:rowOff>0</xdr:rowOff>
    </xdr:from>
    <xdr:to>
      <xdr:col>8</xdr:col>
      <xdr:colOff>320040</xdr:colOff>
      <xdr:row>7</xdr:row>
      <xdr:rowOff>179070</xdr:rowOff>
    </xdr:to>
    <xdr:cxnSp macro="">
      <xdr:nvCxnSpPr>
        <xdr:cNvPr id="3" name="Straight Arrow Connector 2">
          <a:extLst>
            <a:ext uri="{FF2B5EF4-FFF2-40B4-BE49-F238E27FC236}">
              <a16:creationId xmlns:a16="http://schemas.microsoft.com/office/drawing/2014/main" id="{1EA2B5A9-4F0F-0C56-8617-6E73C5854D03}"/>
            </a:ext>
          </a:extLst>
        </xdr:cNvPr>
        <xdr:cNvCxnSpPr/>
      </xdr:nvCxnSpPr>
      <xdr:spPr>
        <a:xfrm>
          <a:off x="2453640" y="180975"/>
          <a:ext cx="0" cy="72199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249555</xdr:colOff>
      <xdr:row>5</xdr:row>
      <xdr:rowOff>22412</xdr:rowOff>
    </xdr:from>
    <xdr:to>
      <xdr:col>11</xdr:col>
      <xdr:colOff>249555</xdr:colOff>
      <xdr:row>7</xdr:row>
      <xdr:rowOff>171450</xdr:rowOff>
    </xdr:to>
    <xdr:cxnSp macro="">
      <xdr:nvCxnSpPr>
        <xdr:cNvPr id="8" name="Straight Arrow Connector 7">
          <a:extLst>
            <a:ext uri="{FF2B5EF4-FFF2-40B4-BE49-F238E27FC236}">
              <a16:creationId xmlns:a16="http://schemas.microsoft.com/office/drawing/2014/main" id="{73534610-FDD8-BAEC-4307-50773A5DECDF}"/>
            </a:ext>
          </a:extLst>
        </xdr:cNvPr>
        <xdr:cNvCxnSpPr/>
      </xdr:nvCxnSpPr>
      <xdr:spPr>
        <a:xfrm>
          <a:off x="7499761" y="806824"/>
          <a:ext cx="0" cy="518832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8</xdr:row>
      <xdr:rowOff>179070</xdr:rowOff>
    </xdr:from>
    <xdr:to>
      <xdr:col>10</xdr:col>
      <xdr:colOff>586740</xdr:colOff>
      <xdr:row>8</xdr:row>
      <xdr:rowOff>179070</xdr:rowOff>
    </xdr:to>
    <xdr:cxnSp macro="">
      <xdr:nvCxnSpPr>
        <xdr:cNvPr id="11" name="Straight Arrow Connector 10">
          <a:extLst>
            <a:ext uri="{FF2B5EF4-FFF2-40B4-BE49-F238E27FC236}">
              <a16:creationId xmlns:a16="http://schemas.microsoft.com/office/drawing/2014/main" id="{8F79D071-3D1B-4ED0-99A6-4FA1D870724B}"/>
            </a:ext>
          </a:extLst>
        </xdr:cNvPr>
        <xdr:cNvCxnSpPr/>
      </xdr:nvCxnSpPr>
      <xdr:spPr>
        <a:xfrm>
          <a:off x="3409950" y="1093470"/>
          <a:ext cx="58674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9</xdr:row>
      <xdr:rowOff>0</xdr:rowOff>
    </xdr:from>
    <xdr:to>
      <xdr:col>13</xdr:col>
      <xdr:colOff>582930</xdr:colOff>
      <xdr:row>9</xdr:row>
      <xdr:rowOff>0</xdr:rowOff>
    </xdr:to>
    <xdr:cxnSp macro="">
      <xdr:nvCxnSpPr>
        <xdr:cNvPr id="18" name="Straight Arrow Connector 17">
          <a:extLst>
            <a:ext uri="{FF2B5EF4-FFF2-40B4-BE49-F238E27FC236}">
              <a16:creationId xmlns:a16="http://schemas.microsoft.com/office/drawing/2014/main" id="{99C811AF-7FC9-4A05-A508-EE04DC70040D}"/>
            </a:ext>
          </a:extLst>
        </xdr:cNvPr>
        <xdr:cNvCxnSpPr/>
      </xdr:nvCxnSpPr>
      <xdr:spPr>
        <a:xfrm>
          <a:off x="5295900" y="1104900"/>
          <a:ext cx="58293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9</xdr:row>
      <xdr:rowOff>0</xdr:rowOff>
    </xdr:from>
    <xdr:to>
      <xdr:col>19</xdr:col>
      <xdr:colOff>582930</xdr:colOff>
      <xdr:row>9</xdr:row>
      <xdr:rowOff>0</xdr:rowOff>
    </xdr:to>
    <xdr:cxnSp macro="">
      <xdr:nvCxnSpPr>
        <xdr:cNvPr id="24" name="Straight Arrow Connector 23">
          <a:extLst>
            <a:ext uri="{FF2B5EF4-FFF2-40B4-BE49-F238E27FC236}">
              <a16:creationId xmlns:a16="http://schemas.microsoft.com/office/drawing/2014/main" id="{1570517C-90B8-4ACB-BD64-4C566200A340}"/>
            </a:ext>
          </a:extLst>
        </xdr:cNvPr>
        <xdr:cNvCxnSpPr/>
      </xdr:nvCxnSpPr>
      <xdr:spPr>
        <a:xfrm>
          <a:off x="12337676" y="1535206"/>
          <a:ext cx="58293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320040</xdr:colOff>
      <xdr:row>4</xdr:row>
      <xdr:rowOff>0</xdr:rowOff>
    </xdr:from>
    <xdr:to>
      <xdr:col>20</xdr:col>
      <xdr:colOff>320040</xdr:colOff>
      <xdr:row>7</xdr:row>
      <xdr:rowOff>179070</xdr:rowOff>
    </xdr:to>
    <xdr:cxnSp macro="">
      <xdr:nvCxnSpPr>
        <xdr:cNvPr id="25" name="Straight Arrow Connector 24">
          <a:extLst>
            <a:ext uri="{FF2B5EF4-FFF2-40B4-BE49-F238E27FC236}">
              <a16:creationId xmlns:a16="http://schemas.microsoft.com/office/drawing/2014/main" id="{CC02D3AF-8EDE-440C-8D27-8E3D3C2DD580}"/>
            </a:ext>
          </a:extLst>
        </xdr:cNvPr>
        <xdr:cNvCxnSpPr/>
      </xdr:nvCxnSpPr>
      <xdr:spPr>
        <a:xfrm>
          <a:off x="2457450" y="180975"/>
          <a:ext cx="0" cy="72009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396568</xdr:colOff>
      <xdr:row>17</xdr:row>
      <xdr:rowOff>161071</xdr:rowOff>
    </xdr:from>
    <xdr:to>
      <xdr:col>14</xdr:col>
      <xdr:colOff>396568</xdr:colOff>
      <xdr:row>19</xdr:row>
      <xdr:rowOff>164881</xdr:rowOff>
    </xdr:to>
    <xdr:cxnSp macro="">
      <xdr:nvCxnSpPr>
        <xdr:cNvPr id="27" name="Straight Arrow Connector 26">
          <a:extLst>
            <a:ext uri="{FF2B5EF4-FFF2-40B4-BE49-F238E27FC236}">
              <a16:creationId xmlns:a16="http://schemas.microsoft.com/office/drawing/2014/main" id="{2DC0B7B8-1011-4EC1-9697-5F30AC68FBE9}"/>
            </a:ext>
          </a:extLst>
        </xdr:cNvPr>
        <xdr:cNvCxnSpPr/>
      </xdr:nvCxnSpPr>
      <xdr:spPr>
        <a:xfrm>
          <a:off x="9501154" y="3195933"/>
          <a:ext cx="0" cy="371672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21</xdr:row>
      <xdr:rowOff>0</xdr:rowOff>
    </xdr:from>
    <xdr:to>
      <xdr:col>13</xdr:col>
      <xdr:colOff>582930</xdr:colOff>
      <xdr:row>21</xdr:row>
      <xdr:rowOff>0</xdr:rowOff>
    </xdr:to>
    <xdr:cxnSp macro="">
      <xdr:nvCxnSpPr>
        <xdr:cNvPr id="30" name="Straight Arrow Connector 29">
          <a:extLst>
            <a:ext uri="{FF2B5EF4-FFF2-40B4-BE49-F238E27FC236}">
              <a16:creationId xmlns:a16="http://schemas.microsoft.com/office/drawing/2014/main" id="{26A7D85B-CE30-4E78-9DD9-DC9E987CD590}"/>
            </a:ext>
          </a:extLst>
        </xdr:cNvPr>
        <xdr:cNvCxnSpPr/>
      </xdr:nvCxnSpPr>
      <xdr:spPr>
        <a:xfrm>
          <a:off x="5295900" y="1104900"/>
          <a:ext cx="58674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664737</xdr:colOff>
      <xdr:row>21</xdr:row>
      <xdr:rowOff>0</xdr:rowOff>
    </xdr:from>
    <xdr:to>
      <xdr:col>20</xdr:col>
      <xdr:colOff>2326</xdr:colOff>
      <xdr:row>21</xdr:row>
      <xdr:rowOff>0</xdr:rowOff>
    </xdr:to>
    <xdr:cxnSp macro="">
      <xdr:nvCxnSpPr>
        <xdr:cNvPr id="31" name="Straight Arrow Connector 30">
          <a:extLst>
            <a:ext uri="{FF2B5EF4-FFF2-40B4-BE49-F238E27FC236}">
              <a16:creationId xmlns:a16="http://schemas.microsoft.com/office/drawing/2014/main" id="{464202BD-ECC5-4FC7-B5D5-41C2DC384E9B}"/>
            </a:ext>
          </a:extLst>
        </xdr:cNvPr>
        <xdr:cNvCxnSpPr/>
      </xdr:nvCxnSpPr>
      <xdr:spPr>
        <a:xfrm>
          <a:off x="12330061" y="3753971"/>
          <a:ext cx="615059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20</xdr:row>
      <xdr:rowOff>190500</xdr:rowOff>
    </xdr:from>
    <xdr:to>
      <xdr:col>16</xdr:col>
      <xdr:colOff>600254</xdr:colOff>
      <xdr:row>20</xdr:row>
      <xdr:rowOff>190500</xdr:rowOff>
    </xdr:to>
    <xdr:cxnSp macro="">
      <xdr:nvCxnSpPr>
        <xdr:cNvPr id="32" name="Straight Arrow Connector 31">
          <a:extLst>
            <a:ext uri="{FF2B5EF4-FFF2-40B4-BE49-F238E27FC236}">
              <a16:creationId xmlns:a16="http://schemas.microsoft.com/office/drawing/2014/main" id="{EF363FE8-F1CD-41D9-9AE9-3DAA00AA327E}"/>
            </a:ext>
          </a:extLst>
        </xdr:cNvPr>
        <xdr:cNvCxnSpPr/>
      </xdr:nvCxnSpPr>
      <xdr:spPr>
        <a:xfrm>
          <a:off x="10588925" y="3781245"/>
          <a:ext cx="600254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13</xdr:row>
      <xdr:rowOff>180975</xdr:rowOff>
    </xdr:from>
    <xdr:to>
      <xdr:col>8</xdr:col>
      <xdr:colOff>9525</xdr:colOff>
      <xdr:row>18</xdr:row>
      <xdr:rowOff>0</xdr:rowOff>
    </xdr:to>
    <xdr:sp macro="[0]!MLSP" textlink="">
      <xdr:nvSpPr>
        <xdr:cNvPr id="46" name="Rectangle 45">
          <a:extLst>
            <a:ext uri="{FF2B5EF4-FFF2-40B4-BE49-F238E27FC236}">
              <a16:creationId xmlns:a16="http://schemas.microsoft.com/office/drawing/2014/main" id="{DD02A161-0D23-A366-EB85-2CA63B1CBE96}"/>
            </a:ext>
          </a:extLst>
        </xdr:cNvPr>
        <xdr:cNvSpPr/>
      </xdr:nvSpPr>
      <xdr:spPr>
        <a:xfrm>
          <a:off x="2800350" y="5410200"/>
          <a:ext cx="1895475" cy="752475"/>
        </a:xfrm>
        <a:prstGeom prst="rect">
          <a:avLst/>
        </a:prstGeom>
        <a:solidFill>
          <a:schemeClr val="bg2"/>
        </a:solidFill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>
              <a:solidFill>
                <a:schemeClr val="tx1"/>
              </a:solidFill>
            </a:rPr>
            <a:t>Run Simulation </a:t>
          </a:r>
          <a:r>
            <a:rPr lang="en-US" sz="1100" b="0">
              <a:solidFill>
                <a:schemeClr val="tx1"/>
              </a:solidFill>
            </a:rPr>
            <a:t>(click</a:t>
          </a:r>
          <a:r>
            <a:rPr lang="en-US" sz="1100" b="0" baseline="0">
              <a:solidFill>
                <a:schemeClr val="tx1"/>
              </a:solidFill>
            </a:rPr>
            <a:t> here, then click "ok")</a:t>
          </a:r>
          <a:endParaRPr lang="en-US" sz="1800" b="0">
            <a:solidFill>
              <a:schemeClr val="tx1"/>
            </a:solidFill>
          </a:endParaRPr>
        </a:p>
      </xdr:txBody>
    </xdr:sp>
    <xdr:clientData/>
  </xdr:twoCellAnchor>
  <xdr:twoCellAnchor>
    <xdr:from>
      <xdr:col>22</xdr:col>
      <xdr:colOff>0</xdr:colOff>
      <xdr:row>21</xdr:row>
      <xdr:rowOff>12790</xdr:rowOff>
    </xdr:from>
    <xdr:to>
      <xdr:col>22</xdr:col>
      <xdr:colOff>665389</xdr:colOff>
      <xdr:row>26</xdr:row>
      <xdr:rowOff>164181</xdr:rowOff>
    </xdr:to>
    <xdr:cxnSp macro="">
      <xdr:nvCxnSpPr>
        <xdr:cNvPr id="57" name="Connector: Elbow 56">
          <a:extLst>
            <a:ext uri="{FF2B5EF4-FFF2-40B4-BE49-F238E27FC236}">
              <a16:creationId xmlns:a16="http://schemas.microsoft.com/office/drawing/2014/main" id="{726EE905-BA35-18D5-8856-99B39620A3AD}"/>
            </a:ext>
          </a:extLst>
        </xdr:cNvPr>
        <xdr:cNvCxnSpPr/>
      </xdr:nvCxnSpPr>
      <xdr:spPr>
        <a:xfrm rot="16200000" flipH="1">
          <a:off x="10993035" y="3535855"/>
          <a:ext cx="1071234" cy="665389"/>
        </a:xfrm>
        <a:prstGeom prst="bentConnector3">
          <a:avLst>
            <a:gd name="adj1" fmla="val -1672"/>
          </a:avLst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8</xdr:row>
      <xdr:rowOff>179070</xdr:rowOff>
    </xdr:from>
    <xdr:to>
      <xdr:col>13</xdr:col>
      <xdr:colOff>586740</xdr:colOff>
      <xdr:row>8</xdr:row>
      <xdr:rowOff>179070</xdr:rowOff>
    </xdr:to>
    <xdr:cxnSp macro="">
      <xdr:nvCxnSpPr>
        <xdr:cNvPr id="66" name="Straight Arrow Connector 65">
          <a:extLst>
            <a:ext uri="{FF2B5EF4-FFF2-40B4-BE49-F238E27FC236}">
              <a16:creationId xmlns:a16="http://schemas.microsoft.com/office/drawing/2014/main" id="{70DC219E-4171-4988-AD45-4F0B1CE73880}"/>
            </a:ext>
          </a:extLst>
        </xdr:cNvPr>
        <xdr:cNvCxnSpPr/>
      </xdr:nvCxnSpPr>
      <xdr:spPr>
        <a:xfrm>
          <a:off x="6645088" y="1521871"/>
          <a:ext cx="59055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440919</xdr:colOff>
      <xdr:row>17</xdr:row>
      <xdr:rowOff>176386</xdr:rowOff>
    </xdr:from>
    <xdr:to>
      <xdr:col>8</xdr:col>
      <xdr:colOff>440919</xdr:colOff>
      <xdr:row>19</xdr:row>
      <xdr:rowOff>174481</xdr:rowOff>
    </xdr:to>
    <xdr:cxnSp macro="">
      <xdr:nvCxnSpPr>
        <xdr:cNvPr id="82" name="Straight Arrow Connector 81">
          <a:extLst>
            <a:ext uri="{FF2B5EF4-FFF2-40B4-BE49-F238E27FC236}">
              <a16:creationId xmlns:a16="http://schemas.microsoft.com/office/drawing/2014/main" id="{73829990-6717-4D2D-9ABE-D2A0B23C77D9}"/>
            </a:ext>
          </a:extLst>
        </xdr:cNvPr>
        <xdr:cNvCxnSpPr/>
      </xdr:nvCxnSpPr>
      <xdr:spPr>
        <a:xfrm>
          <a:off x="7732471" y="3211248"/>
          <a:ext cx="0" cy="365957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396568</xdr:colOff>
      <xdr:row>10</xdr:row>
      <xdr:rowOff>22412</xdr:rowOff>
    </xdr:from>
    <xdr:to>
      <xdr:col>30</xdr:col>
      <xdr:colOff>396568</xdr:colOff>
      <xdr:row>14</xdr:row>
      <xdr:rowOff>135073</xdr:rowOff>
    </xdr:to>
    <xdr:cxnSp macro="">
      <xdr:nvCxnSpPr>
        <xdr:cNvPr id="83" name="Straight Arrow Connector 82">
          <a:extLst>
            <a:ext uri="{FF2B5EF4-FFF2-40B4-BE49-F238E27FC236}">
              <a16:creationId xmlns:a16="http://schemas.microsoft.com/office/drawing/2014/main" id="{C255516B-BA7D-4959-A642-82327B920C61}"/>
            </a:ext>
          </a:extLst>
        </xdr:cNvPr>
        <xdr:cNvCxnSpPr/>
      </xdr:nvCxnSpPr>
      <xdr:spPr>
        <a:xfrm>
          <a:off x="19379333" y="1736912"/>
          <a:ext cx="0" cy="829837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13111</xdr:colOff>
      <xdr:row>8</xdr:row>
      <xdr:rowOff>171897</xdr:rowOff>
    </xdr:from>
    <xdr:to>
      <xdr:col>29</xdr:col>
      <xdr:colOff>257735</xdr:colOff>
      <xdr:row>14</xdr:row>
      <xdr:rowOff>179295</xdr:rowOff>
    </xdr:to>
    <xdr:cxnSp macro="">
      <xdr:nvCxnSpPr>
        <xdr:cNvPr id="93" name="Connector: Elbow 92">
          <a:extLst>
            <a:ext uri="{FF2B5EF4-FFF2-40B4-BE49-F238E27FC236}">
              <a16:creationId xmlns:a16="http://schemas.microsoft.com/office/drawing/2014/main" id="{503275DE-F47B-C780-4B56-2C4377E9FFBC}"/>
            </a:ext>
          </a:extLst>
        </xdr:cNvPr>
        <xdr:cNvCxnSpPr/>
      </xdr:nvCxnSpPr>
      <xdr:spPr>
        <a:xfrm rot="16200000" flipH="1">
          <a:off x="17663327" y="1638916"/>
          <a:ext cx="1094368" cy="849742"/>
        </a:xfrm>
        <a:prstGeom prst="bentConnector3">
          <a:avLst>
            <a:gd name="adj1" fmla="val 935"/>
          </a:avLst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0</xdr:colOff>
      <xdr:row>9</xdr:row>
      <xdr:rowOff>0</xdr:rowOff>
    </xdr:from>
    <xdr:to>
      <xdr:col>22</xdr:col>
      <xdr:colOff>586740</xdr:colOff>
      <xdr:row>9</xdr:row>
      <xdr:rowOff>0</xdr:rowOff>
    </xdr:to>
    <xdr:cxnSp macro="">
      <xdr:nvCxnSpPr>
        <xdr:cNvPr id="98" name="Straight Arrow Connector 97">
          <a:extLst>
            <a:ext uri="{FF2B5EF4-FFF2-40B4-BE49-F238E27FC236}">
              <a16:creationId xmlns:a16="http://schemas.microsoft.com/office/drawing/2014/main" id="{1DC9800B-12DA-4CB3-B2A5-2834D0D25F3B}"/>
            </a:ext>
          </a:extLst>
        </xdr:cNvPr>
        <xdr:cNvCxnSpPr/>
      </xdr:nvCxnSpPr>
      <xdr:spPr>
        <a:xfrm>
          <a:off x="14141824" y="1524000"/>
          <a:ext cx="58674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586740</xdr:colOff>
      <xdr:row>9</xdr:row>
      <xdr:rowOff>0</xdr:rowOff>
    </xdr:to>
    <xdr:cxnSp macro="">
      <xdr:nvCxnSpPr>
        <xdr:cNvPr id="99" name="Straight Arrow Connector 98">
          <a:extLst>
            <a:ext uri="{FF2B5EF4-FFF2-40B4-BE49-F238E27FC236}">
              <a16:creationId xmlns:a16="http://schemas.microsoft.com/office/drawing/2014/main" id="{C25FB02E-C2C8-4348-9ECC-F9C54BD55C85}"/>
            </a:ext>
          </a:extLst>
        </xdr:cNvPr>
        <xdr:cNvCxnSpPr/>
      </xdr:nvCxnSpPr>
      <xdr:spPr>
        <a:xfrm>
          <a:off x="15957176" y="1524000"/>
          <a:ext cx="58674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0</xdr:colOff>
      <xdr:row>16</xdr:row>
      <xdr:rowOff>0</xdr:rowOff>
    </xdr:from>
    <xdr:to>
      <xdr:col>31</xdr:col>
      <xdr:colOff>586740</xdr:colOff>
      <xdr:row>16</xdr:row>
      <xdr:rowOff>0</xdr:rowOff>
    </xdr:to>
    <xdr:cxnSp macro="">
      <xdr:nvCxnSpPr>
        <xdr:cNvPr id="104" name="Straight Arrow Connector 103">
          <a:extLst>
            <a:ext uri="{FF2B5EF4-FFF2-40B4-BE49-F238E27FC236}">
              <a16:creationId xmlns:a16="http://schemas.microsoft.com/office/drawing/2014/main" id="{14C7D583-1FD9-4A80-A119-63B4DA4A8209}"/>
            </a:ext>
          </a:extLst>
        </xdr:cNvPr>
        <xdr:cNvCxnSpPr/>
      </xdr:nvCxnSpPr>
      <xdr:spPr>
        <a:xfrm>
          <a:off x="15957176" y="1524000"/>
          <a:ext cx="59055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0</xdr:colOff>
      <xdr:row>16</xdr:row>
      <xdr:rowOff>0</xdr:rowOff>
    </xdr:from>
    <xdr:to>
      <xdr:col>34</xdr:col>
      <xdr:colOff>586740</xdr:colOff>
      <xdr:row>16</xdr:row>
      <xdr:rowOff>0</xdr:rowOff>
    </xdr:to>
    <xdr:cxnSp macro="">
      <xdr:nvCxnSpPr>
        <xdr:cNvPr id="105" name="Straight Arrow Connector 104">
          <a:extLst>
            <a:ext uri="{FF2B5EF4-FFF2-40B4-BE49-F238E27FC236}">
              <a16:creationId xmlns:a16="http://schemas.microsoft.com/office/drawing/2014/main" id="{89AB1A7A-1F3F-4ED3-8C2E-4EF524E43665}"/>
            </a:ext>
          </a:extLst>
        </xdr:cNvPr>
        <xdr:cNvCxnSpPr/>
      </xdr:nvCxnSpPr>
      <xdr:spPr>
        <a:xfrm>
          <a:off x="19587882" y="2801471"/>
          <a:ext cx="59055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33618</xdr:colOff>
      <xdr:row>16</xdr:row>
      <xdr:rowOff>-1</xdr:rowOff>
    </xdr:from>
    <xdr:to>
      <xdr:col>34</xdr:col>
      <xdr:colOff>1</xdr:colOff>
      <xdr:row>27</xdr:row>
      <xdr:rowOff>168088</xdr:rowOff>
    </xdr:to>
    <xdr:cxnSp macro="">
      <xdr:nvCxnSpPr>
        <xdr:cNvPr id="4" name="Connector: Elbow 3">
          <a:extLst>
            <a:ext uri="{FF2B5EF4-FFF2-40B4-BE49-F238E27FC236}">
              <a16:creationId xmlns:a16="http://schemas.microsoft.com/office/drawing/2014/main" id="{580088F2-228D-E9C2-280E-38FE98088C95}"/>
            </a:ext>
          </a:extLst>
        </xdr:cNvPr>
        <xdr:cNvCxnSpPr/>
      </xdr:nvCxnSpPr>
      <xdr:spPr>
        <a:xfrm rot="10800000" flipV="1">
          <a:off x="15385677" y="2801470"/>
          <a:ext cx="6017559" cy="2185147"/>
        </a:xfrm>
        <a:prstGeom prst="bentConnector3">
          <a:avLst>
            <a:gd name="adj1" fmla="val 109"/>
          </a:avLst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0</xdr:colOff>
      <xdr:row>16</xdr:row>
      <xdr:rowOff>0</xdr:rowOff>
    </xdr:from>
    <xdr:to>
      <xdr:col>37</xdr:col>
      <xdr:colOff>586740</xdr:colOff>
      <xdr:row>16</xdr:row>
      <xdr:rowOff>0</xdr:rowOff>
    </xdr:to>
    <xdr:cxnSp macro="">
      <xdr:nvCxnSpPr>
        <xdr:cNvPr id="6" name="Straight Arrow Connector 5">
          <a:extLst>
            <a:ext uri="{FF2B5EF4-FFF2-40B4-BE49-F238E27FC236}">
              <a16:creationId xmlns:a16="http://schemas.microsoft.com/office/drawing/2014/main" id="{56A77A6B-D2D7-488F-B466-15581D09467F}"/>
            </a:ext>
          </a:extLst>
        </xdr:cNvPr>
        <xdr:cNvCxnSpPr/>
      </xdr:nvCxnSpPr>
      <xdr:spPr>
        <a:xfrm>
          <a:off x="21403235" y="2801471"/>
          <a:ext cx="59055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18601</xdr:colOff>
      <xdr:row>15</xdr:row>
      <xdr:rowOff>130661</xdr:rowOff>
    </xdr:from>
    <xdr:to>
      <xdr:col>41</xdr:col>
      <xdr:colOff>5938</xdr:colOff>
      <xdr:row>15</xdr:row>
      <xdr:rowOff>130661</xdr:rowOff>
    </xdr:to>
    <xdr:cxnSp macro="">
      <xdr:nvCxnSpPr>
        <xdr:cNvPr id="7" name="Straight Arrow Connector 6">
          <a:extLst>
            <a:ext uri="{FF2B5EF4-FFF2-40B4-BE49-F238E27FC236}">
              <a16:creationId xmlns:a16="http://schemas.microsoft.com/office/drawing/2014/main" id="{83810321-DE66-4494-B72F-D9137412F8FA}"/>
            </a:ext>
          </a:extLst>
        </xdr:cNvPr>
        <xdr:cNvCxnSpPr/>
      </xdr:nvCxnSpPr>
      <xdr:spPr>
        <a:xfrm>
          <a:off x="25052542" y="2752837"/>
          <a:ext cx="59245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20</xdr:row>
      <xdr:rowOff>179070</xdr:rowOff>
    </xdr:from>
    <xdr:to>
      <xdr:col>10</xdr:col>
      <xdr:colOff>586740</xdr:colOff>
      <xdr:row>20</xdr:row>
      <xdr:rowOff>179070</xdr:rowOff>
    </xdr:to>
    <xdr:cxnSp macro="">
      <xdr:nvCxnSpPr>
        <xdr:cNvPr id="10" name="Straight Arrow Connector 9">
          <a:extLst>
            <a:ext uri="{FF2B5EF4-FFF2-40B4-BE49-F238E27FC236}">
              <a16:creationId xmlns:a16="http://schemas.microsoft.com/office/drawing/2014/main" id="{1C7B29AB-EE57-4633-80B1-12D71D8C4BF8}"/>
            </a:ext>
          </a:extLst>
        </xdr:cNvPr>
        <xdr:cNvCxnSpPr/>
      </xdr:nvCxnSpPr>
      <xdr:spPr>
        <a:xfrm>
          <a:off x="6645088" y="1521871"/>
          <a:ext cx="59055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0</xdr:colOff>
      <xdr:row>15</xdr:row>
      <xdr:rowOff>190500</xdr:rowOff>
    </xdr:from>
    <xdr:to>
      <xdr:col>24</xdr:col>
      <xdr:colOff>584611</xdr:colOff>
      <xdr:row>21</xdr:row>
      <xdr:rowOff>0</xdr:rowOff>
    </xdr:to>
    <xdr:cxnSp macro="">
      <xdr:nvCxnSpPr>
        <xdr:cNvPr id="13" name="Connector: Elbow 12">
          <a:extLst>
            <a:ext uri="{FF2B5EF4-FFF2-40B4-BE49-F238E27FC236}">
              <a16:creationId xmlns:a16="http://schemas.microsoft.com/office/drawing/2014/main" id="{D1F10AE6-2C6A-FF29-1583-2332307EEB59}"/>
            </a:ext>
          </a:extLst>
        </xdr:cNvPr>
        <xdr:cNvCxnSpPr/>
      </xdr:nvCxnSpPr>
      <xdr:spPr>
        <a:xfrm flipV="1">
          <a:off x="14141824" y="2812676"/>
          <a:ext cx="1792941" cy="952500"/>
        </a:xfrm>
        <a:prstGeom prst="bentConnector3">
          <a:avLst>
            <a:gd name="adj1" fmla="val 33767"/>
          </a:avLst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8184</xdr:colOff>
      <xdr:row>16</xdr:row>
      <xdr:rowOff>0</xdr:rowOff>
    </xdr:from>
    <xdr:to>
      <xdr:col>28</xdr:col>
      <xdr:colOff>590102</xdr:colOff>
      <xdr:row>16</xdr:row>
      <xdr:rowOff>0</xdr:rowOff>
    </xdr:to>
    <xdr:cxnSp macro="">
      <xdr:nvCxnSpPr>
        <xdr:cNvPr id="17" name="Straight Arrow Connector 16">
          <a:extLst>
            <a:ext uri="{FF2B5EF4-FFF2-40B4-BE49-F238E27FC236}">
              <a16:creationId xmlns:a16="http://schemas.microsoft.com/office/drawing/2014/main" id="{0DEDCA55-6B7E-48D7-9C03-2E8CFD234541}"/>
            </a:ext>
          </a:extLst>
        </xdr:cNvPr>
        <xdr:cNvCxnSpPr/>
      </xdr:nvCxnSpPr>
      <xdr:spPr>
        <a:xfrm>
          <a:off x="17175596" y="2823882"/>
          <a:ext cx="118703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56030</xdr:colOff>
      <xdr:row>16</xdr:row>
      <xdr:rowOff>46503</xdr:rowOff>
    </xdr:from>
    <xdr:to>
      <xdr:col>36</xdr:col>
      <xdr:colOff>816125</xdr:colOff>
      <xdr:row>28</xdr:row>
      <xdr:rowOff>123264</xdr:rowOff>
    </xdr:to>
    <xdr:cxnSp macro="">
      <xdr:nvCxnSpPr>
        <xdr:cNvPr id="20" name="Connector: Elbow 19">
          <a:extLst>
            <a:ext uri="{FF2B5EF4-FFF2-40B4-BE49-F238E27FC236}">
              <a16:creationId xmlns:a16="http://schemas.microsoft.com/office/drawing/2014/main" id="{355554C8-1972-48D7-886F-2EDF16F74704}"/>
            </a:ext>
          </a:extLst>
        </xdr:cNvPr>
        <xdr:cNvCxnSpPr/>
      </xdr:nvCxnSpPr>
      <xdr:spPr>
        <a:xfrm rot="10800000" flipV="1">
          <a:off x="17257059" y="2892797"/>
          <a:ext cx="8727478" cy="2306732"/>
        </a:xfrm>
        <a:prstGeom prst="bentConnector3">
          <a:avLst>
            <a:gd name="adj1" fmla="val 53"/>
          </a:avLst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403411</xdr:colOff>
      <xdr:row>4</xdr:row>
      <xdr:rowOff>226022</xdr:rowOff>
    </xdr:from>
    <xdr:to>
      <xdr:col>30</xdr:col>
      <xdr:colOff>403411</xdr:colOff>
      <xdr:row>7</xdr:row>
      <xdr:rowOff>179294</xdr:rowOff>
    </xdr:to>
    <xdr:cxnSp macro="">
      <xdr:nvCxnSpPr>
        <xdr:cNvPr id="5" name="Straight Arrow Connector 4">
          <a:extLst>
            <a:ext uri="{FF2B5EF4-FFF2-40B4-BE49-F238E27FC236}">
              <a16:creationId xmlns:a16="http://schemas.microsoft.com/office/drawing/2014/main" id="{0FD6225A-1B03-492E-BEFB-ADF72D134E23}"/>
            </a:ext>
          </a:extLst>
        </xdr:cNvPr>
        <xdr:cNvCxnSpPr/>
      </xdr:nvCxnSpPr>
      <xdr:spPr>
        <a:xfrm>
          <a:off x="19386176" y="775110"/>
          <a:ext cx="0" cy="55839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403411</xdr:colOff>
      <xdr:row>11</xdr:row>
      <xdr:rowOff>226022</xdr:rowOff>
    </xdr:from>
    <xdr:to>
      <xdr:col>38</xdr:col>
      <xdr:colOff>403411</xdr:colOff>
      <xdr:row>14</xdr:row>
      <xdr:rowOff>179294</xdr:rowOff>
    </xdr:to>
    <xdr:cxnSp macro="">
      <xdr:nvCxnSpPr>
        <xdr:cNvPr id="16" name="Straight Arrow Connector 15">
          <a:extLst>
            <a:ext uri="{FF2B5EF4-FFF2-40B4-BE49-F238E27FC236}">
              <a16:creationId xmlns:a16="http://schemas.microsoft.com/office/drawing/2014/main" id="{0A447291-43B7-483D-AA09-0C47D6A5B4C8}"/>
            </a:ext>
          </a:extLst>
        </xdr:cNvPr>
        <xdr:cNvCxnSpPr/>
      </xdr:nvCxnSpPr>
      <xdr:spPr>
        <a:xfrm>
          <a:off x="21847660" y="756060"/>
          <a:ext cx="0" cy="553123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1053465</xdr:colOff>
      <xdr:row>51</xdr:row>
      <xdr:rowOff>120967</xdr:rowOff>
    </xdr:from>
    <xdr:to>
      <xdr:col>10</xdr:col>
      <xdr:colOff>373380</xdr:colOff>
      <xdr:row>66</xdr:row>
      <xdr:rowOff>153352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F4158E6-A423-32F6-25D1-D631818EB6A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369095</xdr:colOff>
      <xdr:row>27</xdr:row>
      <xdr:rowOff>20004</xdr:rowOff>
    </xdr:from>
    <xdr:to>
      <xdr:col>8</xdr:col>
      <xdr:colOff>912495</xdr:colOff>
      <xdr:row>31</xdr:row>
      <xdr:rowOff>13812</xdr:rowOff>
    </xdr:to>
    <xdr:sp macro="[0]!MLSP" textlink="">
      <xdr:nvSpPr>
        <xdr:cNvPr id="3" name="Rectangle 2">
          <a:extLst>
            <a:ext uri="{FF2B5EF4-FFF2-40B4-BE49-F238E27FC236}">
              <a16:creationId xmlns:a16="http://schemas.microsoft.com/office/drawing/2014/main" id="{45B4D0D9-6D31-C602-4C24-00E82BA07AC5}"/>
            </a:ext>
          </a:extLst>
        </xdr:cNvPr>
        <xdr:cNvSpPr/>
      </xdr:nvSpPr>
      <xdr:spPr>
        <a:xfrm>
          <a:off x="5905501" y="5830254"/>
          <a:ext cx="2853213" cy="743902"/>
        </a:xfrm>
        <a:prstGeom prst="rect">
          <a:avLst/>
        </a:prstGeom>
        <a:solidFill>
          <a:schemeClr val="bg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>
              <a:solidFill>
                <a:schemeClr val="tx1"/>
              </a:solidFill>
            </a:rPr>
            <a:t>Calculate Minimum Laccase Selling Price (Based on rows 22-32)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259080</xdr:colOff>
      <xdr:row>28</xdr:row>
      <xdr:rowOff>11430</xdr:rowOff>
    </xdr:from>
    <xdr:to>
      <xdr:col>17</xdr:col>
      <xdr:colOff>365760</xdr:colOff>
      <xdr:row>43</xdr:row>
      <xdr:rowOff>11430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D349ABD-D237-AC53-1884-02B4B161B80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1209675</xdr:colOff>
      <xdr:row>36</xdr:row>
      <xdr:rowOff>53340</xdr:rowOff>
    </xdr:from>
    <xdr:to>
      <xdr:col>9</xdr:col>
      <xdr:colOff>9525</xdr:colOff>
      <xdr:row>51</xdr:row>
      <xdr:rowOff>53340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2A307361-DA11-AF0E-D874-C71631F3FE0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228600</xdr:colOff>
      <xdr:row>36</xdr:row>
      <xdr:rowOff>40005</xdr:rowOff>
    </xdr:from>
    <xdr:to>
      <xdr:col>4</xdr:col>
      <xdr:colOff>1095375</xdr:colOff>
      <xdr:row>51</xdr:row>
      <xdr:rowOff>40005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E99EC7E-CACE-6CDE-C805-D6F883CDA74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17</xdr:col>
      <xdr:colOff>510540</xdr:colOff>
      <xdr:row>27</xdr:row>
      <xdr:rowOff>179070</xdr:rowOff>
    </xdr:from>
    <xdr:to>
      <xdr:col>24</xdr:col>
      <xdr:colOff>236220</xdr:colOff>
      <xdr:row>42</xdr:row>
      <xdr:rowOff>179070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F5CC966A-208E-DCCA-27BB-882FEB24DB8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31</xdr:col>
      <xdr:colOff>295833</xdr:colOff>
      <xdr:row>27</xdr:row>
      <xdr:rowOff>111443</xdr:rowOff>
    </xdr:from>
    <xdr:to>
      <xdr:col>36</xdr:col>
      <xdr:colOff>169544</xdr:colOff>
      <xdr:row>43</xdr:row>
      <xdr:rowOff>89647</xdr:rowOff>
    </xdr:to>
    <xdr:grpSp>
      <xdr:nvGrpSpPr>
        <xdr:cNvPr id="11" name="Group 10">
          <a:extLst>
            <a:ext uri="{FF2B5EF4-FFF2-40B4-BE49-F238E27FC236}">
              <a16:creationId xmlns:a16="http://schemas.microsoft.com/office/drawing/2014/main" id="{0881ECD4-929A-EE7D-3AC4-E71920EEA5F4}"/>
            </a:ext>
          </a:extLst>
        </xdr:cNvPr>
        <xdr:cNvGrpSpPr/>
      </xdr:nvGrpSpPr>
      <xdr:grpSpPr>
        <a:xfrm>
          <a:off x="24509971" y="5588318"/>
          <a:ext cx="5044198" cy="2832529"/>
          <a:chOff x="25411008" y="4476024"/>
          <a:chExt cx="4966123" cy="2865137"/>
        </a:xfrm>
      </xdr:grpSpPr>
      <xdr:graphicFrame macro="">
        <xdr:nvGraphicFramePr>
          <xdr:cNvPr id="8" name="Chart 7">
            <a:extLst>
              <a:ext uri="{FF2B5EF4-FFF2-40B4-BE49-F238E27FC236}">
                <a16:creationId xmlns:a16="http://schemas.microsoft.com/office/drawing/2014/main" id="{3405DBDE-B92F-6B4B-F41A-A169FDA4467D}"/>
              </a:ext>
            </a:extLst>
          </xdr:cNvPr>
          <xdr:cNvGraphicFramePr/>
        </xdr:nvGraphicFramePr>
        <xdr:xfrm>
          <a:off x="25411008" y="4476024"/>
          <a:ext cx="4966123" cy="2865137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5"/>
          </a:graphicData>
        </a:graphic>
      </xdr:graphicFrame>
      <xdr:cxnSp macro="">
        <xdr:nvCxnSpPr>
          <xdr:cNvPr id="10" name="Straight Connector 9">
            <a:extLst>
              <a:ext uri="{FF2B5EF4-FFF2-40B4-BE49-F238E27FC236}">
                <a16:creationId xmlns:a16="http://schemas.microsoft.com/office/drawing/2014/main" id="{541C10BC-B092-8474-9D48-A29C4F5BD1DA}"/>
              </a:ext>
            </a:extLst>
          </xdr:cNvPr>
          <xdr:cNvCxnSpPr/>
        </xdr:nvCxnSpPr>
        <xdr:spPr>
          <a:xfrm flipV="1">
            <a:off x="26722248" y="4636756"/>
            <a:ext cx="0" cy="2117969"/>
          </a:xfrm>
          <a:prstGeom prst="line">
            <a:avLst/>
          </a:prstGeom>
          <a:ln w="952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207645</xdr:colOff>
      <xdr:row>307</xdr:row>
      <xdr:rowOff>132397</xdr:rowOff>
    </xdr:from>
    <xdr:to>
      <xdr:col>34</xdr:col>
      <xdr:colOff>512445</xdr:colOff>
      <xdr:row>322</xdr:row>
      <xdr:rowOff>159067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821B816-7E27-1A47-5979-A2BBACCF190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28</xdr:col>
      <xdr:colOff>454342</xdr:colOff>
      <xdr:row>271</xdr:row>
      <xdr:rowOff>21907</xdr:rowOff>
    </xdr:from>
    <xdr:to>
      <xdr:col>36</xdr:col>
      <xdr:colOff>151923</xdr:colOff>
      <xdr:row>286</xdr:row>
      <xdr:rowOff>29526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44068B5D-EDF0-C927-1CDE-D3B28454065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28</xdr:col>
      <xdr:colOff>368617</xdr:colOff>
      <xdr:row>234</xdr:row>
      <xdr:rowOff>178117</xdr:rowOff>
    </xdr:from>
    <xdr:to>
      <xdr:col>36</xdr:col>
      <xdr:colOff>63817</xdr:colOff>
      <xdr:row>250</xdr:row>
      <xdr:rowOff>952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F05C0AF2-0C38-7C32-B0D4-5F0F7E800C4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28</xdr:col>
      <xdr:colOff>420528</xdr:colOff>
      <xdr:row>55</xdr:row>
      <xdr:rowOff>167163</xdr:rowOff>
    </xdr:from>
    <xdr:to>
      <xdr:col>36</xdr:col>
      <xdr:colOff>115728</xdr:colOff>
      <xdr:row>70</xdr:row>
      <xdr:rowOff>165258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CD1723FF-2EE7-A35E-6CEB-4DCA6724F31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29</xdr:col>
      <xdr:colOff>16191</xdr:colOff>
      <xdr:row>19</xdr:row>
      <xdr:rowOff>156687</xdr:rowOff>
    </xdr:from>
    <xdr:to>
      <xdr:col>36</xdr:col>
      <xdr:colOff>320991</xdr:colOff>
      <xdr:row>34</xdr:row>
      <xdr:rowOff>152876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44BBC3B1-CC5D-D989-2B21-BF5723A13C2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27</xdr:col>
      <xdr:colOff>152400</xdr:colOff>
      <xdr:row>289</xdr:row>
      <xdr:rowOff>81915</xdr:rowOff>
    </xdr:from>
    <xdr:to>
      <xdr:col>34</xdr:col>
      <xdr:colOff>454819</xdr:colOff>
      <xdr:row>304</xdr:row>
      <xdr:rowOff>62865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192E3F15-52FF-6001-BFA2-BB0723D4C07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26</xdr:col>
      <xdr:colOff>571500</xdr:colOff>
      <xdr:row>253</xdr:row>
      <xdr:rowOff>22384</xdr:rowOff>
    </xdr:from>
    <xdr:to>
      <xdr:col>34</xdr:col>
      <xdr:colOff>266700</xdr:colOff>
      <xdr:row>268</xdr:row>
      <xdr:rowOff>3334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40F7ACDE-AFA0-7DA8-80FD-38043CF7C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28</xdr:col>
      <xdr:colOff>442912</xdr:colOff>
      <xdr:row>217</xdr:row>
      <xdr:rowOff>67627</xdr:rowOff>
    </xdr:from>
    <xdr:to>
      <xdr:col>36</xdr:col>
      <xdr:colOff>140493</xdr:colOff>
      <xdr:row>232</xdr:row>
      <xdr:rowOff>58102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CEB55950-57FA-C870-E1DC-94D9436867C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26</xdr:col>
      <xdr:colOff>335280</xdr:colOff>
      <xdr:row>198</xdr:row>
      <xdr:rowOff>110490</xdr:rowOff>
    </xdr:from>
    <xdr:to>
      <xdr:col>34</xdr:col>
      <xdr:colOff>30480</xdr:colOff>
      <xdr:row>213</xdr:row>
      <xdr:rowOff>95250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134723A0-65DF-DE10-77E0-3A6327195AF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28</xdr:col>
      <xdr:colOff>397669</xdr:colOff>
      <xdr:row>181</xdr:row>
      <xdr:rowOff>27146</xdr:rowOff>
    </xdr:from>
    <xdr:to>
      <xdr:col>36</xdr:col>
      <xdr:colOff>95250</xdr:colOff>
      <xdr:row>196</xdr:row>
      <xdr:rowOff>17621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E994075C-25E7-C7D1-8BAB-0D6A08571E9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28</xdr:col>
      <xdr:colOff>404812</xdr:colOff>
      <xdr:row>163</xdr:row>
      <xdr:rowOff>120015</xdr:rowOff>
    </xdr:from>
    <xdr:to>
      <xdr:col>36</xdr:col>
      <xdr:colOff>100012</xdr:colOff>
      <xdr:row>178</xdr:row>
      <xdr:rowOff>100965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45D9AA9F-6A56-1B22-1068-6B011D7BBDF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28</xdr:col>
      <xdr:colOff>280987</xdr:colOff>
      <xdr:row>145</xdr:row>
      <xdr:rowOff>86677</xdr:rowOff>
    </xdr:from>
    <xdr:to>
      <xdr:col>35</xdr:col>
      <xdr:colOff>583406</xdr:colOff>
      <xdr:row>160</xdr:row>
      <xdr:rowOff>77152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4190601F-25FA-517B-62D1-DDBB6516C70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29</xdr:col>
      <xdr:colOff>7619</xdr:colOff>
      <xdr:row>128</xdr:row>
      <xdr:rowOff>59531</xdr:rowOff>
    </xdr:from>
    <xdr:to>
      <xdr:col>36</xdr:col>
      <xdr:colOff>310038</xdr:colOff>
      <xdr:row>143</xdr:row>
      <xdr:rowOff>61436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81E1FFCA-4C9F-2E5D-DC49-1C5C860BA59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35</xdr:col>
      <xdr:colOff>53340</xdr:colOff>
      <xdr:row>109</xdr:row>
      <xdr:rowOff>139541</xdr:rowOff>
    </xdr:from>
    <xdr:to>
      <xdr:col>42</xdr:col>
      <xdr:colOff>360045</xdr:colOff>
      <xdr:row>124</xdr:row>
      <xdr:rowOff>124301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1FCD9BA2-241E-ACB5-05CA-5A7C34FC01C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28</xdr:col>
      <xdr:colOff>357187</xdr:colOff>
      <xdr:row>91</xdr:row>
      <xdr:rowOff>120015</xdr:rowOff>
    </xdr:from>
    <xdr:to>
      <xdr:col>36</xdr:col>
      <xdr:colOff>54768</xdr:colOff>
      <xdr:row>106</xdr:row>
      <xdr:rowOff>100965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57FCBB37-5D66-DEB3-DC3E-89DEB57EBBE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30</xdr:col>
      <xdr:colOff>59532</xdr:colOff>
      <xdr:row>73</xdr:row>
      <xdr:rowOff>153352</xdr:rowOff>
    </xdr:from>
    <xdr:to>
      <xdr:col>37</xdr:col>
      <xdr:colOff>364331</xdr:colOff>
      <xdr:row>88</xdr:row>
      <xdr:rowOff>134302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978C9257-7ACC-5804-61AE-23E428C570A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26</xdr:col>
      <xdr:colOff>571500</xdr:colOff>
      <xdr:row>36</xdr:row>
      <xdr:rowOff>125730</xdr:rowOff>
    </xdr:from>
    <xdr:to>
      <xdr:col>34</xdr:col>
      <xdr:colOff>266700</xdr:colOff>
      <xdr:row>51</xdr:row>
      <xdr:rowOff>110490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F18FF083-D4F8-C20E-1EBF-9DABF992FCA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32</xdr:col>
      <xdr:colOff>276700</xdr:colOff>
      <xdr:row>2</xdr:row>
      <xdr:rowOff>22384</xdr:rowOff>
    </xdr:from>
    <xdr:to>
      <xdr:col>39</xdr:col>
      <xdr:colOff>584834</xdr:colOff>
      <xdr:row>16</xdr:row>
      <xdr:rowOff>122873</xdr:rowOff>
    </xdr:to>
    <xdr:graphicFrame macro="">
      <xdr:nvGraphicFramePr>
        <xdr:cNvPr id="21" name="Chart 20">
          <a:extLst>
            <a:ext uri="{FF2B5EF4-FFF2-40B4-BE49-F238E27FC236}">
              <a16:creationId xmlns:a16="http://schemas.microsoft.com/office/drawing/2014/main" id="{DCC0B26A-1C8A-9A35-61F8-F913C830021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AB362F9-28BB-4874-8D19-802BF854F17C}" name="Table1" displayName="Table1" ref="B2:R27" totalsRowCount="1" headerRowDxfId="38" dataDxfId="36" headerRowBorderDxfId="37" tableBorderDxfId="35" totalsRowBorderDxfId="34">
  <autoFilter ref="B2:R26" xr:uid="{3AB362F9-28BB-4874-8D19-802BF854F17C}"/>
  <tableColumns count="17">
    <tableColumn id="1" xr3:uid="{74458032-9E3C-445C-A66F-5B23681BBA1F}" name="Equip. ID" dataDxfId="33" totalsRowDxfId="32"/>
    <tableColumn id="2" xr3:uid="{04D567B6-2CF8-4CF7-B4A1-A64A5520738D}" name="Equipment Title" dataDxfId="31" totalsRowDxfId="30"/>
    <tableColumn id="3" xr3:uid="{4AFBFBFA-E240-4CBF-99DB-1408D6AA2998}" name="Source" dataDxfId="29" totalsRowDxfId="28"/>
    <tableColumn id="4" xr3:uid="{686077D5-6951-4C80-80D9-76408175AD34}" name="Description" dataDxfId="27" totalsRowDxfId="26"/>
    <tableColumn id="5" xr3:uid="{7F644A78-272A-4416-BBCF-E6D8E3C4A50B}" name="Max size" dataDxfId="25" totalsRowDxfId="24"/>
    <tableColumn id="6" xr3:uid="{3757D00E-2AB2-4273-85FA-B6111B9A9C53}" name="Size Needed" dataDxfId="23" totalsRowDxfId="22"/>
    <tableColumn id="7" xr3:uid="{36FA8FF9-3920-405B-8B55-E20B973D3EA0}" name="Units" dataDxfId="21" totalsRowDxfId="20"/>
    <tableColumn id="8" xr3:uid="{2740C03D-2616-47B6-956B-4F28F17CBE2E}" name="# Needed" dataDxfId="19" totalsRowDxfId="18"/>
    <tableColumn id="9" xr3:uid="{E31CBC23-0BCC-420C-885C-A30AF7195D7D}" name="Unit size" dataDxfId="17" totalsRowDxfId="16"/>
    <tableColumn id="10" xr3:uid="{9CD883AB-C8D0-4416-8381-D5285F8D31A1}" name="CEPCI" dataDxfId="15" totalsRowDxfId="14"/>
    <tableColumn id="11" xr3:uid="{29DF4D3B-E2F7-4614-8930-08FBFFC68556}" name="Reference Year" dataDxfId="13" totalsRowDxfId="12"/>
    <tableColumn id="12" xr3:uid="{470903CC-C906-4533-855E-EFA31E034093}" name="Reference CEPCI" dataDxfId="11" totalsRowDxfId="10"/>
    <tableColumn id="13" xr3:uid="{34D75799-8B57-42C0-A3D7-2723876C00BE}" name="Reference Size" dataDxfId="9" totalsRowDxfId="8"/>
    <tableColumn id="14" xr3:uid="{1D517F1A-F53C-464C-B8EE-860D1677E94E}" name="Reference Cost" dataDxfId="7" totalsRowDxfId="6"/>
    <tableColumn id="15" xr3:uid="{F6C4A4E5-F8CC-4E3C-BD8A-9C26D0484CEE}" name="Scaling factor" dataDxfId="5" totalsRowDxfId="4"/>
    <tableColumn id="16" xr3:uid="{ADEA92B1-1837-4F2F-B3DE-1B26E46487F3}" name="Old Cost" dataDxfId="3" totalsRowDxfId="2">
      <calculatedColumnFormula>(J3/N3)^P3 * O3</calculatedColumnFormula>
    </tableColumn>
    <tableColumn id="17" xr3:uid="{839CDBBE-E589-45D7-B1E2-0025824902AB}" name="New Purchase Cost" dataDxfId="1" totalsRowDxfId="0" dataCellStyle="Currency">
      <calculatedColumnFormula>Q3*(K3/M3)*Table1[[#This Row],['# Needed]]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alibaba.com/product-detail/Solidpack-Automatic-home-care-liquid-1_1600371645904.html?spm=a2700.galleryofferlist.p_offer.d_title.26277f5eiSD0YX&amp;s=p" TargetMode="External"/><Relationship Id="rId3" Type="http://schemas.openxmlformats.org/officeDocument/2006/relationships/hyperlink" Target="https://www.nrel.gov/docs/fy11osti/46586.pdf" TargetMode="External"/><Relationship Id="rId7" Type="http://schemas.openxmlformats.org/officeDocument/2006/relationships/hyperlink" Target="https://onlinelibrary.wiley.com/doi/pdf/10.1002/9783527611119.app4" TargetMode="External"/><Relationship Id="rId2" Type="http://schemas.openxmlformats.org/officeDocument/2006/relationships/hyperlink" Target="https://www.sciencedirect.com/science/article/pii/S001191642100480X" TargetMode="External"/><Relationship Id="rId1" Type="http://schemas.openxmlformats.org/officeDocument/2006/relationships/hyperlink" Target="https://www.sciencedirect.com/science/article/pii/S0011916406013300" TargetMode="External"/><Relationship Id="rId6" Type="http://schemas.openxmlformats.org/officeDocument/2006/relationships/hyperlink" Target="https://onlinelibrary.wiley.com/doi/pdf/10.1002/9783527611119.app4" TargetMode="External"/><Relationship Id="rId5" Type="http://schemas.openxmlformats.org/officeDocument/2006/relationships/hyperlink" Target="https://www.mdpi.com/2311-5637/5/2/30" TargetMode="External"/><Relationship Id="rId4" Type="http://schemas.openxmlformats.org/officeDocument/2006/relationships/hyperlink" Target="https://www.alibaba.com/product-detail/Easy-To-Operation-mezcladora-de-abonos_62402362257.html?spm=a2700.details.0.0.3b5fc7b2itSrof" TargetMode="External"/><Relationship Id="rId9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alibaba.com/product-detail/Factory-Supply-HALAL-high-quality-best_1600892198756.html?spm=a2700.7735675.0.0.6bd0ha7lha7ldR" TargetMode="External"/><Relationship Id="rId13" Type="http://schemas.openxmlformats.org/officeDocument/2006/relationships/hyperlink" Target="https://www.alibaba.com/product-detail/Solidpack-Automatic-home-care-liquid-1_1600371645904.html?spm=a2700.galleryofferlist.p_offer.d_title.26277f5eiSD0YX&amp;s=p" TargetMode="External"/><Relationship Id="rId3" Type="http://schemas.openxmlformats.org/officeDocument/2006/relationships/hyperlink" Target="https://www.sparksbelting.com/cd/calculator_sliderbed.html" TargetMode="External"/><Relationship Id="rId7" Type="http://schemas.openxmlformats.org/officeDocument/2006/relationships/hyperlink" Target="https://www.sciencedirect.com/science/article/pii/S001191642100480X.%20Cost%20adjusted%20as%20well" TargetMode="External"/><Relationship Id="rId12" Type="http://schemas.openxmlformats.org/officeDocument/2006/relationships/hyperlink" Target="https://www.alibaba.com/product-detail/Jiuchong-Fertilizer-Price-MgSO4-7H2O-Magnesium_1600981493179.html?spm=a2700.galleryofferlist.p_offer.d_image.7e3844e3t9VrX2&amp;s=p" TargetMode="External"/><Relationship Id="rId2" Type="http://schemas.openxmlformats.org/officeDocument/2006/relationships/hyperlink" Target="https://www.alibaba.com/product-detail/Easy-To-Operation-mezcladora-de-abonos_62402362257.html?spm=a2700.details.0.0.3b5fc7b2itSrof" TargetMode="External"/><Relationship Id="rId1" Type="http://schemas.openxmlformats.org/officeDocument/2006/relationships/hyperlink" Target="https://www.sciencedirect.com/science/article/pii/S0926669010003365" TargetMode="External"/><Relationship Id="rId6" Type="http://schemas.openxmlformats.org/officeDocument/2006/relationships/hyperlink" Target="https://www.sciencedirect.com/science/article/pii/S0011916406013300" TargetMode="External"/><Relationship Id="rId11" Type="http://schemas.openxmlformats.org/officeDocument/2006/relationships/hyperlink" Target="https://www.alibaba.com/product-detail/Supply-Calcium-Chloride-For-Pools-CAS10035_1600945523319.html?spm=a2700.galleryofferlist.p_offer.d_image.69f2270foYHUbL&amp;s=p" TargetMode="External"/><Relationship Id="rId5" Type="http://schemas.openxmlformats.org/officeDocument/2006/relationships/hyperlink" Target="https://onlinelibrary.wiley.com/doi/10.1002/ceat.201800292%20For%20our%20scales,%2012%20kW%20can%20be%20used.%202x%20multiplier%20because%20they%20said%20that%20their%20energy%20reduction%20is%2050%25,%20which%20we%20won't%20account%20for%20in%20this%20analysis." TargetMode="External"/><Relationship Id="rId10" Type="http://schemas.openxmlformats.org/officeDocument/2006/relationships/hyperlink" Target="https://www.alibaba.com/product-detail/JRZ-Copper-Sulfate-CuSO4-5H2O-Crystal_649316840.html?spm=a2700.galleryofferlist.p_offer.d_image.6880125a8dSol9&amp;s=p" TargetMode="External"/><Relationship Id="rId4" Type="http://schemas.openxmlformats.org/officeDocument/2006/relationships/hyperlink" Target="https://www.mk-technology.com/?pageID=166" TargetMode="External"/><Relationship Id="rId9" Type="http://schemas.openxmlformats.org/officeDocument/2006/relationships/hyperlink" Target="https://www.alibaba.com/product-detail/CAS-No-7758-11-4-K2HPO4_1600574493131.html?s=p" TargetMode="External"/><Relationship Id="rId14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s://pressbooks.bccampus.ca/chbe220/chapter/lang-factor-and-return-on-investment/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B65E2-2F40-4936-923E-680533AB9BF4}">
  <sheetPr codeName="Sheet1"/>
  <dimension ref="A1:AX44"/>
  <sheetViews>
    <sheetView tabSelected="1" topLeftCell="J1" zoomScale="70" zoomScaleNormal="70" workbookViewId="0">
      <selection activeCell="T33" sqref="T33"/>
    </sheetView>
  </sheetViews>
  <sheetFormatPr defaultRowHeight="14.5" x14ac:dyDescent="0.35"/>
  <cols>
    <col min="2" max="2" width="19.1796875" customWidth="1"/>
    <col min="3" max="3" width="12" bestFit="1" customWidth="1"/>
    <col min="4" max="4" width="20.90625" customWidth="1"/>
    <col min="5" max="5" width="22.453125" bestFit="1" customWidth="1"/>
    <col min="6" max="6" width="16.1796875" customWidth="1"/>
    <col min="7" max="7" width="13.453125" bestFit="1" customWidth="1"/>
    <col min="10" max="10" width="10" customWidth="1"/>
    <col min="12" max="12" width="9.453125" customWidth="1"/>
    <col min="13" max="13" width="11" customWidth="1"/>
    <col min="15" max="15" width="7.81640625" customWidth="1"/>
    <col min="16" max="16" width="11.6328125" customWidth="1"/>
    <col min="17" max="17" width="10.453125" customWidth="1"/>
    <col min="18" max="18" width="9.90625" customWidth="1"/>
    <col min="19" max="19" width="11.36328125" customWidth="1"/>
    <col min="22" max="22" width="12" bestFit="1" customWidth="1"/>
    <col min="24" max="24" width="12" bestFit="1" customWidth="1"/>
    <col min="25" max="25" width="11.36328125" customWidth="1"/>
    <col min="27" max="27" width="8.54296875" customWidth="1"/>
    <col min="28" max="28" width="11.1796875" bestFit="1" customWidth="1"/>
    <col min="31" max="31" width="11.1796875" customWidth="1"/>
    <col min="33" max="33" width="11.6328125" customWidth="1"/>
    <col min="34" max="34" width="12" customWidth="1"/>
    <col min="37" max="37" width="11.90625" customWidth="1"/>
    <col min="39" max="39" width="11.08984375" customWidth="1"/>
    <col min="40" max="40" width="12" customWidth="1"/>
    <col min="42" max="42" width="10.08984375" customWidth="1"/>
    <col min="43" max="43" width="9.453125" customWidth="1"/>
  </cols>
  <sheetData>
    <row r="1" spans="1:50" s="6" customFormat="1" x14ac:dyDescent="0.35">
      <c r="C1" s="58" t="s">
        <v>99</v>
      </c>
      <c r="D1" s="58" t="s">
        <v>432</v>
      </c>
      <c r="E1" s="58" t="s">
        <v>422</v>
      </c>
      <c r="F1" s="58" t="s">
        <v>434</v>
      </c>
      <c r="G1" s="58" t="s">
        <v>192</v>
      </c>
    </row>
    <row r="2" spans="1:50" x14ac:dyDescent="0.35">
      <c r="A2" s="6"/>
      <c r="B2" s="6"/>
      <c r="C2" s="150">
        <v>4</v>
      </c>
      <c r="D2" s="150">
        <v>4</v>
      </c>
      <c r="E2" s="150">
        <v>7.44</v>
      </c>
      <c r="F2" s="41">
        <v>221</v>
      </c>
      <c r="G2" s="41">
        <v>1097</v>
      </c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</row>
    <row r="3" spans="1:50" x14ac:dyDescent="0.3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</row>
    <row r="4" spans="1:50" ht="15" thickBot="1" x14ac:dyDescent="0.4">
      <c r="A4" s="6"/>
      <c r="B4" s="6"/>
      <c r="C4" s="6"/>
      <c r="D4" s="6"/>
      <c r="E4" s="6"/>
      <c r="F4" s="6"/>
      <c r="G4" s="6"/>
      <c r="H4" s="6"/>
      <c r="I4" s="7" t="s">
        <v>1</v>
      </c>
      <c r="J4" s="21">
        <f>C6*1.074</f>
        <v>8592</v>
      </c>
      <c r="K4" s="22" t="s">
        <v>2</v>
      </c>
      <c r="L4" s="6"/>
      <c r="M4" s="6"/>
      <c r="N4" s="6"/>
      <c r="O4" s="6"/>
      <c r="Q4" s="6"/>
      <c r="R4" s="6"/>
      <c r="S4" s="6"/>
      <c r="T4" s="6"/>
      <c r="U4" s="7" t="s">
        <v>11</v>
      </c>
      <c r="V4" s="34">
        <f>J4*C8</f>
        <v>2148</v>
      </c>
      <c r="W4" s="22" t="s">
        <v>2</v>
      </c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</row>
    <row r="5" spans="1:50" ht="16" thickBot="1" x14ac:dyDescent="0.4">
      <c r="A5" s="6"/>
      <c r="B5" s="277" t="s">
        <v>113</v>
      </c>
      <c r="C5" s="278"/>
      <c r="D5" s="279"/>
      <c r="E5" s="6"/>
      <c r="F5" s="6"/>
      <c r="H5" s="6"/>
      <c r="I5" s="6"/>
      <c r="J5" s="23">
        <f>J4*0.85</f>
        <v>7303.2</v>
      </c>
      <c r="K5" s="24" t="s">
        <v>3</v>
      </c>
      <c r="L5" s="8" t="s">
        <v>5</v>
      </c>
      <c r="M5" s="6"/>
      <c r="N5" s="6"/>
      <c r="O5" s="6"/>
      <c r="P5" s="6"/>
      <c r="Q5" s="6"/>
      <c r="R5" s="6"/>
      <c r="S5" s="6"/>
      <c r="T5" s="6"/>
      <c r="U5" s="6"/>
      <c r="V5" s="200">
        <f>'Operating Costs'!I31</f>
        <v>4600.5012137121803</v>
      </c>
      <c r="W5" s="25" t="s">
        <v>9</v>
      </c>
      <c r="X5" s="6"/>
      <c r="Y5" s="6"/>
      <c r="Z5" s="6"/>
      <c r="AA5" s="6"/>
      <c r="AB5" s="6"/>
      <c r="AC5" s="6"/>
      <c r="AD5" s="6"/>
      <c r="AE5" s="11" t="s">
        <v>28</v>
      </c>
      <c r="AF5" s="28">
        <f>C6*23.33/2</f>
        <v>93320</v>
      </c>
      <c r="AG5" s="22" t="s">
        <v>16</v>
      </c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</row>
    <row r="6" spans="1:50" x14ac:dyDescent="0.35">
      <c r="A6" s="6"/>
      <c r="B6" s="68" t="s">
        <v>19</v>
      </c>
      <c r="C6" s="72">
        <v>8000</v>
      </c>
      <c r="D6" s="69" t="s">
        <v>20</v>
      </c>
      <c r="E6" t="s">
        <v>139</v>
      </c>
      <c r="F6" s="67"/>
      <c r="G6" s="67"/>
      <c r="H6" s="6"/>
      <c r="I6" s="6"/>
      <c r="J6" s="23">
        <f>J4-J5</f>
        <v>1288.8000000000002</v>
      </c>
      <c r="K6" s="24" t="s">
        <v>4</v>
      </c>
      <c r="M6" s="26">
        <f>J5/0.25 - J6</f>
        <v>27924</v>
      </c>
      <c r="N6" s="27" t="s">
        <v>2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200">
        <f>'Operating Costs'!I24</f>
        <v>3.6373199999999999</v>
      </c>
      <c r="AG6" s="25" t="s">
        <v>9</v>
      </c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</row>
    <row r="7" spans="1:50" ht="15" customHeight="1" thickBot="1" x14ac:dyDescent="0.4">
      <c r="A7" s="6"/>
      <c r="B7" s="70" t="s">
        <v>129</v>
      </c>
      <c r="C7" s="73">
        <f>E2</f>
        <v>7.44</v>
      </c>
      <c r="D7" s="71" t="s">
        <v>130</v>
      </c>
      <c r="E7" s="6"/>
      <c r="F7" s="6"/>
      <c r="G7" s="6"/>
      <c r="H7" s="6"/>
      <c r="I7" s="6"/>
      <c r="J7" s="199">
        <f>'Operating Costs'!I34</f>
        <v>1095.48</v>
      </c>
      <c r="K7" s="25" t="s">
        <v>9</v>
      </c>
      <c r="L7" s="6"/>
      <c r="M7" s="200">
        <f>SUM('Operating Costs'!I26,'Operating Costs'!I27,'Operating Costs'!I28,'Operating Costs'!I29,'Operating Costs'!I30)</f>
        <v>1752.0657089846065</v>
      </c>
      <c r="N7" s="25" t="s">
        <v>9</v>
      </c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</row>
    <row r="8" spans="1:50" ht="15" thickBot="1" x14ac:dyDescent="0.4">
      <c r="A8" s="9"/>
      <c r="B8" s="167" t="s">
        <v>131</v>
      </c>
      <c r="C8" s="168">
        <f>1/D2</f>
        <v>0.25</v>
      </c>
      <c r="D8" s="169" t="s">
        <v>132</v>
      </c>
      <c r="E8" s="6"/>
      <c r="F8" s="123" t="s">
        <v>222</v>
      </c>
      <c r="G8" s="124" t="s">
        <v>223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</row>
    <row r="9" spans="1:50" x14ac:dyDescent="0.35">
      <c r="A9" s="10"/>
      <c r="B9" s="170" t="s">
        <v>50</v>
      </c>
      <c r="C9" s="171">
        <v>201.9</v>
      </c>
      <c r="D9" s="172" t="s">
        <v>51</v>
      </c>
      <c r="E9" s="6"/>
      <c r="F9" s="125" t="s">
        <v>225</v>
      </c>
      <c r="G9" s="126">
        <v>0.85</v>
      </c>
      <c r="H9" s="6"/>
      <c r="I9" s="286" t="s">
        <v>403</v>
      </c>
      <c r="J9" s="287"/>
      <c r="K9" s="33" t="s">
        <v>27</v>
      </c>
      <c r="L9" s="286" t="s">
        <v>0</v>
      </c>
      <c r="M9" s="287"/>
      <c r="N9" s="33" t="s">
        <v>27</v>
      </c>
      <c r="O9" s="282" t="s">
        <v>29</v>
      </c>
      <c r="P9" s="283"/>
      <c r="Q9" s="33" t="s">
        <v>27</v>
      </c>
      <c r="R9" s="282" t="s">
        <v>6</v>
      </c>
      <c r="S9" s="283"/>
      <c r="T9" s="33" t="s">
        <v>27</v>
      </c>
      <c r="U9" s="282" t="s">
        <v>29</v>
      </c>
      <c r="V9" s="283"/>
      <c r="W9" s="33" t="s">
        <v>27</v>
      </c>
      <c r="X9" s="286" t="s">
        <v>10</v>
      </c>
      <c r="Y9" s="287"/>
      <c r="Z9" s="33" t="s">
        <v>27</v>
      </c>
      <c r="AA9" s="282" t="s">
        <v>30</v>
      </c>
      <c r="AB9" s="283"/>
      <c r="AC9" s="51" t="s">
        <v>27</v>
      </c>
      <c r="AD9" s="6"/>
      <c r="AE9" s="286" t="s">
        <v>92</v>
      </c>
      <c r="AF9" s="287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</row>
    <row r="10" spans="1:50" ht="18.649999999999999" customHeight="1" thickBot="1" x14ac:dyDescent="0.4">
      <c r="A10" s="6"/>
      <c r="B10" s="65" t="s">
        <v>102</v>
      </c>
      <c r="C10" s="173">
        <v>15</v>
      </c>
      <c r="D10" s="174" t="s">
        <v>103</v>
      </c>
      <c r="E10" s="6"/>
      <c r="F10" s="127" t="s">
        <v>224</v>
      </c>
      <c r="G10" s="271">
        <f>(IF(G8="Linear",365*24*G9/Scheduling!C21,IF(C7*24&gt;AE18,365*24*G9/Scheduling!K30,365*24*G9/Scheduling!H30)))</f>
        <v>28.206896029214562</v>
      </c>
      <c r="H10" s="6"/>
      <c r="I10" s="288"/>
      <c r="J10" s="289"/>
      <c r="K10" s="31">
        <f>(J4+M6)*0.99</f>
        <v>36150.839999999997</v>
      </c>
      <c r="L10" s="288"/>
      <c r="M10" s="289"/>
      <c r="N10" s="31">
        <f>K10*0.98</f>
        <v>35427.823199999999</v>
      </c>
      <c r="O10" s="284"/>
      <c r="P10" s="285"/>
      <c r="Q10" s="31">
        <f>N10*0.99</f>
        <v>35073.544968000002</v>
      </c>
      <c r="R10" s="284"/>
      <c r="S10" s="285"/>
      <c r="T10" s="31">
        <f>Q10*0.98</f>
        <v>34372.074068640002</v>
      </c>
      <c r="U10" s="284"/>
      <c r="V10" s="285"/>
      <c r="W10" s="31">
        <f>(T10+V4)*0.99</f>
        <v>36154.873327953603</v>
      </c>
      <c r="X10" s="288"/>
      <c r="Y10" s="289"/>
      <c r="Z10" s="30">
        <f>W10*0.98</f>
        <v>35431.775861394533</v>
      </c>
      <c r="AA10" s="284"/>
      <c r="AB10" s="285"/>
      <c r="AC10" s="30">
        <f>(Z10)*0.99</f>
        <v>35077.458102780591</v>
      </c>
      <c r="AD10" s="6"/>
      <c r="AE10" s="288"/>
      <c r="AF10" s="289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</row>
    <row r="11" spans="1:50" x14ac:dyDescent="0.35">
      <c r="A11" s="6"/>
      <c r="B11" s="170" t="s">
        <v>104</v>
      </c>
      <c r="C11" s="171">
        <v>45</v>
      </c>
      <c r="D11" s="175" t="s">
        <v>103</v>
      </c>
      <c r="E11" s="6"/>
      <c r="F11" s="6"/>
      <c r="G11" s="6"/>
      <c r="H11" s="6"/>
      <c r="I11" s="14" t="s">
        <v>7</v>
      </c>
      <c r="J11" s="14">
        <v>3</v>
      </c>
      <c r="K11" s="19" t="s">
        <v>2</v>
      </c>
      <c r="L11" s="14" t="s">
        <v>7</v>
      </c>
      <c r="M11" s="14">
        <v>1</v>
      </c>
      <c r="N11" s="19" t="s">
        <v>2</v>
      </c>
      <c r="O11" s="14" t="s">
        <v>7</v>
      </c>
      <c r="P11" s="14">
        <v>1</v>
      </c>
      <c r="Q11" s="19" t="s">
        <v>2</v>
      </c>
      <c r="R11" s="14" t="s">
        <v>7</v>
      </c>
      <c r="S11" s="14">
        <v>2</v>
      </c>
      <c r="T11" s="19" t="s">
        <v>2</v>
      </c>
      <c r="U11" s="14" t="s">
        <v>7</v>
      </c>
      <c r="V11" s="14">
        <v>1</v>
      </c>
      <c r="W11" s="29" t="s">
        <v>2</v>
      </c>
      <c r="X11" s="14" t="s">
        <v>7</v>
      </c>
      <c r="Y11" s="14">
        <f>C7*24</f>
        <v>178.56</v>
      </c>
      <c r="Z11" s="29" t="s">
        <v>2</v>
      </c>
      <c r="AA11" s="14" t="s">
        <v>7</v>
      </c>
      <c r="AB11" s="14">
        <v>0.33</v>
      </c>
      <c r="AC11" s="29" t="s">
        <v>2</v>
      </c>
      <c r="AD11" s="6"/>
      <c r="AE11" s="6"/>
      <c r="AF11" s="14" t="s">
        <v>7</v>
      </c>
      <c r="AG11" s="14">
        <v>1</v>
      </c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</row>
    <row r="12" spans="1:50" x14ac:dyDescent="0.35">
      <c r="A12" s="6"/>
      <c r="B12" s="170" t="s">
        <v>105</v>
      </c>
      <c r="C12" s="176">
        <f>C11*C10/10.764</f>
        <v>62.709030100334452</v>
      </c>
      <c r="D12" s="175" t="s">
        <v>106</v>
      </c>
      <c r="E12" s="6"/>
      <c r="F12" s="6"/>
      <c r="G12" s="6"/>
      <c r="H12" s="6"/>
      <c r="I12" s="15" t="s">
        <v>319</v>
      </c>
      <c r="J12" s="74">
        <f>'Equipment List &amp; Purchase Cost'!R3</f>
        <v>57838.45680906401</v>
      </c>
      <c r="K12" s="6"/>
      <c r="L12" s="15" t="s">
        <v>319</v>
      </c>
      <c r="M12" s="75">
        <f>'Equipment List &amp; Purchase Cost'!R4</f>
        <v>87000</v>
      </c>
      <c r="N12" s="6"/>
      <c r="O12" s="15" t="s">
        <v>319</v>
      </c>
      <c r="P12" s="75">
        <f>'Equipment List &amp; Purchase Cost'!R5/2</f>
        <v>89801.581351682806</v>
      </c>
      <c r="Q12" s="6"/>
      <c r="R12" s="15" t="s">
        <v>319</v>
      </c>
      <c r="S12" s="75">
        <f>'Equipment List &amp; Purchase Cost'!R6</f>
        <v>714917.84458997077</v>
      </c>
      <c r="T12" s="6"/>
      <c r="U12" s="15" t="s">
        <v>319</v>
      </c>
      <c r="V12" s="76">
        <f>P12</f>
        <v>89801.581351682806</v>
      </c>
      <c r="W12" s="6"/>
      <c r="X12" s="15" t="s">
        <v>319</v>
      </c>
      <c r="Y12" s="76">
        <f>'Equipment List &amp; Purchase Cost'!R7+'Equipment List &amp; Purchase Cost'!R8</f>
        <v>832941.76265985449</v>
      </c>
      <c r="AA12" s="15" t="s">
        <v>319</v>
      </c>
      <c r="AB12" s="75">
        <f>'Equipment List &amp; Purchase Cost'!R9</f>
        <v>130261.71341047141</v>
      </c>
      <c r="AC12" s="6"/>
      <c r="AD12" s="6"/>
      <c r="AE12" s="6"/>
      <c r="AF12" s="15" t="s">
        <v>319</v>
      </c>
      <c r="AG12" s="75">
        <f>'Equipment List &amp; Purchase Cost'!R25</f>
        <v>122693.8122362062</v>
      </c>
      <c r="AH12" s="6"/>
      <c r="AI12" s="6"/>
      <c r="AJ12" s="6"/>
      <c r="AK12" s="6"/>
      <c r="AL12" s="6"/>
      <c r="AM12" s="11" t="s">
        <v>166</v>
      </c>
      <c r="AN12" s="147">
        <f>AL17*(0.33/0.7)</f>
        <v>1221.6591809478361</v>
      </c>
      <c r="AO12" s="22" t="s">
        <v>16</v>
      </c>
      <c r="AP12" s="6"/>
      <c r="AQ12" s="6"/>
      <c r="AR12" s="6"/>
      <c r="AS12" s="6"/>
      <c r="AT12" s="6"/>
      <c r="AU12" s="6"/>
      <c r="AV12" s="6"/>
      <c r="AW12" s="6"/>
      <c r="AX12" s="6"/>
    </row>
    <row r="13" spans="1:50" x14ac:dyDescent="0.35">
      <c r="A13" s="6"/>
      <c r="B13" s="280" t="s">
        <v>99</v>
      </c>
      <c r="C13" s="177">
        <f>C2</f>
        <v>4</v>
      </c>
      <c r="D13" s="178" t="s">
        <v>100</v>
      </c>
      <c r="E13" s="6"/>
      <c r="F13" s="6"/>
      <c r="G13" s="6"/>
      <c r="H13" s="6"/>
      <c r="I13" s="15" t="s">
        <v>8</v>
      </c>
      <c r="J13" s="38"/>
      <c r="K13" s="131" t="s">
        <v>9</v>
      </c>
      <c r="L13" s="17" t="s">
        <v>8</v>
      </c>
      <c r="M13" s="38"/>
      <c r="N13" s="131" t="s">
        <v>9</v>
      </c>
      <c r="O13" s="17" t="s">
        <v>8</v>
      </c>
      <c r="P13" s="38"/>
      <c r="Q13" s="131" t="s">
        <v>9</v>
      </c>
      <c r="R13" s="17" t="s">
        <v>8</v>
      </c>
      <c r="S13" s="13"/>
      <c r="T13" s="131" t="s">
        <v>9</v>
      </c>
      <c r="U13" s="17" t="s">
        <v>8</v>
      </c>
      <c r="V13" s="13"/>
      <c r="W13" s="131" t="s">
        <v>9</v>
      </c>
      <c r="X13" s="17" t="s">
        <v>8</v>
      </c>
      <c r="Y13" s="13"/>
      <c r="Z13" s="131" t="s">
        <v>9</v>
      </c>
      <c r="AA13" s="17" t="s">
        <v>8</v>
      </c>
      <c r="AB13" s="38"/>
      <c r="AC13" s="131" t="s">
        <v>9</v>
      </c>
      <c r="AD13" s="6"/>
      <c r="AF13" s="17" t="s">
        <v>8</v>
      </c>
      <c r="AG13" s="38"/>
      <c r="AH13" s="131" t="s">
        <v>9</v>
      </c>
      <c r="AI13" s="6"/>
      <c r="AJ13" s="6"/>
      <c r="AK13" s="6"/>
      <c r="AL13" s="6"/>
      <c r="AM13" s="6"/>
      <c r="AN13" s="200">
        <f>'Operating Costs'!I36</f>
        <v>928.46097752035553</v>
      </c>
      <c r="AO13" s="25" t="s">
        <v>9</v>
      </c>
      <c r="AP13" s="6"/>
      <c r="AQ13" s="6"/>
      <c r="AR13" s="6"/>
      <c r="AS13" s="6"/>
      <c r="AT13" s="6"/>
      <c r="AU13" s="6"/>
      <c r="AV13" s="6"/>
      <c r="AW13" s="6"/>
      <c r="AX13" s="6"/>
    </row>
    <row r="14" spans="1:50" x14ac:dyDescent="0.35">
      <c r="A14" s="6"/>
      <c r="B14" s="281"/>
      <c r="C14" s="179">
        <f>C13/100</f>
        <v>0.04</v>
      </c>
      <c r="D14" s="180" t="s">
        <v>101</v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</row>
    <row r="15" spans="1:50" ht="15" thickBot="1" x14ac:dyDescent="0.4">
      <c r="A15" s="6"/>
      <c r="B15" s="170" t="s">
        <v>107</v>
      </c>
      <c r="C15" s="181">
        <f>C12*C14*C9</f>
        <v>506.43812709030107</v>
      </c>
      <c r="D15" s="175" t="s">
        <v>108</v>
      </c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</row>
    <row r="16" spans="1:50" ht="15.65" customHeight="1" thickBot="1" x14ac:dyDescent="0.4">
      <c r="A16" s="6"/>
      <c r="B16" s="170" t="s">
        <v>109</v>
      </c>
      <c r="C16" s="182">
        <f>ROUNDUP(C6/C15,0.1)</f>
        <v>16</v>
      </c>
      <c r="D16" s="175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286" t="s">
        <v>73</v>
      </c>
      <c r="AA16" s="287"/>
      <c r="AB16" s="51" t="s">
        <v>27</v>
      </c>
      <c r="AC16" s="6"/>
      <c r="AD16" s="286" t="s">
        <v>12</v>
      </c>
      <c r="AE16" s="287"/>
      <c r="AF16" s="33" t="s">
        <v>27</v>
      </c>
      <c r="AG16" s="286" t="s">
        <v>31</v>
      </c>
      <c r="AH16" s="287"/>
      <c r="AI16" s="33" t="s">
        <v>27</v>
      </c>
      <c r="AJ16" s="286" t="s">
        <v>32</v>
      </c>
      <c r="AK16" s="287"/>
      <c r="AL16" s="33" t="s">
        <v>27</v>
      </c>
      <c r="AM16" s="286" t="s">
        <v>265</v>
      </c>
      <c r="AN16" s="287"/>
      <c r="AO16" s="6"/>
      <c r="AP16" s="277" t="s">
        <v>91</v>
      </c>
      <c r="AQ16" s="279"/>
      <c r="AR16" s="6"/>
      <c r="AS16" s="6"/>
      <c r="AT16" s="6"/>
      <c r="AU16" s="6"/>
      <c r="AV16" s="6"/>
      <c r="AW16" s="6"/>
      <c r="AX16" s="6"/>
    </row>
    <row r="17" spans="1:50" ht="16.25" customHeight="1" thickBot="1" x14ac:dyDescent="0.4">
      <c r="A17" s="6"/>
      <c r="B17" s="280" t="s">
        <v>110</v>
      </c>
      <c r="C17" s="177">
        <v>2</v>
      </c>
      <c r="D17" s="178" t="s">
        <v>103</v>
      </c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288"/>
      <c r="AA17" s="289"/>
      <c r="AB17" s="52">
        <f>X19*0.99</f>
        <v>2011.172175639</v>
      </c>
      <c r="AC17" s="6"/>
      <c r="AD17" s="101">
        <v>0</v>
      </c>
      <c r="AE17" s="102" t="s">
        <v>191</v>
      </c>
      <c r="AF17" s="30">
        <f>(X19+AC10+AF5)*0.99</f>
        <v>129124.65569739179</v>
      </c>
      <c r="AG17" s="99">
        <v>0.1</v>
      </c>
      <c r="AH17" s="100" t="s">
        <v>191</v>
      </c>
      <c r="AI17" s="30">
        <f>AF17*0.873</f>
        <v>112725.82442382304</v>
      </c>
      <c r="AJ17" s="101">
        <v>0.1</v>
      </c>
      <c r="AK17" s="102" t="s">
        <v>191</v>
      </c>
      <c r="AL17" s="30">
        <f>AI17/43.5</f>
        <v>2591.3982626166217</v>
      </c>
      <c r="AM17" s="101">
        <v>0.25</v>
      </c>
      <c r="AN17" s="100" t="s">
        <v>191</v>
      </c>
      <c r="AO17" s="85">
        <f>AL17+AN12</f>
        <v>3813.0574435644576</v>
      </c>
      <c r="AP17" s="106">
        <f>AO17</f>
        <v>3813.0574435644576</v>
      </c>
      <c r="AQ17" s="106">
        <f>(C31*(1-AD17)*(1-AG17)*(1-AJ17)*(1-AM17))*C6/1000</f>
        <v>5331.42</v>
      </c>
      <c r="AR17" s="6"/>
      <c r="AS17" s="6"/>
      <c r="AT17" s="6"/>
      <c r="AU17" s="6"/>
      <c r="AV17" s="6"/>
      <c r="AW17" s="6"/>
      <c r="AX17" s="6"/>
    </row>
    <row r="18" spans="1:50" ht="15" thickBot="1" x14ac:dyDescent="0.4">
      <c r="A18" s="6"/>
      <c r="B18" s="281"/>
      <c r="C18" s="179">
        <f>C17/3.28084</f>
        <v>0.60959998049280062</v>
      </c>
      <c r="D18" s="180" t="s">
        <v>101</v>
      </c>
      <c r="E18" s="6"/>
      <c r="F18" s="6"/>
      <c r="G18" s="6"/>
      <c r="H18" s="6"/>
      <c r="I18" s="11" t="s">
        <v>15</v>
      </c>
      <c r="J18" s="28">
        <f>AF5*0.025</f>
        <v>2333</v>
      </c>
      <c r="K18" s="22" t="s">
        <v>16</v>
      </c>
      <c r="L18" s="6"/>
      <c r="M18" s="6"/>
      <c r="N18" s="6"/>
      <c r="O18" s="11" t="s">
        <v>14</v>
      </c>
      <c r="P18" s="28">
        <f>J18*0.14</f>
        <v>326.62</v>
      </c>
      <c r="Q18" s="22" t="s">
        <v>2</v>
      </c>
      <c r="R18" s="6"/>
      <c r="S18" s="6"/>
      <c r="T18" s="6"/>
      <c r="U18" s="6"/>
      <c r="V18" s="6"/>
      <c r="W18" s="6"/>
      <c r="X18" s="33" t="s">
        <v>27</v>
      </c>
      <c r="Y18" s="6"/>
      <c r="Z18" s="14" t="s">
        <v>7</v>
      </c>
      <c r="AA18" s="39">
        <f>10/60</f>
        <v>0.16666666666666666</v>
      </c>
      <c r="AB18" s="19" t="s">
        <v>16</v>
      </c>
      <c r="AC18" s="6"/>
      <c r="AD18" s="18" t="s">
        <v>7</v>
      </c>
      <c r="AE18" s="18">
        <f>F2</f>
        <v>221</v>
      </c>
      <c r="AF18" s="29" t="s">
        <v>2</v>
      </c>
      <c r="AG18" s="18" t="s">
        <v>7</v>
      </c>
      <c r="AH18" s="18">
        <v>4</v>
      </c>
      <c r="AI18" s="29" t="s">
        <v>2</v>
      </c>
      <c r="AJ18" s="18" t="s">
        <v>7</v>
      </c>
      <c r="AK18" s="18">
        <v>5</v>
      </c>
      <c r="AL18" s="29" t="s">
        <v>16</v>
      </c>
      <c r="AM18" s="18" t="s">
        <v>7</v>
      </c>
      <c r="AN18" s="18">
        <v>3</v>
      </c>
      <c r="AO18" s="37" t="s">
        <v>2</v>
      </c>
      <c r="AP18" s="107" t="s">
        <v>2</v>
      </c>
      <c r="AQ18" s="107" t="s">
        <v>254</v>
      </c>
      <c r="AR18" s="6"/>
      <c r="AS18" s="6"/>
      <c r="AT18" s="6"/>
      <c r="AU18" s="6"/>
      <c r="AV18" s="6"/>
      <c r="AW18" s="6"/>
      <c r="AX18" s="6"/>
    </row>
    <row r="19" spans="1:50" x14ac:dyDescent="0.35">
      <c r="A19" s="6"/>
      <c r="B19" s="170" t="s">
        <v>111</v>
      </c>
      <c r="C19" s="183">
        <v>0.7</v>
      </c>
      <c r="D19" s="175"/>
      <c r="E19" s="6"/>
      <c r="F19" s="6"/>
      <c r="G19" s="6"/>
      <c r="H19" s="6"/>
      <c r="I19" s="6"/>
      <c r="J19" s="199">
        <f>'Operating Costs'!I32</f>
        <v>1166.5</v>
      </c>
      <c r="K19" s="25" t="s">
        <v>9</v>
      </c>
      <c r="L19" s="6"/>
      <c r="M19" s="6"/>
      <c r="N19" s="6"/>
      <c r="O19" s="6"/>
      <c r="P19" s="200">
        <f>'Operating Costs'!I35</f>
        <v>23.843260000000001</v>
      </c>
      <c r="Q19" s="25" t="s">
        <v>9</v>
      </c>
      <c r="R19" s="6"/>
      <c r="S19" s="6"/>
      <c r="T19" s="6"/>
      <c r="U19" s="6"/>
      <c r="V19" s="6"/>
      <c r="W19" s="6"/>
      <c r="X19" s="20">
        <f>(T22-P18)*0.9</f>
        <v>2031.4870461</v>
      </c>
      <c r="Y19" s="6"/>
      <c r="Z19" s="15" t="s">
        <v>319</v>
      </c>
      <c r="AA19" s="76">
        <f>'Equipment List &amp; Purchase Cost'!R16</f>
        <v>8345.8372417848277</v>
      </c>
      <c r="AB19" s="6"/>
      <c r="AC19" s="6"/>
      <c r="AD19" s="15" t="s">
        <v>319</v>
      </c>
      <c r="AE19" s="77">
        <f>'Equipment List &amp; Purchase Cost'!R19+'Equipment List &amp; Purchase Cost'!R20</f>
        <v>313018.15271878609</v>
      </c>
      <c r="AF19" s="6"/>
      <c r="AG19" s="15" t="s">
        <v>319</v>
      </c>
      <c r="AH19" s="77">
        <f>'Equipment List &amp; Purchase Cost'!R21</f>
        <v>88387.111514922814</v>
      </c>
      <c r="AI19" s="6"/>
      <c r="AJ19" s="15" t="s">
        <v>319</v>
      </c>
      <c r="AK19" s="77">
        <f>'Equipment List &amp; Purchase Cost'!R22</f>
        <v>173338.69445623967</v>
      </c>
      <c r="AL19" s="6"/>
      <c r="AM19" s="15" t="s">
        <v>319</v>
      </c>
      <c r="AN19" s="77">
        <f>'Equipment List &amp; Purchase Cost'!R24+'Equipment List &amp; Purchase Cost'!R23</f>
        <v>40007.348490488599</v>
      </c>
      <c r="AO19" s="6"/>
      <c r="AP19" s="6"/>
      <c r="AQ19" s="6"/>
      <c r="AR19" s="6"/>
      <c r="AS19" s="6"/>
      <c r="AT19" s="6"/>
      <c r="AU19" s="6"/>
      <c r="AV19" s="6"/>
      <c r="AW19" s="6"/>
      <c r="AX19" s="6"/>
    </row>
    <row r="20" spans="1:50" ht="15" thickBot="1" x14ac:dyDescent="0.4">
      <c r="A20" s="6"/>
      <c r="B20" s="184" t="s">
        <v>112</v>
      </c>
      <c r="C20" s="185">
        <f>(C12*(C16*C18))/C19</f>
        <v>873.76968059168757</v>
      </c>
      <c r="D20" s="186" t="s">
        <v>47</v>
      </c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19" t="s">
        <v>16</v>
      </c>
      <c r="Y20" s="6"/>
      <c r="Z20" s="17" t="s">
        <v>8</v>
      </c>
      <c r="AA20" s="13"/>
      <c r="AB20" s="131" t="s">
        <v>9</v>
      </c>
      <c r="AC20" s="6"/>
      <c r="AD20" s="17" t="s">
        <v>8</v>
      </c>
      <c r="AE20" s="13"/>
      <c r="AF20" s="131" t="s">
        <v>9</v>
      </c>
      <c r="AG20" s="17" t="s">
        <v>8</v>
      </c>
      <c r="AH20" s="13"/>
      <c r="AI20" s="131" t="s">
        <v>9</v>
      </c>
      <c r="AJ20" s="17" t="s">
        <v>8</v>
      </c>
      <c r="AK20" s="13"/>
      <c r="AL20" s="131" t="s">
        <v>9</v>
      </c>
      <c r="AM20" s="17" t="s">
        <v>8</v>
      </c>
      <c r="AN20" s="13"/>
      <c r="AO20" s="131" t="s">
        <v>9</v>
      </c>
      <c r="AP20" s="6"/>
      <c r="AQ20" s="6"/>
      <c r="AR20" s="6"/>
      <c r="AS20" s="6"/>
      <c r="AT20" s="6"/>
      <c r="AU20" s="6"/>
      <c r="AV20" s="6"/>
      <c r="AW20" s="6"/>
      <c r="AX20" s="6"/>
    </row>
    <row r="21" spans="1:50" x14ac:dyDescent="0.35">
      <c r="A21" s="6"/>
      <c r="B21" s="65" t="s">
        <v>125</v>
      </c>
      <c r="C21" s="173">
        <v>500</v>
      </c>
      <c r="D21" s="174" t="s">
        <v>47</v>
      </c>
      <c r="E21" s="6"/>
      <c r="F21" s="6"/>
      <c r="G21" s="6"/>
      <c r="H21" s="6"/>
      <c r="I21" s="286" t="s">
        <v>59</v>
      </c>
      <c r="J21" s="287"/>
      <c r="K21" s="33" t="s">
        <v>27</v>
      </c>
      <c r="L21" s="282" t="s">
        <v>133</v>
      </c>
      <c r="M21" s="283"/>
      <c r="N21" s="33" t="s">
        <v>27</v>
      </c>
      <c r="O21" s="282" t="s">
        <v>13</v>
      </c>
      <c r="P21" s="283"/>
      <c r="Q21" s="33" t="s">
        <v>27</v>
      </c>
      <c r="R21" s="282" t="s">
        <v>17</v>
      </c>
      <c r="S21" s="283"/>
      <c r="T21" s="33" t="s">
        <v>27</v>
      </c>
      <c r="U21" s="282" t="s">
        <v>18</v>
      </c>
      <c r="V21" s="283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</row>
    <row r="22" spans="1:50" ht="15" thickBot="1" x14ac:dyDescent="0.4">
      <c r="A22" s="6"/>
      <c r="B22" s="65" t="s">
        <v>126</v>
      </c>
      <c r="C22" s="187">
        <f>ROUNDUP(C20/C21,0.1)</f>
        <v>2</v>
      </c>
      <c r="D22" s="188"/>
      <c r="E22" s="6"/>
      <c r="F22" s="6"/>
      <c r="G22" s="6"/>
      <c r="H22" s="6"/>
      <c r="I22" s="288"/>
      <c r="J22" s="289"/>
      <c r="K22" s="31">
        <f>J18</f>
        <v>2333</v>
      </c>
      <c r="L22" s="284"/>
      <c r="M22" s="285"/>
      <c r="N22" s="32">
        <f>J18*0.99</f>
        <v>2309.67</v>
      </c>
      <c r="O22" s="284"/>
      <c r="P22" s="285"/>
      <c r="Q22" s="32">
        <f>(N22+P18)*0.99</f>
        <v>2609.9270999999999</v>
      </c>
      <c r="R22" s="284"/>
      <c r="S22" s="285"/>
      <c r="T22" s="32">
        <f>Q22*0.99</f>
        <v>2583.8278289999998</v>
      </c>
      <c r="U22" s="284"/>
      <c r="V22" s="285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</row>
    <row r="23" spans="1:50" x14ac:dyDescent="0.35">
      <c r="A23" s="6"/>
      <c r="B23" s="65" t="s">
        <v>127</v>
      </c>
      <c r="C23" s="40">
        <f>C20/C22</f>
        <v>436.88484029584379</v>
      </c>
      <c r="D23" s="174" t="s">
        <v>47</v>
      </c>
      <c r="E23" s="6"/>
      <c r="F23" s="6"/>
      <c r="G23" s="6"/>
      <c r="H23" s="6"/>
      <c r="I23" s="14" t="s">
        <v>7</v>
      </c>
      <c r="J23" s="12" t="s">
        <v>72</v>
      </c>
      <c r="K23" s="19" t="s">
        <v>16</v>
      </c>
      <c r="L23" s="14" t="s">
        <v>7</v>
      </c>
      <c r="M23" s="39">
        <f>1/6</f>
        <v>0.16666666666666666</v>
      </c>
      <c r="N23" s="19" t="s">
        <v>16</v>
      </c>
      <c r="O23" s="14" t="s">
        <v>7</v>
      </c>
      <c r="P23" s="14">
        <v>2</v>
      </c>
      <c r="Q23" s="19" t="s">
        <v>16</v>
      </c>
      <c r="R23" s="14" t="s">
        <v>7</v>
      </c>
      <c r="S23" s="14">
        <v>1.5</v>
      </c>
      <c r="T23" s="19" t="s">
        <v>16</v>
      </c>
      <c r="U23" s="14" t="s">
        <v>7</v>
      </c>
      <c r="V23" s="14">
        <v>1.5</v>
      </c>
      <c r="W23" s="6"/>
      <c r="X23" s="33" t="s">
        <v>27</v>
      </c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</row>
    <row r="24" spans="1:50" x14ac:dyDescent="0.35">
      <c r="A24" s="6"/>
      <c r="B24" s="280" t="s">
        <v>117</v>
      </c>
      <c r="C24" s="189">
        <v>2631.0819999999999</v>
      </c>
      <c r="D24" s="178" t="s">
        <v>116</v>
      </c>
      <c r="E24" s="6"/>
      <c r="G24" s="6"/>
      <c r="H24" s="6"/>
      <c r="I24" s="15" t="s">
        <v>319</v>
      </c>
      <c r="J24" s="76">
        <f>'Equipment List &amp; Purchase Cost'!R10</f>
        <v>40596.057729457578</v>
      </c>
      <c r="K24" s="6"/>
      <c r="L24" s="15" t="s">
        <v>319</v>
      </c>
      <c r="M24" s="76">
        <f>'Equipment List &amp; Purchase Cost'!R11</f>
        <v>2366.2344498225425</v>
      </c>
      <c r="N24" s="6"/>
      <c r="O24" s="15" t="s">
        <v>319</v>
      </c>
      <c r="P24" s="76">
        <f>'Equipment List &amp; Purchase Cost'!R12+'Equipment List &amp; Purchase Cost'!R13</f>
        <v>35123.286152752771</v>
      </c>
      <c r="Q24" s="6"/>
      <c r="R24" s="15" t="s">
        <v>319</v>
      </c>
      <c r="S24" s="76">
        <f>'Equipment List &amp; Purchase Cost'!R14</f>
        <v>3410.0593922502185</v>
      </c>
      <c r="T24" s="6"/>
      <c r="U24" s="15" t="s">
        <v>319</v>
      </c>
      <c r="V24" s="76">
        <f>'Equipment List &amp; Purchase Cost'!R15</f>
        <v>120605.777034732</v>
      </c>
      <c r="W24" s="6"/>
      <c r="X24" s="20">
        <f>T22-X19</f>
        <v>552.34078289999979</v>
      </c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33" t="s">
        <v>27</v>
      </c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</row>
    <row r="25" spans="1:50" x14ac:dyDescent="0.35">
      <c r="A25" s="6"/>
      <c r="B25" s="281"/>
      <c r="C25" s="190">
        <f>C24/10^6</f>
        <v>2.6310819999999999E-3</v>
      </c>
      <c r="D25" s="180" t="s">
        <v>47</v>
      </c>
      <c r="E25" s="6"/>
      <c r="F25" s="6"/>
      <c r="G25" s="6"/>
      <c r="H25" s="6"/>
      <c r="I25" s="15" t="s">
        <v>8</v>
      </c>
      <c r="J25" s="13"/>
      <c r="K25" s="131" t="s">
        <v>9</v>
      </c>
      <c r="L25" s="17" t="s">
        <v>8</v>
      </c>
      <c r="M25" s="13"/>
      <c r="N25" s="131" t="s">
        <v>9</v>
      </c>
      <c r="O25" s="17" t="s">
        <v>8</v>
      </c>
      <c r="P25" s="13"/>
      <c r="Q25" s="131" t="s">
        <v>9</v>
      </c>
      <c r="R25" s="17" t="s">
        <v>8</v>
      </c>
      <c r="S25" s="13"/>
      <c r="T25" s="131" t="s">
        <v>9</v>
      </c>
      <c r="U25" s="17" t="s">
        <v>8</v>
      </c>
      <c r="V25" s="13"/>
      <c r="W25" s="131" t="s">
        <v>9</v>
      </c>
      <c r="X25" s="19" t="s">
        <v>16</v>
      </c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36">
        <f>AI17-AL17</f>
        <v>110134.42616120641</v>
      </c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</row>
    <row r="26" spans="1:50" x14ac:dyDescent="0.35">
      <c r="A26" s="6"/>
      <c r="B26" s="294" t="s">
        <v>118</v>
      </c>
      <c r="C26" s="191">
        <v>2</v>
      </c>
      <c r="D26" s="178" t="s">
        <v>119</v>
      </c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33" t="s">
        <v>27</v>
      </c>
      <c r="AI26" s="6"/>
      <c r="AJ26" s="6"/>
      <c r="AK26" s="19" t="s">
        <v>16</v>
      </c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</row>
    <row r="27" spans="1:50" ht="15" thickBot="1" x14ac:dyDescent="0.4">
      <c r="A27" s="6"/>
      <c r="B27" s="295"/>
      <c r="C27" s="187">
        <f>C26*0.0353146667</f>
        <v>7.0629333399999994E-2</v>
      </c>
      <c r="D27" s="174" t="s">
        <v>120</v>
      </c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36">
        <f>AF17-AI17</f>
        <v>16398.83127356875</v>
      </c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</row>
    <row r="28" spans="1:50" x14ac:dyDescent="0.35">
      <c r="A28" s="6"/>
      <c r="B28" s="296"/>
      <c r="C28" s="190">
        <f>C27/1.06</f>
        <v>6.663144660377357E-2</v>
      </c>
      <c r="D28" s="180" t="s">
        <v>121</v>
      </c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282" t="s">
        <v>26</v>
      </c>
      <c r="X28" s="283"/>
      <c r="Y28" s="6"/>
      <c r="Z28" s="6"/>
      <c r="AA28" s="6"/>
      <c r="AB28" s="6"/>
      <c r="AC28" s="6"/>
      <c r="AD28" s="6"/>
      <c r="AE28" s="6"/>
      <c r="AF28" s="6"/>
      <c r="AG28" s="6"/>
      <c r="AH28" s="19" t="s">
        <v>16</v>
      </c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</row>
    <row r="29" spans="1:50" ht="15" thickBot="1" x14ac:dyDescent="0.4">
      <c r="A29" s="6"/>
      <c r="B29" s="60" t="s">
        <v>122</v>
      </c>
      <c r="C29" s="13">
        <f>C28/C25</f>
        <v>25.324732031830848</v>
      </c>
      <c r="D29" s="61" t="s">
        <v>123</v>
      </c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284"/>
      <c r="X29" s="285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</row>
    <row r="30" spans="1:50" ht="15" thickBot="1" x14ac:dyDescent="0.4">
      <c r="A30" s="6"/>
      <c r="B30" s="62" t="s">
        <v>124</v>
      </c>
      <c r="C30" s="63">
        <f>C29*C23</f>
        <v>11063.991509261459</v>
      </c>
      <c r="D30" s="64" t="s">
        <v>121</v>
      </c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12" t="s">
        <v>7</v>
      </c>
      <c r="X30" s="12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</row>
    <row r="31" spans="1:50" ht="15" thickBot="1" x14ac:dyDescent="0.4">
      <c r="A31" s="6"/>
      <c r="B31" s="103" t="s">
        <v>192</v>
      </c>
      <c r="C31" s="104">
        <f>G2</f>
        <v>1097</v>
      </c>
      <c r="D31" s="105" t="s">
        <v>193</v>
      </c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15" t="s">
        <v>319</v>
      </c>
      <c r="X31" s="76">
        <f>'Equipment List &amp; Purchase Cost'!R26</f>
        <v>150961.95350087009</v>
      </c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</row>
    <row r="32" spans="1:50" x14ac:dyDescent="0.35">
      <c r="A32" s="6"/>
      <c r="B32" s="6"/>
      <c r="C32" s="6"/>
      <c r="D32" s="6">
        <v>0</v>
      </c>
      <c r="E32" s="6"/>
      <c r="F32" s="6"/>
      <c r="G32" s="6"/>
      <c r="H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16" t="s">
        <v>8</v>
      </c>
      <c r="X32" s="13"/>
      <c r="Y32" s="131" t="s">
        <v>9</v>
      </c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</row>
    <row r="33" spans="1:50" ht="14.4" customHeight="1" x14ac:dyDescent="0.35">
      <c r="A33" s="6"/>
      <c r="B33" s="6"/>
      <c r="C33" s="6"/>
      <c r="D33" s="6">
        <v>0</v>
      </c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</row>
    <row r="34" spans="1:50" ht="15" customHeight="1" x14ac:dyDescent="0.3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</row>
    <row r="35" spans="1:50" x14ac:dyDescent="0.3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</row>
    <row r="36" spans="1:50" x14ac:dyDescent="0.3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</row>
    <row r="37" spans="1:50" x14ac:dyDescent="0.3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</row>
    <row r="38" spans="1:50" ht="242.4" customHeight="1" x14ac:dyDescent="0.3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</row>
    <row r="39" spans="1:50" ht="15" thickBot="1" x14ac:dyDescent="0.4">
      <c r="AC39" s="6"/>
      <c r="AD39" s="6"/>
      <c r="AE39" s="6"/>
      <c r="AF39" s="6"/>
      <c r="AG39" s="6"/>
      <c r="AH39" s="6"/>
      <c r="AI39" s="6"/>
    </row>
    <row r="40" spans="1:50" ht="24" thickBot="1" x14ac:dyDescent="0.6">
      <c r="B40" s="292" t="s">
        <v>25</v>
      </c>
      <c r="C40" s="293"/>
      <c r="AF40" s="6"/>
      <c r="AG40" s="6"/>
      <c r="AH40" s="6"/>
      <c r="AI40" s="6"/>
    </row>
    <row r="41" spans="1:50" ht="15" thickBot="1" x14ac:dyDescent="0.4">
      <c r="B41" s="290" t="s">
        <v>22</v>
      </c>
      <c r="C41" s="291"/>
    </row>
    <row r="42" spans="1:50" x14ac:dyDescent="0.35">
      <c r="B42" s="1" t="s">
        <v>23</v>
      </c>
      <c r="C42" s="2">
        <f>C6</f>
        <v>8000</v>
      </c>
    </row>
    <row r="43" spans="1:50" x14ac:dyDescent="0.35">
      <c r="B43" s="1" t="s">
        <v>24</v>
      </c>
      <c r="C43" s="3">
        <f>(W10-V4)*(J4/(J4+M6))</f>
        <v>8001.6172536361419</v>
      </c>
    </row>
    <row r="44" spans="1:50" ht="15" thickBot="1" x14ac:dyDescent="0.4">
      <c r="B44" s="4" t="s">
        <v>21</v>
      </c>
      <c r="C44" s="5">
        <f>C42-C43</f>
        <v>-1.6172536361418679</v>
      </c>
    </row>
  </sheetData>
  <mergeCells count="27">
    <mergeCell ref="B26:B28"/>
    <mergeCell ref="AD16:AE16"/>
    <mergeCell ref="AG16:AH16"/>
    <mergeCell ref="AJ16:AK16"/>
    <mergeCell ref="AM16:AN16"/>
    <mergeCell ref="AP16:AQ16"/>
    <mergeCell ref="B41:C41"/>
    <mergeCell ref="B40:C40"/>
    <mergeCell ref="X9:Y10"/>
    <mergeCell ref="W28:X29"/>
    <mergeCell ref="U9:V10"/>
    <mergeCell ref="O21:P22"/>
    <mergeCell ref="L21:M22"/>
    <mergeCell ref="R21:S22"/>
    <mergeCell ref="U21:V22"/>
    <mergeCell ref="I9:J10"/>
    <mergeCell ref="B17:B18"/>
    <mergeCell ref="B13:B14"/>
    <mergeCell ref="Z16:AA17"/>
    <mergeCell ref="AA9:AB10"/>
    <mergeCell ref="AE9:AF10"/>
    <mergeCell ref="B5:D5"/>
    <mergeCell ref="B24:B25"/>
    <mergeCell ref="O9:P10"/>
    <mergeCell ref="R9:S10"/>
    <mergeCell ref="L9:M10"/>
    <mergeCell ref="I21:J22"/>
  </mergeCells>
  <dataValidations count="1">
    <dataValidation type="list" allowBlank="1" showInputMessage="1" showErrorMessage="1" sqref="G8" xr:uid="{A1EABB88-6355-4007-8D3A-16FD92743F49}">
      <formula1>"Linear, Concurrent"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FD6F5-AC1C-4902-AB07-0DD2F8ED18DC}">
  <dimension ref="A1:R30"/>
  <sheetViews>
    <sheetView workbookViewId="0">
      <selection activeCell="Q23" sqref="Q23"/>
    </sheetView>
  </sheetViews>
  <sheetFormatPr defaultColWidth="5.6328125" defaultRowHeight="14.5" x14ac:dyDescent="0.35"/>
  <cols>
    <col min="1" max="1" width="5.453125" style="40" customWidth="1"/>
    <col min="2" max="2" width="13.90625" style="40" bestFit="1" customWidth="1"/>
    <col min="3" max="3" width="24.36328125" style="40" bestFit="1" customWidth="1"/>
    <col min="4" max="4" width="66.1796875" style="40" bestFit="1" customWidth="1"/>
    <col min="5" max="5" width="54.54296875" style="41" bestFit="1" customWidth="1"/>
    <col min="6" max="6" width="15.453125" style="40" bestFit="1" customWidth="1"/>
    <col min="7" max="7" width="21.1796875" style="40" bestFit="1" customWidth="1"/>
    <col min="8" max="8" width="16.90625" style="40" bestFit="1" customWidth="1"/>
    <col min="9" max="9" width="16.1796875" style="40" bestFit="1" customWidth="1"/>
    <col min="10" max="10" width="15.1796875" style="40" bestFit="1" customWidth="1"/>
    <col min="11" max="11" width="11.81640625" style="40" bestFit="1" customWidth="1"/>
    <col min="12" max="12" width="22.90625" style="40" bestFit="1" customWidth="1"/>
    <col min="13" max="13" width="24" style="40" bestFit="1" customWidth="1"/>
    <col min="14" max="14" width="22.36328125" style="40" bestFit="1" customWidth="1"/>
    <col min="15" max="15" width="22.81640625" style="40" bestFit="1" customWidth="1"/>
    <col min="16" max="16" width="20.54296875" style="40" bestFit="1" customWidth="1"/>
    <col min="17" max="17" width="15" style="40" bestFit="1" customWidth="1"/>
    <col min="18" max="18" width="27.1796875" style="40" bestFit="1" customWidth="1"/>
    <col min="19" max="16384" width="5.6328125" style="40"/>
  </cols>
  <sheetData>
    <row r="1" spans="1:18" ht="16" customHeight="1" x14ac:dyDescent="0.35"/>
    <row r="2" spans="1:18" s="54" customFormat="1" ht="18.5" x14ac:dyDescent="0.35">
      <c r="B2" s="55" t="s">
        <v>33</v>
      </c>
      <c r="C2" s="56" t="s">
        <v>34</v>
      </c>
      <c r="D2" s="56" t="s">
        <v>35</v>
      </c>
      <c r="E2" s="56" t="s">
        <v>36</v>
      </c>
      <c r="F2" s="56" t="s">
        <v>46</v>
      </c>
      <c r="G2" s="56" t="s">
        <v>40</v>
      </c>
      <c r="H2" s="56" t="s">
        <v>42</v>
      </c>
      <c r="I2" s="56" t="s">
        <v>37</v>
      </c>
      <c r="J2" s="56" t="s">
        <v>84</v>
      </c>
      <c r="K2" s="56" t="s">
        <v>53</v>
      </c>
      <c r="L2" s="56" t="s">
        <v>38</v>
      </c>
      <c r="M2" s="56" t="s">
        <v>39</v>
      </c>
      <c r="N2" s="56" t="s">
        <v>41</v>
      </c>
      <c r="O2" s="56" t="s">
        <v>43</v>
      </c>
      <c r="P2" s="56" t="s">
        <v>48</v>
      </c>
      <c r="Q2" s="56" t="s">
        <v>52</v>
      </c>
      <c r="R2" s="56" t="s">
        <v>226</v>
      </c>
    </row>
    <row r="3" spans="1:18" ht="16" customHeight="1" x14ac:dyDescent="0.35">
      <c r="B3" s="47"/>
      <c r="C3" s="43" t="s">
        <v>44</v>
      </c>
      <c r="D3" s="44" t="s">
        <v>95</v>
      </c>
      <c r="E3" s="42" t="s">
        <v>317</v>
      </c>
      <c r="F3" s="42">
        <v>75598.7</v>
      </c>
      <c r="G3" s="42">
        <f>Flowsheet!J4/Flowsheet!J11</f>
        <v>2864</v>
      </c>
      <c r="H3" s="42" t="s">
        <v>69</v>
      </c>
      <c r="I3" s="42">
        <f t="shared" ref="I3:I4" si="0">ROUNDUP(G3/F3,0.1)</f>
        <v>1</v>
      </c>
      <c r="J3" s="42">
        <f t="shared" ref="J3:J4" si="1">G3/I3</f>
        <v>2864</v>
      </c>
      <c r="K3" s="42">
        <v>798</v>
      </c>
      <c r="L3" s="42">
        <v>2012</v>
      </c>
      <c r="M3" s="42">
        <v>585</v>
      </c>
      <c r="N3" s="42">
        <v>75598.7</v>
      </c>
      <c r="O3" s="42">
        <v>302200</v>
      </c>
      <c r="P3" s="42">
        <v>0.6</v>
      </c>
      <c r="Q3" s="42">
        <f t="shared" ref="Q3:Q26" si="2">(J3/N3)^P3 * O3</f>
        <v>42400.372472810079</v>
      </c>
      <c r="R3" s="194">
        <f>Q3*(K3/M3)*Table1[[#This Row],['# Needed]]</f>
        <v>57838.45680906401</v>
      </c>
    </row>
    <row r="4" spans="1:18" ht="16" customHeight="1" x14ac:dyDescent="0.35">
      <c r="B4" s="47"/>
      <c r="C4" s="43" t="s">
        <v>45</v>
      </c>
      <c r="D4" s="57" t="s">
        <v>96</v>
      </c>
      <c r="E4" s="42" t="s">
        <v>98</v>
      </c>
      <c r="F4" s="42">
        <v>1500</v>
      </c>
      <c r="G4" s="42">
        <f>Flowsheet!J4/Flowsheet!C9 * 1000</f>
        <v>42555.720653789002</v>
      </c>
      <c r="H4" s="42" t="s">
        <v>97</v>
      </c>
      <c r="I4" s="42">
        <f t="shared" si="0"/>
        <v>29</v>
      </c>
      <c r="J4" s="42">
        <f t="shared" si="1"/>
        <v>1467.4386432341034</v>
      </c>
      <c r="K4" s="42">
        <v>798</v>
      </c>
      <c r="L4" s="42">
        <v>2023</v>
      </c>
      <c r="M4" s="42">
        <v>798</v>
      </c>
      <c r="N4" s="42">
        <f>Table1[[#This Row],[Unit size]]</f>
        <v>1467.4386432341034</v>
      </c>
      <c r="O4" s="42">
        <v>3000</v>
      </c>
      <c r="P4" s="42">
        <v>1</v>
      </c>
      <c r="Q4" s="42">
        <f t="shared" si="2"/>
        <v>3000</v>
      </c>
      <c r="R4" s="194">
        <f>Q4*(K4/M4)*Table1[[#This Row],['# Needed]]</f>
        <v>87000</v>
      </c>
    </row>
    <row r="5" spans="1:18" ht="16" customHeight="1" x14ac:dyDescent="0.35">
      <c r="B5" s="47"/>
      <c r="C5" s="43" t="s">
        <v>54</v>
      </c>
      <c r="D5" s="42" t="s">
        <v>62</v>
      </c>
      <c r="E5" s="42" t="s">
        <v>67</v>
      </c>
      <c r="F5" s="42">
        <v>28630</v>
      </c>
      <c r="G5" s="42">
        <f>( Flowsheet!J4+Flowsheet!M6+Flowsheet!V4)</f>
        <v>38664</v>
      </c>
      <c r="H5" s="42" t="s">
        <v>69</v>
      </c>
      <c r="I5" s="42">
        <f>ROUNDUP(G5/F5,0.1) * 2</f>
        <v>4</v>
      </c>
      <c r="J5" s="42">
        <f>G5/I5</f>
        <v>9666</v>
      </c>
      <c r="K5" s="42">
        <v>798</v>
      </c>
      <c r="L5" s="42">
        <v>2009</v>
      </c>
      <c r="M5" s="42">
        <v>521.9</v>
      </c>
      <c r="N5" s="42">
        <v>28630</v>
      </c>
      <c r="O5" s="42">
        <v>70000</v>
      </c>
      <c r="P5" s="42">
        <v>0.8</v>
      </c>
      <c r="Q5" s="42">
        <f t="shared" si="2"/>
        <v>29365.567235240134</v>
      </c>
      <c r="R5" s="194">
        <f>Q5*(K5/M5)*Table1[[#This Row],['# Needed]]</f>
        <v>179603.16270336561</v>
      </c>
    </row>
    <row r="6" spans="1:18" ht="16" customHeight="1" x14ac:dyDescent="0.35">
      <c r="B6" s="47"/>
      <c r="C6" s="43" t="s">
        <v>6</v>
      </c>
      <c r="D6" s="42" t="s">
        <v>49</v>
      </c>
      <c r="E6" s="42" t="s">
        <v>154</v>
      </c>
      <c r="F6" s="42">
        <v>100</v>
      </c>
      <c r="G6" s="42">
        <f>ROUNDUP((Flowsheet!J4+Flowsheet!M6)/Flowsheet!C9, 0.1) * 1.5</f>
        <v>271.5</v>
      </c>
      <c r="H6" s="42" t="s">
        <v>47</v>
      </c>
      <c r="I6" s="42">
        <f>ROUNDUP(G6/F6,0.1)</f>
        <v>3</v>
      </c>
      <c r="J6" s="42">
        <f t="shared" ref="J6:J23" si="3">G6/I6</f>
        <v>90.5</v>
      </c>
      <c r="K6" s="42">
        <v>798</v>
      </c>
      <c r="L6" s="42">
        <v>2017</v>
      </c>
      <c r="M6" s="42">
        <v>567.5</v>
      </c>
      <c r="N6" s="42">
        <v>94</v>
      </c>
      <c r="O6" s="42">
        <v>173000</v>
      </c>
      <c r="P6" s="42">
        <v>0.54300000000000004</v>
      </c>
      <c r="Q6" s="42">
        <f>(J6/N6)^P6 * O6</f>
        <v>169471.96190677045</v>
      </c>
      <c r="R6" s="237">
        <f>Q6*(K6/M6)*Table1[[#This Row],['# Needed]]</f>
        <v>714917.84458997077</v>
      </c>
    </row>
    <row r="7" spans="1:18" ht="16" customHeight="1" x14ac:dyDescent="0.35">
      <c r="B7" s="47"/>
      <c r="C7" s="43" t="s">
        <v>56</v>
      </c>
      <c r="D7" s="44" t="s">
        <v>114</v>
      </c>
      <c r="E7" s="42" t="s">
        <v>417</v>
      </c>
      <c r="F7" s="42">
        <v>500</v>
      </c>
      <c r="G7" s="42">
        <f>Flowsheet!C20</f>
        <v>873.76968059168757</v>
      </c>
      <c r="H7" s="42" t="s">
        <v>47</v>
      </c>
      <c r="I7" s="42">
        <f t="shared" ref="I7:I17" si="4">ROUNDUP(G7/F7,0.1)</f>
        <v>2</v>
      </c>
      <c r="J7" s="42">
        <f>G7/I7</f>
        <v>436.88484029584379</v>
      </c>
      <c r="K7" s="42">
        <v>798</v>
      </c>
      <c r="L7" s="42">
        <v>2019</v>
      </c>
      <c r="M7" s="42">
        <v>607.5</v>
      </c>
      <c r="N7" s="42">
        <v>339915</v>
      </c>
      <c r="O7" s="42">
        <v>83810000</v>
      </c>
      <c r="P7" s="42">
        <v>1</v>
      </c>
      <c r="Q7" s="42">
        <f t="shared" si="2"/>
        <v>107719.04289364892</v>
      </c>
      <c r="R7" s="237">
        <f>Q7*(K7/M7)*Table1[[#This Row],['# Needed]] * 2</f>
        <v>565990.42784613557</v>
      </c>
    </row>
    <row r="8" spans="1:18" ht="16" customHeight="1" x14ac:dyDescent="0.35">
      <c r="B8" s="47"/>
      <c r="C8" s="43" t="s">
        <v>115</v>
      </c>
      <c r="D8" s="44" t="s">
        <v>227</v>
      </c>
      <c r="E8" s="42" t="s">
        <v>128</v>
      </c>
      <c r="F8" s="42">
        <v>63566.400000000001</v>
      </c>
      <c r="G8" s="42">
        <f>Flowsheet!C30</f>
        <v>11063.991509261459</v>
      </c>
      <c r="H8" s="42" t="s">
        <v>121</v>
      </c>
      <c r="I8" s="42">
        <f>Flowsheet!C22</f>
        <v>2</v>
      </c>
      <c r="J8" s="42">
        <f>G8/I8</f>
        <v>5531.9957546307296</v>
      </c>
      <c r="K8" s="42">
        <v>798</v>
      </c>
      <c r="L8" s="42">
        <v>2010</v>
      </c>
      <c r="M8" s="42">
        <v>1000</v>
      </c>
      <c r="N8" s="42">
        <v>63566.400000000001</v>
      </c>
      <c r="O8" s="42">
        <v>760000</v>
      </c>
      <c r="P8" s="42">
        <v>0.62</v>
      </c>
      <c r="Q8" s="42">
        <f t="shared" si="2"/>
        <v>167262.74111135275</v>
      </c>
      <c r="R8" s="237">
        <f>Q8*(K8/M8)*Table1[[#This Row],['# Needed]]</f>
        <v>266951.33481371898</v>
      </c>
    </row>
    <row r="9" spans="1:18" ht="16" customHeight="1" x14ac:dyDescent="0.35">
      <c r="B9" s="47"/>
      <c r="C9" s="43" t="s">
        <v>55</v>
      </c>
      <c r="D9" s="42" t="s">
        <v>62</v>
      </c>
      <c r="E9" s="42" t="s">
        <v>68</v>
      </c>
      <c r="F9" s="42">
        <v>28630</v>
      </c>
      <c r="G9" s="42">
        <f>(Flowsheet!J4+Flowsheet!M6+Flowsheet!V4)/Flowsheet!AB11</f>
        <v>117163.63636363635</v>
      </c>
      <c r="H9" s="42" t="s">
        <v>69</v>
      </c>
      <c r="I9" s="42">
        <f t="shared" si="4"/>
        <v>5</v>
      </c>
      <c r="J9" s="42">
        <f t="shared" si="3"/>
        <v>23432.727272727272</v>
      </c>
      <c r="K9" s="42">
        <v>798</v>
      </c>
      <c r="L9" s="42">
        <v>2009</v>
      </c>
      <c r="M9" s="42">
        <v>521.9</v>
      </c>
      <c r="N9" s="42">
        <v>28630</v>
      </c>
      <c r="O9" s="42">
        <v>20000</v>
      </c>
      <c r="P9" s="42">
        <v>0.8</v>
      </c>
      <c r="Q9" s="42">
        <f t="shared" si="2"/>
        <v>17038.493290457398</v>
      </c>
      <c r="R9" s="194">
        <f>Q9*(K9/M9)*Table1[[#This Row],['# Needed]]</f>
        <v>130261.71341047141</v>
      </c>
    </row>
    <row r="10" spans="1:18" ht="16" customHeight="1" x14ac:dyDescent="0.35">
      <c r="B10" s="47"/>
      <c r="C10" s="43" t="s">
        <v>58</v>
      </c>
      <c r="D10" s="42" t="s">
        <v>62</v>
      </c>
      <c r="E10" s="42" t="s">
        <v>66</v>
      </c>
      <c r="F10" s="42">
        <v>12800</v>
      </c>
      <c r="G10" s="42">
        <f>Flowsheet!J18*3 / 3.74</f>
        <v>1871.3903743315507</v>
      </c>
      <c r="H10" s="42" t="s">
        <v>65</v>
      </c>
      <c r="I10" s="42">
        <f t="shared" si="4"/>
        <v>1</v>
      </c>
      <c r="J10" s="42">
        <f t="shared" si="3"/>
        <v>1871.3903743315507</v>
      </c>
      <c r="K10" s="42">
        <v>798</v>
      </c>
      <c r="L10" s="42">
        <v>2009</v>
      </c>
      <c r="M10" s="42">
        <v>521.9</v>
      </c>
      <c r="N10" s="42">
        <v>12800</v>
      </c>
      <c r="O10" s="42">
        <v>102000</v>
      </c>
      <c r="P10" s="42">
        <v>0.7</v>
      </c>
      <c r="Q10" s="42">
        <f t="shared" si="2"/>
        <v>26550.228733087602</v>
      </c>
      <c r="R10" s="194">
        <f>Q10*(K10/M10)*Table1[[#This Row],['# Needed]]</f>
        <v>40596.057729457578</v>
      </c>
    </row>
    <row r="11" spans="1:18" ht="16" customHeight="1" x14ac:dyDescent="0.35">
      <c r="B11" s="47"/>
      <c r="C11" s="43" t="s">
        <v>57</v>
      </c>
      <c r="D11" s="42" t="s">
        <v>62</v>
      </c>
      <c r="E11" s="42" t="s">
        <v>63</v>
      </c>
      <c r="F11" s="42">
        <v>1771</v>
      </c>
      <c r="G11" s="42">
        <f>Flowsheet!K22/3.74 /(Flowsheet!M23*60)</f>
        <v>62.379679144385022</v>
      </c>
      <c r="H11" s="42" t="s">
        <v>64</v>
      </c>
      <c r="I11" s="42">
        <f t="shared" si="4"/>
        <v>1</v>
      </c>
      <c r="J11" s="42">
        <f t="shared" si="3"/>
        <v>62.379679144385022</v>
      </c>
      <c r="K11" s="42">
        <v>798</v>
      </c>
      <c r="L11" s="42">
        <v>2009</v>
      </c>
      <c r="M11" s="42">
        <v>521.9</v>
      </c>
      <c r="N11" s="42">
        <v>1771</v>
      </c>
      <c r="O11" s="42">
        <v>22500</v>
      </c>
      <c r="P11" s="42">
        <v>0.8</v>
      </c>
      <c r="Q11" s="42">
        <f t="shared" si="2"/>
        <v>1547.5410518325623</v>
      </c>
      <c r="R11" s="194">
        <f>Q11*(K11/M11)*Table1[[#This Row],['# Needed]]</f>
        <v>2366.2344498225425</v>
      </c>
    </row>
    <row r="12" spans="1:18" ht="16" customHeight="1" x14ac:dyDescent="0.35">
      <c r="B12" s="47"/>
      <c r="C12" s="43" t="s">
        <v>60</v>
      </c>
      <c r="D12" s="42" t="s">
        <v>62</v>
      </c>
      <c r="E12" s="42" t="s">
        <v>71</v>
      </c>
      <c r="F12" s="42">
        <v>50000</v>
      </c>
      <c r="G12" s="42">
        <f>(Flowsheet!J18/3.74) / 0.8</f>
        <v>779.74598930481272</v>
      </c>
      <c r="H12" s="42" t="s">
        <v>65</v>
      </c>
      <c r="I12" s="42">
        <f t="shared" si="4"/>
        <v>1</v>
      </c>
      <c r="J12" s="42">
        <f t="shared" si="3"/>
        <v>779.74598930481272</v>
      </c>
      <c r="K12" s="42">
        <v>798</v>
      </c>
      <c r="L12" s="42">
        <v>2009</v>
      </c>
      <c r="M12" s="42">
        <v>521.9</v>
      </c>
      <c r="N12" s="42">
        <v>12800</v>
      </c>
      <c r="O12" s="42">
        <v>102000</v>
      </c>
      <c r="P12" s="42">
        <v>0.7</v>
      </c>
      <c r="Q12" s="42">
        <f t="shared" si="2"/>
        <v>14385.348835902303</v>
      </c>
      <c r="R12" s="194">
        <f>Q12*(K12/M12)*Table1[[#This Row],['# Needed]]</f>
        <v>21995.609065050852</v>
      </c>
    </row>
    <row r="13" spans="1:18" ht="16" customHeight="1" x14ac:dyDescent="0.35">
      <c r="B13" s="47"/>
      <c r="C13" s="43" t="s">
        <v>70</v>
      </c>
      <c r="D13" s="42" t="s">
        <v>62</v>
      </c>
      <c r="E13" s="42" t="s">
        <v>75</v>
      </c>
      <c r="F13" s="42">
        <v>170</v>
      </c>
      <c r="G13" s="42">
        <f>(G12*3.74/1000)^0.6426 * 0.7777</f>
        <v>1.5470647274154488</v>
      </c>
      <c r="H13" s="42" t="s">
        <v>74</v>
      </c>
      <c r="I13" s="42">
        <f t="shared" si="4"/>
        <v>1</v>
      </c>
      <c r="J13" s="42">
        <f t="shared" si="3"/>
        <v>1.5470647274154488</v>
      </c>
      <c r="K13" s="42">
        <v>798</v>
      </c>
      <c r="L13" s="42">
        <v>2009</v>
      </c>
      <c r="M13" s="42">
        <v>521.9</v>
      </c>
      <c r="N13" s="42">
        <v>170</v>
      </c>
      <c r="O13" s="42">
        <v>90000</v>
      </c>
      <c r="P13" s="42">
        <v>0.5</v>
      </c>
      <c r="Q13" s="42">
        <f t="shared" si="2"/>
        <v>8585.6324211423926</v>
      </c>
      <c r="R13" s="194">
        <f>Q13*(K13/M13)*Table1[[#This Row],['# Needed]]</f>
        <v>13127.677087701915</v>
      </c>
    </row>
    <row r="14" spans="1:18" ht="16" customHeight="1" x14ac:dyDescent="0.35">
      <c r="B14" s="47"/>
      <c r="C14" s="43" t="s">
        <v>76</v>
      </c>
      <c r="D14" s="42" t="s">
        <v>62</v>
      </c>
      <c r="E14" s="42"/>
      <c r="F14" s="42">
        <v>393100</v>
      </c>
      <c r="G14" s="42">
        <f>Flowsheet!T22/Flowsheet!S23</f>
        <v>1722.551886</v>
      </c>
      <c r="H14" s="42" t="s">
        <v>69</v>
      </c>
      <c r="I14" s="42">
        <f t="shared" si="4"/>
        <v>1</v>
      </c>
      <c r="J14" s="42">
        <f t="shared" si="3"/>
        <v>1722.551886</v>
      </c>
      <c r="K14" s="42">
        <v>798</v>
      </c>
      <c r="L14" s="42">
        <v>2010</v>
      </c>
      <c r="M14" s="42">
        <v>550.79999999999995</v>
      </c>
      <c r="N14" s="42">
        <v>393100</v>
      </c>
      <c r="O14" s="42">
        <v>61200</v>
      </c>
      <c r="P14" s="42">
        <v>0.6</v>
      </c>
      <c r="Q14" s="42">
        <f t="shared" si="2"/>
        <v>2353.7101669817298</v>
      </c>
      <c r="R14" s="194">
        <f>Q14*(K14/M14)*Table1[[#This Row],['# Needed]]</f>
        <v>3410.0593922502185</v>
      </c>
    </row>
    <row r="15" spans="1:18" ht="16" customHeight="1" x14ac:dyDescent="0.35">
      <c r="A15" s="40" t="s">
        <v>80</v>
      </c>
      <c r="B15" s="47"/>
      <c r="C15" s="43" t="s">
        <v>18</v>
      </c>
      <c r="D15" s="42" t="s">
        <v>62</v>
      </c>
      <c r="E15" s="42"/>
      <c r="F15" s="42">
        <v>393100</v>
      </c>
      <c r="G15" s="42">
        <f>Flowsheet!T22/Flowsheet!V23</f>
        <v>1722.551886</v>
      </c>
      <c r="H15" s="42" t="s">
        <v>69</v>
      </c>
      <c r="I15" s="42">
        <f t="shared" si="4"/>
        <v>1</v>
      </c>
      <c r="J15" s="42">
        <f t="shared" si="3"/>
        <v>1722.551886</v>
      </c>
      <c r="K15" s="42">
        <v>798</v>
      </c>
      <c r="L15" s="42">
        <v>2010</v>
      </c>
      <c r="M15" s="42">
        <v>550.79999999999995</v>
      </c>
      <c r="N15" s="42">
        <v>393100</v>
      </c>
      <c r="O15" s="42">
        <f>6493500/3</f>
        <v>2164500</v>
      </c>
      <c r="P15" s="42">
        <v>0.6</v>
      </c>
      <c r="Q15" s="42">
        <f t="shared" si="2"/>
        <v>83245.190464574422</v>
      </c>
      <c r="R15" s="194">
        <f>Q15*(K15/M15)*Table1[[#This Row],['# Needed]]</f>
        <v>120605.777034732</v>
      </c>
    </row>
    <row r="16" spans="1:18" ht="16" customHeight="1" x14ac:dyDescent="0.35">
      <c r="B16" s="47"/>
      <c r="C16" s="43" t="s">
        <v>77</v>
      </c>
      <c r="D16" s="42" t="s">
        <v>62</v>
      </c>
      <c r="E16" s="42" t="s">
        <v>81</v>
      </c>
      <c r="F16" s="42">
        <v>118000</v>
      </c>
      <c r="G16" s="42">
        <f>Flowsheet!X19/3.74</f>
        <v>543.17835457219246</v>
      </c>
      <c r="H16" s="42" t="s">
        <v>65</v>
      </c>
      <c r="I16" s="42">
        <f t="shared" si="4"/>
        <v>1</v>
      </c>
      <c r="J16" s="42">
        <f t="shared" si="3"/>
        <v>543.17835457219246</v>
      </c>
      <c r="K16" s="42">
        <v>798</v>
      </c>
      <c r="L16" s="42">
        <v>2009</v>
      </c>
      <c r="M16" s="42">
        <v>521.9</v>
      </c>
      <c r="N16" s="42">
        <v>118000</v>
      </c>
      <c r="O16" s="42">
        <v>236000</v>
      </c>
      <c r="P16" s="42">
        <v>0.7</v>
      </c>
      <c r="Q16" s="42">
        <f t="shared" si="2"/>
        <v>5458.2612236685482</v>
      </c>
      <c r="R16" s="194">
        <f>Q16*(K16/M16)*Table1[[#This Row],['# Needed]]</f>
        <v>8345.8372417848277</v>
      </c>
    </row>
    <row r="17" spans="2:18" ht="16" customHeight="1" x14ac:dyDescent="0.35">
      <c r="B17" s="47"/>
      <c r="C17" s="43" t="s">
        <v>78</v>
      </c>
      <c r="D17" s="42" t="s">
        <v>62</v>
      </c>
      <c r="E17" s="42" t="s">
        <v>82</v>
      </c>
      <c r="F17" s="42">
        <f>F11</f>
        <v>1771</v>
      </c>
      <c r="G17" s="42">
        <f>Flowsheet!X19/3.74 / (Flowsheet!AA18*60)</f>
        <v>54.317835457219246</v>
      </c>
      <c r="H17" s="42" t="s">
        <v>64</v>
      </c>
      <c r="I17" s="42">
        <f t="shared" si="4"/>
        <v>1</v>
      </c>
      <c r="J17" s="42">
        <f t="shared" si="3"/>
        <v>54.317835457219246</v>
      </c>
      <c r="K17" s="42">
        <v>798</v>
      </c>
      <c r="L17" s="42">
        <v>2009</v>
      </c>
      <c r="M17" s="42">
        <v>521.9</v>
      </c>
      <c r="N17" s="42">
        <v>1771</v>
      </c>
      <c r="O17" s="42">
        <v>22500</v>
      </c>
      <c r="P17" s="42">
        <v>0.8</v>
      </c>
      <c r="Q17" s="42">
        <f t="shared" si="2"/>
        <v>1385.3567761270517</v>
      </c>
      <c r="R17" s="194">
        <f>Q17*(K17/M17)*Table1[[#This Row],['# Needed]]</f>
        <v>2118.2500619838806</v>
      </c>
    </row>
    <row r="18" spans="2:18" ht="16" customHeight="1" x14ac:dyDescent="0.35">
      <c r="B18" s="47"/>
      <c r="C18" s="43" t="s">
        <v>79</v>
      </c>
      <c r="D18" s="42" t="s">
        <v>62</v>
      </c>
      <c r="E18" s="42" t="s">
        <v>83</v>
      </c>
      <c r="F18" s="42">
        <v>10000</v>
      </c>
      <c r="G18" s="42">
        <f>Flowsheet!AF5/3.74 / (Flowsheet!AG11*60)</f>
        <v>415.86452762923352</v>
      </c>
      <c r="H18" s="42" t="s">
        <v>64</v>
      </c>
      <c r="I18" s="42">
        <f t="shared" ref="I18:I19" si="5">ROUNDUP(G18/F18,0.1)</f>
        <v>1</v>
      </c>
      <c r="J18" s="42">
        <f t="shared" si="3"/>
        <v>415.86452762923352</v>
      </c>
      <c r="K18" s="42">
        <v>798</v>
      </c>
      <c r="L18" s="42">
        <v>2009</v>
      </c>
      <c r="M18" s="42">
        <v>521.9</v>
      </c>
      <c r="N18" s="42">
        <v>685</v>
      </c>
      <c r="O18" s="42">
        <v>6864</v>
      </c>
      <c r="P18" s="42">
        <v>0.8</v>
      </c>
      <c r="Q18" s="42">
        <f t="shared" si="2"/>
        <v>4604.5407379693079</v>
      </c>
      <c r="R18" s="194">
        <f>Q18*(K18/M18)*Table1[[#This Row],['# Needed]]</f>
        <v>7040.4742458315923</v>
      </c>
    </row>
    <row r="19" spans="2:18" ht="16" customHeight="1" x14ac:dyDescent="0.35">
      <c r="B19" s="47"/>
      <c r="C19" s="43" t="s">
        <v>61</v>
      </c>
      <c r="D19" s="42" t="s">
        <v>62</v>
      </c>
      <c r="E19" s="42" t="s">
        <v>269</v>
      </c>
      <c r="F19" s="42">
        <v>1000</v>
      </c>
      <c r="G19" s="42">
        <f>((Flowsheet!AF5+Flowsheet!AB17+Flowsheet!AC10)/1000)/0.8</f>
        <v>163.01078784802448</v>
      </c>
      <c r="H19" s="42" t="s">
        <v>47</v>
      </c>
      <c r="I19" s="42">
        <f t="shared" si="5"/>
        <v>1</v>
      </c>
      <c r="J19" s="42">
        <f t="shared" si="3"/>
        <v>163.01078784802448</v>
      </c>
      <c r="K19" s="42">
        <v>798</v>
      </c>
      <c r="L19" s="42">
        <v>2009</v>
      </c>
      <c r="M19" s="42">
        <v>521.9</v>
      </c>
      <c r="N19" s="42">
        <v>2839.06</v>
      </c>
      <c r="O19" s="42">
        <v>1340000</v>
      </c>
      <c r="P19" s="42">
        <v>0.7</v>
      </c>
      <c r="Q19" s="42">
        <f t="shared" si="2"/>
        <v>181315.12813656978</v>
      </c>
      <c r="R19" s="237">
        <f>Q19*(K19/M19)*Table1[[#This Row],['# Needed]]</f>
        <v>277236.0073826072</v>
      </c>
    </row>
    <row r="20" spans="2:18" ht="16" customHeight="1" x14ac:dyDescent="0.35">
      <c r="B20" s="47"/>
      <c r="C20" s="43" t="s">
        <v>85</v>
      </c>
      <c r="D20" s="42" t="s">
        <v>62</v>
      </c>
      <c r="E20" s="42" t="s">
        <v>86</v>
      </c>
      <c r="F20" s="42">
        <v>50</v>
      </c>
      <c r="G20" s="42">
        <f>(G19*3.74)^0.6426 * 0.7777</f>
        <v>47.919206150252322</v>
      </c>
      <c r="H20" s="42" t="s">
        <v>74</v>
      </c>
      <c r="I20" s="42">
        <f>ROUNDUP(G20/F20,0.1)</f>
        <v>1</v>
      </c>
      <c r="J20" s="42">
        <f t="shared" si="3"/>
        <v>47.919206150252322</v>
      </c>
      <c r="K20" s="42">
        <v>798</v>
      </c>
      <c r="L20" s="42">
        <v>2009</v>
      </c>
      <c r="M20" s="42">
        <v>521.9</v>
      </c>
      <c r="N20" s="42">
        <v>5.6</v>
      </c>
      <c r="O20" s="42">
        <v>8000</v>
      </c>
      <c r="P20" s="42">
        <v>0.5</v>
      </c>
      <c r="Q20" s="42">
        <f t="shared" si="2"/>
        <v>23401.881768109972</v>
      </c>
      <c r="R20" s="237">
        <f>Q20*(K20/M20)*Table1[[#This Row],['# Needed]]</f>
        <v>35782.145336178881</v>
      </c>
    </row>
    <row r="21" spans="2:18" ht="16" customHeight="1" x14ac:dyDescent="0.35">
      <c r="B21" s="47"/>
      <c r="C21" s="43" t="s">
        <v>31</v>
      </c>
      <c r="D21" s="44" t="s">
        <v>88</v>
      </c>
      <c r="E21" s="42" t="s">
        <v>228</v>
      </c>
      <c r="F21" s="42">
        <v>10000</v>
      </c>
      <c r="G21" s="42">
        <f>(Flowsheet!J4+Flowsheet!V4)/Flowsheet!AH18/0.6</f>
        <v>4475</v>
      </c>
      <c r="H21" s="42" t="s">
        <v>87</v>
      </c>
      <c r="I21" s="42">
        <f>ROUNDUP(G21/F21,0.1)</f>
        <v>1</v>
      </c>
      <c r="J21" s="42">
        <f t="shared" si="3"/>
        <v>4475</v>
      </c>
      <c r="K21" s="42">
        <v>798</v>
      </c>
      <c r="L21" s="42">
        <v>2007</v>
      </c>
      <c r="M21" s="42">
        <v>525.4</v>
      </c>
      <c r="N21" s="42">
        <f>7.73/24 * 1000</f>
        <v>322.08333333333331</v>
      </c>
      <c r="O21" s="42">
        <v>12000</v>
      </c>
      <c r="P21" s="42">
        <v>0.6</v>
      </c>
      <c r="Q21" s="42">
        <f>(J21/N21)^P21 * O21</f>
        <v>58193.719786892783</v>
      </c>
      <c r="R21" s="194">
        <f>Q21*(K21/M21)*Table1[[#This Row],['# Needed]]</f>
        <v>88387.111514922814</v>
      </c>
    </row>
    <row r="22" spans="2:18" ht="16" customHeight="1" x14ac:dyDescent="0.35">
      <c r="B22" s="47"/>
      <c r="C22" s="43" t="s">
        <v>32</v>
      </c>
      <c r="D22" s="44" t="s">
        <v>90</v>
      </c>
      <c r="E22" s="42"/>
      <c r="F22" s="42">
        <v>100</v>
      </c>
      <c r="G22" s="42">
        <f>Flowsheet!AI17/Flowsheet!AK18/1000</f>
        <v>22.545164884764606</v>
      </c>
      <c r="H22" s="42" t="s">
        <v>89</v>
      </c>
      <c r="I22" s="42">
        <f>ROUNDUP(G22/F22,0.1)</f>
        <v>1</v>
      </c>
      <c r="J22" s="42">
        <f t="shared" si="3"/>
        <v>22.545164884764606</v>
      </c>
      <c r="K22" s="42">
        <v>798</v>
      </c>
      <c r="L22" s="42">
        <v>2021</v>
      </c>
      <c r="M22" s="42">
        <v>708.8</v>
      </c>
      <c r="N22" s="42">
        <v>20</v>
      </c>
      <c r="O22" s="42">
        <v>145186.041</v>
      </c>
      <c r="P22" s="42">
        <v>0.49</v>
      </c>
      <c r="Q22" s="42">
        <f>(J22/N22)^P22 * O22</f>
        <v>153962.99076514118</v>
      </c>
      <c r="R22" s="194">
        <f>Q22*(K22/M22)*Table1[[#This Row],['# Needed]]</f>
        <v>173338.69445623967</v>
      </c>
    </row>
    <row r="23" spans="2:18" x14ac:dyDescent="0.35">
      <c r="B23" s="47"/>
      <c r="C23" s="43" t="s">
        <v>266</v>
      </c>
      <c r="D23" s="44" t="s">
        <v>227</v>
      </c>
      <c r="E23" s="98" t="s">
        <v>267</v>
      </c>
      <c r="F23" s="42">
        <v>70</v>
      </c>
      <c r="G23" s="42">
        <f>(Flowsheet!AL17+Flowsheet!AN12)/1000</f>
        <v>3.8130574435644577</v>
      </c>
      <c r="H23" s="42" t="s">
        <v>47</v>
      </c>
      <c r="I23" s="42">
        <f>ROUNDUP(G23/F23,0.1)</f>
        <v>1</v>
      </c>
      <c r="J23" s="42">
        <f t="shared" si="3"/>
        <v>3.8130574435644577</v>
      </c>
      <c r="K23" s="42">
        <v>798</v>
      </c>
      <c r="L23" s="42"/>
      <c r="M23" s="42">
        <v>521.9</v>
      </c>
      <c r="N23" s="42">
        <v>2839.06</v>
      </c>
      <c r="O23" s="42">
        <v>1340000</v>
      </c>
      <c r="P23" s="42">
        <v>0.7</v>
      </c>
      <c r="Q23" s="42">
        <f t="shared" si="2"/>
        <v>13085.006487701752</v>
      </c>
      <c r="R23" s="194">
        <f>Q23*(K23/M23)*Table1[[#This Row],['# Needed]]</f>
        <v>20007.348490488599</v>
      </c>
    </row>
    <row r="24" spans="2:18" x14ac:dyDescent="0.35">
      <c r="B24" s="47"/>
      <c r="C24" s="43" t="s">
        <v>270</v>
      </c>
      <c r="D24" s="44" t="s">
        <v>283</v>
      </c>
      <c r="E24" s="42" t="s">
        <v>284</v>
      </c>
      <c r="F24" s="42">
        <v>2000</v>
      </c>
      <c r="G24" s="42">
        <f>'Operating Costs'!F23/3</f>
        <v>340</v>
      </c>
      <c r="H24" s="42" t="s">
        <v>285</v>
      </c>
      <c r="I24" s="42">
        <f>ROUNDUP(G24/F24,0.1)</f>
        <v>1</v>
      </c>
      <c r="J24" s="42">
        <f>Table1[[#This Row],[Max size]]*Table1[[#This Row],['# Needed]]</f>
        <v>2000</v>
      </c>
      <c r="K24" s="42">
        <v>798</v>
      </c>
      <c r="L24" s="42"/>
      <c r="M24" s="42"/>
      <c r="N24" s="42"/>
      <c r="O24" s="42"/>
      <c r="P24" s="42"/>
      <c r="Q24" s="42"/>
      <c r="R24" s="194">
        <f>Table1[[#This Row],['# Needed]]*20000</f>
        <v>20000</v>
      </c>
    </row>
    <row r="25" spans="2:18" x14ac:dyDescent="0.35">
      <c r="C25" s="43" t="s">
        <v>93</v>
      </c>
      <c r="D25" s="42" t="s">
        <v>62</v>
      </c>
      <c r="E25" s="42" t="s">
        <v>268</v>
      </c>
      <c r="F25" s="42">
        <v>946.35</v>
      </c>
      <c r="G25" s="42">
        <f>Flowsheet!AF5*2/1000</f>
        <v>186.64</v>
      </c>
      <c r="H25" s="42" t="s">
        <v>47</v>
      </c>
      <c r="I25" s="42">
        <f t="shared" ref="I25:I26" si="6">ROUNDUP(G25/F25,0.1)</f>
        <v>1</v>
      </c>
      <c r="J25" s="42">
        <f>G25/I25</f>
        <v>186.64</v>
      </c>
      <c r="K25" s="42">
        <v>798</v>
      </c>
      <c r="L25" s="42">
        <v>2009</v>
      </c>
      <c r="M25" s="42">
        <v>521.9</v>
      </c>
      <c r="N25" s="42">
        <v>946.35</v>
      </c>
      <c r="O25" s="42">
        <v>250000</v>
      </c>
      <c r="P25" s="42">
        <v>0.7</v>
      </c>
      <c r="Q25" s="42">
        <f t="shared" si="2"/>
        <v>80242.9832156341</v>
      </c>
      <c r="R25" s="194">
        <f>Q25*(K25/M25)*Table1[[#This Row],['# Needed]]</f>
        <v>122693.8122362062</v>
      </c>
    </row>
    <row r="26" spans="2:18" x14ac:dyDescent="0.35">
      <c r="B26" s="48"/>
      <c r="C26" s="43" t="s">
        <v>26</v>
      </c>
      <c r="D26" s="42" t="s">
        <v>62</v>
      </c>
      <c r="E26" s="42" t="s">
        <v>94</v>
      </c>
      <c r="F26" s="42">
        <v>118000</v>
      </c>
      <c r="G26" s="42">
        <f>(Flowsheet!X24+Flowsheet!AH27+Flowsheet!AK25)/3.74</f>
        <v>33980.106475314213</v>
      </c>
      <c r="H26" s="42" t="s">
        <v>65</v>
      </c>
      <c r="I26" s="42">
        <f t="shared" si="6"/>
        <v>1</v>
      </c>
      <c r="J26" s="42">
        <f t="shared" ref="J26" si="7">G26/I26</f>
        <v>33980.106475314213</v>
      </c>
      <c r="K26" s="42">
        <v>798</v>
      </c>
      <c r="L26" s="42">
        <v>2009</v>
      </c>
      <c r="M26" s="42">
        <v>521.9</v>
      </c>
      <c r="N26" s="42">
        <v>118000</v>
      </c>
      <c r="O26" s="42">
        <v>236000</v>
      </c>
      <c r="P26" s="42">
        <v>0.7</v>
      </c>
      <c r="Q26" s="42">
        <f t="shared" si="2"/>
        <v>98730.630992611652</v>
      </c>
      <c r="R26" s="194">
        <f>Q26*(K26/M26)*Table1[[#This Row],['# Needed]]</f>
        <v>150961.95350087009</v>
      </c>
    </row>
    <row r="27" spans="2:18" x14ac:dyDescent="0.35">
      <c r="B27" s="48"/>
      <c r="C27" s="49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3"/>
    </row>
    <row r="28" spans="2:18" x14ac:dyDescent="0.35">
      <c r="R28" s="40">
        <f>SUM(R6,R7,R8)/SUM(Table1[New Purchase Cost])</f>
        <v>0.49761189327156174</v>
      </c>
    </row>
    <row r="29" spans="2:18" x14ac:dyDescent="0.35">
      <c r="B29" s="108"/>
      <c r="C29" s="108" t="s">
        <v>418</v>
      </c>
      <c r="D29" s="108" t="s">
        <v>12</v>
      </c>
      <c r="E29" s="108" t="s">
        <v>419</v>
      </c>
      <c r="F29" s="108" t="s">
        <v>421</v>
      </c>
      <c r="G29" s="108" t="s">
        <v>435</v>
      </c>
      <c r="H29" s="108" t="s">
        <v>420</v>
      </c>
    </row>
    <row r="30" spans="2:18" x14ac:dyDescent="0.35">
      <c r="B30" s="238"/>
      <c r="C30" s="239">
        <f>SUM(R7:R8)</f>
        <v>832941.76265985449</v>
      </c>
      <c r="D30" s="239">
        <f>SUM(R19:R20)</f>
        <v>313018.15271878609</v>
      </c>
      <c r="E30" s="239">
        <f>SUM(R21,R22,R23,R24)</f>
        <v>301733.15446165111</v>
      </c>
      <c r="F30" s="238">
        <f>SUM(R10:R17)</f>
        <v>212565.50206278381</v>
      </c>
      <c r="G30" s="238">
        <f>SUM(R3,R4,R5,R9,R6)</f>
        <v>1169621.1775128718</v>
      </c>
      <c r="H30" s="238">
        <f>SUM(Table1[New Purchase Cost])-G30-F30-E30-D30-C30</f>
        <v>280696.23998290696</v>
      </c>
      <c r="I30" s="238">
        <f>SUM(C30:H30)</f>
        <v>3110575.9893988539</v>
      </c>
    </row>
  </sheetData>
  <hyperlinks>
    <hyperlink ref="D21" r:id="rId1" xr:uid="{4426DC09-89F3-4281-8DC6-D36F4C9DB9DD}"/>
    <hyperlink ref="D22" r:id="rId2" display="Perez et al (2022)" xr:uid="{498E8094-B8FF-4020-A6BD-B10FDF3DCB91}"/>
    <hyperlink ref="D3" r:id="rId3" xr:uid="{4AB13140-0DE3-46E9-8309-8CA54F7DED25}"/>
    <hyperlink ref="D4" r:id="rId4" xr:uid="{06BA2EB1-317E-47A1-ABA8-8EA91C939B6D}"/>
    <hyperlink ref="D7" r:id="rId5" location="B50-fermentation-05-00030" xr:uid="{AACEA0DC-797D-4B29-9EC9-F1E33322479E}"/>
    <hyperlink ref="D8" r:id="rId6" xr:uid="{2994A255-9723-454B-BF8F-66F74B5813F9}"/>
    <hyperlink ref="D23" r:id="rId7" xr:uid="{F380662B-CBBA-41E7-980D-6156D7CCF396}"/>
    <hyperlink ref="D24" r:id="rId8" xr:uid="{846CB7C1-BE1B-4A1D-8909-E3A6E7A71046}"/>
  </hyperlinks>
  <pageMargins left="0.7" right="0.7" top="0.75" bottom="0.75" header="0.3" footer="0.3"/>
  <tableParts count="1">
    <tablePart r:id="rId9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F0C71-3CDE-4098-A876-D785C928A045}">
  <dimension ref="B2:L30"/>
  <sheetViews>
    <sheetView topLeftCell="A3" workbookViewId="0">
      <selection activeCell="G4" sqref="G4:L21"/>
    </sheetView>
  </sheetViews>
  <sheetFormatPr defaultRowHeight="14.5" x14ac:dyDescent="0.35"/>
  <cols>
    <col min="2" max="2" width="18.90625" bestFit="1" customWidth="1"/>
    <col min="3" max="3" width="13.1796875" bestFit="1" customWidth="1"/>
    <col min="4" max="4" width="14" bestFit="1" customWidth="1"/>
    <col min="5" max="5" width="12.36328125" bestFit="1" customWidth="1"/>
    <col min="7" max="7" width="21.36328125" customWidth="1"/>
    <col min="8" max="8" width="12" bestFit="1" customWidth="1"/>
    <col min="9" max="9" width="14.6328125" bestFit="1" customWidth="1"/>
    <col min="10" max="10" width="18.81640625" bestFit="1" customWidth="1"/>
    <col min="11" max="11" width="12" bestFit="1" customWidth="1"/>
    <col min="12" max="12" width="15" customWidth="1"/>
    <col min="13" max="13" width="18.81640625" bestFit="1" customWidth="1"/>
    <col min="14" max="14" width="8.6328125" bestFit="1" customWidth="1"/>
    <col min="15" max="15" width="15.36328125" customWidth="1"/>
    <col min="16" max="16" width="18.81640625" bestFit="1" customWidth="1"/>
    <col min="17" max="17" width="7.1796875" customWidth="1"/>
    <col min="18" max="18" width="14.6328125" bestFit="1" customWidth="1"/>
  </cols>
  <sheetData>
    <row r="2" spans="2:12" ht="15" thickBot="1" x14ac:dyDescent="0.4">
      <c r="B2" s="309" t="s">
        <v>200</v>
      </c>
      <c r="C2" s="309"/>
      <c r="D2" s="309"/>
    </row>
    <row r="3" spans="2:12" ht="21.5" thickBot="1" x14ac:dyDescent="0.55000000000000004">
      <c r="B3" t="s">
        <v>220</v>
      </c>
      <c r="F3" s="109" t="s">
        <v>190</v>
      </c>
      <c r="G3" s="306" t="s">
        <v>408</v>
      </c>
      <c r="H3" s="307"/>
      <c r="I3" s="307"/>
      <c r="J3" s="307"/>
      <c r="K3" s="307"/>
      <c r="L3" s="308"/>
    </row>
    <row r="4" spans="2:12" ht="21.5" thickBot="1" x14ac:dyDescent="0.55000000000000004">
      <c r="B4" s="310" t="s">
        <v>205</v>
      </c>
      <c r="C4" s="311"/>
      <c r="D4" s="311"/>
      <c r="E4" s="312"/>
      <c r="G4" s="297" t="s">
        <v>458</v>
      </c>
      <c r="H4" s="298"/>
      <c r="I4" s="298"/>
      <c r="J4" s="298"/>
      <c r="K4" s="298"/>
      <c r="L4" s="299"/>
    </row>
    <row r="5" spans="2:12" ht="14.4" customHeight="1" x14ac:dyDescent="0.35">
      <c r="B5" s="112" t="s">
        <v>201</v>
      </c>
      <c r="C5" s="111" t="s">
        <v>202</v>
      </c>
      <c r="D5" s="111" t="s">
        <v>203</v>
      </c>
      <c r="E5" s="113" t="s">
        <v>215</v>
      </c>
      <c r="G5" s="300"/>
      <c r="H5" s="301"/>
      <c r="I5" s="301"/>
      <c r="J5" s="301"/>
      <c r="K5" s="301"/>
      <c r="L5" s="302"/>
    </row>
    <row r="6" spans="2:12" x14ac:dyDescent="0.35">
      <c r="B6" s="114" t="s">
        <v>204</v>
      </c>
      <c r="C6" s="88">
        <v>0</v>
      </c>
      <c r="D6" s="88">
        <f>C6+Flowsheet!J11</f>
        <v>3</v>
      </c>
      <c r="E6" s="115"/>
      <c r="G6" s="300"/>
      <c r="H6" s="301"/>
      <c r="I6" s="301"/>
      <c r="J6" s="301"/>
      <c r="K6" s="301"/>
      <c r="L6" s="302"/>
    </row>
    <row r="7" spans="2:12" x14ac:dyDescent="0.35">
      <c r="B7" s="114" t="s">
        <v>0</v>
      </c>
      <c r="C7" s="88">
        <f t="shared" ref="C7:C12" si="0">D6</f>
        <v>3</v>
      </c>
      <c r="D7" s="88">
        <f>C7+Flowsheet!M11</f>
        <v>4</v>
      </c>
      <c r="E7" s="115"/>
      <c r="G7" s="300"/>
      <c r="H7" s="301"/>
      <c r="I7" s="301"/>
      <c r="J7" s="301"/>
      <c r="K7" s="301"/>
      <c r="L7" s="302"/>
    </row>
    <row r="8" spans="2:12" x14ac:dyDescent="0.35">
      <c r="B8" s="114" t="s">
        <v>206</v>
      </c>
      <c r="C8" s="88">
        <f t="shared" si="0"/>
        <v>4</v>
      </c>
      <c r="D8" s="88">
        <f>Flowsheet!P11+C8</f>
        <v>5</v>
      </c>
      <c r="E8" s="115"/>
      <c r="G8" s="300"/>
      <c r="H8" s="301"/>
      <c r="I8" s="301"/>
      <c r="J8" s="301"/>
      <c r="K8" s="301"/>
      <c r="L8" s="302"/>
    </row>
    <row r="9" spans="2:12" x14ac:dyDescent="0.35">
      <c r="B9" s="114" t="s">
        <v>207</v>
      </c>
      <c r="C9" s="88">
        <f t="shared" si="0"/>
        <v>5</v>
      </c>
      <c r="D9" s="88">
        <f>C9+Flowsheet!S11</f>
        <v>7</v>
      </c>
      <c r="E9" s="115"/>
      <c r="G9" s="300"/>
      <c r="H9" s="301"/>
      <c r="I9" s="301"/>
      <c r="J9" s="301"/>
      <c r="K9" s="301"/>
      <c r="L9" s="302"/>
    </row>
    <row r="10" spans="2:12" x14ac:dyDescent="0.35">
      <c r="B10" s="114" t="s">
        <v>208</v>
      </c>
      <c r="C10" s="88">
        <f t="shared" si="0"/>
        <v>7</v>
      </c>
      <c r="D10" s="88">
        <f>Flowsheet!V11+C10</f>
        <v>8</v>
      </c>
      <c r="E10" s="115"/>
      <c r="G10" s="300"/>
      <c r="H10" s="301"/>
      <c r="I10" s="301"/>
      <c r="J10" s="301"/>
      <c r="K10" s="301"/>
      <c r="L10" s="302"/>
    </row>
    <row r="11" spans="2:12" x14ac:dyDescent="0.35">
      <c r="B11" s="114" t="s">
        <v>209</v>
      </c>
      <c r="C11" s="88">
        <f t="shared" si="0"/>
        <v>8</v>
      </c>
      <c r="D11" s="88">
        <f>C11+Flowsheet!Y11</f>
        <v>186.56</v>
      </c>
      <c r="E11" s="115" t="s">
        <v>216</v>
      </c>
      <c r="F11" s="109" t="s">
        <v>190</v>
      </c>
      <c r="G11" s="300"/>
      <c r="H11" s="301"/>
      <c r="I11" s="301"/>
      <c r="J11" s="301"/>
      <c r="K11" s="301"/>
      <c r="L11" s="302"/>
    </row>
    <row r="12" spans="2:12" x14ac:dyDescent="0.35">
      <c r="B12" s="114" t="s">
        <v>210</v>
      </c>
      <c r="C12" s="88">
        <f t="shared" si="0"/>
        <v>186.56</v>
      </c>
      <c r="D12" s="88">
        <f>C12+Flowsheet!AB11</f>
        <v>186.89000000000001</v>
      </c>
      <c r="E12" s="115"/>
      <c r="G12" s="300"/>
      <c r="H12" s="301"/>
      <c r="I12" s="301"/>
      <c r="J12" s="301"/>
      <c r="K12" s="301"/>
      <c r="L12" s="302"/>
    </row>
    <row r="13" spans="2:12" x14ac:dyDescent="0.35">
      <c r="B13" s="114" t="s">
        <v>78</v>
      </c>
      <c r="C13" s="88">
        <v>0</v>
      </c>
      <c r="D13" s="110">
        <f>C13+Flowsheet!M23</f>
        <v>0.16666666666666666</v>
      </c>
      <c r="E13" s="115"/>
      <c r="G13" s="300"/>
      <c r="H13" s="301"/>
      <c r="I13" s="301"/>
      <c r="J13" s="301"/>
      <c r="K13" s="301"/>
      <c r="L13" s="302"/>
    </row>
    <row r="14" spans="2:12" x14ac:dyDescent="0.35">
      <c r="B14" s="114" t="s">
        <v>211</v>
      </c>
      <c r="C14" s="110">
        <f t="shared" ref="C14:C20" si="1">D13</f>
        <v>0.16666666666666666</v>
      </c>
      <c r="D14" s="110">
        <f>C14+Flowsheet!P23</f>
        <v>2.1666666666666665</v>
      </c>
      <c r="E14" s="115"/>
      <c r="G14" s="300"/>
      <c r="H14" s="301"/>
      <c r="I14" s="301"/>
      <c r="J14" s="301"/>
      <c r="K14" s="301"/>
      <c r="L14" s="302"/>
    </row>
    <row r="15" spans="2:12" x14ac:dyDescent="0.35">
      <c r="B15" s="114" t="s">
        <v>212</v>
      </c>
      <c r="C15" s="110">
        <f t="shared" si="1"/>
        <v>2.1666666666666665</v>
      </c>
      <c r="D15" s="110">
        <f>C15+Flowsheet!V23</f>
        <v>3.6666666666666665</v>
      </c>
      <c r="E15" s="115"/>
      <c r="G15" s="300"/>
      <c r="H15" s="301"/>
      <c r="I15" s="301"/>
      <c r="J15" s="301"/>
      <c r="K15" s="301"/>
      <c r="L15" s="302"/>
    </row>
    <row r="16" spans="2:12" x14ac:dyDescent="0.35">
      <c r="B16" s="114" t="s">
        <v>213</v>
      </c>
      <c r="C16" s="110">
        <f t="shared" si="1"/>
        <v>3.6666666666666665</v>
      </c>
      <c r="D16" s="88">
        <f>D12</f>
        <v>186.89000000000001</v>
      </c>
      <c r="E16" s="115"/>
      <c r="G16" s="300"/>
      <c r="H16" s="301"/>
      <c r="I16" s="301"/>
      <c r="J16" s="301"/>
      <c r="K16" s="301"/>
      <c r="L16" s="302"/>
    </row>
    <row r="17" spans="2:12" x14ac:dyDescent="0.35">
      <c r="B17" s="114" t="s">
        <v>214</v>
      </c>
      <c r="C17" s="110">
        <f t="shared" si="1"/>
        <v>186.89000000000001</v>
      </c>
      <c r="D17" s="110">
        <f>C17+Flowsheet!AE18</f>
        <v>407.89</v>
      </c>
      <c r="E17" s="115" t="s">
        <v>217</v>
      </c>
      <c r="F17" s="109" t="s">
        <v>190</v>
      </c>
      <c r="G17" s="300"/>
      <c r="H17" s="301"/>
      <c r="I17" s="301"/>
      <c r="J17" s="301"/>
      <c r="K17" s="301"/>
      <c r="L17" s="302"/>
    </row>
    <row r="18" spans="2:12" x14ac:dyDescent="0.35">
      <c r="B18" s="114" t="s">
        <v>31</v>
      </c>
      <c r="C18" s="110">
        <f t="shared" si="1"/>
        <v>407.89</v>
      </c>
      <c r="D18" s="110">
        <f>C18+Flowsheet!AH18</f>
        <v>411.89</v>
      </c>
      <c r="E18" s="115"/>
      <c r="G18" s="300"/>
      <c r="H18" s="301"/>
      <c r="I18" s="301"/>
      <c r="J18" s="301"/>
      <c r="K18" s="301"/>
      <c r="L18" s="302"/>
    </row>
    <row r="19" spans="2:12" x14ac:dyDescent="0.35">
      <c r="B19" s="114" t="s">
        <v>32</v>
      </c>
      <c r="C19" s="110">
        <f t="shared" si="1"/>
        <v>411.89</v>
      </c>
      <c r="D19" s="110">
        <f>C19+Flowsheet!AK18</f>
        <v>416.89</v>
      </c>
      <c r="E19" s="115"/>
      <c r="G19" s="300"/>
      <c r="H19" s="301"/>
      <c r="I19" s="301"/>
      <c r="J19" s="301"/>
      <c r="K19" s="301"/>
      <c r="L19" s="302"/>
    </row>
    <row r="20" spans="2:12" ht="15" thickBot="1" x14ac:dyDescent="0.4">
      <c r="B20" s="116" t="s">
        <v>194</v>
      </c>
      <c r="C20" s="117">
        <f t="shared" si="1"/>
        <v>416.89</v>
      </c>
      <c r="D20" s="117">
        <f>C20+Flowsheet!AN18</f>
        <v>419.89</v>
      </c>
      <c r="E20" s="118"/>
      <c r="G20" s="300"/>
      <c r="H20" s="301"/>
      <c r="I20" s="301"/>
      <c r="J20" s="301"/>
      <c r="K20" s="301"/>
      <c r="L20" s="302"/>
    </row>
    <row r="21" spans="2:12" ht="15" thickBot="1" x14ac:dyDescent="0.4">
      <c r="B21" s="35" t="s">
        <v>218</v>
      </c>
      <c r="C21" s="119">
        <f>D20-C6</f>
        <v>419.89</v>
      </c>
      <c r="D21" s="120" t="s">
        <v>219</v>
      </c>
      <c r="G21" s="303"/>
      <c r="H21" s="304"/>
      <c r="I21" s="304"/>
      <c r="J21" s="304"/>
      <c r="K21" s="304"/>
      <c r="L21" s="305"/>
    </row>
    <row r="22" spans="2:12" ht="15" thickBot="1" x14ac:dyDescent="0.4">
      <c r="G22" s="290" t="s">
        <v>406</v>
      </c>
      <c r="H22" s="316"/>
      <c r="I22" s="291"/>
      <c r="J22" s="290" t="s">
        <v>407</v>
      </c>
      <c r="K22" s="316"/>
      <c r="L22" s="291"/>
    </row>
    <row r="23" spans="2:12" ht="15" thickBot="1" x14ac:dyDescent="0.4">
      <c r="G23" s="313" t="s">
        <v>221</v>
      </c>
      <c r="H23" s="314"/>
      <c r="I23" s="315"/>
      <c r="J23" s="313" t="s">
        <v>221</v>
      </c>
      <c r="K23" s="314"/>
      <c r="L23" s="315"/>
    </row>
    <row r="24" spans="2:12" ht="14.4" customHeight="1" x14ac:dyDescent="0.35">
      <c r="E24" s="227"/>
      <c r="G24" s="228"/>
      <c r="H24" s="229" t="s">
        <v>424</v>
      </c>
      <c r="I24" s="230" t="s">
        <v>425</v>
      </c>
      <c r="J24" s="228"/>
      <c r="K24" s="229" t="s">
        <v>424</v>
      </c>
      <c r="L24" s="230" t="s">
        <v>425</v>
      </c>
    </row>
    <row r="25" spans="2:12" x14ac:dyDescent="0.35">
      <c r="E25" s="227"/>
      <c r="G25" s="231" t="s">
        <v>426</v>
      </c>
      <c r="H25" s="108">
        <v>0</v>
      </c>
      <c r="I25" s="232">
        <f>C21</f>
        <v>419.89</v>
      </c>
      <c r="J25" s="231" t="s">
        <v>426</v>
      </c>
      <c r="K25" s="108">
        <v>0</v>
      </c>
      <c r="L25" s="232">
        <f>C21</f>
        <v>419.89</v>
      </c>
    </row>
    <row r="26" spans="2:12" x14ac:dyDescent="0.35">
      <c r="E26" s="227"/>
      <c r="G26" s="231" t="s">
        <v>427</v>
      </c>
      <c r="H26" s="234">
        <f>D17+4</f>
        <v>411.89</v>
      </c>
      <c r="I26" s="232">
        <f>$D$20-$C$17 + H26</f>
        <v>644.89</v>
      </c>
      <c r="J26" s="231" t="s">
        <v>427</v>
      </c>
      <c r="K26" s="108">
        <f>D12+4</f>
        <v>190.89000000000001</v>
      </c>
      <c r="L26" s="232">
        <f>(D20-C11)+K26</f>
        <v>602.78</v>
      </c>
    </row>
    <row r="27" spans="2:12" x14ac:dyDescent="0.35">
      <c r="E27" s="227"/>
      <c r="G27" s="231" t="s">
        <v>428</v>
      </c>
      <c r="H27" s="234">
        <f>($D$17-$C$17)+4+H26</f>
        <v>636.89</v>
      </c>
      <c r="I27" s="232">
        <f t="shared" ref="I27:I29" si="2">$D$20-$C$17 + H27</f>
        <v>869.89</v>
      </c>
      <c r="J27" s="231" t="s">
        <v>428</v>
      </c>
      <c r="K27" s="108">
        <f>K26+$K$26</f>
        <v>381.78000000000003</v>
      </c>
      <c r="L27" s="232">
        <f>($D$20-$C$11)+K27</f>
        <v>793.67000000000007</v>
      </c>
    </row>
    <row r="28" spans="2:12" x14ac:dyDescent="0.35">
      <c r="E28" s="227"/>
      <c r="G28" s="231" t="s">
        <v>429</v>
      </c>
      <c r="H28" s="234">
        <f t="shared" ref="H28:H29" si="3">($D$17-$C$17)+4+H27</f>
        <v>861.89</v>
      </c>
      <c r="I28" s="232">
        <f t="shared" si="2"/>
        <v>1094.8899999999999</v>
      </c>
      <c r="J28" s="231" t="s">
        <v>429</v>
      </c>
      <c r="K28" s="108">
        <f>K27+$K$26</f>
        <v>572.67000000000007</v>
      </c>
      <c r="L28" s="232">
        <f t="shared" ref="L28:L29" si="4">($D$20-$C$11)+K28</f>
        <v>984.56000000000006</v>
      </c>
    </row>
    <row r="29" spans="2:12" x14ac:dyDescent="0.35">
      <c r="G29" s="231" t="s">
        <v>430</v>
      </c>
      <c r="H29" s="234">
        <f t="shared" si="3"/>
        <v>1086.8899999999999</v>
      </c>
      <c r="I29" s="232">
        <f t="shared" si="2"/>
        <v>1319.8899999999999</v>
      </c>
      <c r="J29" s="231" t="s">
        <v>430</v>
      </c>
      <c r="K29" s="108">
        <f>K28+$K$26</f>
        <v>763.56000000000006</v>
      </c>
      <c r="L29" s="232">
        <f t="shared" si="4"/>
        <v>1175.45</v>
      </c>
    </row>
    <row r="30" spans="2:12" ht="15" thickBot="1" x14ac:dyDescent="0.4">
      <c r="G30" s="233" t="s">
        <v>431</v>
      </c>
      <c r="H30" s="235">
        <f>I29/5</f>
        <v>263.97799999999995</v>
      </c>
      <c r="I30" s="236" t="s">
        <v>219</v>
      </c>
      <c r="J30" s="233" t="s">
        <v>431</v>
      </c>
      <c r="K30" s="235">
        <f>L29/5</f>
        <v>235.09</v>
      </c>
      <c r="L30" s="236" t="s">
        <v>219</v>
      </c>
    </row>
  </sheetData>
  <mergeCells count="8">
    <mergeCell ref="G4:L21"/>
    <mergeCell ref="G3:L3"/>
    <mergeCell ref="B2:D2"/>
    <mergeCell ref="B4:E4"/>
    <mergeCell ref="G23:I23"/>
    <mergeCell ref="G22:I22"/>
    <mergeCell ref="J22:L22"/>
    <mergeCell ref="J23:L23"/>
  </mergeCells>
  <phoneticPr fontId="15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3D4B8-9D54-4263-9270-874C68A160AA}">
  <dimension ref="B2:O51"/>
  <sheetViews>
    <sheetView topLeftCell="D9" workbookViewId="0">
      <selection activeCell="K24" sqref="K24"/>
    </sheetView>
  </sheetViews>
  <sheetFormatPr defaultRowHeight="14.5" x14ac:dyDescent="0.35"/>
  <cols>
    <col min="2" max="2" width="11" bestFit="1" customWidth="1"/>
    <col min="3" max="3" width="24.36328125" bestFit="1" customWidth="1"/>
    <col min="4" max="4" width="74.6328125" bestFit="1" customWidth="1"/>
    <col min="5" max="5" width="20.453125" customWidth="1"/>
    <col min="6" max="6" width="19.6328125" bestFit="1" customWidth="1"/>
    <col min="7" max="7" width="11.6328125" bestFit="1" customWidth="1"/>
    <col min="8" max="8" width="15.81640625" bestFit="1" customWidth="1"/>
    <col min="9" max="9" width="15.81640625" customWidth="1"/>
    <col min="10" max="10" width="13.6328125" bestFit="1" customWidth="1"/>
    <col min="11" max="11" width="12.1796875" bestFit="1" customWidth="1"/>
    <col min="13" max="13" width="9.54296875" bestFit="1" customWidth="1"/>
    <col min="14" max="14" width="4" bestFit="1" customWidth="1"/>
  </cols>
  <sheetData>
    <row r="2" spans="2:15" ht="18.5" x14ac:dyDescent="0.35">
      <c r="B2" s="78" t="s">
        <v>33</v>
      </c>
      <c r="C2" s="78" t="s">
        <v>34</v>
      </c>
      <c r="D2" s="78" t="s">
        <v>35</v>
      </c>
      <c r="E2" s="78" t="s">
        <v>134</v>
      </c>
      <c r="F2" s="78" t="s">
        <v>136</v>
      </c>
      <c r="G2" s="78" t="s">
        <v>42</v>
      </c>
      <c r="H2" s="78" t="s">
        <v>146</v>
      </c>
      <c r="I2" s="78" t="s">
        <v>142</v>
      </c>
      <c r="J2" s="78" t="s">
        <v>137</v>
      </c>
      <c r="K2" s="78" t="s">
        <v>138</v>
      </c>
    </row>
    <row r="3" spans="2:15" x14ac:dyDescent="0.35">
      <c r="B3" s="79"/>
      <c r="C3" s="81" t="s">
        <v>44</v>
      </c>
      <c r="D3" s="80" t="s">
        <v>140</v>
      </c>
      <c r="E3" s="81" t="s">
        <v>135</v>
      </c>
      <c r="F3" s="81">
        <f>1364*6.35^-1.326</f>
        <v>117.58079996034404</v>
      </c>
      <c r="G3" s="81" t="s">
        <v>141</v>
      </c>
      <c r="H3" s="81">
        <f>F3/3600 * N8</f>
        <v>3.2661333322317795E-3</v>
      </c>
      <c r="I3" s="81" t="s">
        <v>147</v>
      </c>
      <c r="J3" s="81">
        <f>H3*Flowsheet!J5</f>
        <v>23.853224951955131</v>
      </c>
      <c r="K3" s="128">
        <f>J3*Flowsheet!$G$10</f>
        <v>672.82543618126488</v>
      </c>
    </row>
    <row r="4" spans="2:15" x14ac:dyDescent="0.35">
      <c r="B4" s="43"/>
      <c r="C4" s="42" t="s">
        <v>45</v>
      </c>
      <c r="D4" s="82" t="s">
        <v>96</v>
      </c>
      <c r="E4" s="42" t="s">
        <v>135</v>
      </c>
      <c r="F4" s="42">
        <f>7.5/0.7</f>
        <v>10.714285714285715</v>
      </c>
      <c r="G4" s="42" t="s">
        <v>148</v>
      </c>
      <c r="H4" s="42">
        <f>F4*N8</f>
        <v>1.0714285714285716</v>
      </c>
      <c r="I4" s="42" t="s">
        <v>149</v>
      </c>
      <c r="J4" s="42">
        <f>H4*Table1[[#This Row],['# Needed]]</f>
        <v>31.071428571428577</v>
      </c>
      <c r="K4" s="129">
        <f>J4*Flowsheet!$G$10</f>
        <v>876.42855519345255</v>
      </c>
    </row>
    <row r="5" spans="2:15" x14ac:dyDescent="0.35">
      <c r="B5" s="79"/>
      <c r="C5" s="81" t="s">
        <v>54</v>
      </c>
      <c r="D5" s="80" t="s">
        <v>150</v>
      </c>
      <c r="E5" s="81" t="s">
        <v>135</v>
      </c>
      <c r="F5" s="81">
        <f>0.6259+(0.00009*AVERAGE(Flowsheet!N10,Flowsheet!W10))</f>
        <v>3.8471213437579128</v>
      </c>
      <c r="G5" s="81" t="s">
        <v>151</v>
      </c>
      <c r="H5" s="81">
        <f>F5/1.34*Flowsheet!P11</f>
        <v>2.8709860774312781</v>
      </c>
      <c r="I5" s="81" t="s">
        <v>152</v>
      </c>
      <c r="J5" s="81">
        <f>H5*Table1[[#This Row],['# Needed]]</f>
        <v>11.483944309725112</v>
      </c>
      <c r="K5" s="128">
        <f>J5*Flowsheet!$G$10</f>
        <v>323.92642314970641</v>
      </c>
    </row>
    <row r="6" spans="2:15" x14ac:dyDescent="0.35">
      <c r="B6" s="43"/>
      <c r="C6" s="42" t="s">
        <v>6</v>
      </c>
      <c r="D6" s="44" t="s">
        <v>155</v>
      </c>
      <c r="E6" s="42" t="s">
        <v>135</v>
      </c>
      <c r="F6" s="42">
        <f>130.47*Table1[[#This Row],[Size Needed]]^0.4202</f>
        <v>1374.6139489000175</v>
      </c>
      <c r="G6" s="42" t="s">
        <v>74</v>
      </c>
      <c r="H6" s="42">
        <f>F6*N8</f>
        <v>137.46139489000174</v>
      </c>
      <c r="I6" s="42" t="s">
        <v>153</v>
      </c>
      <c r="J6" s="42">
        <f>Table1[[#This Row],['# Needed]]*'Operating Costs'!H6</f>
        <v>412.3841846700052</v>
      </c>
      <c r="K6" s="129">
        <f>J6*Flowsheet!$G$10</f>
        <v>11632.077821079254</v>
      </c>
      <c r="M6" s="317" t="s">
        <v>144</v>
      </c>
      <c r="N6" s="317"/>
      <c r="O6" s="317"/>
    </row>
    <row r="7" spans="2:15" x14ac:dyDescent="0.35">
      <c r="B7" s="93"/>
      <c r="C7" s="81" t="s">
        <v>231</v>
      </c>
      <c r="D7" s="80"/>
      <c r="E7" s="81" t="s">
        <v>232</v>
      </c>
      <c r="F7" s="81">
        <f>'Equipment List &amp; Purchase Cost'!J6*'Equipment List &amp; Purchase Cost'!I6 * 0.03</f>
        <v>8.1449999999999996</v>
      </c>
      <c r="G7" s="81" t="s">
        <v>47</v>
      </c>
      <c r="H7" s="81">
        <v>12</v>
      </c>
      <c r="I7" s="81" t="s">
        <v>233</v>
      </c>
      <c r="J7" s="81">
        <f>H7*F7</f>
        <v>97.74</v>
      </c>
      <c r="K7" s="128">
        <f>J7*Flowsheet!$G$10</f>
        <v>2756.942017895431</v>
      </c>
      <c r="M7" s="88"/>
      <c r="N7" s="88"/>
      <c r="O7" s="88"/>
    </row>
    <row r="8" spans="2:15" x14ac:dyDescent="0.35">
      <c r="B8" s="92"/>
      <c r="C8" s="83" t="s">
        <v>56</v>
      </c>
      <c r="D8" s="83" t="s">
        <v>410</v>
      </c>
      <c r="E8" s="83"/>
      <c r="F8" s="83"/>
      <c r="G8" s="83"/>
      <c r="H8" s="83"/>
      <c r="I8" s="83"/>
      <c r="J8" s="83">
        <f>J9/2</f>
        <v>581.21092994553442</v>
      </c>
      <c r="K8" s="129">
        <f>J8*Flowsheet!$G$10</f>
        <v>16394.156272016797</v>
      </c>
      <c r="M8" s="88" t="s">
        <v>145</v>
      </c>
      <c r="N8" s="88">
        <v>0.1</v>
      </c>
      <c r="O8" s="95" t="s">
        <v>143</v>
      </c>
    </row>
    <row r="9" spans="2:15" x14ac:dyDescent="0.35">
      <c r="B9" s="93"/>
      <c r="C9" s="84" t="s">
        <v>115</v>
      </c>
      <c r="D9" s="94" t="s">
        <v>409</v>
      </c>
      <c r="E9" s="84" t="s">
        <v>135</v>
      </c>
      <c r="F9" s="94">
        <f>((Flowsheet!C30*0.0008 - 0.0001)) * 0.7355 * 10</f>
        <v>65.099790540494439</v>
      </c>
      <c r="G9" s="84" t="s">
        <v>74</v>
      </c>
      <c r="H9" s="84">
        <f>F9*N8</f>
        <v>6.5099790540494444</v>
      </c>
      <c r="I9" s="84" t="s">
        <v>149</v>
      </c>
      <c r="J9" s="84">
        <f>H9*Flowsheet!Y11</f>
        <v>1162.4218598910688</v>
      </c>
      <c r="K9" s="128">
        <f>J9*Flowsheet!$G$10</f>
        <v>32788.312544033593</v>
      </c>
    </row>
    <row r="10" spans="2:15" x14ac:dyDescent="0.35">
      <c r="B10" s="92"/>
      <c r="C10" s="42" t="s">
        <v>55</v>
      </c>
      <c r="D10" s="42" t="s">
        <v>62</v>
      </c>
      <c r="E10" s="42" t="s">
        <v>135</v>
      </c>
      <c r="F10" s="42">
        <f>15/28630</f>
        <v>5.2392595179881246E-4</v>
      </c>
      <c r="G10" s="42" t="s">
        <v>156</v>
      </c>
      <c r="H10" s="42">
        <f>F10*0.7457*N8</f>
        <v>3.9069158225637455E-5</v>
      </c>
      <c r="I10" s="42" t="s">
        <v>157</v>
      </c>
      <c r="J10" s="42">
        <f>H10*Table1[[#This Row],[Unit size]]*Table1[[#This Row],['# Needed]]</f>
        <v>7.3113646636694257E-2</v>
      </c>
      <c r="K10" s="129">
        <f>J10*Flowsheet!$G$10</f>
        <v>2.062309028997968</v>
      </c>
    </row>
    <row r="11" spans="2:15" x14ac:dyDescent="0.35">
      <c r="B11" s="193"/>
      <c r="C11" s="81" t="s">
        <v>57</v>
      </c>
      <c r="D11" s="80" t="s">
        <v>158</v>
      </c>
      <c r="E11" s="81" t="s">
        <v>135</v>
      </c>
      <c r="F11" s="81">
        <f>0.0908*'Equipment List &amp; Purchase Cost'!G11 * 0.227</f>
        <v>1.2857449946524064</v>
      </c>
      <c r="G11" s="81" t="s">
        <v>74</v>
      </c>
      <c r="H11" s="81">
        <f>F11*N8</f>
        <v>0.12857449946524066</v>
      </c>
      <c r="I11" s="81" t="s">
        <v>149</v>
      </c>
      <c r="J11" s="81">
        <f>H11*Table1[[#This Row],['# Needed]]*Flowsheet!M23</f>
        <v>2.1429083244206774E-2</v>
      </c>
      <c r="K11" s="128">
        <f>J11*Flowsheet!$G$10</f>
        <v>0.60444792307072437</v>
      </c>
    </row>
    <row r="12" spans="2:15" x14ac:dyDescent="0.35">
      <c r="B12" s="92"/>
      <c r="C12" s="42" t="s">
        <v>70</v>
      </c>
      <c r="D12" s="44" t="s">
        <v>159</v>
      </c>
      <c r="E12" s="42" t="s">
        <v>135</v>
      </c>
      <c r="F12" s="42">
        <f>'Equipment List &amp; Purchase Cost'!G13</f>
        <v>1.5470647274154488</v>
      </c>
      <c r="G12" s="42" t="s">
        <v>74</v>
      </c>
      <c r="H12" s="42">
        <f>F12*N8</f>
        <v>0.15470647274154489</v>
      </c>
      <c r="I12" s="42" t="s">
        <v>143</v>
      </c>
      <c r="J12" s="42">
        <f>H12*Flowsheet!P23</f>
        <v>0.30941294548308979</v>
      </c>
      <c r="K12" s="129">
        <f>J12*Flowsheet!$G$10</f>
        <v>8.7275787833345468</v>
      </c>
    </row>
    <row r="13" spans="2:15" x14ac:dyDescent="0.35">
      <c r="B13" s="93"/>
      <c r="C13" s="84" t="s">
        <v>76</v>
      </c>
      <c r="D13" s="84" t="s">
        <v>158</v>
      </c>
      <c r="E13" s="84" t="s">
        <v>135</v>
      </c>
      <c r="F13" s="84">
        <f>0.0908*'Equipment List &amp; Purchase Cost'!G14* 0.227 * 0.0044</f>
        <v>0.15622002199530147</v>
      </c>
      <c r="G13" s="84" t="s">
        <v>74</v>
      </c>
      <c r="H13" s="84">
        <f>F13*N8</f>
        <v>1.5622002199530147E-2</v>
      </c>
      <c r="I13" s="84" t="s">
        <v>143</v>
      </c>
      <c r="J13" s="84">
        <f>H13*Table1[[#This Row],['# Needed]]</f>
        <v>1.5622002199530147E-2</v>
      </c>
      <c r="K13" s="128">
        <f>J13*Flowsheet!$G$10</f>
        <v>0.44064819181030807</v>
      </c>
    </row>
    <row r="14" spans="2:15" x14ac:dyDescent="0.35">
      <c r="B14" s="92"/>
      <c r="C14" s="42" t="s">
        <v>18</v>
      </c>
      <c r="D14" s="82" t="s">
        <v>160</v>
      </c>
      <c r="E14" s="42" t="s">
        <v>135</v>
      </c>
      <c r="F14" s="42">
        <f>12*2</f>
        <v>24</v>
      </c>
      <c r="G14" s="42" t="s">
        <v>74</v>
      </c>
      <c r="H14" s="42">
        <f>F14*N8</f>
        <v>2.4000000000000004</v>
      </c>
      <c r="I14" s="42" t="s">
        <v>149</v>
      </c>
      <c r="J14" s="42">
        <f>H14*Flowsheet!V23</f>
        <v>3.6000000000000005</v>
      </c>
      <c r="K14" s="129">
        <f>J14*Flowsheet!$G$10</f>
        <v>101.54482570517244</v>
      </c>
    </row>
    <row r="15" spans="2:15" x14ac:dyDescent="0.35">
      <c r="B15" s="193"/>
      <c r="C15" s="81" t="s">
        <v>78</v>
      </c>
      <c r="D15" s="80" t="s">
        <v>158</v>
      </c>
      <c r="E15" s="81" t="s">
        <v>135</v>
      </c>
      <c r="F15" s="81">
        <f>0.0908*'Equipment List &amp; Purchase Cost'!G17* 0.227</f>
        <v>1.1195774973100203</v>
      </c>
      <c r="G15" s="81" t="s">
        <v>74</v>
      </c>
      <c r="H15" s="81">
        <f>F15*N8</f>
        <v>0.11195774973100203</v>
      </c>
      <c r="I15" s="81" t="s">
        <v>149</v>
      </c>
      <c r="J15" s="81">
        <f>H15*Flowsheet!AA18</f>
        <v>1.8659624955167004E-2</v>
      </c>
      <c r="K15" s="128">
        <f>J15*Flowsheet!$G$10</f>
        <v>0.52633010105453315</v>
      </c>
    </row>
    <row r="16" spans="2:15" x14ac:dyDescent="0.35">
      <c r="B16" s="155"/>
      <c r="C16" s="42" t="s">
        <v>79</v>
      </c>
      <c r="D16" s="44" t="s">
        <v>158</v>
      </c>
      <c r="E16" s="42" t="s">
        <v>135</v>
      </c>
      <c r="F16" s="42">
        <f>0.0908*'Equipment List &amp; Purchase Cost'!G18* 0.227</f>
        <v>8.5716332976827108</v>
      </c>
      <c r="G16" s="42" t="s">
        <v>74</v>
      </c>
      <c r="H16" s="42">
        <f>F16*N8</f>
        <v>0.85716332976827114</v>
      </c>
      <c r="I16" s="42" t="s">
        <v>149</v>
      </c>
      <c r="J16" s="42">
        <f>Flowsheet!AG11*H16</f>
        <v>0.85716332976827114</v>
      </c>
      <c r="K16" s="129">
        <f>J16*Flowsheet!$G$10</f>
        <v>24.177916922828981</v>
      </c>
    </row>
    <row r="17" spans="2:11" x14ac:dyDescent="0.35">
      <c r="B17" s="93"/>
      <c r="C17" s="81" t="s">
        <v>85</v>
      </c>
      <c r="D17" s="80" t="s">
        <v>159</v>
      </c>
      <c r="E17" s="81" t="s">
        <v>135</v>
      </c>
      <c r="F17" s="81">
        <f>'Equipment List &amp; Purchase Cost'!G20</f>
        <v>47.919206150252322</v>
      </c>
      <c r="G17" s="81" t="s">
        <v>74</v>
      </c>
      <c r="H17" s="81">
        <f>F17*N8</f>
        <v>4.7919206150252327</v>
      </c>
      <c r="I17" s="81" t="s">
        <v>149</v>
      </c>
      <c r="J17" s="81">
        <f>H17*Flowsheet!AE18*Table1[[#This Row],['# Needed]]</f>
        <v>1059.0144559205764</v>
      </c>
      <c r="K17" s="128">
        <f>J17*Flowsheet!$G$10</f>
        <v>29871.510651586927</v>
      </c>
    </row>
    <row r="18" spans="2:11" x14ac:dyDescent="0.35">
      <c r="B18" s="92"/>
      <c r="C18" s="83" t="s">
        <v>31</v>
      </c>
      <c r="D18" s="83" t="s">
        <v>88</v>
      </c>
      <c r="E18" s="83" t="s">
        <v>135</v>
      </c>
      <c r="F18" s="83">
        <v>0.05</v>
      </c>
      <c r="G18" s="83" t="s">
        <v>161</v>
      </c>
      <c r="H18" s="83">
        <f>F18*N8</f>
        <v>5.000000000000001E-3</v>
      </c>
      <c r="I18" s="83" t="s">
        <v>162</v>
      </c>
      <c r="J18" s="83">
        <f>H18*Flowsheet!AF17/1000</f>
        <v>0.64562327848695911</v>
      </c>
      <c r="K18" s="129">
        <f>J18*Flowsheet!$G$10</f>
        <v>18.211028690322294</v>
      </c>
    </row>
    <row r="19" spans="2:11" x14ac:dyDescent="0.35">
      <c r="B19" s="93"/>
      <c r="C19" s="84" t="s">
        <v>32</v>
      </c>
      <c r="D19" s="94" t="s">
        <v>164</v>
      </c>
      <c r="E19" s="84" t="s">
        <v>163</v>
      </c>
      <c r="F19" s="94">
        <v>0.14699999999999999</v>
      </c>
      <c r="G19" s="84" t="s">
        <v>162</v>
      </c>
      <c r="H19" s="84">
        <f>F19</f>
        <v>0.14699999999999999</v>
      </c>
      <c r="I19" s="84" t="s">
        <v>162</v>
      </c>
      <c r="J19" s="84">
        <f>H19*Flowsheet!AI17/1000</f>
        <v>16.570696190301987</v>
      </c>
      <c r="K19" s="128">
        <f>J19*Flowsheet!$G$10</f>
        <v>467.40790457154998</v>
      </c>
    </row>
    <row r="20" spans="2:11" x14ac:dyDescent="0.35">
      <c r="B20" s="155"/>
      <c r="C20" s="42" t="s">
        <v>287</v>
      </c>
      <c r="D20" s="44" t="s">
        <v>283</v>
      </c>
      <c r="E20" s="42" t="s">
        <v>135</v>
      </c>
      <c r="F20" s="42">
        <f>1.5*'Equipment List &amp; Purchase Cost'!I24</f>
        <v>1.5</v>
      </c>
      <c r="G20" s="42" t="s">
        <v>148</v>
      </c>
      <c r="H20" s="42">
        <f>F20*N8</f>
        <v>0.15000000000000002</v>
      </c>
      <c r="I20" s="42" t="s">
        <v>143</v>
      </c>
      <c r="J20" s="42">
        <f>H20*'Equipment List &amp; Purchase Cost'!I24</f>
        <v>0.15000000000000002</v>
      </c>
      <c r="K20" s="129">
        <f>J20*Flowsheet!$G$10</f>
        <v>4.2310344043821848</v>
      </c>
    </row>
    <row r="22" spans="2:11" ht="18.5" x14ac:dyDescent="0.35">
      <c r="C22" s="78" t="s">
        <v>170</v>
      </c>
      <c r="D22" s="78" t="s">
        <v>35</v>
      </c>
      <c r="E22" s="78" t="s">
        <v>167</v>
      </c>
      <c r="F22" s="78" t="s">
        <v>136</v>
      </c>
      <c r="G22" s="78" t="s">
        <v>42</v>
      </c>
      <c r="H22" s="78" t="s">
        <v>168</v>
      </c>
      <c r="I22" s="78" t="s">
        <v>137</v>
      </c>
      <c r="J22" s="78" t="s">
        <v>138</v>
      </c>
    </row>
    <row r="23" spans="2:11" x14ac:dyDescent="0.35">
      <c r="C23" s="58" t="s">
        <v>194</v>
      </c>
      <c r="D23" s="97" t="s">
        <v>263</v>
      </c>
      <c r="E23" s="58" t="s">
        <v>195</v>
      </c>
      <c r="F23" s="59">
        <f>ROUNDUP(Flowsheet!AP17/3.74,0.1)</f>
        <v>1020</v>
      </c>
      <c r="G23" s="58" t="s">
        <v>196</v>
      </c>
      <c r="H23" s="58">
        <v>0.57999999999999996</v>
      </c>
      <c r="I23" s="58">
        <f>H23*F23</f>
        <v>591.59999999999991</v>
      </c>
      <c r="J23" s="196">
        <f>I23*Flowsheet!$G$10</f>
        <v>16687.199690883332</v>
      </c>
      <c r="K23" t="s">
        <v>468</v>
      </c>
    </row>
    <row r="24" spans="2:11" x14ac:dyDescent="0.35">
      <c r="C24" s="90" t="s">
        <v>28</v>
      </c>
      <c r="D24" s="91"/>
      <c r="E24" s="90" t="s">
        <v>171</v>
      </c>
      <c r="F24" s="90">
        <f>(Flowsheet!AF5/1000 + Flowsheet!M6/1000)</f>
        <v>121.244</v>
      </c>
      <c r="G24" s="90" t="s">
        <v>47</v>
      </c>
      <c r="H24" s="90">
        <v>0.03</v>
      </c>
      <c r="I24" s="90">
        <f>H24*F24</f>
        <v>3.6373199999999999</v>
      </c>
      <c r="J24" s="197">
        <f>I24*Flowsheet!$G$10</f>
        <v>102.59750706498271</v>
      </c>
      <c r="K24" t="s">
        <v>468</v>
      </c>
    </row>
    <row r="25" spans="2:11" x14ac:dyDescent="0.35">
      <c r="C25" s="88" t="s">
        <v>173</v>
      </c>
      <c r="D25" s="89" t="s">
        <v>175</v>
      </c>
      <c r="E25" s="88" t="s">
        <v>172</v>
      </c>
      <c r="F25" s="88">
        <f>3+Flowsheet!C22</f>
        <v>5</v>
      </c>
      <c r="G25" s="88" t="s">
        <v>174</v>
      </c>
      <c r="H25" s="88">
        <v>30</v>
      </c>
      <c r="I25" s="88"/>
      <c r="J25" s="198">
        <f>H25*F25*40*52</f>
        <v>312000</v>
      </c>
    </row>
    <row r="26" spans="2:11" x14ac:dyDescent="0.35">
      <c r="C26" s="90" t="s">
        <v>176</v>
      </c>
      <c r="D26" s="91" t="s">
        <v>181</v>
      </c>
      <c r="E26" s="90" t="s">
        <v>169</v>
      </c>
      <c r="F26" s="90">
        <f>Flowsheet!M6*10/1000</f>
        <v>279.24</v>
      </c>
      <c r="G26" s="90" t="s">
        <v>108</v>
      </c>
      <c r="H26" s="90">
        <f>0.5*2</f>
        <v>1</v>
      </c>
      <c r="I26" s="90">
        <f t="shared" ref="I26:I36" si="0">H26*F26</f>
        <v>279.24</v>
      </c>
      <c r="J26" s="197">
        <f>I26*Flowsheet!$G$10</f>
        <v>7876.4936471978745</v>
      </c>
      <c r="K26" t="s">
        <v>468</v>
      </c>
    </row>
    <row r="27" spans="2:11" x14ac:dyDescent="0.35">
      <c r="C27" s="58" t="s">
        <v>177</v>
      </c>
      <c r="D27" s="97" t="s">
        <v>182</v>
      </c>
      <c r="E27" s="58" t="s">
        <v>169</v>
      </c>
      <c r="F27" s="58">
        <f>Flowsheet!M6*4/1000</f>
        <v>111.696</v>
      </c>
      <c r="G27" s="58" t="s">
        <v>108</v>
      </c>
      <c r="H27" s="58">
        <f>2.4*2</f>
        <v>4.8</v>
      </c>
      <c r="I27" s="58">
        <f t="shared" si="0"/>
        <v>536.14080000000001</v>
      </c>
      <c r="J27" s="196">
        <f>I27*Flowsheet!$G$10</f>
        <v>15122.86780261992</v>
      </c>
      <c r="K27" t="s">
        <v>468</v>
      </c>
    </row>
    <row r="28" spans="2:11" x14ac:dyDescent="0.35">
      <c r="C28" s="90" t="s">
        <v>179</v>
      </c>
      <c r="D28" s="91" t="s">
        <v>183</v>
      </c>
      <c r="E28" s="90" t="s">
        <v>169</v>
      </c>
      <c r="F28" s="90">
        <f>Flowsheet!M6*0.2/1000 + (Flowsheet!AF5*1.6/1000)</f>
        <v>154.89680000000001</v>
      </c>
      <c r="G28" s="90" t="s">
        <v>108</v>
      </c>
      <c r="H28" s="90">
        <f>3*2</f>
        <v>6</v>
      </c>
      <c r="I28" s="90">
        <f t="shared" si="0"/>
        <v>929.38080000000014</v>
      </c>
      <c r="J28" s="197">
        <f>I28*Flowsheet!$G$10</f>
        <v>26214.947597148257</v>
      </c>
      <c r="K28" t="s">
        <v>468</v>
      </c>
    </row>
    <row r="29" spans="2:11" x14ac:dyDescent="0.35">
      <c r="C29" s="58" t="s">
        <v>178</v>
      </c>
      <c r="D29" s="97" t="s">
        <v>184</v>
      </c>
      <c r="E29" s="58" t="s">
        <v>169</v>
      </c>
      <c r="F29" s="58">
        <f>Flowsheet!M6*0.2/1000</f>
        <v>5.5848000000000004</v>
      </c>
      <c r="G29" s="58" t="s">
        <v>108</v>
      </c>
      <c r="H29" s="58">
        <f>185/907.185 * 2</f>
        <v>0.40785506815037731</v>
      </c>
      <c r="I29" s="58">
        <f t="shared" si="0"/>
        <v>2.2777889846062274</v>
      </c>
      <c r="J29" s="196">
        <f>I29*Flowsheet!$G$10</f>
        <v>64.249357065278062</v>
      </c>
      <c r="K29" t="s">
        <v>468</v>
      </c>
    </row>
    <row r="30" spans="2:11" x14ac:dyDescent="0.35">
      <c r="C30" s="90" t="s">
        <v>180</v>
      </c>
      <c r="D30" s="91" t="s">
        <v>185</v>
      </c>
      <c r="E30" s="90" t="s">
        <v>169</v>
      </c>
      <c r="F30" s="90">
        <f>Flowsheet!M6/1000</f>
        <v>27.923999999999999</v>
      </c>
      <c r="G30" s="90" t="s">
        <v>108</v>
      </c>
      <c r="H30" s="90">
        <f>90/1000 * 2</f>
        <v>0.18</v>
      </c>
      <c r="I30" s="90">
        <f t="shared" si="0"/>
        <v>5.0263200000000001</v>
      </c>
      <c r="J30" s="197">
        <f>I30*Flowsheet!$G$10</f>
        <v>141.77688564956173</v>
      </c>
      <c r="K30" t="s">
        <v>468</v>
      </c>
    </row>
    <row r="31" spans="2:11" x14ac:dyDescent="0.35">
      <c r="C31" s="58" t="s">
        <v>186</v>
      </c>
      <c r="D31" s="88" t="s">
        <v>187</v>
      </c>
      <c r="E31" s="88" t="s">
        <v>171</v>
      </c>
      <c r="F31" s="88">
        <f>Flowsheet!V4*2.205</f>
        <v>4736.34</v>
      </c>
      <c r="G31" s="88" t="s">
        <v>188</v>
      </c>
      <c r="H31" s="88">
        <f>(9.1486*F31^-0.265)</f>
        <v>0.97131988280237069</v>
      </c>
      <c r="I31" s="88">
        <f t="shared" si="0"/>
        <v>4600.5012137121803</v>
      </c>
      <c r="J31" s="196">
        <f>I31*Flowsheet!$G$10</f>
        <v>129765.85941745486</v>
      </c>
      <c r="K31" t="s">
        <v>468</v>
      </c>
    </row>
    <row r="32" spans="2:11" x14ac:dyDescent="0.35">
      <c r="C32" s="90" t="s">
        <v>15</v>
      </c>
      <c r="D32" s="90" t="s">
        <v>189</v>
      </c>
      <c r="E32" s="90" t="s">
        <v>171</v>
      </c>
      <c r="F32" s="90">
        <f>Flowsheet!J18/1000</f>
        <v>2.3330000000000002</v>
      </c>
      <c r="G32" s="90" t="s">
        <v>47</v>
      </c>
      <c r="H32" s="90">
        <v>500</v>
      </c>
      <c r="I32" s="90">
        <f t="shared" si="0"/>
        <v>1166.5</v>
      </c>
      <c r="J32" s="197">
        <f>I32*Flowsheet!$G$10</f>
        <v>32903.34421807879</v>
      </c>
      <c r="K32" t="s">
        <v>468</v>
      </c>
    </row>
    <row r="33" spans="3:11" x14ac:dyDescent="0.35">
      <c r="C33" s="58" t="s">
        <v>197</v>
      </c>
      <c r="D33" s="96" t="s">
        <v>199</v>
      </c>
      <c r="E33" s="88" t="s">
        <v>197</v>
      </c>
      <c r="F33" s="88">
        <f>IF(TEA!D34="Yes", (Flowsheet!X24+Flowsheet!AK25)/1000,(Flowsheet!X24+Flowsheet!AH27+Flowsheet!AK25)/1000)</f>
        <v>127.08559821767517</v>
      </c>
      <c r="G33" s="88" t="s">
        <v>198</v>
      </c>
      <c r="H33" s="88">
        <v>20</v>
      </c>
      <c r="I33" s="88">
        <f t="shared" si="0"/>
        <v>2541.7119643535034</v>
      </c>
      <c r="J33" s="196">
        <f>I33*Flowsheet!$G$10</f>
        <v>71693.805114729985</v>
      </c>
    </row>
    <row r="34" spans="3:11" x14ac:dyDescent="0.35">
      <c r="C34" s="90" t="s">
        <v>229</v>
      </c>
      <c r="D34" s="90"/>
      <c r="E34" s="90" t="s">
        <v>171</v>
      </c>
      <c r="F34" s="90">
        <f>Flowsheet!J5/1000</f>
        <v>7.3031999999999995</v>
      </c>
      <c r="G34" s="90" t="s">
        <v>230</v>
      </c>
      <c r="H34" s="90">
        <v>150</v>
      </c>
      <c r="I34" s="90">
        <f t="shared" si="0"/>
        <v>1095.48</v>
      </c>
      <c r="J34" s="197">
        <f>I34*Flowsheet!$G$10</f>
        <v>30900.090462083968</v>
      </c>
      <c r="K34" t="s">
        <v>468</v>
      </c>
    </row>
    <row r="35" spans="3:11" x14ac:dyDescent="0.35">
      <c r="C35" s="58" t="s">
        <v>14</v>
      </c>
      <c r="D35" s="96" t="s">
        <v>49</v>
      </c>
      <c r="E35" s="88" t="s">
        <v>169</v>
      </c>
      <c r="F35" s="88">
        <f>Flowsheet!P18/1000</f>
        <v>0.32662000000000002</v>
      </c>
      <c r="G35" s="88" t="s">
        <v>198</v>
      </c>
      <c r="H35" s="88">
        <v>73</v>
      </c>
      <c r="I35" s="88">
        <f t="shared" si="0"/>
        <v>23.843260000000001</v>
      </c>
      <c r="J35" s="196">
        <f>I35*Flowsheet!$G$10</f>
        <v>672.54435581753046</v>
      </c>
      <c r="K35" t="s">
        <v>468</v>
      </c>
    </row>
    <row r="36" spans="3:11" x14ac:dyDescent="0.35">
      <c r="C36" s="90" t="s">
        <v>262</v>
      </c>
      <c r="D36" s="192" t="s">
        <v>264</v>
      </c>
      <c r="E36" s="90" t="s">
        <v>169</v>
      </c>
      <c r="F36" s="130">
        <f>Flowsheet!AN12</f>
        <v>1221.6591809478361</v>
      </c>
      <c r="G36" s="90" t="s">
        <v>108</v>
      </c>
      <c r="H36" s="90">
        <f>760/1000</f>
        <v>0.76</v>
      </c>
      <c r="I36" s="90">
        <f t="shared" si="0"/>
        <v>928.46097752035553</v>
      </c>
      <c r="J36" s="197">
        <f>I36*Flowsheet!$G$10</f>
        <v>26189.002260099587</v>
      </c>
      <c r="K36" t="s">
        <v>468</v>
      </c>
    </row>
    <row r="40" spans="3:11" x14ac:dyDescent="0.35">
      <c r="E40" s="86" t="s">
        <v>288</v>
      </c>
      <c r="F40" s="86" t="s">
        <v>165</v>
      </c>
      <c r="G40" s="86" t="s">
        <v>289</v>
      </c>
      <c r="H40" s="86" t="s">
        <v>186</v>
      </c>
      <c r="I40" s="86" t="s">
        <v>15</v>
      </c>
      <c r="J40" s="86" t="s">
        <v>194</v>
      </c>
      <c r="K40" s="86" t="s">
        <v>172</v>
      </c>
    </row>
    <row r="41" spans="3:11" x14ac:dyDescent="0.35">
      <c r="E41" s="146">
        <f>SUM(K3:K20,J24)</f>
        <v>96046.711252523921</v>
      </c>
      <c r="F41" s="138">
        <f>SUM(J26:J30,J35,J36)</f>
        <v>76281.881905598013</v>
      </c>
      <c r="G41" s="138">
        <f>J34</f>
        <v>30900.090462083968</v>
      </c>
      <c r="H41" s="138">
        <f>J31</f>
        <v>129765.85941745486</v>
      </c>
      <c r="I41" s="138">
        <f>J32</f>
        <v>32903.34421807879</v>
      </c>
      <c r="J41" s="138">
        <f>J23</f>
        <v>16687.199690883332</v>
      </c>
      <c r="K41" s="138">
        <f>J25</f>
        <v>312000</v>
      </c>
    </row>
    <row r="44" spans="3:11" x14ac:dyDescent="0.35">
      <c r="G44" s="86" t="s">
        <v>188</v>
      </c>
      <c r="H44" t="s">
        <v>354</v>
      </c>
      <c r="I44" t="s">
        <v>355</v>
      </c>
    </row>
    <row r="45" spans="3:11" x14ac:dyDescent="0.35">
      <c r="E45">
        <v>1</v>
      </c>
      <c r="F45">
        <v>24</v>
      </c>
      <c r="G45" s="86">
        <v>4</v>
      </c>
      <c r="H45">
        <f t="shared" ref="H45:H50" si="1">F45*E45</f>
        <v>24</v>
      </c>
      <c r="I45">
        <f>H45/G45</f>
        <v>6</v>
      </c>
      <c r="J45">
        <f>9.1486*G45^-0.265</f>
        <v>6.3359062399798027</v>
      </c>
    </row>
    <row r="46" spans="3:11" x14ac:dyDescent="0.35">
      <c r="E46">
        <v>2</v>
      </c>
      <c r="F46">
        <v>21</v>
      </c>
      <c r="G46" s="86">
        <f t="shared" ref="G46:G50" si="2">E46*4</f>
        <v>8</v>
      </c>
      <c r="H46">
        <f t="shared" si="1"/>
        <v>42</v>
      </c>
      <c r="I46">
        <f t="shared" ref="I46:I50" si="3">H46/G46</f>
        <v>5.25</v>
      </c>
      <c r="J46">
        <f t="shared" ref="J46:J51" si="4">9.1486*G46^-0.265</f>
        <v>5.2727331561620456</v>
      </c>
    </row>
    <row r="47" spans="3:11" x14ac:dyDescent="0.35">
      <c r="E47">
        <v>5</v>
      </c>
      <c r="F47">
        <v>18</v>
      </c>
      <c r="G47" s="86">
        <f t="shared" si="2"/>
        <v>20</v>
      </c>
      <c r="H47">
        <f t="shared" si="1"/>
        <v>90</v>
      </c>
      <c r="I47">
        <f t="shared" si="3"/>
        <v>4.5</v>
      </c>
      <c r="J47">
        <f t="shared" si="4"/>
        <v>4.136011053137616</v>
      </c>
    </row>
    <row r="48" spans="3:11" x14ac:dyDescent="0.35">
      <c r="E48">
        <v>10</v>
      </c>
      <c r="F48">
        <v>15</v>
      </c>
      <c r="G48" s="86">
        <f t="shared" si="2"/>
        <v>40</v>
      </c>
      <c r="H48">
        <f t="shared" si="1"/>
        <v>150</v>
      </c>
      <c r="I48">
        <f t="shared" si="3"/>
        <v>3.75</v>
      </c>
      <c r="J48">
        <f t="shared" si="4"/>
        <v>3.4419831651740034</v>
      </c>
    </row>
    <row r="49" spans="5:10" x14ac:dyDescent="0.35">
      <c r="E49">
        <v>15</v>
      </c>
      <c r="F49">
        <v>12</v>
      </c>
      <c r="G49" s="86">
        <f t="shared" si="2"/>
        <v>60</v>
      </c>
      <c r="H49">
        <f t="shared" si="1"/>
        <v>180</v>
      </c>
      <c r="I49">
        <f t="shared" si="3"/>
        <v>3</v>
      </c>
      <c r="J49">
        <f t="shared" si="4"/>
        <v>3.0913242319247511</v>
      </c>
    </row>
    <row r="50" spans="5:10" x14ac:dyDescent="0.35">
      <c r="E50">
        <v>20</v>
      </c>
      <c r="F50">
        <v>10.5</v>
      </c>
      <c r="G50" s="86">
        <f t="shared" si="2"/>
        <v>80</v>
      </c>
      <c r="H50">
        <f t="shared" si="1"/>
        <v>210</v>
      </c>
      <c r="I50">
        <f t="shared" si="3"/>
        <v>2.625</v>
      </c>
      <c r="J50">
        <f t="shared" si="4"/>
        <v>2.8644140349561753</v>
      </c>
    </row>
    <row r="51" spans="5:10" x14ac:dyDescent="0.35">
      <c r="G51">
        <v>4554</v>
      </c>
      <c r="J51">
        <f t="shared" si="4"/>
        <v>0.98147781543248758</v>
      </c>
    </row>
  </sheetData>
  <mergeCells count="1">
    <mergeCell ref="M6:O6"/>
  </mergeCells>
  <hyperlinks>
    <hyperlink ref="D3" r:id="rId1" xr:uid="{803383F7-7B02-48AA-9C96-82806E54CF94}"/>
    <hyperlink ref="D4" r:id="rId2" xr:uid="{DF61DC91-61FA-43A3-9900-2FFB462FE735}"/>
    <hyperlink ref="D5" r:id="rId3" xr:uid="{AF98C731-2005-4E9B-8F39-6EC3DDD69A1B}"/>
    <hyperlink ref="D6" r:id="rId4" display="https://www.mk-technology.com/?pageID=166 " xr:uid="{84799762-E6D8-423D-A908-DE2AE26D92E9}"/>
    <hyperlink ref="D14" r:id="rId5" xr:uid="{CFB7F5C2-937C-483B-9B85-F007E84DB0B9}"/>
    <hyperlink ref="D18" r:id="rId6" xr:uid="{5C9CE4B0-2B3D-4302-B370-923D7D43FCE9}"/>
    <hyperlink ref="D19" r:id="rId7" xr:uid="{88E4929B-1AD6-423E-8665-2E06D9778515}"/>
    <hyperlink ref="D26" r:id="rId8" xr:uid="{DA356EC3-AAB6-4ED3-8C37-9CB8A41A6EBB}"/>
    <hyperlink ref="D27" r:id="rId9" xr:uid="{6ACF3DF3-1416-488B-979D-31068072C5F3}"/>
    <hyperlink ref="D28" r:id="rId10" xr:uid="{E6651F69-9A3F-4FCC-B1D1-0804E8D91DAF}"/>
    <hyperlink ref="D29" r:id="rId11" xr:uid="{26C14826-7CEE-4F14-92E5-42A3801F8CEC}"/>
    <hyperlink ref="D30" r:id="rId12" xr:uid="{7820F30F-023C-4A48-ABED-DA66CAA62FDD}"/>
    <hyperlink ref="D20" r:id="rId13" xr:uid="{3F24C1AB-EEA0-410D-8474-8A232A18AD0D}"/>
  </hyperlinks>
  <pageMargins left="0.7" right="0.7" top="0.75" bottom="0.75" header="0.3" footer="0.3"/>
  <drawing r:id="rId1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43160-08CF-4E35-B54F-2D14E08A7BED}">
  <dimension ref="B2:V44"/>
  <sheetViews>
    <sheetView zoomScale="80" zoomScaleNormal="80" workbookViewId="0">
      <selection activeCell="M34" sqref="M34"/>
    </sheetView>
  </sheetViews>
  <sheetFormatPr defaultRowHeight="14.5" x14ac:dyDescent="0.35"/>
  <cols>
    <col min="2" max="2" width="11" bestFit="1" customWidth="1"/>
    <col min="3" max="3" width="31.90625" bestFit="1" customWidth="1"/>
    <col min="4" max="4" width="18.90625" bestFit="1" customWidth="1"/>
    <col min="5" max="5" width="5" style="86" customWidth="1"/>
    <col min="6" max="6" width="5" style="86" bestFit="1" customWidth="1"/>
    <col min="7" max="7" width="15.453125" style="86" bestFit="1" customWidth="1"/>
    <col min="8" max="8" width="18.1796875" style="86" bestFit="1" customWidth="1"/>
    <col min="9" max="9" width="15.1796875" style="86" bestFit="1" customWidth="1"/>
    <col min="10" max="10" width="14.6328125" style="86" bestFit="1" customWidth="1"/>
    <col min="11" max="11" width="16.36328125" style="86" customWidth="1"/>
    <col min="12" max="12" width="14.6328125" bestFit="1" customWidth="1"/>
    <col min="13" max="13" width="15.453125" bestFit="1" customWidth="1"/>
    <col min="14" max="14" width="14.6328125" bestFit="1" customWidth="1"/>
    <col min="15" max="15" width="15.453125" bestFit="1" customWidth="1"/>
    <col min="16" max="16" width="20.1796875" bestFit="1" customWidth="1"/>
    <col min="17" max="17" width="16.81640625" bestFit="1" customWidth="1"/>
    <col min="18" max="18" width="14.6328125" bestFit="1" customWidth="1"/>
    <col min="19" max="19" width="24.08984375" bestFit="1" customWidth="1"/>
    <col min="20" max="20" width="18.81640625" bestFit="1" customWidth="1"/>
    <col min="21" max="21" width="31.36328125" bestFit="1" customWidth="1"/>
    <col min="22" max="22" width="20.08984375" bestFit="1" customWidth="1"/>
  </cols>
  <sheetData>
    <row r="2" spans="2:22" ht="15" thickBot="1" x14ac:dyDescent="0.4">
      <c r="B2" s="40"/>
      <c r="C2" s="40"/>
      <c r="D2" s="156"/>
      <c r="E2" s="156"/>
      <c r="F2" s="41"/>
      <c r="G2" s="156"/>
      <c r="H2" s="41"/>
      <c r="I2" s="156"/>
      <c r="J2" s="41"/>
      <c r="K2" s="156"/>
      <c r="L2" s="41"/>
      <c r="M2" s="87"/>
      <c r="N2" s="41"/>
      <c r="O2" s="41"/>
      <c r="P2" s="87"/>
      <c r="Q2" s="41"/>
      <c r="R2" s="41"/>
      <c r="S2" s="87"/>
      <c r="T2" s="87"/>
      <c r="U2" s="87"/>
      <c r="V2" s="87"/>
    </row>
    <row r="3" spans="2:22" ht="21.5" thickBot="1" x14ac:dyDescent="0.4">
      <c r="B3" s="40"/>
      <c r="C3" s="318" t="s">
        <v>236</v>
      </c>
      <c r="D3" s="319"/>
      <c r="F3" s="108" t="s">
        <v>245</v>
      </c>
      <c r="G3" s="108" t="s">
        <v>246</v>
      </c>
      <c r="H3" s="108" t="s">
        <v>247</v>
      </c>
      <c r="I3" s="108" t="s">
        <v>250</v>
      </c>
      <c r="J3" s="108" t="s">
        <v>252</v>
      </c>
      <c r="K3" s="108" t="s">
        <v>256</v>
      </c>
      <c r="L3" s="108" t="s">
        <v>258</v>
      </c>
      <c r="M3" s="108" t="s">
        <v>261</v>
      </c>
      <c r="N3" s="108" t="s">
        <v>255</v>
      </c>
      <c r="O3" s="108" t="s">
        <v>278</v>
      </c>
      <c r="P3" s="108" t="s">
        <v>280</v>
      </c>
      <c r="Q3" s="108" t="s">
        <v>279</v>
      </c>
      <c r="R3" s="41"/>
      <c r="S3" s="87"/>
      <c r="T3" s="87"/>
      <c r="U3" s="87"/>
      <c r="V3" s="87"/>
    </row>
    <row r="4" spans="2:22" x14ac:dyDescent="0.35">
      <c r="B4" s="40"/>
      <c r="C4" s="121" t="s">
        <v>234</v>
      </c>
      <c r="D4" s="154">
        <f>SUM(Table1[New Purchase Cost])</f>
        <v>3110575.9893988543</v>
      </c>
      <c r="F4" s="86">
        <v>1</v>
      </c>
      <c r="G4" s="138">
        <f>D8*D25</f>
        <v>6096728.9392217547</v>
      </c>
      <c r="H4" s="137">
        <f>D17</f>
        <v>604818.22348054382</v>
      </c>
      <c r="I4" s="86">
        <v>0</v>
      </c>
      <c r="J4" s="146">
        <f>I4*$D$33</f>
        <v>0</v>
      </c>
      <c r="K4" s="138">
        <f>J4-H4-G4</f>
        <v>-6701547.1627022987</v>
      </c>
      <c r="L4" s="146">
        <f t="shared" ref="L4:L23" si="0">IF(F4&gt;($D$30+$D$24),0,IF(K4&lt;0,0,(SUM($G$4:$G$5)-$D$31)/10))</f>
        <v>0</v>
      </c>
      <c r="M4" s="138">
        <f>IF(K4-L4&lt;0,0,K4-L4)</f>
        <v>0</v>
      </c>
      <c r="N4" s="146">
        <f t="shared" ref="N4:N23" si="1">IF(M4&lt;0,0,$D$27*M4)</f>
        <v>0</v>
      </c>
      <c r="O4" s="138">
        <f t="shared" ref="O4:O23" si="2">K4-N4</f>
        <v>-6701547.1627022987</v>
      </c>
      <c r="P4" s="138">
        <f>O4/((1+$D$22)^F4)</f>
        <v>-6092315.6024566349</v>
      </c>
      <c r="Q4" s="139">
        <f>P4</f>
        <v>-6092315.6024566349</v>
      </c>
      <c r="R4" s="41"/>
      <c r="S4" s="87"/>
      <c r="T4" s="87"/>
      <c r="U4" s="87"/>
      <c r="V4" s="87"/>
    </row>
    <row r="5" spans="2:22" x14ac:dyDescent="0.35">
      <c r="B5" s="40"/>
      <c r="C5" s="133" t="s">
        <v>271</v>
      </c>
      <c r="D5" s="149">
        <v>4.0999999999999996</v>
      </c>
      <c r="E5" s="221" t="s">
        <v>272</v>
      </c>
      <c r="F5" s="86">
        <v>2</v>
      </c>
      <c r="G5" s="139">
        <f>D8*D26</f>
        <v>9145093.408832632</v>
      </c>
      <c r="H5" s="137">
        <f>D17</f>
        <v>604818.22348054382</v>
      </c>
      <c r="I5" s="86">
        <v>0</v>
      </c>
      <c r="J5" s="146">
        <f t="shared" ref="J5" si="3">I5*$D$33</f>
        <v>0</v>
      </c>
      <c r="K5" s="138">
        <f t="shared" ref="K5:K23" si="4">J5-H5-G5</f>
        <v>-9749911.6323131751</v>
      </c>
      <c r="L5" s="146">
        <f t="shared" si="0"/>
        <v>0</v>
      </c>
      <c r="M5" s="138">
        <f t="shared" ref="M5:M23" si="5">IF(K5-L5&lt;0,0,K5-L5)</f>
        <v>0</v>
      </c>
      <c r="N5" s="146">
        <f t="shared" si="1"/>
        <v>0</v>
      </c>
      <c r="O5" s="138">
        <f>K5-N5</f>
        <v>-9749911.6323131751</v>
      </c>
      <c r="P5" s="138">
        <f>O5/((1+$D$22)^F5)</f>
        <v>-8057778.2085232837</v>
      </c>
      <c r="Q5" s="139">
        <f>Q4+P5</f>
        <v>-14150093.810979918</v>
      </c>
      <c r="R5" s="41"/>
      <c r="S5" s="87"/>
      <c r="T5" s="87"/>
      <c r="U5" s="87"/>
      <c r="V5" s="87"/>
    </row>
    <row r="6" spans="2:22" ht="28.75" customHeight="1" x14ac:dyDescent="0.45">
      <c r="B6" s="40"/>
      <c r="C6" s="140" t="s">
        <v>273</v>
      </c>
      <c r="D6" s="142">
        <f>D5*D4</f>
        <v>12753361.556535302</v>
      </c>
      <c r="F6" s="86">
        <v>3</v>
      </c>
      <c r="G6" s="86">
        <v>0</v>
      </c>
      <c r="H6" s="137">
        <f>D17+(D18*(1+D28)*D29)</f>
        <v>945527.39252655848</v>
      </c>
      <c r="I6" s="86">
        <f>(Flowsheet!AQ17*(1+TEA!D28)*TEA!D29*Flowsheet!G10)*1000</f>
        <v>112787107.22105633</v>
      </c>
      <c r="J6" s="146">
        <f>I6*$D$33 + $D$35</f>
        <v>5730030.2731637312</v>
      </c>
      <c r="K6" s="138">
        <f>J6-H6-G6</f>
        <v>4784502.8806371726</v>
      </c>
      <c r="L6" s="146">
        <f t="shared" si="0"/>
        <v>1524182.2348054387</v>
      </c>
      <c r="M6" s="138">
        <f t="shared" si="5"/>
        <v>3260320.6458317339</v>
      </c>
      <c r="N6" s="146">
        <f t="shared" si="1"/>
        <v>1141112.2260411067</v>
      </c>
      <c r="O6" s="138">
        <f>K6-N6</f>
        <v>3643390.6545960661</v>
      </c>
      <c r="P6" s="138">
        <f>O6/((1+$D$22)^F6)</f>
        <v>2737333.3242645115</v>
      </c>
      <c r="Q6" s="139">
        <f t="shared" ref="Q6:Q23" si="6">Q5+P6</f>
        <v>-11412760.486715406</v>
      </c>
      <c r="R6" s="41"/>
      <c r="S6" s="87"/>
      <c r="T6" s="87"/>
      <c r="U6" s="87"/>
      <c r="V6" s="87"/>
    </row>
    <row r="7" spans="2:22" x14ac:dyDescent="0.35">
      <c r="B7" s="40"/>
      <c r="C7" s="133" t="s">
        <v>274</v>
      </c>
      <c r="D7" s="149">
        <v>4.9000000000000004</v>
      </c>
      <c r="E7" s="150" t="s">
        <v>272</v>
      </c>
      <c r="F7" s="86">
        <v>4</v>
      </c>
      <c r="G7" s="86">
        <v>0</v>
      </c>
      <c r="H7" s="137">
        <f t="shared" ref="H7:H23" si="7">$D$17+$D$18</f>
        <v>1059097.1155418968</v>
      </c>
      <c r="I7" s="86">
        <f>Flowsheet!$G$10*Flowsheet!$AQ$17*1000</f>
        <v>150382809.62807509</v>
      </c>
      <c r="J7" s="146">
        <f>I7*$D$33 + $D$35</f>
        <v>7640040.3642183077</v>
      </c>
      <c r="K7" s="138">
        <f t="shared" si="4"/>
        <v>6580943.2486764109</v>
      </c>
      <c r="L7" s="146">
        <f t="shared" si="0"/>
        <v>1524182.2348054387</v>
      </c>
      <c r="M7" s="138">
        <f t="shared" si="5"/>
        <v>5056761.0138709722</v>
      </c>
      <c r="N7" s="146">
        <f t="shared" si="1"/>
        <v>1769866.3548548401</v>
      </c>
      <c r="O7" s="138">
        <f t="shared" si="2"/>
        <v>4811076.893821571</v>
      </c>
      <c r="P7" s="138">
        <f t="shared" ref="P7:P23" si="8">O7/((1+$D$22)^F7)</f>
        <v>3286030.2532761218</v>
      </c>
      <c r="Q7" s="139">
        <f t="shared" si="6"/>
        <v>-8126730.2334392844</v>
      </c>
      <c r="R7" s="41"/>
      <c r="S7" s="87"/>
      <c r="T7" s="87"/>
      <c r="U7" s="87"/>
      <c r="V7" s="87"/>
    </row>
    <row r="8" spans="2:22" ht="19" thickBot="1" x14ac:dyDescent="0.5">
      <c r="B8" s="40"/>
      <c r="C8" s="135" t="s">
        <v>235</v>
      </c>
      <c r="D8" s="136">
        <f>(D7*D4)</f>
        <v>15241822.348054387</v>
      </c>
      <c r="F8" s="86">
        <v>5</v>
      </c>
      <c r="G8" s="86">
        <v>0</v>
      </c>
      <c r="H8" s="137">
        <f t="shared" si="7"/>
        <v>1059097.1155418968</v>
      </c>
      <c r="I8" s="86">
        <f>Flowsheet!$G$10*Flowsheet!$AQ$17*1000</f>
        <v>150382809.62807509</v>
      </c>
      <c r="J8" s="146">
        <f>I8*$D$33 + $D$35</f>
        <v>7640040.3642183077</v>
      </c>
      <c r="K8" s="138">
        <f t="shared" si="4"/>
        <v>6580943.2486764109</v>
      </c>
      <c r="L8" s="146">
        <f t="shared" si="0"/>
        <v>1524182.2348054387</v>
      </c>
      <c r="M8" s="138">
        <f t="shared" si="5"/>
        <v>5056761.0138709722</v>
      </c>
      <c r="N8" s="146">
        <f t="shared" si="1"/>
        <v>1769866.3548548401</v>
      </c>
      <c r="O8" s="138">
        <f t="shared" si="2"/>
        <v>4811076.893821571</v>
      </c>
      <c r="P8" s="138">
        <f t="shared" si="8"/>
        <v>2987300.2302510194</v>
      </c>
      <c r="Q8" s="139">
        <f t="shared" si="6"/>
        <v>-5139430.0031882655</v>
      </c>
      <c r="R8" s="41"/>
      <c r="S8" s="87"/>
      <c r="T8" s="87"/>
      <c r="U8" s="87"/>
      <c r="V8" s="87"/>
    </row>
    <row r="9" spans="2:22" x14ac:dyDescent="0.35">
      <c r="B9" s="40"/>
      <c r="C9" s="108"/>
      <c r="D9" s="151"/>
      <c r="F9" s="86">
        <v>6</v>
      </c>
      <c r="G9" s="86">
        <v>0</v>
      </c>
      <c r="H9" s="137">
        <f t="shared" si="7"/>
        <v>1059097.1155418968</v>
      </c>
      <c r="I9" s="86">
        <f>Flowsheet!$G$10*Flowsheet!$AQ$17*1000</f>
        <v>150382809.62807509</v>
      </c>
      <c r="J9" s="146">
        <f>I9*$D$33 + $D$35</f>
        <v>7640040.3642183077</v>
      </c>
      <c r="K9" s="138">
        <f t="shared" si="4"/>
        <v>6580943.2486764109</v>
      </c>
      <c r="L9" s="146">
        <f t="shared" si="0"/>
        <v>1524182.2348054387</v>
      </c>
      <c r="M9" s="138">
        <f t="shared" si="5"/>
        <v>5056761.0138709722</v>
      </c>
      <c r="N9" s="146">
        <f t="shared" si="1"/>
        <v>1769866.3548548401</v>
      </c>
      <c r="O9" s="138">
        <f t="shared" si="2"/>
        <v>4811076.893821571</v>
      </c>
      <c r="P9" s="138">
        <f t="shared" si="8"/>
        <v>2715727.4820463811</v>
      </c>
      <c r="Q9" s="139">
        <f t="shared" si="6"/>
        <v>-2423702.5211418844</v>
      </c>
      <c r="R9" s="41"/>
      <c r="S9" s="87"/>
      <c r="T9" s="87"/>
      <c r="U9" s="87"/>
      <c r="V9" s="87"/>
    </row>
    <row r="10" spans="2:22" ht="19" thickBot="1" x14ac:dyDescent="0.5">
      <c r="B10" s="40"/>
      <c r="C10" s="152"/>
      <c r="D10" s="153"/>
      <c r="F10" s="86">
        <v>7</v>
      </c>
      <c r="G10" s="86">
        <v>0</v>
      </c>
      <c r="H10" s="137">
        <f t="shared" si="7"/>
        <v>1059097.1155418968</v>
      </c>
      <c r="I10" s="86">
        <f>Flowsheet!$G$10*Flowsheet!$AQ$17*1000</f>
        <v>150382809.62807509</v>
      </c>
      <c r="J10" s="146">
        <f t="shared" ref="J10:J23" si="9">I10*$D$33 + $D$35</f>
        <v>7640040.3642183077</v>
      </c>
      <c r="K10" s="138">
        <f t="shared" si="4"/>
        <v>6580943.2486764109</v>
      </c>
      <c r="L10" s="146">
        <f t="shared" si="0"/>
        <v>1524182.2348054387</v>
      </c>
      <c r="M10" s="138">
        <f t="shared" si="5"/>
        <v>5056761.0138709722</v>
      </c>
      <c r="N10" s="146">
        <f t="shared" si="1"/>
        <v>1769866.3548548401</v>
      </c>
      <c r="O10" s="138">
        <f t="shared" si="2"/>
        <v>4811076.893821571</v>
      </c>
      <c r="P10" s="138">
        <f t="shared" si="8"/>
        <v>2468843.1654967098</v>
      </c>
      <c r="Q10" s="139">
        <f t="shared" si="6"/>
        <v>45140.644354825374</v>
      </c>
      <c r="R10" s="41"/>
      <c r="S10" s="87"/>
      <c r="T10" s="87"/>
      <c r="U10" s="87"/>
      <c r="V10" s="87"/>
    </row>
    <row r="11" spans="2:22" ht="21.5" thickBot="1" x14ac:dyDescent="0.4">
      <c r="B11" s="40"/>
      <c r="C11" s="318" t="s">
        <v>238</v>
      </c>
      <c r="D11" s="319"/>
      <c r="F11" s="86">
        <v>8</v>
      </c>
      <c r="G11" s="86">
        <v>0</v>
      </c>
      <c r="H11" s="137">
        <f t="shared" si="7"/>
        <v>1059097.1155418968</v>
      </c>
      <c r="I11" s="86">
        <f>Flowsheet!$G$10*Flowsheet!$AQ$17*1000</f>
        <v>150382809.62807509</v>
      </c>
      <c r="J11" s="146">
        <f t="shared" si="9"/>
        <v>7640040.3642183077</v>
      </c>
      <c r="K11" s="138">
        <f t="shared" si="4"/>
        <v>6580943.2486764109</v>
      </c>
      <c r="L11" s="146">
        <f t="shared" si="0"/>
        <v>1524182.2348054387</v>
      </c>
      <c r="M11" s="138">
        <f t="shared" si="5"/>
        <v>5056761.0138709722</v>
      </c>
      <c r="N11" s="146">
        <f t="shared" si="1"/>
        <v>1769866.3548548401</v>
      </c>
      <c r="O11" s="138">
        <f t="shared" si="2"/>
        <v>4811076.893821571</v>
      </c>
      <c r="P11" s="138">
        <f t="shared" si="8"/>
        <v>2244402.8777242815</v>
      </c>
      <c r="Q11" s="139">
        <f t="shared" si="6"/>
        <v>2289543.5220791069</v>
      </c>
      <c r="R11" s="41"/>
      <c r="S11" s="87"/>
      <c r="T11" s="87"/>
      <c r="U11" s="87"/>
      <c r="V11" s="87"/>
    </row>
    <row r="12" spans="2:22" x14ac:dyDescent="0.35">
      <c r="B12" s="40"/>
      <c r="C12" s="112" t="s">
        <v>239</v>
      </c>
      <c r="D12" s="132">
        <f>SUM('Operating Costs'!K3:K20,'Operating Costs'!J23:J36)</f>
        <v>766278.89206135285</v>
      </c>
      <c r="F12" s="86">
        <v>9</v>
      </c>
      <c r="G12" s="86">
        <v>0</v>
      </c>
      <c r="H12" s="137">
        <f t="shared" si="7"/>
        <v>1059097.1155418968</v>
      </c>
      <c r="I12" s="86">
        <f>Flowsheet!$G$10*Flowsheet!$AQ$17*1000</f>
        <v>150382809.62807509</v>
      </c>
      <c r="J12" s="146">
        <f t="shared" si="9"/>
        <v>7640040.3642183077</v>
      </c>
      <c r="K12" s="138">
        <f t="shared" si="4"/>
        <v>6580943.2486764109</v>
      </c>
      <c r="L12" s="146">
        <f t="shared" si="0"/>
        <v>1524182.2348054387</v>
      </c>
      <c r="M12" s="138">
        <f t="shared" si="5"/>
        <v>5056761.0138709722</v>
      </c>
      <c r="N12" s="146">
        <f t="shared" si="1"/>
        <v>1769866.3548548401</v>
      </c>
      <c r="O12" s="138">
        <f t="shared" si="2"/>
        <v>4811076.893821571</v>
      </c>
      <c r="P12" s="138">
        <f t="shared" si="8"/>
        <v>2040366.2524766196</v>
      </c>
      <c r="Q12" s="139">
        <f t="shared" si="6"/>
        <v>4329909.774555726</v>
      </c>
      <c r="R12" s="41"/>
      <c r="S12" s="87"/>
      <c r="T12" s="87"/>
      <c r="U12" s="87"/>
      <c r="V12" s="87"/>
    </row>
    <row r="13" spans="2:22" x14ac:dyDescent="0.35">
      <c r="B13" s="40"/>
      <c r="C13" s="133" t="s">
        <v>237</v>
      </c>
      <c r="D13" s="134">
        <f>0.02*D4</f>
        <v>62211.519787977086</v>
      </c>
      <c r="F13" s="86">
        <v>10</v>
      </c>
      <c r="G13" s="86">
        <v>0</v>
      </c>
      <c r="H13" s="137">
        <f t="shared" si="7"/>
        <v>1059097.1155418968</v>
      </c>
      <c r="I13" s="86">
        <f>Flowsheet!$G$10*Flowsheet!$AQ$17*1000</f>
        <v>150382809.62807509</v>
      </c>
      <c r="J13" s="146">
        <f t="shared" si="9"/>
        <v>7640040.3642183077</v>
      </c>
      <c r="K13" s="138">
        <f t="shared" si="4"/>
        <v>6580943.2486764109</v>
      </c>
      <c r="L13" s="146">
        <f t="shared" si="0"/>
        <v>1524182.2348054387</v>
      </c>
      <c r="M13" s="138">
        <f t="shared" si="5"/>
        <v>5056761.0138709722</v>
      </c>
      <c r="N13" s="146">
        <f t="shared" si="1"/>
        <v>1769866.3548548401</v>
      </c>
      <c r="O13" s="138">
        <f t="shared" si="2"/>
        <v>4811076.893821571</v>
      </c>
      <c r="P13" s="138">
        <f t="shared" si="8"/>
        <v>1854878.4113423813</v>
      </c>
      <c r="Q13" s="139">
        <f t="shared" si="6"/>
        <v>6184788.1858981075</v>
      </c>
      <c r="R13" s="41"/>
      <c r="S13" s="87"/>
      <c r="T13" s="87"/>
      <c r="U13" s="87"/>
      <c r="V13" s="87"/>
    </row>
    <row r="14" spans="2:22" x14ac:dyDescent="0.35">
      <c r="B14" s="40"/>
      <c r="C14" s="133" t="s">
        <v>318</v>
      </c>
      <c r="D14" s="134">
        <f>'Operating Costs'!J25*0.45</f>
        <v>140400</v>
      </c>
      <c r="F14" s="86">
        <v>11</v>
      </c>
      <c r="G14" s="86">
        <v>0</v>
      </c>
      <c r="H14" s="137">
        <f t="shared" si="7"/>
        <v>1059097.1155418968</v>
      </c>
      <c r="I14" s="86">
        <f>Flowsheet!$G$10*Flowsheet!$AQ$17*1000</f>
        <v>150382809.62807509</v>
      </c>
      <c r="J14" s="146">
        <f t="shared" si="9"/>
        <v>7640040.3642183077</v>
      </c>
      <c r="K14" s="138">
        <f t="shared" si="4"/>
        <v>6580943.2486764109</v>
      </c>
      <c r="L14" s="146">
        <f t="shared" si="0"/>
        <v>1524182.2348054387</v>
      </c>
      <c r="M14" s="138">
        <f t="shared" si="5"/>
        <v>5056761.0138709722</v>
      </c>
      <c r="N14" s="146">
        <f t="shared" si="1"/>
        <v>1769866.3548548401</v>
      </c>
      <c r="O14" s="138">
        <f t="shared" si="2"/>
        <v>4811076.893821571</v>
      </c>
      <c r="P14" s="138">
        <f t="shared" si="8"/>
        <v>1686253.1012203463</v>
      </c>
      <c r="Q14" s="139">
        <f t="shared" si="6"/>
        <v>7871041.2871184535</v>
      </c>
      <c r="R14" s="41"/>
      <c r="S14" s="87"/>
      <c r="T14" s="87"/>
      <c r="U14" s="87"/>
      <c r="V14" s="87"/>
    </row>
    <row r="15" spans="2:22" x14ac:dyDescent="0.35">
      <c r="B15" s="40"/>
      <c r="C15" s="133" t="s">
        <v>240</v>
      </c>
      <c r="D15" s="134">
        <f>0.001*D8</f>
        <v>15241.822348054387</v>
      </c>
      <c r="F15" s="86">
        <v>12</v>
      </c>
      <c r="G15" s="86">
        <v>0</v>
      </c>
      <c r="H15" s="137">
        <f t="shared" si="7"/>
        <v>1059097.1155418968</v>
      </c>
      <c r="I15" s="86">
        <f>Flowsheet!$G$10*Flowsheet!$AQ$17*1000</f>
        <v>150382809.62807509</v>
      </c>
      <c r="J15" s="146">
        <f t="shared" si="9"/>
        <v>7640040.3642183077</v>
      </c>
      <c r="K15" s="138">
        <f t="shared" si="4"/>
        <v>6580943.2486764109</v>
      </c>
      <c r="L15" s="146">
        <f t="shared" si="0"/>
        <v>1524182.2348054387</v>
      </c>
      <c r="M15" s="138">
        <f t="shared" si="5"/>
        <v>5056761.0138709722</v>
      </c>
      <c r="N15" s="146">
        <f t="shared" si="1"/>
        <v>1769866.3548548401</v>
      </c>
      <c r="O15" s="138">
        <f t="shared" si="2"/>
        <v>4811076.893821571</v>
      </c>
      <c r="P15" s="138">
        <f t="shared" si="8"/>
        <v>1532957.3647457694</v>
      </c>
      <c r="Q15" s="139">
        <f t="shared" si="6"/>
        <v>9403998.6518642232</v>
      </c>
      <c r="R15" s="41"/>
      <c r="S15" s="87"/>
      <c r="T15" s="87"/>
      <c r="U15" s="87"/>
      <c r="V15" s="87"/>
    </row>
    <row r="16" spans="2:22" x14ac:dyDescent="0.35">
      <c r="B16" s="40"/>
      <c r="C16" s="133" t="s">
        <v>241</v>
      </c>
      <c r="D16" s="134">
        <f>D15*9</f>
        <v>137176.4011324895</v>
      </c>
      <c r="F16" s="86">
        <v>13</v>
      </c>
      <c r="G16" s="86">
        <v>0</v>
      </c>
      <c r="H16" s="137">
        <f t="shared" si="7"/>
        <v>1059097.1155418968</v>
      </c>
      <c r="I16" s="86">
        <f>Flowsheet!$G$10*Flowsheet!$AQ$17*1000</f>
        <v>150382809.62807509</v>
      </c>
      <c r="J16" s="146">
        <f t="shared" si="9"/>
        <v>7640040.3642183077</v>
      </c>
      <c r="K16" s="138">
        <f t="shared" si="4"/>
        <v>6580943.2486764109</v>
      </c>
      <c r="L16" s="146">
        <f t="shared" si="0"/>
        <v>0</v>
      </c>
      <c r="M16" s="138">
        <f t="shared" si="5"/>
        <v>6580943.2486764109</v>
      </c>
      <c r="N16" s="146">
        <f t="shared" si="1"/>
        <v>2303330.1370367436</v>
      </c>
      <c r="O16" s="138">
        <f t="shared" si="2"/>
        <v>4277613.1116396673</v>
      </c>
      <c r="P16" s="138">
        <f t="shared" si="8"/>
        <v>1239072.1487366271</v>
      </c>
      <c r="Q16" s="139">
        <f t="shared" si="6"/>
        <v>10643070.800600851</v>
      </c>
      <c r="R16" s="41"/>
      <c r="S16" s="87"/>
      <c r="T16" s="87"/>
      <c r="U16" s="87"/>
      <c r="V16" s="87"/>
    </row>
    <row r="17" spans="2:22" ht="18.5" x14ac:dyDescent="0.35">
      <c r="B17" s="40"/>
      <c r="C17" s="141" t="s">
        <v>248</v>
      </c>
      <c r="D17" s="143">
        <f>(D16+D15+D14+'Operating Costs'!J25)</f>
        <v>604818.22348054382</v>
      </c>
      <c r="F17" s="86">
        <v>14</v>
      </c>
      <c r="G17" s="86">
        <v>0</v>
      </c>
      <c r="H17" s="137">
        <f t="shared" si="7"/>
        <v>1059097.1155418968</v>
      </c>
      <c r="I17" s="86">
        <f>Flowsheet!$G$10*Flowsheet!$AQ$17*1000</f>
        <v>150382809.62807509</v>
      </c>
      <c r="J17" s="146">
        <f t="shared" si="9"/>
        <v>7640040.3642183077</v>
      </c>
      <c r="K17" s="138">
        <f t="shared" si="4"/>
        <v>6580943.2486764109</v>
      </c>
      <c r="L17" s="146">
        <f t="shared" si="0"/>
        <v>0</v>
      </c>
      <c r="M17" s="138">
        <f t="shared" si="5"/>
        <v>6580943.2486764109</v>
      </c>
      <c r="N17" s="146">
        <f t="shared" si="1"/>
        <v>2303330.1370367436</v>
      </c>
      <c r="O17" s="138">
        <f t="shared" si="2"/>
        <v>4277613.1116396673</v>
      </c>
      <c r="P17" s="138">
        <f t="shared" si="8"/>
        <v>1126429.2261242063</v>
      </c>
      <c r="Q17" s="139">
        <f t="shared" si="6"/>
        <v>11769500.026725058</v>
      </c>
      <c r="R17" s="41"/>
      <c r="S17" s="87"/>
      <c r="T17" s="87"/>
      <c r="U17" s="87"/>
      <c r="V17" s="87"/>
    </row>
    <row r="18" spans="2:22" ht="19" thickBot="1" x14ac:dyDescent="0.5">
      <c r="B18" s="40"/>
      <c r="C18" s="135" t="s">
        <v>249</v>
      </c>
      <c r="D18" s="244">
        <f>(D12-'Operating Costs'!J25)</f>
        <v>454278.89206135285</v>
      </c>
      <c r="F18" s="86">
        <v>15</v>
      </c>
      <c r="G18" s="86">
        <v>0</v>
      </c>
      <c r="H18" s="137">
        <f t="shared" si="7"/>
        <v>1059097.1155418968</v>
      </c>
      <c r="I18" s="86">
        <f>Flowsheet!$G$10*Flowsheet!$AQ$17*1000</f>
        <v>150382809.62807509</v>
      </c>
      <c r="J18" s="146">
        <f t="shared" si="9"/>
        <v>7640040.3642183077</v>
      </c>
      <c r="K18" s="138">
        <f t="shared" si="4"/>
        <v>6580943.2486764109</v>
      </c>
      <c r="L18" s="146">
        <f t="shared" si="0"/>
        <v>0</v>
      </c>
      <c r="M18" s="138">
        <f t="shared" si="5"/>
        <v>6580943.2486764109</v>
      </c>
      <c r="N18" s="146">
        <f t="shared" si="1"/>
        <v>2303330.1370367436</v>
      </c>
      <c r="O18" s="138">
        <f t="shared" si="2"/>
        <v>4277613.1116396673</v>
      </c>
      <c r="P18" s="138">
        <f t="shared" si="8"/>
        <v>1024026.5692038239</v>
      </c>
      <c r="Q18" s="139">
        <f t="shared" si="6"/>
        <v>12793526.595928881</v>
      </c>
      <c r="R18" s="41"/>
      <c r="S18" s="87"/>
      <c r="T18" s="87"/>
      <c r="U18" s="87"/>
      <c r="V18" s="87"/>
    </row>
    <row r="19" spans="2:22" x14ac:dyDescent="0.35">
      <c r="B19" s="40"/>
      <c r="F19" s="86">
        <v>16</v>
      </c>
      <c r="G19" s="86">
        <v>0</v>
      </c>
      <c r="H19" s="137">
        <f t="shared" si="7"/>
        <v>1059097.1155418968</v>
      </c>
      <c r="I19" s="86">
        <f>Flowsheet!$G$10*Flowsheet!$AQ$17*1000</f>
        <v>150382809.62807509</v>
      </c>
      <c r="J19" s="146">
        <f t="shared" si="9"/>
        <v>7640040.3642183077</v>
      </c>
      <c r="K19" s="138">
        <f t="shared" si="4"/>
        <v>6580943.2486764109</v>
      </c>
      <c r="L19" s="146">
        <f t="shared" si="0"/>
        <v>0</v>
      </c>
      <c r="M19" s="138">
        <f t="shared" si="5"/>
        <v>6580943.2486764109</v>
      </c>
      <c r="N19" s="146">
        <f t="shared" si="1"/>
        <v>2303330.1370367436</v>
      </c>
      <c r="O19" s="138">
        <f t="shared" si="2"/>
        <v>4277613.1116396673</v>
      </c>
      <c r="P19" s="138">
        <f t="shared" si="8"/>
        <v>930933.24473074893</v>
      </c>
      <c r="Q19" s="139">
        <f t="shared" si="6"/>
        <v>13724459.84065963</v>
      </c>
      <c r="R19" s="41"/>
      <c r="S19" s="87"/>
      <c r="T19" s="87"/>
      <c r="U19" s="87"/>
      <c r="V19" s="87"/>
    </row>
    <row r="20" spans="2:22" ht="15" thickBot="1" x14ac:dyDescent="0.4">
      <c r="B20" s="40"/>
      <c r="F20" s="86">
        <v>17</v>
      </c>
      <c r="G20" s="86">
        <v>0</v>
      </c>
      <c r="H20" s="137">
        <f t="shared" si="7"/>
        <v>1059097.1155418968</v>
      </c>
      <c r="I20" s="86">
        <f>Flowsheet!$G$10*Flowsheet!$AQ$17*1000</f>
        <v>150382809.62807509</v>
      </c>
      <c r="J20" s="146">
        <f t="shared" si="9"/>
        <v>7640040.3642183077</v>
      </c>
      <c r="K20" s="138">
        <f t="shared" si="4"/>
        <v>6580943.2486764109</v>
      </c>
      <c r="L20" s="146">
        <f t="shared" si="0"/>
        <v>0</v>
      </c>
      <c r="M20" s="138">
        <f t="shared" si="5"/>
        <v>6580943.2486764109</v>
      </c>
      <c r="N20" s="146">
        <f t="shared" si="1"/>
        <v>2303330.1370367436</v>
      </c>
      <c r="O20" s="138">
        <f t="shared" si="2"/>
        <v>4277613.1116396673</v>
      </c>
      <c r="P20" s="138">
        <f t="shared" si="8"/>
        <v>846302.94975522626</v>
      </c>
      <c r="Q20" s="139">
        <f t="shared" si="6"/>
        <v>14570762.790414855</v>
      </c>
      <c r="R20" s="41"/>
      <c r="S20" s="87"/>
      <c r="T20" s="87"/>
      <c r="U20" s="87"/>
      <c r="V20" s="87"/>
    </row>
    <row r="21" spans="2:22" ht="21.5" thickBot="1" x14ac:dyDescent="0.4">
      <c r="B21" s="40"/>
      <c r="C21" s="318" t="s">
        <v>242</v>
      </c>
      <c r="D21" s="319"/>
      <c r="F21" s="86">
        <v>18</v>
      </c>
      <c r="G21" s="86">
        <v>0</v>
      </c>
      <c r="H21" s="137">
        <f t="shared" si="7"/>
        <v>1059097.1155418968</v>
      </c>
      <c r="I21" s="86">
        <f>Flowsheet!$G$10*Flowsheet!$AQ$17*1000</f>
        <v>150382809.62807509</v>
      </c>
      <c r="J21" s="146">
        <f t="shared" si="9"/>
        <v>7640040.3642183077</v>
      </c>
      <c r="K21" s="138">
        <f t="shared" si="4"/>
        <v>6580943.2486764109</v>
      </c>
      <c r="L21" s="146">
        <f t="shared" si="0"/>
        <v>0</v>
      </c>
      <c r="M21" s="138">
        <f t="shared" si="5"/>
        <v>6580943.2486764109</v>
      </c>
      <c r="N21" s="146">
        <f t="shared" si="1"/>
        <v>2303330.1370367436</v>
      </c>
      <c r="O21" s="138">
        <f t="shared" si="2"/>
        <v>4277613.1116396673</v>
      </c>
      <c r="P21" s="138">
        <f t="shared" si="8"/>
        <v>769366.31795929663</v>
      </c>
      <c r="Q21" s="139">
        <f t="shared" si="6"/>
        <v>15340129.108374152</v>
      </c>
      <c r="R21" s="41"/>
      <c r="S21" s="87"/>
      <c r="T21" s="87"/>
      <c r="U21" s="87"/>
      <c r="V21" s="87"/>
    </row>
    <row r="22" spans="2:22" x14ac:dyDescent="0.35">
      <c r="B22" s="40"/>
      <c r="C22" s="157" t="s">
        <v>257</v>
      </c>
      <c r="D22" s="158">
        <v>0.1</v>
      </c>
      <c r="F22" s="86">
        <v>19</v>
      </c>
      <c r="G22" s="86">
        <v>0</v>
      </c>
      <c r="H22" s="137">
        <f t="shared" si="7"/>
        <v>1059097.1155418968</v>
      </c>
      <c r="I22" s="86">
        <f>Flowsheet!$G$10*Flowsheet!$AQ$17*1000</f>
        <v>150382809.62807509</v>
      </c>
      <c r="J22" s="146">
        <f t="shared" si="9"/>
        <v>7640040.3642183077</v>
      </c>
      <c r="K22" s="138">
        <f t="shared" si="4"/>
        <v>6580943.2486764109</v>
      </c>
      <c r="L22" s="146">
        <f t="shared" si="0"/>
        <v>0</v>
      </c>
      <c r="M22" s="138">
        <f t="shared" si="5"/>
        <v>6580943.2486764109</v>
      </c>
      <c r="N22" s="146">
        <f t="shared" si="1"/>
        <v>2303330.1370367436</v>
      </c>
      <c r="O22" s="138">
        <f t="shared" si="2"/>
        <v>4277613.1116396673</v>
      </c>
      <c r="P22" s="138">
        <f t="shared" si="8"/>
        <v>699423.92541754222</v>
      </c>
      <c r="Q22" s="139">
        <f t="shared" si="6"/>
        <v>16039553.033791695</v>
      </c>
      <c r="R22" s="41"/>
      <c r="S22" s="87"/>
      <c r="T22" s="87"/>
      <c r="U22" s="87"/>
      <c r="V22" s="87"/>
    </row>
    <row r="23" spans="2:22" x14ac:dyDescent="0.35">
      <c r="C23" s="114" t="s">
        <v>281</v>
      </c>
      <c r="D23" s="144">
        <v>5</v>
      </c>
      <c r="F23" s="86">
        <v>20</v>
      </c>
      <c r="G23" s="86">
        <v>0</v>
      </c>
      <c r="H23" s="137">
        <f t="shared" si="7"/>
        <v>1059097.1155418968</v>
      </c>
      <c r="I23" s="86">
        <f>Flowsheet!$G$10*Flowsheet!$AQ$17*1000</f>
        <v>150382809.62807509</v>
      </c>
      <c r="J23" s="146">
        <f t="shared" si="9"/>
        <v>7640040.3642183077</v>
      </c>
      <c r="K23" s="138">
        <f t="shared" si="4"/>
        <v>6580943.2486764109</v>
      </c>
      <c r="L23" s="146">
        <f t="shared" si="0"/>
        <v>0</v>
      </c>
      <c r="M23" s="138">
        <f t="shared" si="5"/>
        <v>6580943.2486764109</v>
      </c>
      <c r="N23" s="146">
        <f t="shared" si="1"/>
        <v>2303330.1370367436</v>
      </c>
      <c r="O23" s="138">
        <f t="shared" si="2"/>
        <v>4277613.1116396673</v>
      </c>
      <c r="P23" s="138">
        <f t="shared" si="8"/>
        <v>635839.93219776568</v>
      </c>
      <c r="Q23" s="139">
        <f t="shared" si="6"/>
        <v>16675392.965989461</v>
      </c>
      <c r="V23" s="87"/>
    </row>
    <row r="24" spans="2:22" ht="31.75" customHeight="1" x14ac:dyDescent="0.35">
      <c r="C24" s="320" t="s">
        <v>243</v>
      </c>
      <c r="D24" s="195">
        <v>2</v>
      </c>
      <c r="G24" s="138">
        <f>SUM(G4:H23)</f>
        <v>35401637.15175429</v>
      </c>
      <c r="H24" s="86">
        <f>SUM(I6:I23)</f>
        <v>2669294870.8983331</v>
      </c>
      <c r="I24" s="240">
        <f>G24/H24</f>
        <v>1.3262542680359667E-2</v>
      </c>
    </row>
    <row r="25" spans="2:22" x14ac:dyDescent="0.35">
      <c r="C25" s="321"/>
      <c r="D25" s="145">
        <v>0.4</v>
      </c>
    </row>
    <row r="26" spans="2:22" x14ac:dyDescent="0.35">
      <c r="C26" s="322"/>
      <c r="D26" s="145">
        <v>0.6</v>
      </c>
    </row>
    <row r="27" spans="2:22" ht="18" customHeight="1" x14ac:dyDescent="0.35">
      <c r="C27" s="159" t="s">
        <v>244</v>
      </c>
      <c r="D27" s="160">
        <v>0.35</v>
      </c>
    </row>
    <row r="28" spans="2:22" ht="15.5" x14ac:dyDescent="0.35">
      <c r="C28" s="114" t="s">
        <v>253</v>
      </c>
      <c r="D28" s="144">
        <v>0.5</v>
      </c>
      <c r="L28" s="86"/>
      <c r="M28" s="86"/>
      <c r="O28" s="86"/>
      <c r="Q28" s="166"/>
    </row>
    <row r="29" spans="2:22" x14ac:dyDescent="0.35">
      <c r="C29" s="114" t="s">
        <v>282</v>
      </c>
      <c r="D29" s="161">
        <v>0.5</v>
      </c>
      <c r="L29" s="86"/>
      <c r="M29" s="86"/>
    </row>
    <row r="30" spans="2:22" ht="14.4" customHeight="1" x14ac:dyDescent="0.35">
      <c r="C30" s="114" t="s">
        <v>259</v>
      </c>
      <c r="D30" s="144">
        <v>10</v>
      </c>
      <c r="L30" s="86"/>
      <c r="M30" s="86"/>
    </row>
    <row r="31" spans="2:22" ht="15" customHeight="1" thickBot="1" x14ac:dyDescent="0.4">
      <c r="C31" s="116" t="s">
        <v>260</v>
      </c>
      <c r="D31" s="162">
        <v>0</v>
      </c>
      <c r="L31" s="86"/>
      <c r="M31" s="86"/>
    </row>
    <row r="32" spans="2:22" ht="15" customHeight="1" thickBot="1" x14ac:dyDescent="0.4">
      <c r="C32" s="4" t="s">
        <v>286</v>
      </c>
      <c r="D32" s="201">
        <f>_xlfn.XLOOKUP(D23+D24,F4:F23,Q4:Q23)</f>
        <v>45140.644354825374</v>
      </c>
      <c r="L32" s="86"/>
      <c r="M32" s="86"/>
    </row>
    <row r="33" spans="3:15" ht="16" thickBot="1" x14ac:dyDescent="0.4">
      <c r="C33" s="45" t="s">
        <v>251</v>
      </c>
      <c r="D33" s="46">
        <v>5.0803947493158037E-2</v>
      </c>
      <c r="E33" s="46">
        <f>(229898*(Flowsheet!AQ17*1000/(Flowsheet!AP17/3.74))^-1.033)/1000</f>
        <v>3.3142516721180765E-2</v>
      </c>
      <c r="L33" s="86"/>
      <c r="M33" s="86"/>
    </row>
    <row r="34" spans="3:15" x14ac:dyDescent="0.35">
      <c r="C34" s="157" t="s">
        <v>320</v>
      </c>
      <c r="D34" s="218" t="s">
        <v>322</v>
      </c>
      <c r="L34" s="86"/>
      <c r="M34" s="86"/>
    </row>
    <row r="35" spans="3:15" ht="15" thickBot="1" x14ac:dyDescent="0.4">
      <c r="C35" s="204" t="s">
        <v>321</v>
      </c>
      <c r="D35" s="205">
        <f>IF(D34="Yes", ((Flowsheet!C6+Flowsheet!V4)*Flowsheet!G10/1000)*40,0)</f>
        <v>0</v>
      </c>
      <c r="L35" s="86"/>
      <c r="M35" s="86"/>
    </row>
    <row r="36" spans="3:15" x14ac:dyDescent="0.35">
      <c r="C36" s="122" t="s">
        <v>323</v>
      </c>
      <c r="D36" s="203">
        <f>Q10/D8</f>
        <v>2.9616303958947244E-3</v>
      </c>
      <c r="G36" s="86">
        <v>107</v>
      </c>
      <c r="H36" s="86">
        <v>117</v>
      </c>
      <c r="L36" s="86"/>
      <c r="M36" s="86"/>
      <c r="O36" s="148"/>
    </row>
    <row r="37" spans="3:15" x14ac:dyDescent="0.35">
      <c r="C37" s="114" t="s">
        <v>324</v>
      </c>
      <c r="D37" s="145">
        <f>Q13/D8</f>
        <v>0.40577747494134736</v>
      </c>
      <c r="H37" s="86">
        <v>0.05</v>
      </c>
      <c r="L37" s="86"/>
      <c r="M37" s="86"/>
      <c r="O37" s="148"/>
    </row>
    <row r="38" spans="3:15" ht="15" thickBot="1" x14ac:dyDescent="0.4">
      <c r="C38" s="163" t="s">
        <v>325</v>
      </c>
      <c r="D38" s="164">
        <f>Q23/D8</f>
        <v>1.0940550667235713</v>
      </c>
      <c r="O38" s="148"/>
    </row>
    <row r="39" spans="3:15" x14ac:dyDescent="0.35">
      <c r="C39" s="157" t="s">
        <v>275</v>
      </c>
      <c r="D39" s="165">
        <f>IRR(O4:O10)</f>
        <v>0.10104578362036398</v>
      </c>
      <c r="O39" s="148"/>
    </row>
    <row r="40" spans="3:15" x14ac:dyDescent="0.35">
      <c r="C40" s="114" t="s">
        <v>277</v>
      </c>
      <c r="D40" s="161">
        <f>IRR(O4:O13, 0.09)</f>
        <v>0.19506297690146068</v>
      </c>
      <c r="O40" s="148"/>
    </row>
    <row r="41" spans="3:15" ht="15" thickBot="1" x14ac:dyDescent="0.4">
      <c r="C41" s="116" t="s">
        <v>276</v>
      </c>
      <c r="D41" s="269">
        <f>IRR(O4:O23)</f>
        <v>0.24531764654759192</v>
      </c>
      <c r="O41" s="148"/>
    </row>
    <row r="42" spans="3:15" x14ac:dyDescent="0.35">
      <c r="O42" s="148"/>
    </row>
    <row r="43" spans="3:15" x14ac:dyDescent="0.35">
      <c r="O43" s="148"/>
    </row>
    <row r="44" spans="3:15" x14ac:dyDescent="0.35">
      <c r="O44" s="148"/>
    </row>
  </sheetData>
  <mergeCells count="4">
    <mergeCell ref="C3:D3"/>
    <mergeCell ref="C11:D11"/>
    <mergeCell ref="C21:D21"/>
    <mergeCell ref="C24:C26"/>
  </mergeCells>
  <phoneticPr fontId="15" type="noConversion"/>
  <dataValidations count="1">
    <dataValidation type="list" allowBlank="1" showInputMessage="1" showErrorMessage="1" sqref="D34" xr:uid="{13CA45E8-0B6C-4E21-9A03-D9257E1D5A47}">
      <formula1>"Yes, No"</formula1>
    </dataValidation>
  </dataValidations>
  <hyperlinks>
    <hyperlink ref="E5" r:id="rId1" xr:uid="{893F4C2B-C38B-4ED4-8068-BB5C586A8A0D}"/>
  </hyperlinks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75CC3-1D98-4FFE-AF2D-1971B83946C1}">
  <dimension ref="B1:AW33"/>
  <sheetViews>
    <sheetView zoomScale="80" zoomScaleNormal="80" workbookViewId="0">
      <selection activeCell="G3" sqref="G3"/>
    </sheetView>
  </sheetViews>
  <sheetFormatPr defaultRowHeight="14.5" x14ac:dyDescent="0.35"/>
  <cols>
    <col min="2" max="2" width="17.08984375" bestFit="1" customWidth="1"/>
    <col min="3" max="3" width="14.90625" bestFit="1" customWidth="1"/>
    <col min="4" max="4" width="13.81640625" bestFit="1" customWidth="1"/>
    <col min="5" max="5" width="17.90625" customWidth="1"/>
    <col min="6" max="6" width="15.453125" bestFit="1" customWidth="1"/>
    <col min="7" max="7" width="15.36328125" customWidth="1"/>
    <col min="8" max="8" width="14.08984375" bestFit="1" customWidth="1"/>
    <col min="9" max="9" width="13.90625" bestFit="1" customWidth="1"/>
    <col min="10" max="10" width="9.453125" bestFit="1" customWidth="1"/>
    <col min="11" max="11" width="7" bestFit="1" customWidth="1"/>
    <col min="12" max="12" width="14.36328125" bestFit="1" customWidth="1"/>
    <col min="15" max="15" width="4.90625" bestFit="1" customWidth="1"/>
    <col min="16" max="18" width="10.54296875" bestFit="1" customWidth="1"/>
    <col min="19" max="20" width="11.54296875" bestFit="1" customWidth="1"/>
    <col min="23" max="23" width="4.90625" customWidth="1"/>
    <col min="24" max="24" width="10.1796875" customWidth="1"/>
    <col min="25" max="25" width="9.90625" customWidth="1"/>
    <col min="26" max="26" width="8.81640625" customWidth="1"/>
    <col min="27" max="29" width="10.90625" bestFit="1" customWidth="1"/>
    <col min="30" max="31" width="11.90625" bestFit="1" customWidth="1"/>
    <col min="32" max="33" width="15" customWidth="1"/>
    <col min="34" max="34" width="2.453125" customWidth="1"/>
    <col min="35" max="35" width="22.453125" bestFit="1" customWidth="1"/>
    <col min="36" max="36" width="19.08984375" bestFit="1" customWidth="1"/>
    <col min="39" max="39" width="24.90625" bestFit="1" customWidth="1"/>
    <col min="40" max="40" width="10.54296875" bestFit="1" customWidth="1"/>
    <col min="41" max="41" width="7.6328125" customWidth="1"/>
    <col min="42" max="42" width="9.90625" bestFit="1" customWidth="1"/>
    <col min="45" max="45" width="10.54296875" bestFit="1" customWidth="1"/>
    <col min="46" max="46" width="18.54296875" bestFit="1" customWidth="1"/>
    <col min="48" max="48" width="9.54296875" bestFit="1" customWidth="1"/>
  </cols>
  <sheetData>
    <row r="1" spans="2:49" ht="47.4" customHeight="1" thickBot="1" x14ac:dyDescent="0.4">
      <c r="P1" s="330" t="s">
        <v>335</v>
      </c>
      <c r="Q1" s="330"/>
      <c r="R1" s="330"/>
      <c r="S1" s="330"/>
      <c r="T1" s="330"/>
      <c r="W1" s="323" t="s">
        <v>448</v>
      </c>
      <c r="X1" s="323"/>
      <c r="Y1" s="323"/>
      <c r="Z1" s="323"/>
      <c r="AA1" s="323"/>
      <c r="AB1" s="323"/>
      <c r="AC1" s="323"/>
      <c r="AD1" s="323"/>
      <c r="AE1" s="323"/>
      <c r="AF1" s="249"/>
      <c r="AH1" s="332" t="s">
        <v>449</v>
      </c>
      <c r="AI1" s="332"/>
      <c r="AJ1" s="332"/>
      <c r="AM1" s="332" t="s">
        <v>375</v>
      </c>
      <c r="AN1" s="332"/>
      <c r="AO1" s="332"/>
      <c r="AP1" s="332"/>
      <c r="AS1" s="333" t="s">
        <v>457</v>
      </c>
      <c r="AT1" s="333"/>
      <c r="AU1" s="333"/>
      <c r="AV1" s="333"/>
      <c r="AW1" s="333"/>
    </row>
    <row r="2" spans="2:49" ht="15" thickBot="1" x14ac:dyDescent="0.4">
      <c r="E2" s="324" t="s">
        <v>329</v>
      </c>
      <c r="F2" s="325"/>
      <c r="G2" s="325"/>
      <c r="H2" s="325"/>
      <c r="I2" s="326"/>
      <c r="O2" s="108" t="s">
        <v>245</v>
      </c>
      <c r="P2" t="s">
        <v>330</v>
      </c>
      <c r="Q2" t="s">
        <v>331</v>
      </c>
      <c r="R2" t="s">
        <v>332</v>
      </c>
      <c r="S2" t="s">
        <v>333</v>
      </c>
      <c r="T2" t="s">
        <v>334</v>
      </c>
      <c r="W2" s="220" t="s">
        <v>336</v>
      </c>
      <c r="X2" s="334" t="s">
        <v>337</v>
      </c>
      <c r="Y2" s="334"/>
      <c r="Z2" s="334"/>
      <c r="AA2" s="334" t="s">
        <v>440</v>
      </c>
      <c r="AB2" s="334"/>
      <c r="AC2" s="254"/>
      <c r="AD2" s="254"/>
      <c r="AE2" s="254"/>
      <c r="AH2" s="334" t="s">
        <v>341</v>
      </c>
      <c r="AI2" s="334"/>
      <c r="AJ2" s="212" t="s">
        <v>342</v>
      </c>
      <c r="AM2" s="265" t="s">
        <v>376</v>
      </c>
      <c r="AN2" s="266" t="s">
        <v>377</v>
      </c>
      <c r="AO2" s="266" t="s">
        <v>378</v>
      </c>
      <c r="AP2" s="266" t="s">
        <v>379</v>
      </c>
      <c r="AS2" s="259" t="s">
        <v>387</v>
      </c>
      <c r="AT2" s="259" t="s">
        <v>388</v>
      </c>
      <c r="AU2" s="259" t="s">
        <v>389</v>
      </c>
      <c r="AV2" s="259" t="s">
        <v>390</v>
      </c>
      <c r="AW2" s="259" t="s">
        <v>391</v>
      </c>
    </row>
    <row r="3" spans="2:49" ht="14.4" customHeight="1" x14ac:dyDescent="0.35">
      <c r="B3" s="108" t="s">
        <v>326</v>
      </c>
      <c r="C3" s="206" t="s">
        <v>328</v>
      </c>
      <c r="D3" s="207" t="s">
        <v>411</v>
      </c>
      <c r="E3" s="1" t="s">
        <v>288</v>
      </c>
      <c r="F3" s="86" t="s">
        <v>165</v>
      </c>
      <c r="G3" s="86" t="s">
        <v>469</v>
      </c>
      <c r="H3" s="86" t="s">
        <v>186</v>
      </c>
      <c r="I3" s="2" t="s">
        <v>172</v>
      </c>
      <c r="J3" s="207" t="s">
        <v>327</v>
      </c>
      <c r="M3" s="86"/>
      <c r="O3" s="86">
        <v>1</v>
      </c>
      <c r="P3">
        <v>-2.3634866281156857</v>
      </c>
      <c r="Q3">
        <v>-3.7296383587682054</v>
      </c>
      <c r="R3">
        <v>-6.0923156024566349</v>
      </c>
      <c r="S3">
        <v>-7.4446875251310196</v>
      </c>
      <c r="T3">
        <v>-10.397666802310782</v>
      </c>
      <c r="W3" s="335"/>
      <c r="X3" s="328" t="s">
        <v>338</v>
      </c>
      <c r="Y3" s="328" t="s">
        <v>339</v>
      </c>
      <c r="Z3" s="328" t="s">
        <v>340</v>
      </c>
      <c r="AA3" s="328" t="s">
        <v>330</v>
      </c>
      <c r="AB3" s="328" t="s">
        <v>331</v>
      </c>
      <c r="AC3" s="328" t="s">
        <v>332</v>
      </c>
      <c r="AD3" s="328" t="s">
        <v>333</v>
      </c>
      <c r="AE3" s="328" t="s">
        <v>334</v>
      </c>
      <c r="AF3" s="250"/>
      <c r="AH3" s="331" t="s">
        <v>343</v>
      </c>
      <c r="AI3" s="331"/>
      <c r="AJ3" s="6"/>
      <c r="AM3" s="267" t="s">
        <v>442</v>
      </c>
      <c r="AN3" s="187">
        <v>250</v>
      </c>
      <c r="AO3" s="187">
        <v>150</v>
      </c>
      <c r="AP3" s="187">
        <v>75</v>
      </c>
      <c r="AS3" s="150" t="s">
        <v>393</v>
      </c>
      <c r="AT3" s="150" t="s">
        <v>392</v>
      </c>
      <c r="AU3" s="150">
        <v>-3.5000000000000003E-2</v>
      </c>
      <c r="AV3" s="258">
        <v>1019.5</v>
      </c>
      <c r="AW3" s="150" t="s">
        <v>456</v>
      </c>
    </row>
    <row r="4" spans="2:49" x14ac:dyDescent="0.35">
      <c r="B4" s="108">
        <v>2</v>
      </c>
      <c r="C4" s="208">
        <v>8.4699999999999998E-2</v>
      </c>
      <c r="D4" s="66">
        <v>2.64E-2</v>
      </c>
      <c r="E4" s="208">
        <v>31128.030524012931</v>
      </c>
      <c r="F4">
        <v>13056.804376306678</v>
      </c>
      <c r="G4">
        <v>13731.319701837812</v>
      </c>
      <c r="H4">
        <v>65357.538354802426</v>
      </c>
      <c r="I4" s="66">
        <v>249600</v>
      </c>
      <c r="J4" s="66">
        <v>5458329.9778713528</v>
      </c>
      <c r="K4">
        <f>SUM(E4:G4)/SUM(E4:I4)</f>
        <v>0.15532378844662173</v>
      </c>
      <c r="O4" s="86">
        <v>2</v>
      </c>
      <c r="P4">
        <v>-5.4143141376210773</v>
      </c>
      <c r="Q4">
        <v>-8.6282542401095963</v>
      </c>
      <c r="R4">
        <v>-14.150093810979918</v>
      </c>
      <c r="S4">
        <v>-17.29513971090589</v>
      </c>
      <c r="T4">
        <v>-24.205694265222558</v>
      </c>
      <c r="W4" s="336"/>
      <c r="X4" s="329"/>
      <c r="Y4" s="329"/>
      <c r="Z4" s="329"/>
      <c r="AA4" s="329"/>
      <c r="AB4" s="329"/>
      <c r="AC4" s="329"/>
      <c r="AD4" s="329"/>
      <c r="AE4" s="329"/>
      <c r="AF4" s="250"/>
      <c r="AH4" s="6"/>
      <c r="AI4" s="6" t="s">
        <v>344</v>
      </c>
      <c r="AJ4" s="214" t="s">
        <v>347</v>
      </c>
      <c r="AM4" s="268" t="s">
        <v>381</v>
      </c>
      <c r="AN4" s="262" t="s">
        <v>438</v>
      </c>
      <c r="AO4" s="263" t="s">
        <v>386</v>
      </c>
      <c r="AP4" s="264">
        <v>-0.5</v>
      </c>
      <c r="AS4" s="150" t="s">
        <v>394</v>
      </c>
      <c r="AT4" s="150" t="s">
        <v>99</v>
      </c>
      <c r="AU4" s="150">
        <v>0.13800000000000001</v>
      </c>
      <c r="AV4" s="257">
        <v>1.9072</v>
      </c>
      <c r="AW4" s="150">
        <v>0.2046</v>
      </c>
    </row>
    <row r="5" spans="2:49" ht="14.4" customHeight="1" x14ac:dyDescent="0.35">
      <c r="B5" s="108">
        <v>4</v>
      </c>
      <c r="C5" s="208">
        <v>6.5699999999999995E-2</v>
      </c>
      <c r="D5" s="66">
        <v>1.8200000000000001E-2</v>
      </c>
      <c r="E5" s="208">
        <v>56676.795761526169</v>
      </c>
      <c r="F5">
        <v>25898.542838132256</v>
      </c>
      <c r="G5">
        <v>27327.460862944426</v>
      </c>
      <c r="H5">
        <v>52940.413240662419</v>
      </c>
      <c r="I5" s="66">
        <v>249600</v>
      </c>
      <c r="J5" s="66">
        <v>9123615.1088903062</v>
      </c>
      <c r="K5">
        <f t="shared" ref="K5:K8" si="0">SUM(E5:G5)/SUM(E5:I5)</f>
        <v>0.26646771259071023</v>
      </c>
      <c r="O5" s="86">
        <v>3</v>
      </c>
      <c r="P5">
        <v>-4.3904801526628958</v>
      </c>
      <c r="Q5">
        <v>-6.9736210251531174</v>
      </c>
      <c r="R5">
        <v>-11.421397386050238</v>
      </c>
      <c r="S5">
        <v>-13.958873653422089</v>
      </c>
      <c r="T5">
        <v>-19.522802535284221</v>
      </c>
      <c r="W5" s="214">
        <v>1</v>
      </c>
      <c r="X5" s="214">
        <v>2</v>
      </c>
      <c r="Y5" s="214">
        <v>2.75</v>
      </c>
      <c r="Z5" s="214">
        <v>6</v>
      </c>
      <c r="AA5" s="251">
        <v>0.1188</v>
      </c>
      <c r="AB5" s="251">
        <v>9.4769999999999993E-2</v>
      </c>
      <c r="AC5" s="251">
        <v>7.8399999999999997E-2</v>
      </c>
      <c r="AD5" s="251">
        <v>7.5399999999999995E-2</v>
      </c>
      <c r="AE5" s="251">
        <v>6.9800000000000001E-2</v>
      </c>
      <c r="AH5" s="6"/>
      <c r="AI5" s="6" t="s">
        <v>176</v>
      </c>
      <c r="AJ5" s="215" t="s">
        <v>350</v>
      </c>
      <c r="AK5" s="109" t="s">
        <v>190</v>
      </c>
      <c r="AM5" s="267" t="s">
        <v>447</v>
      </c>
      <c r="AN5" s="264">
        <v>0.6</v>
      </c>
      <c r="AO5" s="264">
        <v>0.4</v>
      </c>
      <c r="AP5" s="264">
        <v>0.3</v>
      </c>
      <c r="AS5" s="150" t="s">
        <v>395</v>
      </c>
      <c r="AT5" s="150" t="s">
        <v>432</v>
      </c>
      <c r="AU5" s="256">
        <v>6.2E-2</v>
      </c>
      <c r="AV5" s="256">
        <v>0.38729999999999998</v>
      </c>
      <c r="AW5" s="150">
        <v>0.55100000000000005</v>
      </c>
    </row>
    <row r="6" spans="2:49" x14ac:dyDescent="0.35">
      <c r="B6" s="108">
        <v>8</v>
      </c>
      <c r="C6" s="208">
        <v>5.0799999999999998E-2</v>
      </c>
      <c r="D6" s="66">
        <v>1.3299999999999999E-2</v>
      </c>
      <c r="E6" s="208">
        <v>76334.235028884097</v>
      </c>
      <c r="F6">
        <v>51372.114306608913</v>
      </c>
      <c r="G6">
        <v>54206.503120073103</v>
      </c>
      <c r="H6">
        <v>87390.955710016628</v>
      </c>
      <c r="I6" s="66">
        <v>312000</v>
      </c>
      <c r="J6" s="66">
        <v>15241822.348054387</v>
      </c>
      <c r="K6">
        <f>SUM(E6:G6)/SUM(E6:I6)</f>
        <v>0.31293937851470044</v>
      </c>
      <c r="O6" s="86">
        <v>4</v>
      </c>
      <c r="P6">
        <v>-3.1313271504663183</v>
      </c>
      <c r="Q6">
        <v>-4.9736455667771127</v>
      </c>
      <c r="R6">
        <v>-8.1458361016648215</v>
      </c>
      <c r="S6">
        <v>-9.9555853895339634</v>
      </c>
      <c r="T6">
        <v>-13.923825984010096</v>
      </c>
      <c r="W6" s="214">
        <v>2</v>
      </c>
      <c r="X6" s="222">
        <v>2.4053964424999998</v>
      </c>
      <c r="Y6" s="222">
        <v>2.0067455531</v>
      </c>
      <c r="Z6" s="222">
        <v>4.8107928849999997</v>
      </c>
      <c r="AA6" s="251">
        <v>0.14180000000000001</v>
      </c>
      <c r="AB6" s="251">
        <v>0.1128</v>
      </c>
      <c r="AC6" s="251">
        <v>9.0889999999999999E-2</v>
      </c>
      <c r="AD6" s="251">
        <v>8.695E-2</v>
      </c>
      <c r="AE6" s="251">
        <v>8.1350000000000006E-2</v>
      </c>
      <c r="AH6" s="6"/>
      <c r="AI6" s="6" t="s">
        <v>177</v>
      </c>
      <c r="AJ6" s="214" t="s">
        <v>349</v>
      </c>
      <c r="AK6" s="109" t="s">
        <v>190</v>
      </c>
      <c r="AM6" s="268" t="s">
        <v>464</v>
      </c>
      <c r="AN6" s="263" t="s">
        <v>382</v>
      </c>
      <c r="AO6" s="263" t="s">
        <v>386</v>
      </c>
      <c r="AP6" s="264">
        <v>-0.25</v>
      </c>
      <c r="AS6" s="150" t="s">
        <v>396</v>
      </c>
      <c r="AT6" s="150" t="s">
        <v>433</v>
      </c>
      <c r="AU6" s="257">
        <v>-0.44</v>
      </c>
      <c r="AV6" s="257">
        <v>36.182200000000002</v>
      </c>
      <c r="AW6" s="150">
        <v>2.9999999999999997E-4</v>
      </c>
    </row>
    <row r="7" spans="2:49" ht="14.4" customHeight="1" x14ac:dyDescent="0.35">
      <c r="B7" s="108">
        <v>10</v>
      </c>
      <c r="C7" s="208">
        <v>5.0900000000000001E-2</v>
      </c>
      <c r="D7" s="66">
        <v>1.4200000000000001E-2</v>
      </c>
      <c r="E7" s="208">
        <v>79295.711392537662</v>
      </c>
      <c r="F7">
        <v>65259.867092017244</v>
      </c>
      <c r="G7">
        <v>68620.099410576717</v>
      </c>
      <c r="H7">
        <v>213244.54137055349</v>
      </c>
      <c r="I7" s="66">
        <v>374400</v>
      </c>
      <c r="J7" s="66">
        <v>18649454.335717369</v>
      </c>
      <c r="K7">
        <f t="shared" si="0"/>
        <v>0.26619667281952969</v>
      </c>
      <c r="O7" s="86">
        <v>5</v>
      </c>
      <c r="P7">
        <v>-1.9866426030148847</v>
      </c>
      <c r="Q7">
        <v>-3.1554860591625635</v>
      </c>
      <c r="R7">
        <v>-5.1680531158598964</v>
      </c>
      <c r="S7">
        <v>-6.3162324223629387</v>
      </c>
      <c r="T7">
        <v>-8.8338473010336163</v>
      </c>
      <c r="W7" s="214">
        <v>3</v>
      </c>
      <c r="X7" s="222">
        <v>2.4053964424999998</v>
      </c>
      <c r="Y7" s="222">
        <v>2.0067455531</v>
      </c>
      <c r="Z7" s="222">
        <v>7.1892071150000003</v>
      </c>
      <c r="AA7" s="251">
        <v>0.122</v>
      </c>
      <c r="AB7" s="251">
        <v>9.708E-2</v>
      </c>
      <c r="AC7" s="251">
        <v>7.8200000000000006E-2</v>
      </c>
      <c r="AD7" s="251">
        <v>7.4800000000000005E-2</v>
      </c>
      <c r="AE7" s="251">
        <v>6.9949999999999998E-2</v>
      </c>
      <c r="AH7" s="6"/>
      <c r="AI7" s="6" t="s">
        <v>179</v>
      </c>
      <c r="AJ7" s="214" t="s">
        <v>348</v>
      </c>
      <c r="AK7" s="109" t="s">
        <v>190</v>
      </c>
      <c r="AM7" s="267" t="s">
        <v>441</v>
      </c>
      <c r="AN7" s="187">
        <v>750</v>
      </c>
      <c r="AO7" s="187">
        <v>500</v>
      </c>
      <c r="AP7" s="187">
        <v>250</v>
      </c>
      <c r="AS7" s="150" t="s">
        <v>397</v>
      </c>
      <c r="AT7" s="150" t="s">
        <v>453</v>
      </c>
      <c r="AU7" s="150">
        <v>-2.5999999999999999E-2</v>
      </c>
      <c r="AV7" s="255">
        <v>4.0000000000000002E-4</v>
      </c>
      <c r="AW7" s="150">
        <v>0.98509999999999998</v>
      </c>
    </row>
    <row r="8" spans="2:49" ht="15" thickBot="1" x14ac:dyDescent="0.4">
      <c r="B8" s="108">
        <v>15</v>
      </c>
      <c r="C8" s="209">
        <v>4.7E-2</v>
      </c>
      <c r="D8" s="211">
        <v>1.2800000000000001E-2</v>
      </c>
      <c r="E8" s="209">
        <v>105082.42780375446</v>
      </c>
      <c r="F8" s="210">
        <v>97889.800638025888</v>
      </c>
      <c r="G8" s="210">
        <v>102924.60088028078</v>
      </c>
      <c r="H8" s="210">
        <v>287279.73951224156</v>
      </c>
      <c r="I8" s="211">
        <v>436800</v>
      </c>
      <c r="J8" s="211">
        <v>26351398.737906974</v>
      </c>
      <c r="K8">
        <f t="shared" si="0"/>
        <v>0.29699396916210069</v>
      </c>
      <c r="O8" s="86">
        <v>6</v>
      </c>
      <c r="P8">
        <v>-0.94602028714994524</v>
      </c>
      <c r="Q8">
        <v>-1.5026137795129737</v>
      </c>
      <c r="R8">
        <v>-2.4609776742190559</v>
      </c>
      <c r="S8">
        <v>-3.0077297249347352</v>
      </c>
      <c r="T8">
        <v>-4.2065939528731819</v>
      </c>
      <c r="W8" s="214">
        <v>4</v>
      </c>
      <c r="X8" s="222">
        <v>2.4053964424999998</v>
      </c>
      <c r="Y8" s="222">
        <v>3.4932544469</v>
      </c>
      <c r="Z8" s="222">
        <v>4.8107928849999997</v>
      </c>
      <c r="AA8" s="251">
        <v>0.1542</v>
      </c>
      <c r="AB8" s="251">
        <v>0.1226</v>
      </c>
      <c r="AC8" s="251">
        <v>9.8720000000000002E-2</v>
      </c>
      <c r="AD8" s="251">
        <v>9.4500000000000001E-2</v>
      </c>
      <c r="AE8" s="251">
        <v>8.7779999999999997E-2</v>
      </c>
      <c r="AH8" s="6"/>
      <c r="AI8" s="6" t="s">
        <v>178</v>
      </c>
      <c r="AJ8" s="214" t="s">
        <v>351</v>
      </c>
      <c r="AK8" s="109" t="s">
        <v>190</v>
      </c>
      <c r="AM8" s="268" t="s">
        <v>385</v>
      </c>
      <c r="AN8" s="263" t="s">
        <v>382</v>
      </c>
      <c r="AO8" s="263" t="s">
        <v>386</v>
      </c>
      <c r="AP8" s="264">
        <v>-0.25</v>
      </c>
      <c r="AS8" s="150" t="s">
        <v>398</v>
      </c>
      <c r="AT8" s="150" t="s">
        <v>450</v>
      </c>
      <c r="AU8" s="150">
        <v>-0.01</v>
      </c>
      <c r="AV8" s="256">
        <v>0.38729999999999998</v>
      </c>
      <c r="AW8" s="150">
        <v>0.55100000000000005</v>
      </c>
    </row>
    <row r="9" spans="2:49" x14ac:dyDescent="0.35">
      <c r="O9" s="86">
        <v>7</v>
      </c>
      <c r="P9">
        <v>0</v>
      </c>
      <c r="Q9">
        <v>-2.616195164853707E-6</v>
      </c>
      <c r="R9">
        <v>-1.1082738637924195E-13</v>
      </c>
      <c r="S9">
        <v>-5.5879354476928712E-15</v>
      </c>
      <c r="T9">
        <v>-6.0535967350006098E-14</v>
      </c>
      <c r="W9" s="214">
        <v>5</v>
      </c>
      <c r="X9" s="222">
        <v>2.4053964424999998</v>
      </c>
      <c r="Y9" s="222">
        <v>3.4932544469</v>
      </c>
      <c r="Z9" s="222">
        <v>7.1892071150000003</v>
      </c>
      <c r="AA9" s="251">
        <v>0.12139999999999999</v>
      </c>
      <c r="AB9" s="251">
        <v>9.64E-2</v>
      </c>
      <c r="AC9" s="251">
        <v>7.7499999999999999E-2</v>
      </c>
      <c r="AD9" s="251">
        <v>7.4099999999999999E-2</v>
      </c>
      <c r="AE9" s="251">
        <v>6.8849999999999995E-2</v>
      </c>
      <c r="AH9" s="6"/>
      <c r="AI9" s="6" t="s">
        <v>180</v>
      </c>
      <c r="AJ9" s="214" t="s">
        <v>352</v>
      </c>
      <c r="AK9" s="109" t="s">
        <v>190</v>
      </c>
      <c r="AM9" s="190" t="s">
        <v>465</v>
      </c>
      <c r="AN9" s="272" t="s">
        <v>382</v>
      </c>
      <c r="AO9" s="272" t="s">
        <v>386</v>
      </c>
      <c r="AP9" s="273">
        <v>-0.25</v>
      </c>
      <c r="AS9" s="150" t="s">
        <v>399</v>
      </c>
      <c r="AT9" s="150" t="s">
        <v>451</v>
      </c>
      <c r="AU9" s="150">
        <v>3.0000000000000001E-3</v>
      </c>
      <c r="AV9" s="256">
        <v>0.25480000000000003</v>
      </c>
      <c r="AW9" s="150">
        <v>0.62729999999999997</v>
      </c>
    </row>
    <row r="10" spans="2:49" x14ac:dyDescent="0.35">
      <c r="O10" s="86">
        <v>8</v>
      </c>
      <c r="P10">
        <v>0.86001844286358631</v>
      </c>
      <c r="Q10">
        <v>1.3660075322755705</v>
      </c>
      <c r="R10">
        <v>2.2372524311080211</v>
      </c>
      <c r="S10">
        <v>2.7342997499406581</v>
      </c>
      <c r="T10">
        <v>3.8241763207936863</v>
      </c>
      <c r="W10" s="214">
        <v>6</v>
      </c>
      <c r="X10" s="223">
        <v>3</v>
      </c>
      <c r="Y10" s="223">
        <v>1.5</v>
      </c>
      <c r="Z10" s="223">
        <v>6</v>
      </c>
      <c r="AA10" s="251">
        <v>0.13469999999999999</v>
      </c>
      <c r="AB10" s="251">
        <v>0.10489999999999999</v>
      </c>
      <c r="AC10" s="251">
        <v>8.4699999999999998E-2</v>
      </c>
      <c r="AD10" s="251">
        <v>8.0199999999999994E-2</v>
      </c>
      <c r="AE10" s="251">
        <v>7.46E-2</v>
      </c>
      <c r="AH10" s="6"/>
      <c r="AI10" s="6" t="s">
        <v>28</v>
      </c>
      <c r="AJ10" s="214" t="s">
        <v>353</v>
      </c>
      <c r="AS10" s="150" t="s">
        <v>400</v>
      </c>
      <c r="AT10" s="150" t="s">
        <v>454</v>
      </c>
      <c r="AU10" s="150">
        <v>9.0000000000000006E-5</v>
      </c>
      <c r="AV10" s="257">
        <v>28.134399999999999</v>
      </c>
      <c r="AW10" s="150">
        <v>6.9999999999999999E-4</v>
      </c>
    </row>
    <row r="11" spans="2:49" x14ac:dyDescent="0.35">
      <c r="B11" s="108" t="s">
        <v>326</v>
      </c>
      <c r="C11" s="108" t="s">
        <v>418</v>
      </c>
      <c r="D11" s="108" t="s">
        <v>12</v>
      </c>
      <c r="E11" s="108" t="s">
        <v>419</v>
      </c>
      <c r="F11" s="108" t="s">
        <v>421</v>
      </c>
      <c r="G11" s="108" t="s">
        <v>435</v>
      </c>
      <c r="H11" s="108" t="s">
        <v>420</v>
      </c>
      <c r="I11" s="108"/>
      <c r="O11" s="86">
        <v>9</v>
      </c>
      <c r="P11">
        <v>1.6418533909213919</v>
      </c>
      <c r="Q11">
        <v>2.6078349399762391</v>
      </c>
      <c r="R11">
        <v>4.2711182775699585</v>
      </c>
      <c r="S11">
        <v>5.2200267953412611</v>
      </c>
      <c r="T11">
        <v>7.3007002487880008</v>
      </c>
      <c r="W11" s="214">
        <v>7</v>
      </c>
      <c r="X11" s="223">
        <v>3</v>
      </c>
      <c r="Y11" s="223">
        <v>2.75</v>
      </c>
      <c r="Z11" s="223">
        <v>4</v>
      </c>
      <c r="AA11" s="251">
        <v>0.21379999999999999</v>
      </c>
      <c r="AB11" s="251">
        <v>0.16619999999999999</v>
      </c>
      <c r="AC11" s="251">
        <v>0.13400000000000001</v>
      </c>
      <c r="AD11" s="251">
        <v>0.12670000000000001</v>
      </c>
      <c r="AE11" s="251">
        <v>0.11700000000000001</v>
      </c>
      <c r="AH11" s="6"/>
      <c r="AI11" s="6" t="s">
        <v>186</v>
      </c>
      <c r="AJ11" s="216" t="s">
        <v>356</v>
      </c>
      <c r="AK11" s="109" t="s">
        <v>190</v>
      </c>
      <c r="AS11" s="150" t="s">
        <v>401</v>
      </c>
      <c r="AT11" s="150" t="s">
        <v>455</v>
      </c>
      <c r="AU11" s="150">
        <v>1.9E-3</v>
      </c>
      <c r="AV11" s="257">
        <v>9.9080999999999992</v>
      </c>
      <c r="AW11" s="150">
        <v>1.3599999999999999E-2</v>
      </c>
    </row>
    <row r="12" spans="2:49" x14ac:dyDescent="0.35">
      <c r="B12" s="108">
        <v>2</v>
      </c>
      <c r="C12" s="86">
        <v>1347369.0444051274</v>
      </c>
      <c r="D12" s="86">
        <v>637476.35520534788</v>
      </c>
      <c r="E12" s="86">
        <v>795998.60243115854</v>
      </c>
      <c r="F12" s="86">
        <v>444673.41210260196</v>
      </c>
      <c r="G12" s="86">
        <v>1708190.9932411797</v>
      </c>
      <c r="H12" s="86">
        <v>524621.57048593799</v>
      </c>
      <c r="I12" s="86"/>
      <c r="J12" s="86"/>
      <c r="K12" s="86"/>
      <c r="L12" s="86"/>
      <c r="M12" s="86"/>
      <c r="N12" s="86"/>
      <c r="O12" s="86">
        <v>10</v>
      </c>
      <c r="P12">
        <v>2.3526124346103061</v>
      </c>
      <c r="Q12">
        <v>3.7367689469768468</v>
      </c>
      <c r="R12">
        <v>6.1200872288989938</v>
      </c>
      <c r="S12">
        <v>7.4797786547963545</v>
      </c>
      <c r="T12">
        <v>10.461176546964651</v>
      </c>
      <c r="W12" s="214">
        <v>8</v>
      </c>
      <c r="X12" s="223">
        <v>3</v>
      </c>
      <c r="Y12" s="223">
        <v>2.75</v>
      </c>
      <c r="Z12" s="223">
        <v>6</v>
      </c>
      <c r="AA12" s="251">
        <v>0.15060000000000001</v>
      </c>
      <c r="AB12" s="251">
        <v>0.1171</v>
      </c>
      <c r="AC12" s="251">
        <v>9.4530000000000003E-2</v>
      </c>
      <c r="AD12" s="251">
        <v>8.9399999999999993E-2</v>
      </c>
      <c r="AE12" s="251">
        <v>8.2600000000000007E-2</v>
      </c>
      <c r="AH12" s="6"/>
      <c r="AI12" s="6" t="s">
        <v>345</v>
      </c>
      <c r="AJ12" s="214" t="s">
        <v>439</v>
      </c>
      <c r="AS12" s="260" t="s">
        <v>402</v>
      </c>
      <c r="AT12" s="260" t="s">
        <v>452</v>
      </c>
      <c r="AU12" s="260">
        <v>-1.1999999999999999E-3</v>
      </c>
      <c r="AV12" s="261">
        <v>5.3132999999999999</v>
      </c>
      <c r="AW12" s="260">
        <v>5.0099999999999999E-2</v>
      </c>
    </row>
    <row r="13" spans="2:49" x14ac:dyDescent="0.35">
      <c r="B13" s="108">
        <v>4</v>
      </c>
      <c r="C13" s="86">
        <v>2391840.2068859646</v>
      </c>
      <c r="D13" s="86">
        <v>976555.1156159055</v>
      </c>
      <c r="E13" s="86">
        <v>1048850.9533019559</v>
      </c>
      <c r="F13" s="86">
        <v>678990.40006332751</v>
      </c>
      <c r="G13" s="86">
        <v>3182135.4195621912</v>
      </c>
      <c r="H13" s="86">
        <v>845243.01346096152</v>
      </c>
      <c r="I13" s="86"/>
      <c r="J13" s="86"/>
      <c r="K13" s="86"/>
      <c r="L13" s="86"/>
      <c r="M13" s="86"/>
      <c r="N13" s="86"/>
      <c r="O13" s="86">
        <v>11</v>
      </c>
      <c r="P13">
        <v>2.9987570197820461</v>
      </c>
      <c r="Q13">
        <v>4.763072589704672</v>
      </c>
      <c r="R13">
        <v>7.8009680937435704</v>
      </c>
      <c r="S13">
        <v>9.5340985270282577</v>
      </c>
      <c r="T13">
        <v>13.334336818034332</v>
      </c>
      <c r="W13" s="214">
        <v>9</v>
      </c>
      <c r="X13" s="223">
        <v>3</v>
      </c>
      <c r="Y13" s="223">
        <v>2.75</v>
      </c>
      <c r="Z13" s="223">
        <v>6</v>
      </c>
      <c r="AA13" s="251">
        <v>0.14660000000000001</v>
      </c>
      <c r="AB13" s="251">
        <v>0.11409999999999999</v>
      </c>
      <c r="AC13" s="251">
        <v>9.2249999999999999E-2</v>
      </c>
      <c r="AD13" s="251">
        <v>8.7300000000000003E-2</v>
      </c>
      <c r="AE13" s="251">
        <v>8.0699999999999994E-2</v>
      </c>
      <c r="AH13" s="6"/>
      <c r="AI13" s="6" t="s">
        <v>346</v>
      </c>
      <c r="AJ13" s="214" t="s">
        <v>357</v>
      </c>
    </row>
    <row r="14" spans="2:49" x14ac:dyDescent="0.35">
      <c r="B14" s="108">
        <v>8</v>
      </c>
      <c r="C14" s="86">
        <v>4081414.6370332874</v>
      </c>
      <c r="D14" s="86">
        <v>1533788.9483220519</v>
      </c>
      <c r="E14" s="86">
        <v>1478492.4568620906</v>
      </c>
      <c r="F14" s="86">
        <v>1041570.9601076407</v>
      </c>
      <c r="G14" s="86">
        <v>5731143.7698130719</v>
      </c>
      <c r="H14" s="86">
        <v>1375411.5759162442</v>
      </c>
      <c r="I14" s="86"/>
      <c r="J14" s="86"/>
      <c r="K14" s="86"/>
      <c r="L14" s="86"/>
      <c r="M14" s="86"/>
      <c r="N14" s="86"/>
      <c r="O14" s="86">
        <v>12</v>
      </c>
      <c r="P14">
        <v>3.5861611881199917</v>
      </c>
      <c r="Q14">
        <v>5.6960759012754218</v>
      </c>
      <c r="R14">
        <v>9.32904160723864</v>
      </c>
      <c r="S14">
        <v>11.401662047239078</v>
      </c>
      <c r="T14">
        <v>15.946300700824951</v>
      </c>
      <c r="W14" s="214">
        <v>10</v>
      </c>
      <c r="X14" s="223">
        <v>3</v>
      </c>
      <c r="Y14" s="223">
        <v>2.75</v>
      </c>
      <c r="Z14" s="223">
        <v>6</v>
      </c>
      <c r="AA14" s="251">
        <v>0.15840000000000001</v>
      </c>
      <c r="AB14" s="251">
        <v>0.1232</v>
      </c>
      <c r="AC14" s="251">
        <v>9.9470000000000003E-2</v>
      </c>
      <c r="AD14" s="251">
        <v>9.4100000000000003E-2</v>
      </c>
      <c r="AE14" s="251">
        <v>8.6900000000000005E-2</v>
      </c>
      <c r="AH14" s="6"/>
      <c r="AI14" s="6" t="s">
        <v>359</v>
      </c>
      <c r="AJ14" s="214" t="s">
        <v>358</v>
      </c>
      <c r="AK14" s="109" t="s">
        <v>190</v>
      </c>
      <c r="AM14" s="212" t="s">
        <v>376</v>
      </c>
      <c r="AN14" s="217" t="s">
        <v>377</v>
      </c>
      <c r="AO14" s="217" t="s">
        <v>378</v>
      </c>
      <c r="AP14" s="217" t="s">
        <v>379</v>
      </c>
    </row>
    <row r="15" spans="2:49" x14ac:dyDescent="0.35">
      <c r="B15" s="108">
        <v>10</v>
      </c>
      <c r="C15" s="86">
        <v>4829548.9778367197</v>
      </c>
      <c r="D15" s="86">
        <v>1885940.6993008761</v>
      </c>
      <c r="E15" s="86">
        <v>1762801.1019679278</v>
      </c>
      <c r="F15" s="86">
        <v>1196468.6965085703</v>
      </c>
      <c r="G15" s="86">
        <v>7350017.6442628941</v>
      </c>
      <c r="H15" s="86">
        <v>1624677.2158403802</v>
      </c>
      <c r="I15" s="86"/>
      <c r="J15" s="86"/>
      <c r="K15" s="86"/>
      <c r="L15" s="86"/>
      <c r="M15" s="86"/>
      <c r="N15" s="86"/>
      <c r="O15" s="86">
        <v>13</v>
      </c>
      <c r="P15">
        <v>4.0648270456577844</v>
      </c>
      <c r="Q15">
        <v>6.4517632090745494</v>
      </c>
      <c r="R15">
        <v>10.563673891201903</v>
      </c>
      <c r="S15">
        <v>12.910374173822138</v>
      </c>
      <c r="T15">
        <v>18.053656166572349</v>
      </c>
      <c r="W15" s="214">
        <v>11</v>
      </c>
      <c r="X15" s="223">
        <v>3</v>
      </c>
      <c r="Y15" s="223">
        <v>2.75</v>
      </c>
      <c r="Z15" s="223">
        <v>6</v>
      </c>
      <c r="AA15" s="251">
        <v>0.1593</v>
      </c>
      <c r="AB15" s="251">
        <v>0.1239</v>
      </c>
      <c r="AC15" s="251">
        <v>0.1</v>
      </c>
      <c r="AD15" s="251">
        <v>9.4700000000000006E-2</v>
      </c>
      <c r="AE15" s="251">
        <v>8.7400000000000005E-2</v>
      </c>
      <c r="AH15" s="6"/>
      <c r="AI15" s="6" t="s">
        <v>194</v>
      </c>
      <c r="AJ15" s="214" t="s">
        <v>360</v>
      </c>
      <c r="AK15" s="109" t="s">
        <v>190</v>
      </c>
      <c r="AM15" s="6" t="s">
        <v>380</v>
      </c>
      <c r="AN15" s="242">
        <v>5.0900000000000001E-2</v>
      </c>
      <c r="AO15" s="242">
        <v>5.0799999999999998E-2</v>
      </c>
      <c r="AP15" s="242">
        <v>5.0700000000000002E-2</v>
      </c>
    </row>
    <row r="16" spans="2:49" x14ac:dyDescent="0.35">
      <c r="B16" s="108">
        <v>15</v>
      </c>
      <c r="C16" s="86">
        <v>6835503.9844276048</v>
      </c>
      <c r="D16" s="86">
        <v>2454122.9337351252</v>
      </c>
      <c r="E16" s="86">
        <v>2413886.9391026529</v>
      </c>
      <c r="F16" s="86">
        <v>1540863.8476522544</v>
      </c>
      <c r="G16" s="86">
        <v>10946856.125784054</v>
      </c>
      <c r="H16" s="86">
        <v>2160164.9072052795</v>
      </c>
      <c r="I16" s="86"/>
      <c r="J16" s="86"/>
      <c r="K16" s="86"/>
      <c r="L16" s="86"/>
      <c r="M16" s="86"/>
      <c r="N16" s="86"/>
      <c r="O16" s="86">
        <v>14</v>
      </c>
      <c r="P16">
        <v>4.499977825237595</v>
      </c>
      <c r="Q16">
        <v>7.1387516707101195</v>
      </c>
      <c r="R16">
        <v>11.686066876623052</v>
      </c>
      <c r="S16">
        <v>14.28193065253401</v>
      </c>
      <c r="T16">
        <v>19.969433862706346</v>
      </c>
      <c r="W16" s="214">
        <v>12</v>
      </c>
      <c r="X16" s="223">
        <v>3</v>
      </c>
      <c r="Y16" s="223">
        <v>2.75</v>
      </c>
      <c r="Z16" s="223">
        <v>8</v>
      </c>
      <c r="AA16" s="251">
        <v>0.1396</v>
      </c>
      <c r="AB16" s="251">
        <v>0.1085</v>
      </c>
      <c r="AC16" s="251">
        <v>8.77E-2</v>
      </c>
      <c r="AD16" s="251">
        <v>8.3000000000000004E-2</v>
      </c>
      <c r="AE16" s="251">
        <v>7.6600000000000001E-2</v>
      </c>
      <c r="AH16" s="331" t="s">
        <v>361</v>
      </c>
      <c r="AI16" s="331"/>
      <c r="AJ16" s="214"/>
      <c r="AM16" s="6" t="s">
        <v>381</v>
      </c>
      <c r="AN16" s="241">
        <v>5.1200000000000002E-2</v>
      </c>
      <c r="AO16" s="242">
        <v>5.0799999999999998E-2</v>
      </c>
      <c r="AP16" s="242">
        <v>5.0369999999999998E-2</v>
      </c>
    </row>
    <row r="17" spans="2:42" x14ac:dyDescent="0.35">
      <c r="O17" s="86">
        <v>15</v>
      </c>
      <c r="P17">
        <v>4.8955694430374246</v>
      </c>
      <c r="Q17">
        <v>7.7632866358333645</v>
      </c>
      <c r="R17">
        <v>12.706424136096823</v>
      </c>
      <c r="S17">
        <v>15.528800178635713</v>
      </c>
      <c r="T17">
        <v>21.711049950100886</v>
      </c>
      <c r="W17" s="214">
        <v>13</v>
      </c>
      <c r="X17" s="223">
        <v>3</v>
      </c>
      <c r="Y17" s="223">
        <v>4</v>
      </c>
      <c r="Z17" s="223">
        <v>6</v>
      </c>
      <c r="AA17" s="251">
        <v>0.13439999999999999</v>
      </c>
      <c r="AB17" s="251">
        <v>0.1045</v>
      </c>
      <c r="AC17" s="251">
        <v>8.4330000000000002E-2</v>
      </c>
      <c r="AD17" s="251">
        <v>7.9799999999999996E-2</v>
      </c>
      <c r="AE17" s="251">
        <v>7.3700000000000002E-2</v>
      </c>
      <c r="AH17" s="6"/>
      <c r="AI17" s="6" t="s">
        <v>135</v>
      </c>
      <c r="AJ17" s="214" t="s">
        <v>362</v>
      </c>
      <c r="AM17" s="6" t="s">
        <v>383</v>
      </c>
      <c r="AN17" s="242">
        <v>6.3500000000000001E-2</v>
      </c>
      <c r="AO17" s="242">
        <v>5.0799999999999998E-2</v>
      </c>
      <c r="AP17" s="242">
        <v>4.2299999999999997E-2</v>
      </c>
    </row>
    <row r="18" spans="2:42" x14ac:dyDescent="0.35">
      <c r="O18" s="86">
        <v>16</v>
      </c>
      <c r="P18">
        <v>5.2551981864918131</v>
      </c>
      <c r="Q18">
        <v>8.3310456950363161</v>
      </c>
      <c r="R18">
        <v>13.634021644709341</v>
      </c>
      <c r="S18">
        <v>16.662317929637261</v>
      </c>
      <c r="T18">
        <v>23.294337302277743</v>
      </c>
      <c r="W18" s="214">
        <v>14</v>
      </c>
      <c r="X18" s="222">
        <v>3.5946035575000002</v>
      </c>
      <c r="Y18" s="222">
        <v>2.0067455531</v>
      </c>
      <c r="Z18" s="222">
        <v>4.8107928849999997</v>
      </c>
      <c r="AA18" s="251">
        <v>0.14030000000000001</v>
      </c>
      <c r="AB18" s="251">
        <v>0.1067</v>
      </c>
      <c r="AC18" s="251">
        <v>8.6099999999999996E-2</v>
      </c>
      <c r="AD18" s="251">
        <v>8.2449999999999996E-2</v>
      </c>
      <c r="AE18" s="251">
        <v>7.6100000000000001E-2</v>
      </c>
      <c r="AH18" s="6"/>
      <c r="AI18" s="6" t="s">
        <v>232</v>
      </c>
      <c r="AJ18" s="214" t="s">
        <v>363</v>
      </c>
      <c r="AM18" s="268" t="s">
        <v>464</v>
      </c>
      <c r="AN18" s="241">
        <v>6.6729999999999998E-2</v>
      </c>
      <c r="AO18" s="242">
        <v>5.0799999999999998E-2</v>
      </c>
      <c r="AP18" s="242">
        <v>4.1250000000000002E-2</v>
      </c>
    </row>
    <row r="19" spans="2:42" x14ac:dyDescent="0.35">
      <c r="O19" s="86">
        <v>17</v>
      </c>
      <c r="P19">
        <v>5.5821334078139859</v>
      </c>
      <c r="Q19">
        <v>8.8471902943117247</v>
      </c>
      <c r="R19">
        <v>14.477292107084358</v>
      </c>
      <c r="S19">
        <v>17.692788612365938</v>
      </c>
      <c r="T19">
        <v>24.733689440620342</v>
      </c>
      <c r="W19" s="214">
        <v>15</v>
      </c>
      <c r="X19" s="222">
        <v>3.5946035575000002</v>
      </c>
      <c r="Y19" s="222">
        <v>2.0067455531</v>
      </c>
      <c r="Z19" s="222">
        <v>7.1892071150000003</v>
      </c>
      <c r="AA19" s="251">
        <v>0.12139999999999999</v>
      </c>
      <c r="AB19" s="251">
        <v>9.2499999999999999E-2</v>
      </c>
      <c r="AC19" s="251">
        <v>7.4560000000000001E-2</v>
      </c>
      <c r="AD19" s="251">
        <v>7.1400000000000005E-2</v>
      </c>
      <c r="AE19" s="251">
        <v>6.59E-2</v>
      </c>
      <c r="AH19" s="8" t="s">
        <v>364</v>
      </c>
      <c r="AI19" s="8"/>
      <c r="AJ19" s="214"/>
      <c r="AM19" s="6" t="s">
        <v>384</v>
      </c>
      <c r="AN19" s="242">
        <v>5.0900000000000001E-2</v>
      </c>
      <c r="AO19" s="242">
        <v>5.0799999999999998E-2</v>
      </c>
      <c r="AP19" s="242">
        <v>5.0700000000000002E-2</v>
      </c>
    </row>
    <row r="20" spans="2:42" ht="31.25" customHeight="1" x14ac:dyDescent="0.35">
      <c r="B20" s="337" t="s">
        <v>448</v>
      </c>
      <c r="C20" s="337"/>
      <c r="D20" s="337"/>
      <c r="E20" s="337"/>
      <c r="F20" s="337"/>
      <c r="G20" s="337"/>
      <c r="H20" s="253"/>
      <c r="I20" s="253"/>
      <c r="J20" s="253"/>
      <c r="O20" s="86">
        <v>18</v>
      </c>
      <c r="P20">
        <v>5.8793472453795967</v>
      </c>
      <c r="Q20">
        <v>9.3164126572893693</v>
      </c>
      <c r="R20">
        <v>15.243901618334373</v>
      </c>
      <c r="S20">
        <v>18.629580142119284</v>
      </c>
      <c r="T20">
        <v>26.042191384568156</v>
      </c>
      <c r="W20" s="214">
        <v>16</v>
      </c>
      <c r="X20" s="222">
        <v>3.5946035575000002</v>
      </c>
      <c r="Y20" s="222">
        <v>3.4932544469</v>
      </c>
      <c r="Z20" s="222">
        <v>4.8107928849999997</v>
      </c>
      <c r="AA20" s="251">
        <v>0.14680000000000001</v>
      </c>
      <c r="AB20" s="251">
        <v>0.1115</v>
      </c>
      <c r="AC20" s="251">
        <v>8.9899999999999994E-2</v>
      </c>
      <c r="AD20" s="251">
        <v>8.6099999999999996E-2</v>
      </c>
      <c r="AE20" s="251">
        <v>7.8899999999999998E-2</v>
      </c>
      <c r="AH20" s="6"/>
      <c r="AI20" s="6" t="s">
        <v>365</v>
      </c>
      <c r="AJ20" s="214" t="s">
        <v>366</v>
      </c>
      <c r="AM20" s="6" t="s">
        <v>385</v>
      </c>
      <c r="AN20" s="241">
        <v>5.3499999999999999E-2</v>
      </c>
      <c r="AO20" s="242">
        <v>5.0799999999999998E-2</v>
      </c>
      <c r="AP20" s="242">
        <v>4.8599999999999997E-2</v>
      </c>
    </row>
    <row r="21" spans="2:42" x14ac:dyDescent="0.35">
      <c r="B21" s="276"/>
      <c r="C21" s="327" t="s">
        <v>423</v>
      </c>
      <c r="D21" s="327"/>
      <c r="E21" s="327"/>
      <c r="F21" s="327" t="s">
        <v>462</v>
      </c>
      <c r="G21" s="327"/>
      <c r="O21" s="86">
        <v>19</v>
      </c>
      <c r="P21">
        <v>6.1495416431665157</v>
      </c>
      <c r="Q21">
        <v>9.7429784418145005</v>
      </c>
      <c r="R21">
        <v>15.940819355834387</v>
      </c>
      <c r="S21">
        <v>19.481208805531416</v>
      </c>
      <c r="T21">
        <v>27.231738606338897</v>
      </c>
      <c r="W21" s="214">
        <v>17</v>
      </c>
      <c r="X21" s="222">
        <v>3.5946035575000002</v>
      </c>
      <c r="Y21" s="222">
        <v>3.4932544469</v>
      </c>
      <c r="Z21" s="222">
        <v>7.1892071150000003</v>
      </c>
      <c r="AA21" s="251">
        <v>0.1275</v>
      </c>
      <c r="AB21" s="251">
        <v>9.7000000000000003E-2</v>
      </c>
      <c r="AC21" s="251">
        <v>7.8219999999999998E-2</v>
      </c>
      <c r="AD21" s="251">
        <v>7.4899999999999994E-2</v>
      </c>
      <c r="AE21" s="251">
        <v>6.8599999999999994E-2</v>
      </c>
      <c r="AH21" s="6"/>
      <c r="AI21" s="6" t="s">
        <v>367</v>
      </c>
      <c r="AJ21" s="214">
        <v>0.45</v>
      </c>
      <c r="AM21" s="6" t="s">
        <v>412</v>
      </c>
      <c r="AN21" s="242">
        <v>5.0900000000000001E-2</v>
      </c>
      <c r="AO21" s="242">
        <v>5.0799999999999998E-2</v>
      </c>
      <c r="AP21" s="242">
        <v>5.0659999999999997E-2</v>
      </c>
    </row>
    <row r="22" spans="2:42" x14ac:dyDescent="0.35">
      <c r="B22" s="275" t="s">
        <v>467</v>
      </c>
      <c r="C22" s="275" t="s">
        <v>459</v>
      </c>
      <c r="D22" s="275" t="s">
        <v>466</v>
      </c>
      <c r="E22" s="275" t="s">
        <v>460</v>
      </c>
      <c r="F22" s="275" t="s">
        <v>461</v>
      </c>
      <c r="G22" s="275" t="s">
        <v>463</v>
      </c>
      <c r="H22" s="41" t="s">
        <v>436</v>
      </c>
      <c r="I22" s="41" t="s">
        <v>437</v>
      </c>
      <c r="O22" s="86">
        <v>20</v>
      </c>
      <c r="P22">
        <v>6.3951729138818969</v>
      </c>
      <c r="Q22">
        <v>10.130765518655529</v>
      </c>
      <c r="R22">
        <v>16.574380935379857</v>
      </c>
      <c r="S22">
        <v>20.255416681360625</v>
      </c>
      <c r="T22">
        <v>28.313145171585024</v>
      </c>
      <c r="W22" s="224">
        <v>18</v>
      </c>
      <c r="X22" s="224">
        <v>4</v>
      </c>
      <c r="Y22" s="224">
        <v>2.75</v>
      </c>
      <c r="Z22" s="224">
        <v>6</v>
      </c>
      <c r="AA22" s="252">
        <v>0.1124</v>
      </c>
      <c r="AB22" s="252">
        <v>8.6699999999999999E-2</v>
      </c>
      <c r="AC22" s="252">
        <v>6.9800000000000001E-2</v>
      </c>
      <c r="AD22" s="252">
        <v>6.7199999999999996E-2</v>
      </c>
      <c r="AE22" s="252">
        <v>6.1499999999999999E-2</v>
      </c>
      <c r="AH22" s="331" t="s">
        <v>368</v>
      </c>
      <c r="AI22" s="331"/>
      <c r="AJ22" s="214"/>
      <c r="AM22" s="190" t="s">
        <v>465</v>
      </c>
      <c r="AN22" s="243">
        <v>6.1260000000000002E-2</v>
      </c>
      <c r="AO22" s="243">
        <v>5.0799999999999998E-2</v>
      </c>
      <c r="AP22" s="243">
        <v>4.0340000000000001E-2</v>
      </c>
    </row>
    <row r="23" spans="2:42" x14ac:dyDescent="0.35">
      <c r="B23" s="270">
        <v>2</v>
      </c>
      <c r="C23" s="150">
        <v>4</v>
      </c>
      <c r="D23" s="150">
        <v>1.5</v>
      </c>
      <c r="E23" s="150">
        <v>6.83</v>
      </c>
      <c r="F23" s="150">
        <v>7.9299999999999995E-2</v>
      </c>
      <c r="G23" s="150">
        <v>8.4699999999999998E-2</v>
      </c>
      <c r="H23" s="41">
        <v>984</v>
      </c>
      <c r="I23" s="41">
        <v>197</v>
      </c>
      <c r="J23" s="274">
        <f>(F23-G23)/F23</f>
        <v>-6.8095838587641899E-2</v>
      </c>
      <c r="AH23" s="6"/>
      <c r="AI23" s="6" t="s">
        <v>369</v>
      </c>
      <c r="AJ23" s="214" t="s">
        <v>370</v>
      </c>
    </row>
    <row r="24" spans="2:42" x14ac:dyDescent="0.35">
      <c r="B24" s="270">
        <v>4</v>
      </c>
      <c r="C24" s="150">
        <v>4</v>
      </c>
      <c r="D24" s="150">
        <v>4</v>
      </c>
      <c r="E24" s="150">
        <v>6.77</v>
      </c>
      <c r="F24" s="150">
        <v>5.9900000000000002E-2</v>
      </c>
      <c r="G24" s="150">
        <v>6.5699999999999995E-2</v>
      </c>
      <c r="H24" s="41">
        <v>1041</v>
      </c>
      <c r="I24" s="41">
        <v>221</v>
      </c>
      <c r="J24" s="274">
        <f>(F24-G24)/F24</f>
        <v>-9.6828046744574167E-2</v>
      </c>
      <c r="AH24" s="6"/>
      <c r="AI24" s="6" t="s">
        <v>371</v>
      </c>
      <c r="AJ24" s="214" t="s">
        <v>372</v>
      </c>
    </row>
    <row r="25" spans="2:42" x14ac:dyDescent="0.35">
      <c r="B25" s="270">
        <v>8</v>
      </c>
      <c r="C25" s="150">
        <v>4</v>
      </c>
      <c r="D25" s="150">
        <v>4</v>
      </c>
      <c r="E25" s="150">
        <v>7.44</v>
      </c>
      <c r="F25" s="150">
        <v>4.8300000000000003E-2</v>
      </c>
      <c r="G25" s="150">
        <v>5.0799999999999998E-2</v>
      </c>
      <c r="H25" s="41">
        <v>1097</v>
      </c>
      <c r="I25" s="41">
        <v>221</v>
      </c>
      <c r="J25" s="274">
        <f>(F25-G25)/F25</f>
        <v>-5.1759834368529919E-2</v>
      </c>
      <c r="AH25" s="6"/>
      <c r="AI25" s="213" t="s">
        <v>373</v>
      </c>
      <c r="AJ25" s="213" t="s">
        <v>374</v>
      </c>
    </row>
    <row r="26" spans="2:42" x14ac:dyDescent="0.35">
      <c r="B26" s="270">
        <v>10</v>
      </c>
      <c r="C26" s="150">
        <v>4</v>
      </c>
      <c r="D26" s="150">
        <v>1.5</v>
      </c>
      <c r="E26" s="150">
        <v>6.86</v>
      </c>
      <c r="F26" s="150">
        <v>4.7500000000000001E-2</v>
      </c>
      <c r="G26" s="150">
        <v>5.0900000000000001E-2</v>
      </c>
      <c r="H26" s="41">
        <v>984</v>
      </c>
      <c r="I26" s="41">
        <v>197</v>
      </c>
      <c r="J26" s="274">
        <f>(F26-G26)/F26</f>
        <v>-7.1578947368421061E-2</v>
      </c>
      <c r="AH26" s="6"/>
      <c r="AI26" s="6"/>
      <c r="AJ26" s="6"/>
      <c r="AM26" s="212" t="s">
        <v>376</v>
      </c>
      <c r="AN26" s="217" t="s">
        <v>377</v>
      </c>
      <c r="AO26" s="217" t="s">
        <v>378</v>
      </c>
      <c r="AP26" s="217" t="s">
        <v>379</v>
      </c>
    </row>
    <row r="27" spans="2:42" x14ac:dyDescent="0.35">
      <c r="B27" s="275">
        <v>15</v>
      </c>
      <c r="C27" s="260">
        <v>4</v>
      </c>
      <c r="D27" s="260">
        <v>1.5</v>
      </c>
      <c r="E27" s="260">
        <v>6.86</v>
      </c>
      <c r="F27" s="260">
        <v>4.3900000000000002E-2</v>
      </c>
      <c r="G27" s="260">
        <v>4.7E-2</v>
      </c>
      <c r="H27" s="41">
        <v>984</v>
      </c>
      <c r="I27" s="41">
        <v>197</v>
      </c>
      <c r="J27" s="274">
        <f>(F27-G27)/F27</f>
        <v>-7.0615034168564891E-2</v>
      </c>
      <c r="AM27" s="253" t="s">
        <v>444</v>
      </c>
      <c r="AN27" s="245">
        <f>(AN19-AO19)/AO19</f>
        <v>1.9685039370079304E-3</v>
      </c>
      <c r="AO27" s="246">
        <v>0</v>
      </c>
      <c r="AP27" s="245">
        <f>(AP19-AO19)/AO19</f>
        <v>-1.9685039370077938E-3</v>
      </c>
    </row>
    <row r="28" spans="2:42" x14ac:dyDescent="0.35">
      <c r="B28" s="225"/>
      <c r="AM28" s="253" t="s">
        <v>443</v>
      </c>
      <c r="AN28" s="245">
        <f>(AN15-AO15)/AO15</f>
        <v>1.9685039370079304E-3</v>
      </c>
      <c r="AO28" s="246">
        <v>0</v>
      </c>
      <c r="AP28" s="245">
        <f>(AP15-AO15)/AO15</f>
        <v>-1.9685039370077938E-3</v>
      </c>
    </row>
    <row r="29" spans="2:42" x14ac:dyDescent="0.35">
      <c r="AM29" s="6" t="s">
        <v>445</v>
      </c>
      <c r="AN29" s="245">
        <f>(AN16-AO16)/AO16</f>
        <v>7.8740157480315862E-3</v>
      </c>
      <c r="AO29" s="246">
        <v>0</v>
      </c>
      <c r="AP29" s="245">
        <f>(AP16-AO16)/AO16</f>
        <v>-8.4645669291338547E-3</v>
      </c>
    </row>
    <row r="30" spans="2:42" x14ac:dyDescent="0.35">
      <c r="AM30" s="6" t="s">
        <v>385</v>
      </c>
      <c r="AN30" s="245">
        <f>(AN20-AO20)/AO20</f>
        <v>5.3149606299212622E-2</v>
      </c>
      <c r="AO30" s="246">
        <v>0</v>
      </c>
      <c r="AP30" s="245">
        <f>(AP20-AO20)/AO20</f>
        <v>-4.3307086614173242E-2</v>
      </c>
    </row>
    <row r="31" spans="2:42" x14ac:dyDescent="0.35">
      <c r="AM31" s="213" t="s">
        <v>465</v>
      </c>
      <c r="AN31" s="248">
        <f>(AN22-AO22)/AO22</f>
        <v>0.20590551181102371</v>
      </c>
      <c r="AO31" s="247">
        <v>0</v>
      </c>
      <c r="AP31" s="248">
        <f>(AP22-AO22)/AO22</f>
        <v>-0.20590551181102357</v>
      </c>
    </row>
    <row r="32" spans="2:42" x14ac:dyDescent="0.35">
      <c r="AM32" s="6" t="s">
        <v>446</v>
      </c>
      <c r="AN32" s="245">
        <f>(AN17-AO17)/AO17</f>
        <v>0.25000000000000006</v>
      </c>
      <c r="AO32" s="246">
        <v>0</v>
      </c>
      <c r="AP32" s="245">
        <f>(AP17-AO17)/AO17</f>
        <v>-0.1673228346456693</v>
      </c>
    </row>
    <row r="33" spans="39:42" x14ac:dyDescent="0.35">
      <c r="AM33" s="6" t="s">
        <v>464</v>
      </c>
      <c r="AN33" s="245">
        <f>(AN18-AO18)/AO18</f>
        <v>0.31358267716535432</v>
      </c>
      <c r="AO33" s="246">
        <v>0</v>
      </c>
      <c r="AP33" s="245">
        <f>(AP18-AO18)/AO18</f>
        <v>-0.18799212598425188</v>
      </c>
    </row>
  </sheetData>
  <mergeCells count="24">
    <mergeCell ref="B20:G20"/>
    <mergeCell ref="AH22:AI22"/>
    <mergeCell ref="AM1:AP1"/>
    <mergeCell ref="AS1:AW1"/>
    <mergeCell ref="AH1:AJ1"/>
    <mergeCell ref="AH2:AI2"/>
    <mergeCell ref="AH3:AI3"/>
    <mergeCell ref="AH16:AI16"/>
    <mergeCell ref="W1:AE1"/>
    <mergeCell ref="E2:I2"/>
    <mergeCell ref="F21:G21"/>
    <mergeCell ref="AC3:AC4"/>
    <mergeCell ref="AD3:AD4"/>
    <mergeCell ref="AE3:AE4"/>
    <mergeCell ref="P1:T1"/>
    <mergeCell ref="X3:X4"/>
    <mergeCell ref="AA2:AB2"/>
    <mergeCell ref="X2:Z2"/>
    <mergeCell ref="C21:E21"/>
    <mergeCell ref="Y3:Y4"/>
    <mergeCell ref="Z3:Z4"/>
    <mergeCell ref="W3:W4"/>
    <mergeCell ref="AA3:AA4"/>
    <mergeCell ref="AB3:AB4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1E8D0-99AB-48FE-8300-C0AAFF563113}">
  <dimension ref="B2:AO325"/>
  <sheetViews>
    <sheetView zoomScale="80" zoomScaleNormal="80" workbookViewId="0">
      <selection activeCell="I9" sqref="I9"/>
    </sheetView>
  </sheetViews>
  <sheetFormatPr defaultColWidth="8.90625" defaultRowHeight="14.5" x14ac:dyDescent="0.35"/>
  <cols>
    <col min="1" max="1" width="8.90625" style="86"/>
    <col min="2" max="2" width="17.81640625" style="86" bestFit="1" customWidth="1"/>
    <col min="3" max="16384" width="8.90625" style="86"/>
  </cols>
  <sheetData>
    <row r="2" spans="2:41" ht="15" thickBot="1" x14ac:dyDescent="0.4"/>
    <row r="3" spans="2:41" ht="21" customHeight="1" thickBot="1" x14ac:dyDescent="0.4">
      <c r="B3" s="338" t="s">
        <v>291</v>
      </c>
      <c r="C3" s="339"/>
      <c r="D3" s="339"/>
      <c r="E3" s="339"/>
      <c r="F3" s="339"/>
      <c r="G3" s="339"/>
      <c r="H3" s="339"/>
      <c r="I3" s="339"/>
      <c r="J3" s="340"/>
      <c r="AC3" s="86" t="s">
        <v>404</v>
      </c>
      <c r="AO3" s="86">
        <v>4</v>
      </c>
    </row>
    <row r="4" spans="2:41" x14ac:dyDescent="0.35">
      <c r="B4" s="87" t="s">
        <v>290</v>
      </c>
      <c r="C4" s="108">
        <v>0</v>
      </c>
      <c r="D4" s="108">
        <v>0</v>
      </c>
      <c r="E4" s="108">
        <v>17.5</v>
      </c>
      <c r="F4" s="108">
        <v>17.5</v>
      </c>
      <c r="G4" s="108">
        <f>F4+24</f>
        <v>41.5</v>
      </c>
      <c r="H4" s="108">
        <v>41.5</v>
      </c>
      <c r="I4" s="108">
        <f>H4+24.5</f>
        <v>66</v>
      </c>
      <c r="J4" s="108">
        <f>I4</f>
        <v>66</v>
      </c>
      <c r="K4" s="108">
        <f>J4+24+23.5</f>
        <v>113.5</v>
      </c>
      <c r="L4" s="108">
        <f>K4</f>
        <v>113.5</v>
      </c>
      <c r="M4" s="108">
        <f>L4+23.5</f>
        <v>137</v>
      </c>
      <c r="N4" s="108">
        <f>M4</f>
        <v>137</v>
      </c>
      <c r="O4" s="108">
        <f>N4+24.5</f>
        <v>161.5</v>
      </c>
      <c r="P4" s="108">
        <f>O4</f>
        <v>161.5</v>
      </c>
      <c r="Q4" s="108">
        <f>P4+33.5</f>
        <v>195</v>
      </c>
      <c r="R4" s="108">
        <f>Q4</f>
        <v>195</v>
      </c>
      <c r="S4" s="108">
        <f>R4+24</f>
        <v>219</v>
      </c>
      <c r="T4" s="108">
        <f>S4</f>
        <v>219</v>
      </c>
      <c r="U4" s="108">
        <f>T4+38.5</f>
        <v>257.5</v>
      </c>
      <c r="V4" s="108">
        <f>U4</f>
        <v>257.5</v>
      </c>
      <c r="W4" s="108">
        <f>V4+72.5</f>
        <v>330</v>
      </c>
      <c r="X4" s="108">
        <f>W4</f>
        <v>330</v>
      </c>
      <c r="Y4" s="108">
        <f>X4+49.5</f>
        <v>379.5</v>
      </c>
      <c r="Z4" s="108">
        <f>Y4</f>
        <v>379.5</v>
      </c>
      <c r="AA4" s="108">
        <f>Z4+23</f>
        <v>402.5</v>
      </c>
      <c r="AB4" s="108">
        <f>AA4</f>
        <v>402.5</v>
      </c>
      <c r="AC4" s="86">
        <v>0</v>
      </c>
      <c r="AD4" s="86">
        <v>5</v>
      </c>
    </row>
    <row r="5" spans="2:41" x14ac:dyDescent="0.35">
      <c r="B5" s="108">
        <v>0</v>
      </c>
      <c r="E5" s="86">
        <v>6.8000000000000005E-2</v>
      </c>
      <c r="F5" s="86">
        <v>6.8000000000000005E-2</v>
      </c>
      <c r="G5" s="86">
        <v>0.107</v>
      </c>
      <c r="H5" s="86">
        <v>0.107</v>
      </c>
      <c r="I5" s="86">
        <v>3.3000000000000002E-2</v>
      </c>
      <c r="J5" s="86">
        <f>I5</f>
        <v>3.3000000000000002E-2</v>
      </c>
      <c r="K5" s="86">
        <v>0.17</v>
      </c>
      <c r="L5" s="86">
        <f t="shared" ref="L5:L10" si="0">K5</f>
        <v>0.17</v>
      </c>
      <c r="M5" s="86">
        <v>0.17299999999999999</v>
      </c>
      <c r="N5" s="86">
        <f t="shared" ref="N5:N10" si="1">M5</f>
        <v>0.17299999999999999</v>
      </c>
      <c r="O5" s="86">
        <v>-8.9999999999999993E-3</v>
      </c>
      <c r="P5" s="86">
        <f t="shared" ref="P5:R10" si="2">O5</f>
        <v>-8.9999999999999993E-3</v>
      </c>
      <c r="Q5" s="86">
        <v>0.13700000000000001</v>
      </c>
      <c r="R5" s="86">
        <f t="shared" si="2"/>
        <v>0.13700000000000001</v>
      </c>
      <c r="S5" s="86">
        <v>0.13700000000000001</v>
      </c>
      <c r="T5" s="86">
        <f t="shared" ref="T5:V10" si="3">S5</f>
        <v>0.13700000000000001</v>
      </c>
      <c r="U5" s="86">
        <v>0.22500000000000001</v>
      </c>
      <c r="V5" s="86">
        <f t="shared" si="3"/>
        <v>0.22500000000000001</v>
      </c>
      <c r="W5" s="86">
        <v>0.183</v>
      </c>
      <c r="X5" s="86">
        <f t="shared" ref="X5" si="4">W5</f>
        <v>0.183</v>
      </c>
      <c r="Y5" s="86">
        <v>0.22800000000000001</v>
      </c>
      <c r="Z5" s="86">
        <f t="shared" ref="Z5:Z10" si="5">Y5</f>
        <v>0.22800000000000001</v>
      </c>
      <c r="AA5" s="86">
        <v>8.2000000000000003E-2</v>
      </c>
      <c r="AB5" s="86">
        <f t="shared" ref="AB5:AB10" si="6">AA5</f>
        <v>8.2000000000000003E-2</v>
      </c>
      <c r="AC5" s="86">
        <v>17.5</v>
      </c>
      <c r="AD5" s="86">
        <f>E19</f>
        <v>13.580952380952382</v>
      </c>
    </row>
    <row r="6" spans="2:41" x14ac:dyDescent="0.35">
      <c r="B6" s="108">
        <v>0.5</v>
      </c>
      <c r="E6" s="86">
        <v>0.112</v>
      </c>
      <c r="F6" s="86">
        <v>0.11799999999999999</v>
      </c>
      <c r="G6" s="86">
        <v>0.18099999999999999</v>
      </c>
      <c r="H6" s="86">
        <v>0.18099999999999999</v>
      </c>
      <c r="I6" s="86">
        <v>8.4000000000000005E-2</v>
      </c>
      <c r="J6" s="86">
        <f t="shared" ref="J6:J10" si="7">I6</f>
        <v>8.4000000000000005E-2</v>
      </c>
      <c r="K6" s="86">
        <v>0.29899999999999999</v>
      </c>
      <c r="L6" s="86">
        <f t="shared" si="0"/>
        <v>0.29899999999999999</v>
      </c>
      <c r="M6" s="86">
        <v>0.30399999999999999</v>
      </c>
      <c r="N6" s="86">
        <f t="shared" si="1"/>
        <v>0.30399999999999999</v>
      </c>
      <c r="O6" s="86">
        <v>0.09</v>
      </c>
      <c r="P6" s="86">
        <f t="shared" si="2"/>
        <v>0.09</v>
      </c>
      <c r="Q6" s="86">
        <v>0.255</v>
      </c>
      <c r="R6" s="86">
        <f t="shared" si="2"/>
        <v>0.255</v>
      </c>
      <c r="S6" s="86">
        <v>0.23599999999999999</v>
      </c>
      <c r="T6" s="86">
        <f t="shared" si="3"/>
        <v>0.23599999999999999</v>
      </c>
      <c r="U6" s="86">
        <v>0.40300000000000002</v>
      </c>
      <c r="V6" s="86">
        <f t="shared" si="3"/>
        <v>0.40300000000000002</v>
      </c>
      <c r="W6" s="86">
        <v>0.28899999999999998</v>
      </c>
      <c r="X6" s="86">
        <f t="shared" ref="X6" si="8">W6</f>
        <v>0.28899999999999998</v>
      </c>
      <c r="Y6" s="86">
        <v>0.35199999999999998</v>
      </c>
      <c r="Z6" s="86">
        <f t="shared" si="5"/>
        <v>0.35199999999999998</v>
      </c>
      <c r="AA6" s="86">
        <v>0.20200000000000001</v>
      </c>
      <c r="AB6" s="86">
        <f t="shared" si="6"/>
        <v>0.20200000000000001</v>
      </c>
      <c r="AC6" s="86">
        <v>41.5</v>
      </c>
      <c r="AD6" s="86">
        <f>G19</f>
        <v>22.233333333333338</v>
      </c>
    </row>
    <row r="7" spans="2:41" x14ac:dyDescent="0.35">
      <c r="B7" s="108">
        <v>1</v>
      </c>
      <c r="E7" s="86">
        <v>0.155</v>
      </c>
      <c r="F7" s="86">
        <v>0.16400000000000001</v>
      </c>
      <c r="G7" s="86">
        <v>0.249</v>
      </c>
      <c r="H7" s="86">
        <v>0.249</v>
      </c>
      <c r="I7" s="86">
        <v>0.128</v>
      </c>
      <c r="J7" s="86">
        <f t="shared" si="7"/>
        <v>0.128</v>
      </c>
      <c r="K7" s="86">
        <v>0.42699999999999999</v>
      </c>
      <c r="L7" s="86">
        <f t="shared" si="0"/>
        <v>0.42699999999999999</v>
      </c>
      <c r="M7" s="86">
        <v>0.443</v>
      </c>
      <c r="N7" s="86">
        <f t="shared" si="1"/>
        <v>0.443</v>
      </c>
      <c r="O7" s="86">
        <v>0.188</v>
      </c>
      <c r="P7" s="86">
        <f t="shared" si="2"/>
        <v>0.188</v>
      </c>
      <c r="Q7" s="86">
        <v>0.372</v>
      </c>
      <c r="R7" s="86">
        <f t="shared" si="2"/>
        <v>0.372</v>
      </c>
      <c r="S7" s="86">
        <v>0.34200000000000003</v>
      </c>
      <c r="T7" s="86">
        <f t="shared" si="3"/>
        <v>0.34200000000000003</v>
      </c>
      <c r="U7" s="86">
        <v>0.56200000000000006</v>
      </c>
      <c r="V7" s="86">
        <f t="shared" si="3"/>
        <v>0.56200000000000006</v>
      </c>
      <c r="W7" s="86">
        <v>0.38200000000000001</v>
      </c>
      <c r="X7" s="86">
        <f t="shared" ref="X7" si="9">W7</f>
        <v>0.38200000000000001</v>
      </c>
      <c r="Y7" s="86">
        <v>0.44700000000000001</v>
      </c>
      <c r="Z7" s="86">
        <f t="shared" si="5"/>
        <v>0.44700000000000001</v>
      </c>
      <c r="AA7" s="86">
        <v>0.311</v>
      </c>
      <c r="AB7" s="86">
        <f t="shared" si="6"/>
        <v>0.311</v>
      </c>
      <c r="AC7" s="86">
        <v>66</v>
      </c>
      <c r="AD7" s="86">
        <f>I19</f>
        <v>56.076190476190462</v>
      </c>
    </row>
    <row r="8" spans="2:41" x14ac:dyDescent="0.35">
      <c r="B8" s="108">
        <v>1.5</v>
      </c>
      <c r="E8" s="86">
        <v>0.193</v>
      </c>
      <c r="F8" s="86">
        <v>0.20599999999999999</v>
      </c>
      <c r="G8" s="86">
        <v>0.317</v>
      </c>
      <c r="H8" s="86">
        <v>0.317</v>
      </c>
      <c r="I8" s="86">
        <v>0.16800000000000001</v>
      </c>
      <c r="J8" s="86">
        <f t="shared" si="7"/>
        <v>0.16800000000000001</v>
      </c>
      <c r="K8" s="86">
        <v>0.55000000000000004</v>
      </c>
      <c r="L8" s="86">
        <f t="shared" si="0"/>
        <v>0.55000000000000004</v>
      </c>
      <c r="M8" s="86">
        <v>0.58499999999999996</v>
      </c>
      <c r="N8" s="86">
        <f t="shared" si="1"/>
        <v>0.58499999999999996</v>
      </c>
      <c r="O8" s="86">
        <v>0.28199999999999997</v>
      </c>
      <c r="P8" s="86">
        <f t="shared" si="2"/>
        <v>0.28199999999999997</v>
      </c>
      <c r="Q8" s="86">
        <v>0.48699999999999999</v>
      </c>
      <c r="R8" s="86">
        <f t="shared" si="2"/>
        <v>0.48699999999999999</v>
      </c>
      <c r="U8" s="86">
        <v>0.72799999999999998</v>
      </c>
      <c r="V8" s="86">
        <f t="shared" si="3"/>
        <v>0.72799999999999998</v>
      </c>
      <c r="W8" s="86">
        <v>0.48099999999999998</v>
      </c>
      <c r="X8" s="86">
        <f t="shared" ref="X8" si="10">W8</f>
        <v>0.48099999999999998</v>
      </c>
      <c r="Y8" s="86">
        <v>0.56000000000000005</v>
      </c>
      <c r="Z8" s="86">
        <f t="shared" si="5"/>
        <v>0.56000000000000005</v>
      </c>
      <c r="AA8" s="86">
        <v>0.41499999999999998</v>
      </c>
      <c r="AB8" s="86">
        <f t="shared" si="6"/>
        <v>0.41499999999999998</v>
      </c>
      <c r="AC8" s="86">
        <f>K4</f>
        <v>113.5</v>
      </c>
      <c r="AD8" s="86">
        <f>K19</f>
        <v>160.30634920634918</v>
      </c>
    </row>
    <row r="9" spans="2:41" x14ac:dyDescent="0.35">
      <c r="B9" s="108">
        <v>2</v>
      </c>
      <c r="E9" s="86">
        <v>0.23400000000000001</v>
      </c>
      <c r="F9" s="86">
        <v>0.248</v>
      </c>
      <c r="G9" s="86">
        <v>0.38700000000000001</v>
      </c>
      <c r="H9" s="86">
        <v>0.38700000000000001</v>
      </c>
      <c r="I9" s="86">
        <v>0.21099999999999999</v>
      </c>
      <c r="J9" s="86">
        <f t="shared" si="7"/>
        <v>0.21099999999999999</v>
      </c>
      <c r="K9" s="86">
        <v>0.67500000000000004</v>
      </c>
      <c r="L9" s="86">
        <f t="shared" si="0"/>
        <v>0.67500000000000004</v>
      </c>
      <c r="M9" s="86">
        <v>0.72799999999999998</v>
      </c>
      <c r="N9" s="86">
        <f t="shared" si="1"/>
        <v>0.72799999999999998</v>
      </c>
      <c r="O9" s="86">
        <v>0.373</v>
      </c>
      <c r="P9" s="86">
        <f t="shared" si="2"/>
        <v>0.373</v>
      </c>
      <c r="Q9" s="86">
        <v>0.60099999999999998</v>
      </c>
      <c r="R9" s="86">
        <f t="shared" si="2"/>
        <v>0.60099999999999998</v>
      </c>
      <c r="S9" s="86">
        <v>0.56000000000000005</v>
      </c>
      <c r="T9" s="86">
        <f t="shared" si="3"/>
        <v>0.56000000000000005</v>
      </c>
      <c r="U9" s="86">
        <v>0.89600000000000002</v>
      </c>
      <c r="V9" s="86">
        <f t="shared" si="3"/>
        <v>0.89600000000000002</v>
      </c>
      <c r="W9" s="86">
        <v>0.58399999999999996</v>
      </c>
      <c r="X9" s="86">
        <f t="shared" ref="X9" si="11">W9</f>
        <v>0.58399999999999996</v>
      </c>
      <c r="Y9" s="86">
        <v>0.64900000000000002</v>
      </c>
      <c r="Z9" s="86">
        <f t="shared" si="5"/>
        <v>0.64900000000000002</v>
      </c>
      <c r="AA9" s="86">
        <v>0.51500000000000001</v>
      </c>
      <c r="AB9" s="86">
        <f t="shared" si="6"/>
        <v>0.51500000000000001</v>
      </c>
      <c r="AC9" s="86">
        <f>M4</f>
        <v>137</v>
      </c>
      <c r="AD9" s="86">
        <f>M19</f>
        <v>222.88095238095235</v>
      </c>
    </row>
    <row r="10" spans="2:41" x14ac:dyDescent="0.35">
      <c r="B10" s="108">
        <v>2.5</v>
      </c>
      <c r="E10" s="86">
        <v>0.27300000000000002</v>
      </c>
      <c r="F10" s="86">
        <v>0.29099999999999998</v>
      </c>
      <c r="G10" s="86">
        <v>0.45700000000000002</v>
      </c>
      <c r="H10" s="86">
        <v>0.45700000000000002</v>
      </c>
      <c r="I10" s="86">
        <v>0.25600000000000001</v>
      </c>
      <c r="J10" s="86">
        <f t="shared" si="7"/>
        <v>0.25600000000000001</v>
      </c>
      <c r="K10" s="86">
        <v>0.79800000000000004</v>
      </c>
      <c r="L10" s="86">
        <f t="shared" si="0"/>
        <v>0.79800000000000004</v>
      </c>
      <c r="M10" s="86">
        <v>0.86699999999999999</v>
      </c>
      <c r="N10" s="86">
        <f t="shared" si="1"/>
        <v>0.86699999999999999</v>
      </c>
      <c r="O10" s="86">
        <v>0.46200000000000002</v>
      </c>
      <c r="P10" s="86">
        <f t="shared" si="2"/>
        <v>0.46200000000000002</v>
      </c>
      <c r="Q10" s="86">
        <v>0.71099999999999997</v>
      </c>
      <c r="R10" s="86">
        <f t="shared" si="2"/>
        <v>0.71099999999999997</v>
      </c>
      <c r="S10" s="86">
        <v>0.66800000000000004</v>
      </c>
      <c r="T10" s="86">
        <f t="shared" si="3"/>
        <v>0.66800000000000004</v>
      </c>
      <c r="U10" s="86">
        <v>1.07</v>
      </c>
      <c r="V10" s="86">
        <f t="shared" si="3"/>
        <v>1.07</v>
      </c>
      <c r="W10" s="86">
        <v>0.67900000000000005</v>
      </c>
      <c r="X10" s="86">
        <f t="shared" ref="X10" si="12">W10</f>
        <v>0.67900000000000005</v>
      </c>
      <c r="Y10" s="86">
        <v>0.749</v>
      </c>
      <c r="Z10" s="86">
        <f t="shared" si="5"/>
        <v>0.749</v>
      </c>
      <c r="AA10" s="86">
        <v>0.61399999999999999</v>
      </c>
      <c r="AB10" s="86">
        <f t="shared" si="6"/>
        <v>0.61399999999999999</v>
      </c>
      <c r="AC10" s="86">
        <f>O4</f>
        <v>161.5</v>
      </c>
      <c r="AD10" s="86">
        <f>O19</f>
        <v>301.00793650793651</v>
      </c>
    </row>
    <row r="11" spans="2:41" x14ac:dyDescent="0.35">
      <c r="B11" s="108">
        <v>3</v>
      </c>
      <c r="AC11" s="86">
        <f>Q4</f>
        <v>195</v>
      </c>
      <c r="AD11" s="86">
        <f>Q19</f>
        <v>550.76785714285711</v>
      </c>
    </row>
    <row r="12" spans="2:41" x14ac:dyDescent="0.35">
      <c r="B12" s="86" t="s">
        <v>297</v>
      </c>
      <c r="C12" s="86" t="e">
        <f t="shared" ref="C12:D12" si="13">SLOPE(C5:C11,$B5:$B11)</f>
        <v>#DIV/0!</v>
      </c>
      <c r="D12" s="86" t="e">
        <f t="shared" si="13"/>
        <v>#DIV/0!</v>
      </c>
      <c r="E12" s="86">
        <f t="shared" ref="E12:J12" si="14">SLOPE(E5:E11,$B5:$B11)</f>
        <v>8.1657142857142873E-2</v>
      </c>
      <c r="F12" s="86">
        <f t="shared" si="14"/>
        <v>8.8399999999999992E-2</v>
      </c>
      <c r="G12" s="86">
        <f t="shared" si="14"/>
        <v>0.13920000000000002</v>
      </c>
      <c r="H12" s="86">
        <f t="shared" si="14"/>
        <v>0.13920000000000002</v>
      </c>
      <c r="I12" s="86">
        <f t="shared" si="14"/>
        <v>8.7771428571428556E-2</v>
      </c>
      <c r="J12" s="86">
        <f t="shared" si="14"/>
        <v>8.7771428571428556E-2</v>
      </c>
      <c r="K12" s="86">
        <f t="shared" ref="K12:M12" si="15">SLOPE(K5:K11,$B5:$B11)</f>
        <v>0.2509142857142857</v>
      </c>
      <c r="L12" s="86">
        <f t="shared" ref="L12:O12" si="16">SLOPE(L5:L11,$B5:$B11)</f>
        <v>0.2509142857142857</v>
      </c>
      <c r="M12" s="86">
        <f t="shared" si="15"/>
        <v>0.27908571428571427</v>
      </c>
      <c r="N12" s="86">
        <f t="shared" si="16"/>
        <v>0.27908571428571427</v>
      </c>
      <c r="O12" s="86">
        <f t="shared" si="16"/>
        <v>0.18845714285714285</v>
      </c>
      <c r="P12" s="86">
        <f t="shared" ref="P12:Q12" si="17">SLOPE(P5:P11,$B5:$B11)</f>
        <v>0.18845714285714285</v>
      </c>
      <c r="Q12" s="86">
        <f t="shared" si="17"/>
        <v>0.22988571428571428</v>
      </c>
      <c r="R12" s="86">
        <f t="shared" ref="R12:S12" si="18">SLOPE(R5:R11,$B5:$B11)</f>
        <v>0.22988571428571428</v>
      </c>
      <c r="S12" s="86">
        <f t="shared" si="18"/>
        <v>0.21358139534883719</v>
      </c>
      <c r="T12" s="86">
        <f t="shared" ref="T12:U12" si="19">SLOPE(T5:T11,$B5:$B11)</f>
        <v>0.21358139534883719</v>
      </c>
      <c r="U12" s="86">
        <f t="shared" si="19"/>
        <v>0.33542857142857141</v>
      </c>
      <c r="V12" s="86">
        <f t="shared" ref="V12" si="20">SLOPE(V5:V11,$B5:$B11)</f>
        <v>0.33542857142857141</v>
      </c>
      <c r="W12" s="86">
        <f t="shared" ref="W12:AB12" si="21">SLOPE(W5:W11,$B5:$B11)</f>
        <v>0.19794285714285717</v>
      </c>
      <c r="X12" s="86">
        <f t="shared" si="21"/>
        <v>0.19794285714285717</v>
      </c>
      <c r="Y12" s="86">
        <f t="shared" si="21"/>
        <v>0.20622857142857143</v>
      </c>
      <c r="Z12" s="86">
        <f t="shared" si="21"/>
        <v>0.20622857142857143</v>
      </c>
      <c r="AA12" s="86">
        <f t="shared" si="21"/>
        <v>0.21160000000000001</v>
      </c>
      <c r="AB12" s="86">
        <f t="shared" si="21"/>
        <v>0.21160000000000001</v>
      </c>
      <c r="AC12" s="86">
        <f>S4</f>
        <v>219</v>
      </c>
      <c r="AD12" s="86">
        <f>S19</f>
        <v>614.04651162790697</v>
      </c>
    </row>
    <row r="13" spans="2:41" x14ac:dyDescent="0.35">
      <c r="B13" s="86" t="s">
        <v>298</v>
      </c>
      <c r="C13" s="202" t="e">
        <f t="shared" ref="C13:D13" si="22">RSQ(C5:C11,$B5:$B11)</f>
        <v>#DIV/0!</v>
      </c>
      <c r="D13" s="202" t="e">
        <f t="shared" si="22"/>
        <v>#DIV/0!</v>
      </c>
      <c r="E13" s="202">
        <f t="shared" ref="E13:J13" si="23">RSQ(E5:E11,$B5:$B11)</f>
        <v>0.99940095875963242</v>
      </c>
      <c r="F13" s="202">
        <f t="shared" si="23"/>
        <v>0.99886640858958442</v>
      </c>
      <c r="G13" s="202">
        <f t="shared" si="23"/>
        <v>0.99986789960369904</v>
      </c>
      <c r="H13" s="202">
        <f t="shared" si="23"/>
        <v>0.99986789960369904</v>
      </c>
      <c r="I13" s="202">
        <f t="shared" si="23"/>
        <v>0.99884111147175414</v>
      </c>
      <c r="J13" s="202">
        <f t="shared" si="23"/>
        <v>0.99884111147175414</v>
      </c>
      <c r="K13" s="202">
        <f t="shared" ref="K13:L13" si="24">RSQ(K5:K11,$B5:$B11)</f>
        <v>0.99991163010561057</v>
      </c>
      <c r="L13" s="202">
        <f t="shared" si="24"/>
        <v>0.99991163010561057</v>
      </c>
      <c r="M13" s="202">
        <f t="shared" ref="M13:N13" si="25">RSQ(M5:M11,$B5:$B11)</f>
        <v>0.99981903871442568</v>
      </c>
      <c r="N13" s="202">
        <f t="shared" si="25"/>
        <v>0.99981903871442568</v>
      </c>
      <c r="O13" s="202">
        <f t="shared" ref="O13:P13" si="26">RSQ(O5:O11,$B5:$B11)</f>
        <v>0.99952986237722707</v>
      </c>
      <c r="P13" s="202">
        <f t="shared" si="26"/>
        <v>0.99952986237722707</v>
      </c>
      <c r="Q13" s="202">
        <f t="shared" ref="Q13:R13" si="27">RSQ(Q5:Q11,$B5:$B11)</f>
        <v>0.99985609725585001</v>
      </c>
      <c r="R13" s="202">
        <f t="shared" si="27"/>
        <v>0.99985609725585001</v>
      </c>
      <c r="S13" s="202">
        <f t="shared" ref="S13:T13" si="28">RSQ(S5:S11,$B5:$B11)</f>
        <v>0.99974492509995749</v>
      </c>
      <c r="T13" s="202">
        <f t="shared" si="28"/>
        <v>0.99974492509995749</v>
      </c>
      <c r="U13" s="202">
        <f t="shared" ref="U13:V13" si="29">RSQ(U5:U11,$B5:$B11)</f>
        <v>0.99980926666126346</v>
      </c>
      <c r="V13" s="202">
        <f t="shared" si="29"/>
        <v>0.99980926666126346</v>
      </c>
      <c r="W13" s="202">
        <f t="shared" ref="W13:AB13" si="30">RSQ(W5:W11,$B5:$B11)</f>
        <v>0.99976970620043581</v>
      </c>
      <c r="X13" s="202">
        <f t="shared" si="30"/>
        <v>0.99976970620043581</v>
      </c>
      <c r="Y13" s="202">
        <f t="shared" si="30"/>
        <v>0.99789891517245422</v>
      </c>
      <c r="Z13" s="202">
        <f t="shared" si="30"/>
        <v>0.99789891517245422</v>
      </c>
      <c r="AA13" s="202">
        <f t="shared" si="30"/>
        <v>0.99871113456356797</v>
      </c>
      <c r="AB13" s="202">
        <f t="shared" si="30"/>
        <v>0.99871113456356797</v>
      </c>
      <c r="AC13" s="226">
        <f>U4</f>
        <v>257.5</v>
      </c>
      <c r="AD13" s="226">
        <f>U19</f>
        <v>964.35714285714289</v>
      </c>
    </row>
    <row r="14" spans="2:41" x14ac:dyDescent="0.35">
      <c r="B14" s="86" t="s">
        <v>292</v>
      </c>
      <c r="C14" s="86">
        <v>36000</v>
      </c>
      <c r="D14" s="86">
        <v>36000</v>
      </c>
      <c r="E14" s="86">
        <v>36000</v>
      </c>
      <c r="F14" s="86">
        <v>36000</v>
      </c>
      <c r="G14" s="86">
        <v>36000</v>
      </c>
      <c r="H14" s="86">
        <v>36000</v>
      </c>
      <c r="I14" s="86">
        <v>36000</v>
      </c>
      <c r="J14" s="86">
        <v>36000</v>
      </c>
      <c r="K14" s="86">
        <v>36000</v>
      </c>
      <c r="L14" s="86">
        <v>36000</v>
      </c>
      <c r="M14" s="86">
        <v>36000</v>
      </c>
      <c r="N14" s="86">
        <v>36000</v>
      </c>
      <c r="O14" s="86">
        <v>36000</v>
      </c>
      <c r="P14" s="86">
        <v>36000</v>
      </c>
      <c r="Q14" s="86">
        <v>36000</v>
      </c>
      <c r="R14" s="86">
        <v>36000</v>
      </c>
      <c r="S14" s="86">
        <v>36000</v>
      </c>
      <c r="T14" s="86">
        <v>36000</v>
      </c>
      <c r="U14" s="86">
        <v>36000</v>
      </c>
      <c r="V14" s="86">
        <v>36000</v>
      </c>
      <c r="W14" s="86">
        <v>36000</v>
      </c>
      <c r="X14" s="86">
        <v>36000</v>
      </c>
      <c r="Y14" s="86">
        <v>36000</v>
      </c>
      <c r="Z14" s="86">
        <v>36000</v>
      </c>
      <c r="AA14" s="86">
        <v>36000</v>
      </c>
      <c r="AB14" s="86">
        <v>36000</v>
      </c>
      <c r="AC14" s="86">
        <f>W4</f>
        <v>330</v>
      </c>
      <c r="AD14" s="86">
        <f>W19</f>
        <v>790.39682539682565</v>
      </c>
    </row>
    <row r="15" spans="2:41" x14ac:dyDescent="0.35">
      <c r="B15" s="86" t="s">
        <v>296</v>
      </c>
      <c r="C15" s="86">
        <v>25</v>
      </c>
      <c r="D15" s="86">
        <v>25</v>
      </c>
      <c r="E15" s="86">
        <v>25</v>
      </c>
      <c r="F15" s="86">
        <v>25</v>
      </c>
      <c r="G15" s="86">
        <v>25</v>
      </c>
      <c r="H15" s="86">
        <v>25</v>
      </c>
      <c r="I15" s="86">
        <v>25</v>
      </c>
      <c r="J15" s="86">
        <v>25</v>
      </c>
      <c r="K15" s="86">
        <v>25</v>
      </c>
      <c r="L15" s="86">
        <v>25</v>
      </c>
      <c r="M15" s="86">
        <v>25</v>
      </c>
      <c r="N15" s="86">
        <v>25</v>
      </c>
      <c r="O15" s="86">
        <v>25</v>
      </c>
      <c r="P15" s="86">
        <v>25</v>
      </c>
      <c r="Q15" s="86">
        <v>25</v>
      </c>
      <c r="R15" s="86">
        <v>25</v>
      </c>
      <c r="S15" s="86">
        <v>25</v>
      </c>
      <c r="T15" s="86">
        <v>25</v>
      </c>
      <c r="U15" s="86">
        <v>25</v>
      </c>
      <c r="V15" s="86">
        <v>25</v>
      </c>
      <c r="W15" s="86">
        <v>25</v>
      </c>
      <c r="X15" s="86">
        <v>25</v>
      </c>
      <c r="Y15" s="86">
        <v>25</v>
      </c>
      <c r="Z15" s="86">
        <v>25</v>
      </c>
      <c r="AA15" s="86">
        <v>25</v>
      </c>
      <c r="AB15" s="86">
        <v>25</v>
      </c>
      <c r="AC15" s="86">
        <f>Y4</f>
        <v>379.5</v>
      </c>
      <c r="AD15" s="86">
        <f>Y19</f>
        <v>823.48214285714278</v>
      </c>
    </row>
    <row r="16" spans="2:41" x14ac:dyDescent="0.35">
      <c r="B16" s="86" t="s">
        <v>293</v>
      </c>
      <c r="C16" s="86">
        <v>2</v>
      </c>
      <c r="D16" s="86">
        <v>2</v>
      </c>
      <c r="E16" s="86">
        <v>10</v>
      </c>
      <c r="F16" s="86">
        <v>10</v>
      </c>
      <c r="G16" s="86">
        <v>10</v>
      </c>
      <c r="H16" s="86">
        <v>10</v>
      </c>
      <c r="I16" s="86">
        <v>40</v>
      </c>
      <c r="J16" s="86">
        <v>40</v>
      </c>
      <c r="K16" s="86">
        <v>40</v>
      </c>
      <c r="L16" s="86">
        <v>40</v>
      </c>
      <c r="M16" s="86">
        <v>50</v>
      </c>
      <c r="N16" s="86">
        <v>50</v>
      </c>
      <c r="O16" s="86">
        <v>100</v>
      </c>
      <c r="P16" s="86">
        <v>100</v>
      </c>
      <c r="Q16" s="86">
        <v>150</v>
      </c>
      <c r="R16" s="86">
        <v>150</v>
      </c>
      <c r="S16" s="86">
        <v>180</v>
      </c>
      <c r="T16" s="86">
        <v>180</v>
      </c>
      <c r="U16" s="86">
        <v>180</v>
      </c>
      <c r="V16" s="86">
        <v>180</v>
      </c>
      <c r="W16" s="86">
        <v>250</v>
      </c>
      <c r="X16" s="86">
        <v>250</v>
      </c>
      <c r="Y16" s="86">
        <v>250</v>
      </c>
      <c r="Z16" s="86">
        <v>250</v>
      </c>
      <c r="AA16" s="86">
        <v>200</v>
      </c>
      <c r="AB16" s="86">
        <v>200</v>
      </c>
      <c r="AC16" s="86">
        <f>AA4</f>
        <v>402.5</v>
      </c>
      <c r="AD16" s="86">
        <f>AA19</f>
        <v>675.94444444444446</v>
      </c>
    </row>
    <row r="17" spans="2:29" x14ac:dyDescent="0.35">
      <c r="B17" s="86" t="s">
        <v>294</v>
      </c>
      <c r="C17" s="86" t="e">
        <f t="shared" ref="C17:J17" si="31">(C12*C15*C16*10^6 / C14)/1000</f>
        <v>#DIV/0!</v>
      </c>
      <c r="D17" s="86" t="e">
        <f t="shared" si="31"/>
        <v>#DIV/0!</v>
      </c>
      <c r="E17" s="86">
        <f t="shared" si="31"/>
        <v>0.56706349206349216</v>
      </c>
      <c r="F17" s="86">
        <f t="shared" si="31"/>
        <v>0.61388888888888893</v>
      </c>
      <c r="G17" s="86">
        <f t="shared" si="31"/>
        <v>0.9666666666666669</v>
      </c>
      <c r="H17" s="86">
        <f t="shared" si="31"/>
        <v>0.9666666666666669</v>
      </c>
      <c r="I17" s="86">
        <f t="shared" si="31"/>
        <v>2.4380952380952374</v>
      </c>
      <c r="J17" s="86">
        <f t="shared" si="31"/>
        <v>2.4380952380952374</v>
      </c>
      <c r="K17" s="86">
        <f t="shared" ref="K17:M17" si="32">(K12*K15*K16*10^6 / K14)/1000</f>
        <v>6.9698412698412682</v>
      </c>
      <c r="L17" s="86">
        <f t="shared" ref="L17:O17" si="33">(L12*L15*L16*10^6 / L14)/1000</f>
        <v>6.9698412698412682</v>
      </c>
      <c r="M17" s="86">
        <f t="shared" si="32"/>
        <v>9.6904761904761898</v>
      </c>
      <c r="N17" s="86">
        <f t="shared" si="33"/>
        <v>9.6904761904761898</v>
      </c>
      <c r="O17" s="86">
        <f t="shared" si="33"/>
        <v>13.087301587301587</v>
      </c>
      <c r="P17" s="86">
        <f t="shared" ref="P17:Q17" si="34">(P12*P15*P16*10^6 / P14)/1000</f>
        <v>13.087301587301587</v>
      </c>
      <c r="Q17" s="86">
        <f t="shared" si="34"/>
        <v>23.946428571428569</v>
      </c>
      <c r="R17" s="86">
        <f t="shared" ref="R17:S17" si="35">(R12*R15*R16*10^6 / R14)/1000</f>
        <v>23.946428571428569</v>
      </c>
      <c r="S17" s="86">
        <f t="shared" si="35"/>
        <v>26.697674418604649</v>
      </c>
      <c r="T17" s="86">
        <f t="shared" ref="T17:U17" si="36">(T12*T15*T16*10^6 / T14)/1000</f>
        <v>26.697674418604649</v>
      </c>
      <c r="U17" s="86">
        <f t="shared" si="36"/>
        <v>41.928571428571431</v>
      </c>
      <c r="V17" s="86">
        <f t="shared" ref="V17" si="37">(V12*V15*V16*10^6 / V14)/1000</f>
        <v>41.928571428571431</v>
      </c>
      <c r="W17" s="86">
        <f>(W12*W15*W16*10^6 / W14)/1000</f>
        <v>34.365079365079374</v>
      </c>
      <c r="X17" s="86">
        <f t="shared" ref="X17:Z17" si="38">(X12*X15*X16*10^6 / X14)/1000</f>
        <v>34.365079365079374</v>
      </c>
      <c r="Y17" s="86">
        <f>(Y12*Y15*Y16*10^6 / Y14)/1000</f>
        <v>35.803571428571423</v>
      </c>
      <c r="Z17" s="86">
        <f t="shared" si="38"/>
        <v>35.803571428571423</v>
      </c>
      <c r="AA17" s="86">
        <f>(AA12*AA15*AA16*10^6 / AA14)/1000</f>
        <v>29.388888888888889</v>
      </c>
      <c r="AB17" s="86">
        <f t="shared" ref="AB17" si="39">(AB12*AB15*AB16*10^6 / AB14)/1000</f>
        <v>29.388888888888889</v>
      </c>
    </row>
    <row r="18" spans="2:29" x14ac:dyDescent="0.35">
      <c r="B18" s="86" t="s">
        <v>295</v>
      </c>
      <c r="C18" s="86" t="e">
        <f t="shared" ref="C18:J18" si="40">C17*23</f>
        <v>#DIV/0!</v>
      </c>
      <c r="D18" s="86" t="e">
        <f t="shared" si="40"/>
        <v>#DIV/0!</v>
      </c>
      <c r="E18" s="86">
        <f t="shared" si="40"/>
        <v>13.04246031746032</v>
      </c>
      <c r="F18" s="86">
        <f t="shared" si="40"/>
        <v>14.119444444444445</v>
      </c>
      <c r="G18" s="86">
        <f t="shared" si="40"/>
        <v>22.233333333333338</v>
      </c>
      <c r="H18" s="86">
        <f t="shared" si="40"/>
        <v>22.233333333333338</v>
      </c>
      <c r="I18" s="86">
        <f t="shared" si="40"/>
        <v>56.076190476190462</v>
      </c>
      <c r="J18" s="86">
        <f t="shared" si="40"/>
        <v>56.076190476190462</v>
      </c>
      <c r="K18" s="86">
        <f t="shared" ref="K18:M18" si="41">K17*23</f>
        <v>160.30634920634918</v>
      </c>
      <c r="L18" s="86">
        <f t="shared" ref="L18:O18" si="42">L17*23</f>
        <v>160.30634920634918</v>
      </c>
      <c r="M18" s="86">
        <f t="shared" si="41"/>
        <v>222.88095238095235</v>
      </c>
      <c r="N18" s="86">
        <f t="shared" si="42"/>
        <v>222.88095238095235</v>
      </c>
      <c r="O18" s="86">
        <f t="shared" si="42"/>
        <v>301.00793650793651</v>
      </c>
      <c r="P18" s="86">
        <f t="shared" ref="P18:Q18" si="43">P17*23</f>
        <v>301.00793650793651</v>
      </c>
      <c r="Q18" s="86">
        <f t="shared" si="43"/>
        <v>550.76785714285711</v>
      </c>
      <c r="R18" s="86">
        <f t="shared" ref="R18:S18" si="44">R17*23</f>
        <v>550.76785714285711</v>
      </c>
      <c r="S18" s="86">
        <f t="shared" si="44"/>
        <v>614.04651162790697</v>
      </c>
      <c r="T18" s="86">
        <f t="shared" ref="T18:U18" si="45">T17*23</f>
        <v>614.04651162790697</v>
      </c>
      <c r="U18" s="86">
        <f t="shared" si="45"/>
        <v>964.35714285714289</v>
      </c>
      <c r="V18" s="86">
        <f t="shared" ref="V18" si="46">V17*23</f>
        <v>964.35714285714289</v>
      </c>
      <c r="W18" s="86">
        <f>W17*23</f>
        <v>790.39682539682565</v>
      </c>
      <c r="X18" s="86">
        <f t="shared" ref="X18:Z18" si="47">X17*23</f>
        <v>790.39682539682565</v>
      </c>
      <c r="Y18" s="86">
        <f>Y17*23</f>
        <v>823.48214285714278</v>
      </c>
      <c r="Z18" s="86">
        <f t="shared" si="47"/>
        <v>823.48214285714278</v>
      </c>
      <c r="AA18" s="86">
        <f>AA17*23</f>
        <v>675.94444444444446</v>
      </c>
      <c r="AB18" s="86">
        <f t="shared" ref="AB18" si="48">AB17*23</f>
        <v>675.94444444444446</v>
      </c>
    </row>
    <row r="19" spans="2:29" s="108" customFormat="1" x14ac:dyDescent="0.35">
      <c r="B19" s="108" t="s">
        <v>299</v>
      </c>
      <c r="C19" s="330" t="e">
        <f>AVERAGE(C18:D18)</f>
        <v>#DIV/0!</v>
      </c>
      <c r="D19" s="330"/>
      <c r="E19" s="330">
        <f>AVERAGE(E18:F18)</f>
        <v>13.580952380952382</v>
      </c>
      <c r="F19" s="330"/>
      <c r="G19" s="330">
        <f>AVERAGE(G18:H18)</f>
        <v>22.233333333333338</v>
      </c>
      <c r="H19" s="330"/>
      <c r="I19" s="330">
        <f>AVERAGE(I18:J18)</f>
        <v>56.076190476190462</v>
      </c>
      <c r="J19" s="330"/>
      <c r="K19" s="330">
        <f>AVERAGE(K18:L18)</f>
        <v>160.30634920634918</v>
      </c>
      <c r="L19" s="330"/>
      <c r="M19" s="330">
        <f>AVERAGE(M18:N18)</f>
        <v>222.88095238095235</v>
      </c>
      <c r="N19" s="330"/>
      <c r="O19" s="330">
        <f>AVERAGE(O18:P18)</f>
        <v>301.00793650793651</v>
      </c>
      <c r="P19" s="330"/>
      <c r="Q19" s="330">
        <f>AVERAGE(Q18:R18)</f>
        <v>550.76785714285711</v>
      </c>
      <c r="R19" s="330"/>
      <c r="S19" s="330">
        <f>AVERAGE(S18:T18)</f>
        <v>614.04651162790697</v>
      </c>
      <c r="T19" s="330"/>
      <c r="U19" s="330">
        <f>AVERAGE(U18:V18)</f>
        <v>964.35714285714289</v>
      </c>
      <c r="V19" s="330"/>
      <c r="W19" s="330">
        <f>AVERAGE(W18:X18)</f>
        <v>790.39682539682565</v>
      </c>
      <c r="X19" s="330"/>
      <c r="Y19" s="330">
        <f>AVERAGE(Y18:Z18)</f>
        <v>823.48214285714278</v>
      </c>
      <c r="Z19" s="330"/>
      <c r="AA19" s="330">
        <f>AVERAGE(AA18:AB18)</f>
        <v>675.94444444444446</v>
      </c>
      <c r="AB19" s="330"/>
    </row>
    <row r="20" spans="2:29" ht="15" thickBot="1" x14ac:dyDescent="0.4"/>
    <row r="21" spans="2:29" ht="15" thickBot="1" x14ac:dyDescent="0.4">
      <c r="B21" s="338" t="s">
        <v>300</v>
      </c>
      <c r="C21" s="339"/>
      <c r="D21" s="339"/>
      <c r="E21" s="339"/>
      <c r="F21" s="339"/>
      <c r="G21" s="339"/>
      <c r="H21" s="339"/>
      <c r="I21" s="339"/>
      <c r="J21" s="340"/>
      <c r="AA21" s="86" t="s">
        <v>404</v>
      </c>
      <c r="AB21" s="86" t="s">
        <v>405</v>
      </c>
      <c r="AC21" s="86" t="s">
        <v>413</v>
      </c>
    </row>
    <row r="22" spans="2:29" x14ac:dyDescent="0.35">
      <c r="B22" s="87" t="s">
        <v>290</v>
      </c>
      <c r="C22" s="108">
        <v>0</v>
      </c>
      <c r="D22" s="108">
        <v>0</v>
      </c>
      <c r="E22" s="108">
        <v>22</v>
      </c>
      <c r="F22" s="108">
        <v>22</v>
      </c>
      <c r="G22" s="108">
        <v>44</v>
      </c>
      <c r="H22" s="108">
        <v>44</v>
      </c>
      <c r="I22" s="108">
        <v>68</v>
      </c>
      <c r="J22" s="108">
        <v>68</v>
      </c>
      <c r="K22" s="108">
        <f>J22+24.5</f>
        <v>92.5</v>
      </c>
      <c r="L22" s="108">
        <f>K22</f>
        <v>92.5</v>
      </c>
      <c r="M22" s="108">
        <f>L22+24</f>
        <v>116.5</v>
      </c>
      <c r="N22" s="108">
        <f>M22</f>
        <v>116.5</v>
      </c>
      <c r="O22" s="108">
        <f>N22+23.5</f>
        <v>140</v>
      </c>
      <c r="P22" s="108">
        <f>O22</f>
        <v>140</v>
      </c>
      <c r="Q22" s="108">
        <f>P22+82</f>
        <v>222</v>
      </c>
      <c r="R22" s="108">
        <f>Q22</f>
        <v>222</v>
      </c>
      <c r="S22" s="108">
        <f>R22+24</f>
        <v>246</v>
      </c>
      <c r="T22" s="108">
        <f>S22</f>
        <v>246</v>
      </c>
      <c r="U22" s="108">
        <f>T22+38.5</f>
        <v>284.5</v>
      </c>
      <c r="V22" s="108">
        <f>U22</f>
        <v>284.5</v>
      </c>
      <c r="W22" s="108">
        <f>V22+72.5</f>
        <v>357</v>
      </c>
      <c r="X22" s="108">
        <f>W22</f>
        <v>357</v>
      </c>
      <c r="Y22" s="108">
        <f>X22+49.5</f>
        <v>406.5</v>
      </c>
      <c r="Z22" s="108">
        <f>Y22</f>
        <v>406.5</v>
      </c>
      <c r="AA22" s="86">
        <v>0</v>
      </c>
      <c r="AB22" s="86">
        <f>C37</f>
        <v>5.0631944444444441</v>
      </c>
    </row>
    <row r="23" spans="2:29" x14ac:dyDescent="0.35">
      <c r="B23" s="108">
        <v>0</v>
      </c>
      <c r="C23" s="86">
        <v>8.8999999999999996E-2</v>
      </c>
      <c r="D23" s="86">
        <v>0.14599999999999999</v>
      </c>
      <c r="E23" s="86">
        <v>0.06</v>
      </c>
      <c r="F23" s="86">
        <v>0.06</v>
      </c>
      <c r="G23" s="86">
        <v>0.106</v>
      </c>
      <c r="H23" s="86">
        <v>0.10299999999999999</v>
      </c>
      <c r="I23" s="86">
        <v>0.109</v>
      </c>
      <c r="J23" s="86">
        <v>0.114</v>
      </c>
      <c r="K23" s="86">
        <v>0.122</v>
      </c>
      <c r="L23" s="86">
        <f>K23</f>
        <v>0.122</v>
      </c>
      <c r="M23" s="86">
        <v>4.1000000000000002E-2</v>
      </c>
      <c r="N23" s="86">
        <f t="shared" ref="N23:N28" si="49">M23</f>
        <v>4.1000000000000002E-2</v>
      </c>
      <c r="O23" s="86">
        <v>0.161</v>
      </c>
      <c r="P23" s="86">
        <f t="shared" ref="P23:P29" si="50">O23</f>
        <v>0.161</v>
      </c>
      <c r="Q23" s="86">
        <v>0.22600000000000001</v>
      </c>
      <c r="R23" s="86">
        <f t="shared" ref="R23" si="51">Q23</f>
        <v>0.22600000000000001</v>
      </c>
      <c r="S23" s="86">
        <v>0.19400000000000001</v>
      </c>
      <c r="T23" s="86">
        <f t="shared" ref="T23:T28" si="52">S23</f>
        <v>0.19400000000000001</v>
      </c>
      <c r="U23" s="86">
        <v>0.32800000000000001</v>
      </c>
      <c r="V23" s="86">
        <f t="shared" ref="V23" si="53">U23</f>
        <v>0.32800000000000001</v>
      </c>
      <c r="W23" s="86">
        <v>0.17799999999999999</v>
      </c>
      <c r="X23" s="86">
        <f t="shared" ref="X23:X28" si="54">W23</f>
        <v>0.17799999999999999</v>
      </c>
      <c r="Z23" s="86">
        <f t="shared" ref="Z23:Z28" si="55">Y23</f>
        <v>0</v>
      </c>
      <c r="AA23" s="86">
        <v>22</v>
      </c>
      <c r="AB23" s="86">
        <f>E37</f>
        <v>14.397817460317462</v>
      </c>
    </row>
    <row r="24" spans="2:29" x14ac:dyDescent="0.35">
      <c r="B24" s="108">
        <v>0.5</v>
      </c>
      <c r="C24" s="86">
        <v>0.16400000000000001</v>
      </c>
      <c r="D24" s="86">
        <v>0.24399999999999999</v>
      </c>
      <c r="E24" s="86">
        <v>0.11600000000000001</v>
      </c>
      <c r="F24" s="86">
        <v>0.106</v>
      </c>
      <c r="I24" s="86">
        <v>0.20599999999999999</v>
      </c>
      <c r="J24" s="86">
        <v>0.223</v>
      </c>
      <c r="K24" s="86">
        <v>0.25600000000000001</v>
      </c>
      <c r="L24" s="86">
        <f t="shared" ref="L24:L28" si="56">K24</f>
        <v>0.25600000000000001</v>
      </c>
      <c r="M24" s="86">
        <v>0.28299999999999997</v>
      </c>
      <c r="N24" s="86">
        <f t="shared" si="49"/>
        <v>0.28299999999999997</v>
      </c>
      <c r="O24" s="86">
        <v>0.32700000000000001</v>
      </c>
      <c r="P24" s="86">
        <f t="shared" si="50"/>
        <v>0.32700000000000001</v>
      </c>
      <c r="Q24" s="86">
        <v>0.443</v>
      </c>
      <c r="R24" s="86">
        <f t="shared" ref="R24" si="57">Q24</f>
        <v>0.443</v>
      </c>
      <c r="S24" s="86">
        <v>0.38600000000000001</v>
      </c>
      <c r="T24" s="86">
        <f t="shared" si="52"/>
        <v>0.38600000000000001</v>
      </c>
      <c r="U24" s="86">
        <v>0.61099999999999999</v>
      </c>
      <c r="V24" s="86">
        <f t="shared" ref="V24" si="58">U24</f>
        <v>0.61099999999999999</v>
      </c>
      <c r="W24" s="86">
        <v>0.30499999999999999</v>
      </c>
      <c r="X24" s="86">
        <f t="shared" si="54"/>
        <v>0.30499999999999999</v>
      </c>
      <c r="Z24" s="86">
        <f t="shared" si="55"/>
        <v>0</v>
      </c>
      <c r="AA24" s="86">
        <v>44</v>
      </c>
      <c r="AB24" s="86">
        <f>G37</f>
        <v>26.039285714285711</v>
      </c>
    </row>
    <row r="25" spans="2:29" x14ac:dyDescent="0.35">
      <c r="B25" s="108">
        <v>1</v>
      </c>
      <c r="C25" s="86">
        <v>0.23300000000000001</v>
      </c>
      <c r="D25" s="86">
        <v>0.33700000000000002</v>
      </c>
      <c r="E25" s="86">
        <v>0.161</v>
      </c>
      <c r="F25" s="86">
        <v>0.15</v>
      </c>
      <c r="G25" s="86">
        <v>0.27300000000000002</v>
      </c>
      <c r="H25" s="86">
        <v>0.27400000000000002</v>
      </c>
      <c r="I25" s="86">
        <v>0.29599999999999999</v>
      </c>
      <c r="J25" s="86">
        <v>0.32800000000000001</v>
      </c>
      <c r="K25" s="86">
        <v>0.38</v>
      </c>
      <c r="L25" s="86">
        <f t="shared" si="56"/>
        <v>0.38</v>
      </c>
      <c r="M25" s="86">
        <v>0.505</v>
      </c>
      <c r="N25" s="86">
        <f t="shared" si="49"/>
        <v>0.505</v>
      </c>
      <c r="O25" s="86">
        <v>0.48399999999999999</v>
      </c>
      <c r="P25" s="86">
        <f t="shared" si="50"/>
        <v>0.48399999999999999</v>
      </c>
      <c r="Q25" s="86">
        <v>0.64900000000000002</v>
      </c>
      <c r="R25" s="86">
        <f t="shared" ref="R25" si="59">Q25</f>
        <v>0.64900000000000002</v>
      </c>
      <c r="S25" s="86">
        <v>0.58699999999999997</v>
      </c>
      <c r="T25" s="86">
        <f t="shared" si="52"/>
        <v>0.58699999999999997</v>
      </c>
      <c r="U25" s="86">
        <v>0.875</v>
      </c>
      <c r="V25" s="86">
        <f t="shared" ref="V25" si="60">U25</f>
        <v>0.875</v>
      </c>
      <c r="W25" s="86">
        <v>0.43</v>
      </c>
      <c r="X25" s="86">
        <f t="shared" si="54"/>
        <v>0.43</v>
      </c>
      <c r="Z25" s="86">
        <f t="shared" si="55"/>
        <v>0</v>
      </c>
      <c r="AA25" s="86">
        <v>68</v>
      </c>
      <c r="AB25" s="86">
        <f>I37</f>
        <v>60.676190476190484</v>
      </c>
    </row>
    <row r="26" spans="2:29" x14ac:dyDescent="0.35">
      <c r="B26" s="108">
        <v>1.5</v>
      </c>
      <c r="C26" s="86">
        <v>0.3</v>
      </c>
      <c r="D26" s="86">
        <v>0.41899999999999998</v>
      </c>
      <c r="E26" s="86">
        <v>0.20499999999999999</v>
      </c>
      <c r="F26" s="86">
        <v>0.19400000000000001</v>
      </c>
      <c r="G26" s="86">
        <v>0.35499999999999998</v>
      </c>
      <c r="H26" s="86">
        <v>0.35799999999999998</v>
      </c>
      <c r="I26" s="86">
        <v>0.38300000000000001</v>
      </c>
      <c r="J26" s="86">
        <v>0.43</v>
      </c>
      <c r="K26" s="86">
        <v>0.495</v>
      </c>
      <c r="L26" s="86">
        <f t="shared" si="56"/>
        <v>0.495</v>
      </c>
      <c r="M26" s="86">
        <v>0.72599999999999998</v>
      </c>
      <c r="N26" s="86">
        <f t="shared" si="49"/>
        <v>0.72599999999999998</v>
      </c>
      <c r="O26" s="86">
        <v>0.63300000000000001</v>
      </c>
      <c r="P26" s="86">
        <f t="shared" si="50"/>
        <v>0.63300000000000001</v>
      </c>
      <c r="Q26" s="86">
        <v>0.85199999999999998</v>
      </c>
      <c r="R26" s="86">
        <f t="shared" ref="R26" si="61">Q26</f>
        <v>0.85199999999999998</v>
      </c>
      <c r="U26" s="86">
        <v>1.1379999999999999</v>
      </c>
      <c r="V26" s="86">
        <f t="shared" ref="V26" si="62">U26</f>
        <v>1.1379999999999999</v>
      </c>
      <c r="W26" s="86">
        <v>0.55500000000000005</v>
      </c>
      <c r="X26" s="86">
        <f t="shared" si="54"/>
        <v>0.55500000000000005</v>
      </c>
      <c r="Z26" s="86">
        <f t="shared" si="55"/>
        <v>0</v>
      </c>
      <c r="AA26" s="86">
        <v>92.5</v>
      </c>
      <c r="AB26" s="86">
        <f>K37</f>
        <v>150.37619047619046</v>
      </c>
    </row>
    <row r="27" spans="2:29" x14ac:dyDescent="0.35">
      <c r="B27" s="108">
        <v>2</v>
      </c>
      <c r="C27" s="86">
        <v>0.36699999999999999</v>
      </c>
      <c r="D27" s="86">
        <v>0.505</v>
      </c>
      <c r="E27" s="86">
        <v>0.25</v>
      </c>
      <c r="F27" s="86">
        <v>0.23599999999999999</v>
      </c>
      <c r="G27" s="86">
        <v>0.434</v>
      </c>
      <c r="H27" s="86">
        <v>0.439</v>
      </c>
      <c r="I27" s="86">
        <v>0.46400000000000002</v>
      </c>
      <c r="J27" s="86">
        <v>0.52800000000000002</v>
      </c>
      <c r="K27" s="86">
        <v>0.60399999999999998</v>
      </c>
      <c r="L27" s="86">
        <f t="shared" si="56"/>
        <v>0.60399999999999998</v>
      </c>
      <c r="M27" s="86">
        <v>0.93500000000000005</v>
      </c>
      <c r="N27" s="86">
        <f t="shared" si="49"/>
        <v>0.93500000000000005</v>
      </c>
      <c r="O27" s="86">
        <v>0.77900000000000003</v>
      </c>
      <c r="P27" s="86">
        <f t="shared" si="50"/>
        <v>0.77900000000000003</v>
      </c>
      <c r="Q27" s="86">
        <v>1.0569999999999999</v>
      </c>
      <c r="R27" s="86">
        <f t="shared" ref="R27" si="63">Q27</f>
        <v>1.0569999999999999</v>
      </c>
      <c r="S27" s="86">
        <v>0.96299999999999997</v>
      </c>
      <c r="T27" s="86">
        <f t="shared" si="52"/>
        <v>0.96299999999999997</v>
      </c>
      <c r="U27" s="86">
        <v>1.3919999999999999</v>
      </c>
      <c r="V27" s="86">
        <f t="shared" ref="V27" si="64">U27</f>
        <v>1.3919999999999999</v>
      </c>
      <c r="W27" s="86">
        <v>0.67800000000000005</v>
      </c>
      <c r="X27" s="86">
        <f t="shared" si="54"/>
        <v>0.67800000000000005</v>
      </c>
      <c r="Z27" s="86">
        <f t="shared" si="55"/>
        <v>0</v>
      </c>
      <c r="AA27" s="86">
        <v>116.5</v>
      </c>
      <c r="AB27" s="86">
        <f>M37</f>
        <v>279.35873015873011</v>
      </c>
    </row>
    <row r="28" spans="2:29" x14ac:dyDescent="0.35">
      <c r="B28" s="108">
        <v>2.5</v>
      </c>
      <c r="E28" s="86">
        <v>0.29499999999999998</v>
      </c>
      <c r="F28" s="86">
        <v>0.28000000000000003</v>
      </c>
      <c r="G28" s="86">
        <v>0.50800000000000001</v>
      </c>
      <c r="H28" s="86">
        <v>0.52100000000000002</v>
      </c>
      <c r="I28" s="86">
        <v>0.54800000000000004</v>
      </c>
      <c r="J28" s="86">
        <v>0.629</v>
      </c>
      <c r="K28" s="86">
        <v>0.71399999999999997</v>
      </c>
      <c r="L28" s="86">
        <f t="shared" si="56"/>
        <v>0.71399999999999997</v>
      </c>
      <c r="M28" s="86">
        <v>1.1359999999999999</v>
      </c>
      <c r="N28" s="86">
        <f t="shared" si="49"/>
        <v>1.1359999999999999</v>
      </c>
      <c r="O28" s="86">
        <v>0.92400000000000004</v>
      </c>
      <c r="P28" s="86">
        <f t="shared" si="50"/>
        <v>0.92400000000000004</v>
      </c>
      <c r="Q28" s="86">
        <v>1.2549999999999999</v>
      </c>
      <c r="R28" s="86">
        <f t="shared" ref="R28" si="65">Q28</f>
        <v>1.2549999999999999</v>
      </c>
      <c r="S28" s="86">
        <v>1.1579999999999999</v>
      </c>
      <c r="T28" s="86">
        <f t="shared" si="52"/>
        <v>1.1579999999999999</v>
      </c>
      <c r="U28" s="86">
        <v>1.653</v>
      </c>
      <c r="V28" s="86">
        <f t="shared" ref="V28" si="66">U28</f>
        <v>1.653</v>
      </c>
      <c r="W28" s="86">
        <v>0.79900000000000004</v>
      </c>
      <c r="X28" s="86">
        <f t="shared" si="54"/>
        <v>0.79900000000000004</v>
      </c>
      <c r="Z28" s="86">
        <f t="shared" si="55"/>
        <v>0</v>
      </c>
      <c r="AA28" s="86">
        <v>140</v>
      </c>
      <c r="AB28" s="86">
        <f>O37</f>
        <v>238.44246031746039</v>
      </c>
      <c r="AC28" s="86">
        <f>SUM(AC22:AC27)</f>
        <v>0</v>
      </c>
    </row>
    <row r="29" spans="2:29" x14ac:dyDescent="0.35">
      <c r="B29" s="108">
        <v>3</v>
      </c>
      <c r="G29" s="86">
        <v>0.58599999999999997</v>
      </c>
      <c r="H29" s="86">
        <v>0.60299999999999998</v>
      </c>
      <c r="O29" s="86">
        <v>1.0580000000000001</v>
      </c>
      <c r="P29" s="86">
        <f t="shared" si="50"/>
        <v>1.0580000000000001</v>
      </c>
      <c r="AA29" s="86">
        <f>Q22</f>
        <v>222</v>
      </c>
      <c r="AB29" s="86">
        <f>Q37</f>
        <v>656.23015873015868</v>
      </c>
    </row>
    <row r="30" spans="2:29" x14ac:dyDescent="0.35">
      <c r="B30" s="86" t="s">
        <v>297</v>
      </c>
      <c r="C30" s="86">
        <f t="shared" ref="C30:D30" si="67">SLOPE(C23:C29,$B23:$B29)</f>
        <v>0.1384</v>
      </c>
      <c r="D30" s="86">
        <f t="shared" si="67"/>
        <v>0.17860000000000001</v>
      </c>
      <c r="E30" s="86">
        <f t="shared" ref="E30:N30" si="68">SLOPE(E23:E29,$B23:$B29)</f>
        <v>9.2628571428571421E-2</v>
      </c>
      <c r="F30" s="86">
        <f t="shared" si="68"/>
        <v>8.7657142857142878E-2</v>
      </c>
      <c r="G30" s="86">
        <f t="shared" si="68"/>
        <v>0.15968571428571426</v>
      </c>
      <c r="H30" s="86">
        <f t="shared" si="68"/>
        <v>0.16637142857142853</v>
      </c>
      <c r="I30" s="86">
        <f t="shared" si="68"/>
        <v>0.17462857142857147</v>
      </c>
      <c r="J30" s="86">
        <f t="shared" si="68"/>
        <v>0.20525714285714286</v>
      </c>
      <c r="K30" s="86">
        <f t="shared" si="68"/>
        <v>0.23537142857142856</v>
      </c>
      <c r="L30" s="86">
        <f t="shared" si="68"/>
        <v>0.23537142857142856</v>
      </c>
      <c r="M30" s="86">
        <f t="shared" si="68"/>
        <v>0.43725714285714279</v>
      </c>
      <c r="N30" s="86">
        <f t="shared" si="68"/>
        <v>0.43725714285714279</v>
      </c>
      <c r="O30" s="86">
        <f t="shared" ref="O30" si="69">SLOPE(O23:O29,$B23:$B29)</f>
        <v>0.2985714285714286</v>
      </c>
      <c r="P30" s="86">
        <f t="shared" ref="P30:V30" si="70">SLOPE(P23:P29,$B23:$B29)</f>
        <v>0.2985714285714286</v>
      </c>
      <c r="Q30" s="86">
        <f t="shared" si="70"/>
        <v>0.41085714285714281</v>
      </c>
      <c r="R30" s="86">
        <f t="shared" si="70"/>
        <v>0.41085714285714281</v>
      </c>
      <c r="S30" s="86">
        <f t="shared" si="70"/>
        <v>0.38497674418604644</v>
      </c>
      <c r="T30" s="86">
        <f t="shared" si="70"/>
        <v>0.38497674418604644</v>
      </c>
      <c r="U30" s="86">
        <f t="shared" si="70"/>
        <v>0.52748571428571422</v>
      </c>
      <c r="V30" s="86">
        <f t="shared" si="70"/>
        <v>0.52748571428571422</v>
      </c>
      <c r="W30" s="86">
        <f>SLOPE(W23:W29,$B23:$B29)</f>
        <v>0.24851428571428572</v>
      </c>
      <c r="X30" s="86">
        <f>SLOPE(X23:X29,$B23:$B29)</f>
        <v>0.24851428571428572</v>
      </c>
      <c r="Y30" s="86" t="e">
        <f>SLOPE(Y23:Y29,$B23:$B29)</f>
        <v>#DIV/0!</v>
      </c>
      <c r="Z30" s="86">
        <f>SLOPE(Z23:Z29,$B23:$B29)</f>
        <v>0</v>
      </c>
      <c r="AA30" s="86">
        <f>S22</f>
        <v>246</v>
      </c>
      <c r="AB30" s="86">
        <f>S37</f>
        <v>614.89341085271315</v>
      </c>
    </row>
    <row r="31" spans="2:29" x14ac:dyDescent="0.35">
      <c r="B31" s="86" t="s">
        <v>298</v>
      </c>
      <c r="C31" s="202">
        <f t="shared" ref="C31:D31" si="71">RSQ(C23:C29,$B23:$B29)</f>
        <v>0.9994406551847923</v>
      </c>
      <c r="D31" s="202">
        <f t="shared" si="71"/>
        <v>0.99872380608865974</v>
      </c>
      <c r="E31" s="202">
        <f t="shared" ref="E31:N31" si="72">RSQ(E23:E29,$B23:$B29)</f>
        <v>0.99837482292700286</v>
      </c>
      <c r="F31" s="202">
        <f t="shared" si="72"/>
        <v>0.99983684152383256</v>
      </c>
      <c r="G31" s="202">
        <f t="shared" si="72"/>
        <v>0.99943051801455907</v>
      </c>
      <c r="H31" s="202">
        <f t="shared" si="72"/>
        <v>0.999860492108117</v>
      </c>
      <c r="I31" s="202">
        <f t="shared" si="72"/>
        <v>0.99900332889290766</v>
      </c>
      <c r="J31" s="202">
        <f t="shared" si="72"/>
        <v>0.99966147131364536</v>
      </c>
      <c r="K31" s="202">
        <f t="shared" si="72"/>
        <v>0.99831219408002858</v>
      </c>
      <c r="L31" s="202">
        <f t="shared" si="72"/>
        <v>0.99831219408002858</v>
      </c>
      <c r="M31" s="202">
        <f t="shared" si="72"/>
        <v>0.99903685781373752</v>
      </c>
      <c r="N31" s="202">
        <f t="shared" si="72"/>
        <v>0.99903685781373752</v>
      </c>
      <c r="O31" s="202">
        <f t="shared" ref="O31:V31" si="73">RSQ(O23:O29,$B23:$B29)</f>
        <v>0.99899919404932125</v>
      </c>
      <c r="P31" s="202">
        <f t="shared" si="73"/>
        <v>0.99899919404932125</v>
      </c>
      <c r="Q31" s="202">
        <f t="shared" si="73"/>
        <v>0.9998182011584843</v>
      </c>
      <c r="R31" s="202">
        <f t="shared" si="73"/>
        <v>0.9998182011584843</v>
      </c>
      <c r="S31" s="202">
        <f t="shared" si="73"/>
        <v>0.99991417888701639</v>
      </c>
      <c r="T31" s="202">
        <f t="shared" si="73"/>
        <v>0.99991417888701639</v>
      </c>
      <c r="U31" s="202">
        <f t="shared" si="73"/>
        <v>0.99972049101553573</v>
      </c>
      <c r="V31" s="202">
        <f t="shared" si="73"/>
        <v>0.99972049101553573</v>
      </c>
      <c r="W31" s="202">
        <f>RSQ(W23:W29,$B23:$B29)</f>
        <v>0.9999345846774651</v>
      </c>
      <c r="X31" s="202">
        <f>RSQ(X23:X29,$B23:$B29)</f>
        <v>0.9999345846774651</v>
      </c>
      <c r="Y31" s="202" t="e">
        <f>RSQ(Y23:Y29,$B23:$B29)</f>
        <v>#DIV/0!</v>
      </c>
      <c r="Z31" s="202" t="e">
        <f>RSQ(Z23:Z29,$B23:$B29)</f>
        <v>#DIV/0!</v>
      </c>
      <c r="AA31" s="226">
        <f>U22</f>
        <v>284.5</v>
      </c>
      <c r="AB31" s="226">
        <f>U37</f>
        <v>842.5119047619047</v>
      </c>
    </row>
    <row r="32" spans="2:29" x14ac:dyDescent="0.35">
      <c r="B32" s="86" t="s">
        <v>292</v>
      </c>
      <c r="C32" s="86">
        <v>36000</v>
      </c>
      <c r="D32" s="86">
        <v>36000</v>
      </c>
      <c r="E32" s="86">
        <v>36000</v>
      </c>
      <c r="F32" s="86">
        <v>36000</v>
      </c>
      <c r="G32" s="86">
        <v>36000</v>
      </c>
      <c r="H32" s="86">
        <v>36000</v>
      </c>
      <c r="I32" s="86">
        <v>36000</v>
      </c>
      <c r="J32" s="86">
        <v>36000</v>
      </c>
      <c r="K32" s="86">
        <v>36000</v>
      </c>
      <c r="L32" s="86">
        <v>36000</v>
      </c>
      <c r="M32" s="86">
        <v>36000</v>
      </c>
      <c r="N32" s="86">
        <v>36000</v>
      </c>
      <c r="O32" s="86">
        <v>36000</v>
      </c>
      <c r="P32" s="86">
        <v>36000</v>
      </c>
      <c r="Q32" s="86">
        <v>36000</v>
      </c>
      <c r="R32" s="86">
        <v>36000</v>
      </c>
      <c r="S32" s="86">
        <v>36000</v>
      </c>
      <c r="T32" s="86">
        <v>36000</v>
      </c>
      <c r="U32" s="86">
        <v>36000</v>
      </c>
      <c r="V32" s="86">
        <v>36000</v>
      </c>
      <c r="W32" s="86">
        <v>36000</v>
      </c>
      <c r="X32" s="86">
        <v>36000</v>
      </c>
      <c r="Y32" s="86">
        <v>36000</v>
      </c>
      <c r="Z32" s="86">
        <v>36000</v>
      </c>
      <c r="AA32" s="86">
        <f>W22</f>
        <v>357</v>
      </c>
      <c r="AB32" s="86">
        <f>W37</f>
        <v>793.8650793650794</v>
      </c>
    </row>
    <row r="33" spans="2:26" x14ac:dyDescent="0.35">
      <c r="B33" s="86" t="s">
        <v>296</v>
      </c>
      <c r="C33" s="86">
        <v>25</v>
      </c>
      <c r="D33" s="86">
        <v>25</v>
      </c>
      <c r="E33" s="86">
        <v>25</v>
      </c>
      <c r="F33" s="86">
        <v>25</v>
      </c>
      <c r="G33" s="86">
        <v>25</v>
      </c>
      <c r="H33" s="86">
        <v>25</v>
      </c>
      <c r="I33" s="86">
        <v>25</v>
      </c>
      <c r="J33" s="86">
        <v>25</v>
      </c>
      <c r="K33" s="86">
        <v>25</v>
      </c>
      <c r="L33" s="86">
        <v>25</v>
      </c>
      <c r="M33" s="86">
        <v>25</v>
      </c>
      <c r="N33" s="86">
        <v>25</v>
      </c>
      <c r="O33" s="86">
        <v>25</v>
      </c>
      <c r="P33" s="86">
        <v>25</v>
      </c>
      <c r="Q33" s="86">
        <v>25</v>
      </c>
      <c r="R33" s="86">
        <v>25</v>
      </c>
      <c r="S33" s="86">
        <v>25</v>
      </c>
      <c r="T33" s="86">
        <v>25</v>
      </c>
      <c r="U33" s="86">
        <v>25</v>
      </c>
      <c r="V33" s="86">
        <v>25</v>
      </c>
      <c r="W33" s="86">
        <v>25</v>
      </c>
      <c r="X33" s="86">
        <v>25</v>
      </c>
      <c r="Y33" s="86">
        <v>25</v>
      </c>
      <c r="Z33" s="86">
        <v>25</v>
      </c>
    </row>
    <row r="34" spans="2:26" x14ac:dyDescent="0.35">
      <c r="B34" s="86" t="s">
        <v>293</v>
      </c>
      <c r="C34" s="86">
        <v>2</v>
      </c>
      <c r="D34" s="86">
        <v>2</v>
      </c>
      <c r="E34" s="86">
        <v>10</v>
      </c>
      <c r="F34" s="86">
        <v>10</v>
      </c>
      <c r="G34" s="86">
        <v>10</v>
      </c>
      <c r="H34" s="86">
        <v>10</v>
      </c>
      <c r="I34" s="86">
        <v>20</v>
      </c>
      <c r="J34" s="86">
        <v>20</v>
      </c>
      <c r="K34" s="86">
        <v>40</v>
      </c>
      <c r="L34" s="86">
        <v>40</v>
      </c>
      <c r="M34" s="86">
        <v>40</v>
      </c>
      <c r="N34" s="86">
        <v>40</v>
      </c>
      <c r="O34" s="86">
        <v>50</v>
      </c>
      <c r="P34" s="86">
        <v>50</v>
      </c>
      <c r="Q34" s="86">
        <v>100</v>
      </c>
      <c r="R34" s="86">
        <v>100</v>
      </c>
      <c r="S34" s="86">
        <v>100</v>
      </c>
      <c r="T34" s="86">
        <v>100</v>
      </c>
      <c r="U34" s="86">
        <v>100</v>
      </c>
      <c r="V34" s="86">
        <v>100</v>
      </c>
      <c r="W34" s="86">
        <v>200</v>
      </c>
      <c r="X34" s="86">
        <v>200</v>
      </c>
      <c r="Y34" s="86">
        <v>200</v>
      </c>
      <c r="Z34" s="86">
        <v>200</v>
      </c>
    </row>
    <row r="35" spans="2:26" x14ac:dyDescent="0.35">
      <c r="B35" s="86" t="s">
        <v>294</v>
      </c>
      <c r="C35" s="86">
        <f t="shared" ref="C35:N35" si="74">(C30*C33*C34*10^6 / C32)/1000</f>
        <v>0.19222222222222224</v>
      </c>
      <c r="D35" s="86">
        <f t="shared" si="74"/>
        <v>0.24805555555555553</v>
      </c>
      <c r="E35" s="86">
        <f t="shared" si="74"/>
        <v>0.64325396825396819</v>
      </c>
      <c r="F35" s="86">
        <f t="shared" si="74"/>
        <v>0.6087301587301589</v>
      </c>
      <c r="G35" s="86">
        <f t="shared" si="74"/>
        <v>1.1089285714285713</v>
      </c>
      <c r="H35" s="86">
        <f t="shared" si="74"/>
        <v>1.1553571428571425</v>
      </c>
      <c r="I35" s="86">
        <f t="shared" si="74"/>
        <v>2.4253968253968261</v>
      </c>
      <c r="J35" s="86">
        <f t="shared" si="74"/>
        <v>2.8507936507936509</v>
      </c>
      <c r="K35" s="86">
        <f t="shared" si="74"/>
        <v>6.538095238095238</v>
      </c>
      <c r="L35" s="86">
        <f t="shared" si="74"/>
        <v>6.538095238095238</v>
      </c>
      <c r="M35" s="86">
        <f t="shared" si="74"/>
        <v>12.146031746031744</v>
      </c>
      <c r="N35" s="86">
        <f t="shared" si="74"/>
        <v>12.146031746031744</v>
      </c>
      <c r="O35" s="86">
        <f t="shared" ref="O35" si="75">(O30*O33*O34*10^6 / O32)/1000</f>
        <v>10.367063492063496</v>
      </c>
      <c r="P35" s="86">
        <f t="shared" ref="P35:V35" si="76">(P30*P33*P34*10^6 / P32)/1000</f>
        <v>10.367063492063496</v>
      </c>
      <c r="Q35" s="86">
        <f t="shared" si="76"/>
        <v>28.531746031746028</v>
      </c>
      <c r="R35" s="86">
        <f t="shared" si="76"/>
        <v>28.531746031746028</v>
      </c>
      <c r="S35" s="86">
        <f t="shared" si="76"/>
        <v>26.734496124031004</v>
      </c>
      <c r="T35" s="86">
        <f t="shared" si="76"/>
        <v>26.734496124031004</v>
      </c>
      <c r="U35" s="86">
        <f t="shared" si="76"/>
        <v>36.63095238095238</v>
      </c>
      <c r="V35" s="86">
        <f t="shared" si="76"/>
        <v>36.63095238095238</v>
      </c>
      <c r="W35" s="86">
        <f>(W30*W33*W34*10^6 / W32)/1000</f>
        <v>34.515873015873019</v>
      </c>
      <c r="X35" s="86">
        <f t="shared" ref="X35" si="77">(X30*X33*X34*10^6 / X32)/1000</f>
        <v>34.515873015873019</v>
      </c>
      <c r="Y35" s="86" t="e">
        <f>(Y30*Y33*Y34*10^6 / Y32)/1000</f>
        <v>#DIV/0!</v>
      </c>
      <c r="Z35" s="86">
        <f t="shared" ref="Z35" si="78">(Z30*Z33*Z34*10^6 / Z32)/1000</f>
        <v>0</v>
      </c>
    </row>
    <row r="36" spans="2:26" x14ac:dyDescent="0.35">
      <c r="B36" s="86" t="s">
        <v>295</v>
      </c>
      <c r="C36" s="86">
        <f t="shared" ref="C36:N36" si="79">C35*23</f>
        <v>4.4211111111111112</v>
      </c>
      <c r="D36" s="86">
        <f t="shared" si="79"/>
        <v>5.705277777777777</v>
      </c>
      <c r="E36" s="86">
        <f t="shared" si="79"/>
        <v>14.794841269841267</v>
      </c>
      <c r="F36" s="86">
        <f t="shared" si="79"/>
        <v>14.000793650793655</v>
      </c>
      <c r="G36" s="86">
        <f t="shared" si="79"/>
        <v>25.50535714285714</v>
      </c>
      <c r="H36" s="86">
        <f t="shared" si="79"/>
        <v>26.573214285714279</v>
      </c>
      <c r="I36" s="86">
        <f t="shared" si="79"/>
        <v>55.784126984126999</v>
      </c>
      <c r="J36" s="86">
        <f t="shared" si="79"/>
        <v>65.56825396825397</v>
      </c>
      <c r="K36" s="86">
        <f t="shared" si="79"/>
        <v>150.37619047619046</v>
      </c>
      <c r="L36" s="86">
        <f t="shared" si="79"/>
        <v>150.37619047619046</v>
      </c>
      <c r="M36" s="86">
        <f t="shared" si="79"/>
        <v>279.35873015873011</v>
      </c>
      <c r="N36" s="86">
        <f t="shared" si="79"/>
        <v>279.35873015873011</v>
      </c>
      <c r="O36" s="86">
        <f t="shared" ref="O36" si="80">O35*23</f>
        <v>238.44246031746039</v>
      </c>
      <c r="P36" s="86">
        <f t="shared" ref="P36:V36" si="81">P35*23</f>
        <v>238.44246031746039</v>
      </c>
      <c r="Q36" s="86">
        <f t="shared" si="81"/>
        <v>656.23015873015868</v>
      </c>
      <c r="R36" s="86">
        <f t="shared" si="81"/>
        <v>656.23015873015868</v>
      </c>
      <c r="S36" s="86">
        <f t="shared" si="81"/>
        <v>614.89341085271315</v>
      </c>
      <c r="T36" s="86">
        <f t="shared" si="81"/>
        <v>614.89341085271315</v>
      </c>
      <c r="U36" s="86">
        <f t="shared" si="81"/>
        <v>842.5119047619047</v>
      </c>
      <c r="V36" s="86">
        <f t="shared" si="81"/>
        <v>842.5119047619047</v>
      </c>
      <c r="W36" s="86">
        <f>W35*23</f>
        <v>793.8650793650794</v>
      </c>
      <c r="X36" s="86">
        <f t="shared" ref="X36" si="82">X35*23</f>
        <v>793.8650793650794</v>
      </c>
      <c r="Y36" s="86" t="e">
        <f>Y35*23</f>
        <v>#DIV/0!</v>
      </c>
      <c r="Z36" s="86">
        <f t="shared" ref="Z36" si="83">Z35*23</f>
        <v>0</v>
      </c>
    </row>
    <row r="37" spans="2:26" s="108" customFormat="1" x14ac:dyDescent="0.35">
      <c r="B37" s="108" t="s">
        <v>299</v>
      </c>
      <c r="C37" s="330">
        <f>AVERAGE(C36:D36)</f>
        <v>5.0631944444444441</v>
      </c>
      <c r="D37" s="330"/>
      <c r="E37" s="330">
        <f>AVERAGE(E36:F36)</f>
        <v>14.397817460317462</v>
      </c>
      <c r="F37" s="330"/>
      <c r="G37" s="330">
        <f>AVERAGE(G36:H36)</f>
        <v>26.039285714285711</v>
      </c>
      <c r="H37" s="330"/>
      <c r="I37" s="330">
        <f>AVERAGE(I36:J36)</f>
        <v>60.676190476190484</v>
      </c>
      <c r="J37" s="330"/>
      <c r="K37" s="330">
        <f>AVERAGE(K36:L36)</f>
        <v>150.37619047619046</v>
      </c>
      <c r="L37" s="330"/>
      <c r="M37" s="330">
        <f>AVERAGE(M36:N36)</f>
        <v>279.35873015873011</v>
      </c>
      <c r="N37" s="330"/>
      <c r="O37" s="330">
        <f>AVERAGE(O36:P36)</f>
        <v>238.44246031746039</v>
      </c>
      <c r="P37" s="330"/>
      <c r="Q37" s="330">
        <f>AVERAGE(Q36:R36)</f>
        <v>656.23015873015868</v>
      </c>
      <c r="R37" s="330"/>
      <c r="S37" s="330">
        <f>AVERAGE(S36:T36)</f>
        <v>614.89341085271315</v>
      </c>
      <c r="T37" s="330"/>
      <c r="U37" s="330">
        <f>AVERAGE(U36:V36)</f>
        <v>842.5119047619047</v>
      </c>
      <c r="V37" s="330"/>
      <c r="W37" s="330">
        <f>AVERAGE(W36:X36)</f>
        <v>793.8650793650794</v>
      </c>
      <c r="X37" s="330"/>
      <c r="Y37" s="330" t="e">
        <f>AVERAGE(Y36:Z36)</f>
        <v>#DIV/0!</v>
      </c>
      <c r="Z37" s="330"/>
    </row>
    <row r="38" spans="2:26" ht="15" thickBot="1" x14ac:dyDescent="0.4"/>
    <row r="39" spans="2:26" ht="15" thickBot="1" x14ac:dyDescent="0.4">
      <c r="B39" s="338" t="s">
        <v>301</v>
      </c>
      <c r="C39" s="339"/>
      <c r="D39" s="339"/>
      <c r="E39" s="339"/>
      <c r="F39" s="339"/>
      <c r="G39" s="339"/>
      <c r="H39" s="339"/>
      <c r="I39" s="339"/>
      <c r="J39" s="340"/>
      <c r="Y39" s="86" t="s">
        <v>404</v>
      </c>
    </row>
    <row r="40" spans="2:26" x14ac:dyDescent="0.35">
      <c r="B40" s="87" t="s">
        <v>290</v>
      </c>
      <c r="C40" s="108">
        <v>0</v>
      </c>
      <c r="D40" s="108">
        <v>0</v>
      </c>
      <c r="E40" s="108">
        <v>11</v>
      </c>
      <c r="F40" s="108">
        <v>11</v>
      </c>
      <c r="G40" s="108">
        <f>F40+24.5</f>
        <v>35.5</v>
      </c>
      <c r="H40" s="108">
        <f>G40</f>
        <v>35.5</v>
      </c>
      <c r="I40" s="86">
        <f>H40+24+23.5</f>
        <v>83</v>
      </c>
      <c r="J40" s="86">
        <f>I40</f>
        <v>83</v>
      </c>
      <c r="K40" s="108">
        <f>J40+23.5</f>
        <v>106.5</v>
      </c>
      <c r="L40" s="108">
        <f>K40</f>
        <v>106.5</v>
      </c>
      <c r="M40" s="108">
        <f>L40+24.5</f>
        <v>131</v>
      </c>
      <c r="N40" s="108">
        <f>M40</f>
        <v>131</v>
      </c>
      <c r="O40" s="108">
        <f>N40+33.5</f>
        <v>164.5</v>
      </c>
      <c r="P40" s="108">
        <f>O40</f>
        <v>164.5</v>
      </c>
      <c r="Q40" s="108">
        <f>P40+24</f>
        <v>188.5</v>
      </c>
      <c r="R40" s="108">
        <f>Q40</f>
        <v>188.5</v>
      </c>
      <c r="S40" s="108">
        <f>R40+38.5</f>
        <v>227</v>
      </c>
      <c r="T40" s="108">
        <f>S40</f>
        <v>227</v>
      </c>
      <c r="U40" s="108">
        <f>T40+72.5</f>
        <v>299.5</v>
      </c>
      <c r="V40" s="108">
        <f>U40</f>
        <v>299.5</v>
      </c>
      <c r="W40" s="108">
        <f>V40+49.5</f>
        <v>349</v>
      </c>
      <c r="X40" s="108">
        <f>W40</f>
        <v>349</v>
      </c>
      <c r="Y40" s="86">
        <v>0</v>
      </c>
      <c r="Z40" s="86">
        <f>5</f>
        <v>5</v>
      </c>
    </row>
    <row r="41" spans="2:26" x14ac:dyDescent="0.35">
      <c r="B41" s="108">
        <v>0</v>
      </c>
      <c r="E41" s="86">
        <v>6.5000000000000002E-2</v>
      </c>
      <c r="F41" s="86">
        <v>6.5000000000000002E-2</v>
      </c>
      <c r="G41" s="86">
        <v>1.6E-2</v>
      </c>
      <c r="H41" s="86">
        <f>G41</f>
        <v>1.6E-2</v>
      </c>
      <c r="I41" s="86">
        <v>0.17399999999999999</v>
      </c>
      <c r="J41" s="86">
        <f t="shared" ref="J41:J46" si="84">I41</f>
        <v>0.17399999999999999</v>
      </c>
      <c r="K41" s="86">
        <v>0.23300000000000001</v>
      </c>
      <c r="L41" s="86">
        <f t="shared" ref="L41:L46" si="85">K41</f>
        <v>0.23300000000000001</v>
      </c>
      <c r="M41" s="86">
        <v>7.4999999999999997E-2</v>
      </c>
      <c r="N41" s="86">
        <f t="shared" ref="N41:N46" si="86">M41</f>
        <v>7.4999999999999997E-2</v>
      </c>
      <c r="O41" s="86">
        <v>0.20100000000000001</v>
      </c>
      <c r="P41" s="86">
        <f t="shared" ref="P41" si="87">O41</f>
        <v>0.20100000000000001</v>
      </c>
      <c r="Q41" s="86">
        <v>0.191</v>
      </c>
      <c r="R41" s="86">
        <f t="shared" ref="R41:R46" si="88">Q41</f>
        <v>0.191</v>
      </c>
      <c r="S41" s="86">
        <v>0.307</v>
      </c>
      <c r="T41" s="86">
        <f t="shared" ref="T41" si="89">S41</f>
        <v>0.307</v>
      </c>
      <c r="U41" s="86">
        <v>0.16900000000000001</v>
      </c>
      <c r="V41" s="86">
        <f t="shared" ref="V41:V46" si="90">U41</f>
        <v>0.16900000000000001</v>
      </c>
      <c r="W41" s="86">
        <v>0.19400000000000001</v>
      </c>
      <c r="X41" s="86">
        <f t="shared" ref="X41:X46" si="91">W41</f>
        <v>0.19400000000000001</v>
      </c>
      <c r="Y41" s="86">
        <v>11</v>
      </c>
      <c r="Z41" s="86">
        <f>E55</f>
        <v>14.59861111111111</v>
      </c>
    </row>
    <row r="42" spans="2:26" x14ac:dyDescent="0.35">
      <c r="B42" s="108">
        <v>0.5</v>
      </c>
      <c r="E42" s="86">
        <v>0.115</v>
      </c>
      <c r="F42" s="86">
        <v>0.115</v>
      </c>
      <c r="G42" s="86">
        <v>4.2000000000000003E-2</v>
      </c>
      <c r="H42" s="86">
        <f t="shared" ref="H42:H46" si="92">G42</f>
        <v>4.2000000000000003E-2</v>
      </c>
      <c r="I42" s="86">
        <v>0.316</v>
      </c>
      <c r="J42" s="86">
        <f t="shared" si="84"/>
        <v>0.316</v>
      </c>
      <c r="K42" s="86">
        <v>0.47599999999999998</v>
      </c>
      <c r="L42" s="86">
        <f t="shared" si="85"/>
        <v>0.47599999999999998</v>
      </c>
      <c r="M42" s="86">
        <v>0.255</v>
      </c>
      <c r="N42" s="86">
        <f t="shared" si="86"/>
        <v>0.255</v>
      </c>
      <c r="O42" s="86">
        <v>0.38600000000000001</v>
      </c>
      <c r="P42" s="86">
        <f t="shared" ref="P42" si="93">O42</f>
        <v>0.38600000000000001</v>
      </c>
      <c r="Q42" s="86">
        <v>0.38100000000000001</v>
      </c>
      <c r="R42" s="86">
        <f t="shared" si="88"/>
        <v>0.38100000000000001</v>
      </c>
      <c r="S42" s="86">
        <v>0.59299999999999997</v>
      </c>
      <c r="T42" s="86">
        <f t="shared" ref="T42" si="94">S42</f>
        <v>0.59299999999999997</v>
      </c>
      <c r="U42" s="86">
        <v>0.29099999999999998</v>
      </c>
      <c r="V42" s="86">
        <f t="shared" si="90"/>
        <v>0.29099999999999998</v>
      </c>
      <c r="W42" s="86">
        <v>0.29599999999999999</v>
      </c>
      <c r="X42" s="86">
        <f t="shared" si="91"/>
        <v>0.29599999999999999</v>
      </c>
      <c r="Y42" s="86">
        <v>35.5</v>
      </c>
      <c r="Z42" s="86">
        <f>G55</f>
        <v>30.265079365079369</v>
      </c>
    </row>
    <row r="43" spans="2:26" x14ac:dyDescent="0.35">
      <c r="B43" s="108">
        <v>1</v>
      </c>
      <c r="E43" s="86">
        <v>0.159</v>
      </c>
      <c r="F43" s="86">
        <v>0.159</v>
      </c>
      <c r="G43" s="86">
        <v>6.6000000000000003E-2</v>
      </c>
      <c r="H43" s="86">
        <f t="shared" si="92"/>
        <v>6.6000000000000003E-2</v>
      </c>
      <c r="I43" s="86">
        <v>0.45600000000000002</v>
      </c>
      <c r="J43" s="86">
        <f t="shared" si="84"/>
        <v>0.45600000000000002</v>
      </c>
      <c r="K43" s="86">
        <v>0.70899999999999996</v>
      </c>
      <c r="L43" s="86">
        <f t="shared" si="85"/>
        <v>0.70899999999999996</v>
      </c>
      <c r="M43" s="86">
        <v>0.42899999999999999</v>
      </c>
      <c r="N43" s="86">
        <f t="shared" si="86"/>
        <v>0.42899999999999999</v>
      </c>
      <c r="O43" s="86">
        <v>0.57099999999999995</v>
      </c>
      <c r="P43" s="86">
        <f t="shared" ref="P43" si="95">O43</f>
        <v>0.57099999999999995</v>
      </c>
      <c r="Q43" s="86">
        <v>0.57699999999999996</v>
      </c>
      <c r="R43" s="86">
        <f t="shared" si="88"/>
        <v>0.57699999999999996</v>
      </c>
      <c r="S43" s="86">
        <v>0.85599999999999998</v>
      </c>
      <c r="T43" s="86">
        <f t="shared" ref="T43" si="96">S43</f>
        <v>0.85599999999999998</v>
      </c>
      <c r="U43" s="86">
        <v>0.40799999999999997</v>
      </c>
      <c r="V43" s="86">
        <f t="shared" si="90"/>
        <v>0.40799999999999997</v>
      </c>
      <c r="W43" s="86">
        <v>0.374</v>
      </c>
      <c r="X43" s="86">
        <f t="shared" si="91"/>
        <v>0.374</v>
      </c>
      <c r="Y43" s="86">
        <f>I40</f>
        <v>83</v>
      </c>
      <c r="Z43" s="86">
        <f>I55</f>
        <v>179.32698412698412</v>
      </c>
    </row>
    <row r="44" spans="2:26" x14ac:dyDescent="0.35">
      <c r="B44" s="108">
        <v>1.5</v>
      </c>
      <c r="E44" s="86">
        <v>0.20599999999999999</v>
      </c>
      <c r="F44" s="86">
        <v>0.20599999999999999</v>
      </c>
      <c r="G44" s="86">
        <v>0.09</v>
      </c>
      <c r="H44" s="86">
        <f t="shared" si="92"/>
        <v>0.09</v>
      </c>
      <c r="I44" s="86">
        <v>0.59599999999999997</v>
      </c>
      <c r="J44" s="86">
        <f t="shared" si="84"/>
        <v>0.59599999999999997</v>
      </c>
      <c r="K44" s="86">
        <v>0.94</v>
      </c>
      <c r="L44" s="86">
        <f t="shared" si="85"/>
        <v>0.94</v>
      </c>
      <c r="M44" s="86">
        <v>0.59699999999999998</v>
      </c>
      <c r="N44" s="86">
        <f t="shared" si="86"/>
        <v>0.59699999999999998</v>
      </c>
      <c r="O44" s="86">
        <v>0.75800000000000001</v>
      </c>
      <c r="P44" s="86">
        <f t="shared" ref="P44" si="97">O44</f>
        <v>0.75800000000000001</v>
      </c>
      <c r="S44" s="86">
        <v>1.103</v>
      </c>
      <c r="T44" s="86">
        <f t="shared" ref="T44" si="98">S44</f>
        <v>1.103</v>
      </c>
      <c r="U44" s="86">
        <v>0.52300000000000002</v>
      </c>
      <c r="V44" s="86">
        <f t="shared" si="90"/>
        <v>0.52300000000000002</v>
      </c>
      <c r="W44" s="86">
        <v>0.46500000000000002</v>
      </c>
      <c r="X44" s="86">
        <f t="shared" si="91"/>
        <v>0.46500000000000002</v>
      </c>
      <c r="Y44" s="86">
        <f>K40</f>
        <v>106.5</v>
      </c>
      <c r="Z44" s="86">
        <f>K55</f>
        <v>365.17063492063494</v>
      </c>
    </row>
    <row r="45" spans="2:26" x14ac:dyDescent="0.35">
      <c r="B45" s="108">
        <v>2</v>
      </c>
      <c r="E45" s="86">
        <v>0.248</v>
      </c>
      <c r="F45" s="86">
        <v>0.248</v>
      </c>
      <c r="G45" s="86">
        <v>0.112</v>
      </c>
      <c r="H45" s="86">
        <f t="shared" si="92"/>
        <v>0.112</v>
      </c>
      <c r="I45" s="86">
        <v>0.73499999999999999</v>
      </c>
      <c r="J45" s="86">
        <f t="shared" si="84"/>
        <v>0.73499999999999999</v>
      </c>
      <c r="K45" s="86">
        <v>1.163</v>
      </c>
      <c r="L45" s="86">
        <f t="shared" si="85"/>
        <v>1.163</v>
      </c>
      <c r="M45" s="86">
        <v>0.76400000000000001</v>
      </c>
      <c r="N45" s="86">
        <f t="shared" si="86"/>
        <v>0.76400000000000001</v>
      </c>
      <c r="O45" s="86">
        <v>0.94599999999999995</v>
      </c>
      <c r="P45" s="86">
        <f t="shared" ref="P45" si="99">O45</f>
        <v>0.94599999999999995</v>
      </c>
      <c r="Q45" s="86">
        <v>0.96699999999999997</v>
      </c>
      <c r="R45" s="86">
        <f t="shared" si="88"/>
        <v>0.96699999999999997</v>
      </c>
      <c r="S45" s="86">
        <v>1.38</v>
      </c>
      <c r="T45" s="86">
        <f t="shared" ref="T45" si="100">S45</f>
        <v>1.38</v>
      </c>
      <c r="U45" s="86">
        <v>0.63500000000000001</v>
      </c>
      <c r="V45" s="86">
        <f t="shared" si="90"/>
        <v>0.63500000000000001</v>
      </c>
      <c r="W45" s="86">
        <v>0.53700000000000003</v>
      </c>
      <c r="X45" s="86">
        <f t="shared" si="91"/>
        <v>0.53700000000000003</v>
      </c>
      <c r="Y45" s="86">
        <f>M40</f>
        <v>131</v>
      </c>
      <c r="Z45" s="86">
        <f>M55</f>
        <v>541.23015873015868</v>
      </c>
    </row>
    <row r="46" spans="2:26" x14ac:dyDescent="0.35">
      <c r="B46" s="108">
        <v>2.5</v>
      </c>
      <c r="G46" s="86">
        <v>0.13500000000000001</v>
      </c>
      <c r="H46" s="86">
        <f t="shared" si="92"/>
        <v>0.13500000000000001</v>
      </c>
      <c r="I46" s="86">
        <v>0.877</v>
      </c>
      <c r="J46" s="86">
        <f t="shared" si="84"/>
        <v>0.877</v>
      </c>
      <c r="K46" s="86">
        <v>1.375</v>
      </c>
      <c r="L46" s="86">
        <f t="shared" si="85"/>
        <v>1.375</v>
      </c>
      <c r="M46" s="86">
        <v>0.92200000000000004</v>
      </c>
      <c r="N46" s="86">
        <f t="shared" si="86"/>
        <v>0.92200000000000004</v>
      </c>
      <c r="O46" s="86">
        <v>1.1240000000000001</v>
      </c>
      <c r="P46" s="86">
        <f t="shared" ref="P46" si="101">O46</f>
        <v>1.1240000000000001</v>
      </c>
      <c r="Q46" s="86">
        <v>1.171</v>
      </c>
      <c r="R46" s="86">
        <f t="shared" si="88"/>
        <v>1.171</v>
      </c>
      <c r="S46" s="86">
        <v>1.635</v>
      </c>
      <c r="T46" s="86">
        <f t="shared" ref="T46" si="102">S46</f>
        <v>1.635</v>
      </c>
      <c r="U46" s="86">
        <v>0.746</v>
      </c>
      <c r="V46" s="86">
        <f t="shared" si="90"/>
        <v>0.746</v>
      </c>
      <c r="W46" s="86">
        <v>0.61899999999999999</v>
      </c>
      <c r="X46" s="86">
        <f t="shared" si="91"/>
        <v>0.61899999999999999</v>
      </c>
      <c r="Y46" s="86">
        <f>O40</f>
        <v>164.5</v>
      </c>
      <c r="Z46" s="86">
        <f>O55</f>
        <v>591.61111111111109</v>
      </c>
    </row>
    <row r="47" spans="2:26" x14ac:dyDescent="0.35">
      <c r="B47" s="108">
        <v>3</v>
      </c>
      <c r="Y47" s="86">
        <f>Q40</f>
        <v>188.5</v>
      </c>
      <c r="Z47" s="86">
        <f>Q55</f>
        <v>625.73966408268723</v>
      </c>
    </row>
    <row r="48" spans="2:26" x14ac:dyDescent="0.35">
      <c r="B48" s="86" t="s">
        <v>297</v>
      </c>
      <c r="C48" s="86" t="e">
        <f t="shared" ref="C48" si="103">SLOPE(C41:C47,$B41:$B47)</f>
        <v>#DIV/0!</v>
      </c>
      <c r="D48" s="86" t="e">
        <f t="shared" ref="D48" si="104">SLOPE(D41:D47,$B41:$B47)</f>
        <v>#DIV/0!</v>
      </c>
      <c r="E48" s="86">
        <f>SLOPE(E41:E47,$B41:$B47)</f>
        <v>9.1399999999999995E-2</v>
      </c>
      <c r="F48" s="86">
        <f>SLOPE(F41:F47,$B41:$B47)</f>
        <v>9.1399999999999995E-2</v>
      </c>
      <c r="G48" s="86">
        <f>SLOPE(G41:G47,$B41:$B47)</f>
        <v>4.7371428571428585E-2</v>
      </c>
      <c r="H48" s="86">
        <f>SLOPE(H41:H47,$B41:$B47)</f>
        <v>4.7371428571428585E-2</v>
      </c>
      <c r="I48" s="86">
        <f t="shared" ref="I48" si="105">SLOPE(I41:I47,$B41:$B47)</f>
        <v>0.28068571428571426</v>
      </c>
      <c r="J48" s="86">
        <f t="shared" ref="J48:T48" si="106">SLOPE(J41:J47,$B41:$B47)</f>
        <v>0.28068571428571426</v>
      </c>
      <c r="K48" s="86">
        <f t="shared" si="106"/>
        <v>0.45725714285714292</v>
      </c>
      <c r="L48" s="86">
        <f t="shared" si="106"/>
        <v>0.45725714285714292</v>
      </c>
      <c r="M48" s="86">
        <f t="shared" si="106"/>
        <v>0.33885714285714286</v>
      </c>
      <c r="N48" s="86">
        <f t="shared" si="106"/>
        <v>0.33885714285714286</v>
      </c>
      <c r="O48" s="86">
        <f t="shared" si="106"/>
        <v>0.37040000000000001</v>
      </c>
      <c r="P48" s="86">
        <f t="shared" si="106"/>
        <v>0.37040000000000001</v>
      </c>
      <c r="Q48" s="86">
        <f t="shared" si="106"/>
        <v>0.39176744186046503</v>
      </c>
      <c r="R48" s="86">
        <f t="shared" si="106"/>
        <v>0.39176744186046503</v>
      </c>
      <c r="S48" s="86">
        <f t="shared" si="106"/>
        <v>0.52845714285714274</v>
      </c>
      <c r="T48" s="86">
        <f t="shared" si="106"/>
        <v>0.52845714285714274</v>
      </c>
      <c r="U48" s="86">
        <f>SLOPE(U41:U47,$B41:$B47)</f>
        <v>0.23039999999999999</v>
      </c>
      <c r="V48" s="86">
        <f>SLOPE(V41:V47,$B41:$B47)</f>
        <v>0.23039999999999999</v>
      </c>
      <c r="W48" s="86">
        <f>SLOPE(W41:W47,$B41:$B47)</f>
        <v>0.16794285714285714</v>
      </c>
      <c r="X48" s="86">
        <f>SLOPE(X41:X47,$B41:$B47)</f>
        <v>0.16794285714285714</v>
      </c>
      <c r="Y48" s="226">
        <f>S40</f>
        <v>227</v>
      </c>
      <c r="Z48" s="226">
        <f>S55</f>
        <v>844.06349206349205</v>
      </c>
    </row>
    <row r="49" spans="2:28" x14ac:dyDescent="0.35">
      <c r="B49" s="86" t="s">
        <v>298</v>
      </c>
      <c r="C49" s="202" t="e">
        <f t="shared" ref="C49:D49" si="107">RSQ(C41:C47,$B41:$B47)</f>
        <v>#DIV/0!</v>
      </c>
      <c r="D49" s="202" t="e">
        <f t="shared" si="107"/>
        <v>#DIV/0!</v>
      </c>
      <c r="E49" s="202">
        <f>RSQ(E41:E47,$B41:$B47)</f>
        <v>0.99922014047040342</v>
      </c>
      <c r="F49" s="202">
        <f>RSQ(F41:F47,$B41:$B47)</f>
        <v>0.99922014047040342</v>
      </c>
      <c r="G49" s="202">
        <f>RSQ(G41:G47,$B41:$B47)</f>
        <v>0.99927685675026623</v>
      </c>
      <c r="H49" s="202">
        <f>RSQ(H41:H47,$B41:$B47)</f>
        <v>0.99927685675026623</v>
      </c>
      <c r="I49" s="202">
        <f t="shared" ref="I49:T49" si="108">RSQ(I41:I47,$B41:$B47)</f>
        <v>0.9999904951265417</v>
      </c>
      <c r="J49" s="202">
        <f t="shared" si="108"/>
        <v>0.9999904951265417</v>
      </c>
      <c r="K49" s="202">
        <f t="shared" si="108"/>
        <v>0.99949619351064256</v>
      </c>
      <c r="L49" s="202">
        <f t="shared" si="108"/>
        <v>0.99949619351064256</v>
      </c>
      <c r="M49" s="202">
        <f t="shared" si="108"/>
        <v>0.99954179839015456</v>
      </c>
      <c r="N49" s="202">
        <f t="shared" si="108"/>
        <v>0.99954179839015456</v>
      </c>
      <c r="O49" s="202">
        <f t="shared" si="108"/>
        <v>0.99995313152493537</v>
      </c>
      <c r="P49" s="202">
        <f t="shared" si="108"/>
        <v>0.99995313152493537</v>
      </c>
      <c r="Q49" s="202">
        <f t="shared" si="108"/>
        <v>0.99991550735808932</v>
      </c>
      <c r="R49" s="202">
        <f t="shared" si="108"/>
        <v>0.99991550735808932</v>
      </c>
      <c r="S49" s="202">
        <f t="shared" si="108"/>
        <v>0.9996489298062986</v>
      </c>
      <c r="T49" s="202">
        <f t="shared" si="108"/>
        <v>0.9996489298062986</v>
      </c>
      <c r="U49" s="202">
        <f>RSQ(U41:U47,$B41:$B47)</f>
        <v>0.99970384655118993</v>
      </c>
      <c r="V49" s="202">
        <f>RSQ(V41:V47,$B41:$B47)</f>
        <v>0.99970384655118993</v>
      </c>
      <c r="W49" s="202">
        <f>RSQ(W41:W47,$B41:$B47)</f>
        <v>0.99771327849724445</v>
      </c>
      <c r="X49" s="202">
        <f>RSQ(X41:X47,$B41:$B47)</f>
        <v>0.99771327849724445</v>
      </c>
      <c r="Y49" s="86">
        <f>U40</f>
        <v>299.5</v>
      </c>
      <c r="Z49" s="86">
        <f>U55</f>
        <v>736</v>
      </c>
    </row>
    <row r="50" spans="2:28" x14ac:dyDescent="0.35">
      <c r="B50" s="86" t="s">
        <v>292</v>
      </c>
      <c r="C50" s="86">
        <v>36000</v>
      </c>
      <c r="D50" s="86">
        <v>36000</v>
      </c>
      <c r="E50" s="86">
        <v>36000</v>
      </c>
      <c r="F50" s="86">
        <v>36000</v>
      </c>
      <c r="G50" s="86">
        <v>36000</v>
      </c>
      <c r="H50" s="86">
        <v>36000</v>
      </c>
      <c r="I50" s="86">
        <v>36000</v>
      </c>
      <c r="J50" s="86">
        <v>36000</v>
      </c>
      <c r="K50" s="86">
        <v>36000</v>
      </c>
      <c r="L50" s="86">
        <v>36000</v>
      </c>
      <c r="M50" s="86">
        <v>36000</v>
      </c>
      <c r="N50" s="86">
        <v>36000</v>
      </c>
      <c r="O50" s="86">
        <v>36000</v>
      </c>
      <c r="P50" s="86">
        <v>36000</v>
      </c>
      <c r="Q50" s="86">
        <v>36000</v>
      </c>
      <c r="R50" s="86">
        <v>36000</v>
      </c>
      <c r="S50" s="86">
        <v>36000</v>
      </c>
      <c r="T50" s="86">
        <v>36000</v>
      </c>
      <c r="U50" s="86">
        <v>36000</v>
      </c>
      <c r="V50" s="86">
        <v>36000</v>
      </c>
      <c r="W50" s="86">
        <v>36000</v>
      </c>
      <c r="X50" s="86">
        <v>36000</v>
      </c>
      <c r="Y50" s="86">
        <f>W40</f>
        <v>349</v>
      </c>
      <c r="Z50" s="86">
        <f>W55</f>
        <v>536.48412698412687</v>
      </c>
    </row>
    <row r="51" spans="2:28" x14ac:dyDescent="0.35">
      <c r="B51" s="86" t="s">
        <v>296</v>
      </c>
      <c r="C51" s="86">
        <v>25</v>
      </c>
      <c r="D51" s="86">
        <v>25</v>
      </c>
      <c r="E51" s="86">
        <v>25</v>
      </c>
      <c r="F51" s="86">
        <v>25</v>
      </c>
      <c r="G51" s="86">
        <v>25</v>
      </c>
      <c r="H51" s="86">
        <v>25</v>
      </c>
      <c r="I51" s="86">
        <v>25</v>
      </c>
      <c r="J51" s="86">
        <v>25</v>
      </c>
      <c r="K51" s="86">
        <v>25</v>
      </c>
      <c r="L51" s="86">
        <v>25</v>
      </c>
      <c r="M51" s="86">
        <v>25</v>
      </c>
      <c r="N51" s="86">
        <v>25</v>
      </c>
      <c r="O51" s="86">
        <v>25</v>
      </c>
      <c r="P51" s="86">
        <v>25</v>
      </c>
      <c r="Q51" s="86">
        <v>25</v>
      </c>
      <c r="R51" s="86">
        <v>25</v>
      </c>
      <c r="S51" s="86">
        <v>25</v>
      </c>
      <c r="T51" s="86">
        <v>25</v>
      </c>
      <c r="U51" s="86">
        <v>25</v>
      </c>
      <c r="V51" s="86">
        <v>25</v>
      </c>
      <c r="W51" s="86">
        <v>25</v>
      </c>
      <c r="X51" s="86">
        <v>25</v>
      </c>
    </row>
    <row r="52" spans="2:28" x14ac:dyDescent="0.35">
      <c r="B52" s="86" t="s">
        <v>293</v>
      </c>
      <c r="C52" s="86">
        <v>2</v>
      </c>
      <c r="D52" s="86">
        <v>2</v>
      </c>
      <c r="E52" s="86">
        <v>10</v>
      </c>
      <c r="F52" s="86">
        <v>10</v>
      </c>
      <c r="G52" s="86">
        <v>40</v>
      </c>
      <c r="H52" s="86">
        <v>40</v>
      </c>
      <c r="I52" s="86">
        <v>40</v>
      </c>
      <c r="J52" s="86">
        <v>40</v>
      </c>
      <c r="K52" s="86">
        <v>50</v>
      </c>
      <c r="L52" s="86">
        <v>50</v>
      </c>
      <c r="M52" s="86">
        <v>100</v>
      </c>
      <c r="N52" s="86">
        <v>100</v>
      </c>
      <c r="O52" s="86">
        <v>100</v>
      </c>
      <c r="P52" s="86">
        <v>100</v>
      </c>
      <c r="Q52" s="86">
        <v>100</v>
      </c>
      <c r="R52" s="86">
        <v>100</v>
      </c>
      <c r="S52" s="86">
        <v>100</v>
      </c>
      <c r="T52" s="86">
        <v>100</v>
      </c>
      <c r="U52" s="86">
        <v>200</v>
      </c>
      <c r="V52" s="86">
        <v>200</v>
      </c>
      <c r="W52" s="86">
        <v>200</v>
      </c>
      <c r="X52" s="86">
        <v>200</v>
      </c>
    </row>
    <row r="53" spans="2:28" x14ac:dyDescent="0.35">
      <c r="B53" s="86" t="s">
        <v>294</v>
      </c>
      <c r="C53" s="86" t="e">
        <f t="shared" ref="C53:H53" si="109">(C48*C51*C52*10^6 / C50)/1000</f>
        <v>#DIV/0!</v>
      </c>
      <c r="D53" s="86" t="e">
        <f t="shared" si="109"/>
        <v>#DIV/0!</v>
      </c>
      <c r="E53" s="86">
        <f t="shared" si="109"/>
        <v>0.63472222222222219</v>
      </c>
      <c r="F53" s="86">
        <f t="shared" si="109"/>
        <v>0.63472222222222219</v>
      </c>
      <c r="G53" s="86">
        <f t="shared" si="109"/>
        <v>1.3158730158730161</v>
      </c>
      <c r="H53" s="86">
        <f t="shared" si="109"/>
        <v>1.3158730158730161</v>
      </c>
      <c r="I53" s="86">
        <f t="shared" ref="I53" si="110">(I48*I51*I52*10^6 / I50)/1000</f>
        <v>7.7968253968253967</v>
      </c>
      <c r="J53" s="86">
        <f t="shared" ref="J53:T53" si="111">(J48*J51*J52*10^6 / J50)/1000</f>
        <v>7.7968253968253967</v>
      </c>
      <c r="K53" s="86">
        <f t="shared" si="111"/>
        <v>15.876984126984128</v>
      </c>
      <c r="L53" s="86">
        <f t="shared" si="111"/>
        <v>15.876984126984128</v>
      </c>
      <c r="M53" s="86">
        <f t="shared" si="111"/>
        <v>23.531746031746028</v>
      </c>
      <c r="N53" s="86">
        <f t="shared" si="111"/>
        <v>23.531746031746028</v>
      </c>
      <c r="O53" s="86">
        <f t="shared" si="111"/>
        <v>25.722222222222221</v>
      </c>
      <c r="P53" s="86">
        <f t="shared" si="111"/>
        <v>25.722222222222221</v>
      </c>
      <c r="Q53" s="86">
        <f t="shared" si="111"/>
        <v>27.206072351421184</v>
      </c>
      <c r="R53" s="86">
        <f t="shared" si="111"/>
        <v>27.206072351421184</v>
      </c>
      <c r="S53" s="86">
        <f t="shared" si="111"/>
        <v>36.698412698412696</v>
      </c>
      <c r="T53" s="86">
        <f t="shared" si="111"/>
        <v>36.698412698412696</v>
      </c>
      <c r="U53" s="86">
        <f>(U48*U51*U52*10^6 / U50)/1000</f>
        <v>32</v>
      </c>
      <c r="V53" s="86">
        <f t="shared" ref="V53" si="112">(V48*V51*V52*10^6 / V50)/1000</f>
        <v>32</v>
      </c>
      <c r="W53" s="86">
        <f>(W48*W51*W52*10^6 / W50)/1000</f>
        <v>23.325396825396822</v>
      </c>
      <c r="X53" s="86">
        <f t="shared" ref="X53" si="113">(X48*X51*X52*10^6 / X50)/1000</f>
        <v>23.325396825396822</v>
      </c>
    </row>
    <row r="54" spans="2:28" x14ac:dyDescent="0.35">
      <c r="B54" s="86" t="s">
        <v>295</v>
      </c>
      <c r="C54" s="86" t="e">
        <f t="shared" ref="C54:H54" si="114">C53*23</f>
        <v>#DIV/0!</v>
      </c>
      <c r="D54" s="86" t="e">
        <f t="shared" si="114"/>
        <v>#DIV/0!</v>
      </c>
      <c r="E54" s="86">
        <f t="shared" si="114"/>
        <v>14.59861111111111</v>
      </c>
      <c r="F54" s="86">
        <f t="shared" si="114"/>
        <v>14.59861111111111</v>
      </c>
      <c r="G54" s="86">
        <f t="shared" si="114"/>
        <v>30.265079365079369</v>
      </c>
      <c r="H54" s="86">
        <f t="shared" si="114"/>
        <v>30.265079365079369</v>
      </c>
      <c r="I54" s="86">
        <f t="shared" ref="I54" si="115">I53*23</f>
        <v>179.32698412698412</v>
      </c>
      <c r="J54" s="86">
        <f t="shared" ref="J54:T54" si="116">J53*23</f>
        <v>179.32698412698412</v>
      </c>
      <c r="K54" s="86">
        <f t="shared" si="116"/>
        <v>365.17063492063494</v>
      </c>
      <c r="L54" s="86">
        <f t="shared" si="116"/>
        <v>365.17063492063494</v>
      </c>
      <c r="M54" s="86">
        <f t="shared" si="116"/>
        <v>541.23015873015868</v>
      </c>
      <c r="N54" s="86">
        <f t="shared" si="116"/>
        <v>541.23015873015868</v>
      </c>
      <c r="O54" s="86">
        <f t="shared" si="116"/>
        <v>591.61111111111109</v>
      </c>
      <c r="P54" s="86">
        <f t="shared" si="116"/>
        <v>591.61111111111109</v>
      </c>
      <c r="Q54" s="86">
        <f t="shared" si="116"/>
        <v>625.73966408268723</v>
      </c>
      <c r="R54" s="86">
        <f t="shared" si="116"/>
        <v>625.73966408268723</v>
      </c>
      <c r="S54" s="86">
        <f t="shared" si="116"/>
        <v>844.06349206349205</v>
      </c>
      <c r="T54" s="86">
        <f t="shared" si="116"/>
        <v>844.06349206349205</v>
      </c>
      <c r="U54" s="86">
        <f>U53*23</f>
        <v>736</v>
      </c>
      <c r="V54" s="86">
        <f t="shared" ref="V54" si="117">V53*23</f>
        <v>736</v>
      </c>
      <c r="W54" s="86">
        <f>W53*23</f>
        <v>536.48412698412687</v>
      </c>
      <c r="X54" s="86">
        <f t="shared" ref="X54" si="118">X53*23</f>
        <v>536.48412698412687</v>
      </c>
    </row>
    <row r="55" spans="2:28" x14ac:dyDescent="0.35">
      <c r="B55" s="108" t="s">
        <v>299</v>
      </c>
      <c r="C55" s="330" t="e">
        <f>AVERAGE(C54:D54)</f>
        <v>#DIV/0!</v>
      </c>
      <c r="D55" s="330"/>
      <c r="E55" s="330">
        <f>AVERAGE(E54:F54)</f>
        <v>14.59861111111111</v>
      </c>
      <c r="F55" s="330"/>
      <c r="G55" s="330">
        <f>AVERAGE(G54:H54)</f>
        <v>30.265079365079369</v>
      </c>
      <c r="H55" s="330"/>
      <c r="I55" s="330">
        <f>AVERAGE(I54:J54)</f>
        <v>179.32698412698412</v>
      </c>
      <c r="J55" s="330"/>
      <c r="K55" s="330">
        <f>AVERAGE(K54:L54)</f>
        <v>365.17063492063494</v>
      </c>
      <c r="L55" s="330"/>
      <c r="M55" s="330">
        <f>AVERAGE(M54:N54)</f>
        <v>541.23015873015868</v>
      </c>
      <c r="N55" s="330"/>
      <c r="O55" s="330">
        <f>AVERAGE(O54:P54)</f>
        <v>591.61111111111109</v>
      </c>
      <c r="P55" s="330"/>
      <c r="Q55" s="330">
        <f>AVERAGE(Q54:R54)</f>
        <v>625.73966408268723</v>
      </c>
      <c r="R55" s="330"/>
      <c r="S55" s="330">
        <f>AVERAGE(S54:T54)</f>
        <v>844.06349206349205</v>
      </c>
      <c r="T55" s="330"/>
      <c r="U55" s="330">
        <f>AVERAGE(U54:V54)</f>
        <v>736</v>
      </c>
      <c r="V55" s="330"/>
      <c r="W55" s="330">
        <f>AVERAGE(W54:X54)</f>
        <v>536.48412698412687</v>
      </c>
      <c r="X55" s="330"/>
    </row>
    <row r="56" spans="2:28" ht="15" thickBot="1" x14ac:dyDescent="0.4"/>
    <row r="57" spans="2:28" ht="15" thickBot="1" x14ac:dyDescent="0.4">
      <c r="B57" s="338" t="s">
        <v>302</v>
      </c>
      <c r="C57" s="339"/>
      <c r="D57" s="339"/>
      <c r="E57" s="339"/>
      <c r="F57" s="339"/>
      <c r="G57" s="339"/>
      <c r="H57" s="339"/>
      <c r="I57" s="339"/>
      <c r="J57" s="340"/>
      <c r="AA57" s="86" t="s">
        <v>404</v>
      </c>
      <c r="AB57" s="86" t="s">
        <v>405</v>
      </c>
    </row>
    <row r="58" spans="2:28" x14ac:dyDescent="0.35">
      <c r="B58" s="87" t="s">
        <v>290</v>
      </c>
      <c r="C58" s="108">
        <v>0</v>
      </c>
      <c r="D58" s="108">
        <v>0</v>
      </c>
      <c r="E58" s="108">
        <v>22</v>
      </c>
      <c r="F58" s="108">
        <v>22</v>
      </c>
      <c r="G58" s="108">
        <v>44</v>
      </c>
      <c r="H58" s="108">
        <v>44</v>
      </c>
      <c r="I58" s="108">
        <v>68</v>
      </c>
      <c r="J58" s="108">
        <v>68</v>
      </c>
      <c r="K58" s="108">
        <f>J58+24.5</f>
        <v>92.5</v>
      </c>
      <c r="L58" s="108">
        <f>K58</f>
        <v>92.5</v>
      </c>
      <c r="M58" s="108">
        <f>L58+24</f>
        <v>116.5</v>
      </c>
      <c r="N58" s="108">
        <f>M58</f>
        <v>116.5</v>
      </c>
      <c r="O58" s="108">
        <v>140</v>
      </c>
      <c r="P58" s="108">
        <v>140</v>
      </c>
      <c r="Q58" s="108">
        <f>P58+82</f>
        <v>222</v>
      </c>
      <c r="R58" s="108">
        <f>Q58</f>
        <v>222</v>
      </c>
      <c r="S58" s="108">
        <f>R58+24</f>
        <v>246</v>
      </c>
      <c r="T58" s="108">
        <f>S58</f>
        <v>246</v>
      </c>
      <c r="U58" s="108">
        <f>T58+38.5</f>
        <v>284.5</v>
      </c>
      <c r="V58" s="108">
        <f>U58</f>
        <v>284.5</v>
      </c>
      <c r="W58" s="108">
        <f>V58+72.5</f>
        <v>357</v>
      </c>
      <c r="X58" s="108">
        <f>W58</f>
        <v>357</v>
      </c>
      <c r="Y58" s="108">
        <f>X58+49.5</f>
        <v>406.5</v>
      </c>
      <c r="Z58" s="108">
        <f>Y58</f>
        <v>406.5</v>
      </c>
      <c r="AA58" s="86">
        <v>0</v>
      </c>
      <c r="AB58" s="86">
        <f>C73</f>
        <v>5.5583333333333336</v>
      </c>
    </row>
    <row r="59" spans="2:28" x14ac:dyDescent="0.35">
      <c r="B59" s="108">
        <v>0</v>
      </c>
      <c r="C59" s="86">
        <v>0.104</v>
      </c>
      <c r="D59" s="86">
        <v>0.113</v>
      </c>
      <c r="E59" s="86">
        <v>7.4999999999999997E-2</v>
      </c>
      <c r="F59" s="86">
        <v>0.06</v>
      </c>
      <c r="G59" s="86">
        <v>9.4E-2</v>
      </c>
      <c r="H59" s="86">
        <v>8.5000000000000006E-2</v>
      </c>
      <c r="I59" s="86">
        <v>7.3999999999999996E-2</v>
      </c>
      <c r="J59" s="86">
        <v>7.3999999999999996E-2</v>
      </c>
      <c r="K59" s="86">
        <v>9.6000000000000002E-2</v>
      </c>
      <c r="L59" s="86">
        <f>K59</f>
        <v>9.6000000000000002E-2</v>
      </c>
      <c r="M59" s="86">
        <v>-5.0000000000000001E-3</v>
      </c>
      <c r="N59" s="86">
        <f t="shared" ref="N59:N64" si="119">M59</f>
        <v>-5.0000000000000001E-3</v>
      </c>
      <c r="O59" s="86">
        <v>0.13700000000000001</v>
      </c>
      <c r="P59" s="86">
        <f>O59</f>
        <v>0.13700000000000001</v>
      </c>
      <c r="Q59" s="86">
        <v>0.18</v>
      </c>
      <c r="R59" s="86">
        <f t="shared" ref="R59:R64" si="120">Q59</f>
        <v>0.18</v>
      </c>
      <c r="S59" s="86">
        <v>0.16900000000000001</v>
      </c>
      <c r="T59" s="86">
        <f t="shared" ref="T59:T64" si="121">S59</f>
        <v>0.16900000000000001</v>
      </c>
      <c r="U59" s="86">
        <v>0.27500000000000002</v>
      </c>
      <c r="V59" s="86">
        <f t="shared" ref="V59" si="122">U59</f>
        <v>0.27500000000000002</v>
      </c>
      <c r="W59" s="86">
        <v>0.184</v>
      </c>
      <c r="X59" s="86">
        <f t="shared" ref="X59:X64" si="123">W59</f>
        <v>0.184</v>
      </c>
      <c r="Y59" s="86">
        <v>0.224</v>
      </c>
      <c r="Z59" s="86">
        <f t="shared" ref="Z59:Z64" si="124">Y59</f>
        <v>0.224</v>
      </c>
      <c r="AA59" s="86">
        <v>22</v>
      </c>
      <c r="AB59" s="86">
        <f>E73</f>
        <v>14.247222222222225</v>
      </c>
    </row>
    <row r="60" spans="2:28" x14ac:dyDescent="0.35">
      <c r="B60" s="108">
        <v>0.5</v>
      </c>
      <c r="C60" s="86">
        <v>0.19700000000000001</v>
      </c>
      <c r="D60" s="86">
        <v>0.20499999999999999</v>
      </c>
      <c r="E60" s="86">
        <v>0.124</v>
      </c>
      <c r="F60" s="86">
        <v>0.10299999999999999</v>
      </c>
      <c r="I60" s="86">
        <v>0.14599999999999999</v>
      </c>
      <c r="J60" s="86">
        <v>0.14599999999999999</v>
      </c>
      <c r="K60" s="86">
        <v>0.20100000000000001</v>
      </c>
      <c r="L60" s="86">
        <f t="shared" ref="L60:L64" si="125">K60</f>
        <v>0.20100000000000001</v>
      </c>
      <c r="M60" s="86">
        <v>0.188</v>
      </c>
      <c r="N60" s="86">
        <f t="shared" si="119"/>
        <v>0.188</v>
      </c>
      <c r="O60" s="86">
        <v>0.28799999999999998</v>
      </c>
      <c r="P60" s="86">
        <f t="shared" ref="P60:P65" si="126">O60</f>
        <v>0.28799999999999998</v>
      </c>
      <c r="Q60" s="86">
        <v>0.35399999999999998</v>
      </c>
      <c r="R60" s="86">
        <f t="shared" si="120"/>
        <v>0.35399999999999998</v>
      </c>
      <c r="S60" s="86">
        <v>0.34799999999999998</v>
      </c>
      <c r="T60" s="86">
        <f t="shared" si="121"/>
        <v>0.34799999999999998</v>
      </c>
      <c r="U60" s="86">
        <v>0.52700000000000002</v>
      </c>
      <c r="V60" s="86">
        <f t="shared" ref="V60" si="127">U60</f>
        <v>0.52700000000000002</v>
      </c>
      <c r="W60" s="86">
        <v>0.308</v>
      </c>
      <c r="X60" s="86">
        <f t="shared" si="123"/>
        <v>0.308</v>
      </c>
      <c r="Y60" s="86">
        <v>0.36499999999999999</v>
      </c>
      <c r="Z60" s="86">
        <f t="shared" si="124"/>
        <v>0.36499999999999999</v>
      </c>
      <c r="AA60" s="86">
        <v>44</v>
      </c>
      <c r="AB60" s="86">
        <f>G73</f>
        <v>22.472916666666663</v>
      </c>
    </row>
    <row r="61" spans="2:28" x14ac:dyDescent="0.35">
      <c r="B61" s="108">
        <v>1</v>
      </c>
      <c r="C61" s="86">
        <v>0.28000000000000003</v>
      </c>
      <c r="D61" s="86">
        <v>0.28799999999999998</v>
      </c>
      <c r="E61" s="86">
        <v>0.17299999999999999</v>
      </c>
      <c r="F61" s="86">
        <v>0.14599999999999999</v>
      </c>
      <c r="G61" s="86">
        <v>0.23499999999999999</v>
      </c>
      <c r="H61" s="86">
        <v>0.23100000000000001</v>
      </c>
      <c r="I61" s="86">
        <v>0.215</v>
      </c>
      <c r="J61" s="86">
        <v>0.216</v>
      </c>
      <c r="K61" s="86">
        <v>0.30099999999999999</v>
      </c>
      <c r="L61" s="86">
        <f t="shared" si="125"/>
        <v>0.30099999999999999</v>
      </c>
      <c r="M61" s="86">
        <v>0.36599999999999999</v>
      </c>
      <c r="N61" s="86">
        <f t="shared" si="119"/>
        <v>0.36599999999999999</v>
      </c>
      <c r="O61" s="86">
        <v>0.42</v>
      </c>
      <c r="P61" s="86">
        <f t="shared" si="126"/>
        <v>0.42</v>
      </c>
      <c r="Q61" s="86">
        <v>0.52200000000000002</v>
      </c>
      <c r="R61" s="86">
        <f t="shared" si="120"/>
        <v>0.52200000000000002</v>
      </c>
      <c r="S61" s="86">
        <v>0.53400000000000003</v>
      </c>
      <c r="T61" s="86">
        <f t="shared" si="121"/>
        <v>0.53400000000000003</v>
      </c>
      <c r="U61" s="86">
        <v>0.76600000000000001</v>
      </c>
      <c r="V61" s="86">
        <f t="shared" ref="V61" si="128">U61</f>
        <v>0.76600000000000001</v>
      </c>
      <c r="W61" s="86">
        <v>0.436</v>
      </c>
      <c r="X61" s="86">
        <f t="shared" si="123"/>
        <v>0.436</v>
      </c>
      <c r="Y61" s="86">
        <v>0.47399999999999998</v>
      </c>
      <c r="Z61" s="86">
        <f t="shared" si="124"/>
        <v>0.47399999999999998</v>
      </c>
      <c r="AA61" s="86">
        <v>68</v>
      </c>
      <c r="AB61" s="86">
        <f>I73</f>
        <v>43.709126984126982</v>
      </c>
    </row>
    <row r="62" spans="2:28" x14ac:dyDescent="0.35">
      <c r="B62" s="108">
        <v>1.5</v>
      </c>
      <c r="C62" s="86">
        <v>0.36699999999999999</v>
      </c>
      <c r="D62" s="86">
        <v>0.371</v>
      </c>
      <c r="E62" s="86">
        <v>0.219</v>
      </c>
      <c r="F62" s="86">
        <v>0.189</v>
      </c>
      <c r="G62" s="86">
        <v>0.30499999999999999</v>
      </c>
      <c r="H62" s="86">
        <v>0.29899999999999999</v>
      </c>
      <c r="I62" s="86">
        <v>0.28199999999999997</v>
      </c>
      <c r="J62" s="86">
        <v>0.28599999999999998</v>
      </c>
      <c r="K62" s="86">
        <v>0.40300000000000002</v>
      </c>
      <c r="L62" s="86">
        <f t="shared" si="125"/>
        <v>0.40300000000000002</v>
      </c>
      <c r="M62" s="86">
        <v>0.54</v>
      </c>
      <c r="N62" s="86">
        <f t="shared" si="119"/>
        <v>0.54</v>
      </c>
      <c r="O62" s="86">
        <v>0.54900000000000004</v>
      </c>
      <c r="P62" s="86">
        <f t="shared" si="126"/>
        <v>0.54900000000000004</v>
      </c>
      <c r="Q62" s="86">
        <v>0.68600000000000005</v>
      </c>
      <c r="R62" s="86">
        <f t="shared" si="120"/>
        <v>0.68600000000000005</v>
      </c>
      <c r="U62" s="86">
        <v>1.0049999999999999</v>
      </c>
      <c r="V62" s="86">
        <f t="shared" ref="V62" si="129">U62</f>
        <v>1.0049999999999999</v>
      </c>
      <c r="W62" s="86">
        <v>0.56699999999999995</v>
      </c>
      <c r="X62" s="86">
        <f t="shared" si="123"/>
        <v>0.56699999999999995</v>
      </c>
      <c r="Y62" s="86">
        <v>0.6</v>
      </c>
      <c r="Z62" s="86">
        <f t="shared" si="124"/>
        <v>0.6</v>
      </c>
      <c r="AA62" s="86">
        <v>92.5</v>
      </c>
      <c r="AB62" s="86">
        <f>K73</f>
        <v>127.48571428571424</v>
      </c>
    </row>
    <row r="63" spans="2:28" x14ac:dyDescent="0.35">
      <c r="B63" s="108">
        <v>2</v>
      </c>
      <c r="C63" s="86">
        <v>0.45900000000000002</v>
      </c>
      <c r="D63" s="86">
        <v>0.46</v>
      </c>
      <c r="E63" s="86">
        <v>0.26700000000000002</v>
      </c>
      <c r="F63" s="86">
        <v>0.23100000000000001</v>
      </c>
      <c r="G63" s="86">
        <v>0.377</v>
      </c>
      <c r="H63" s="86">
        <v>0.36799999999999999</v>
      </c>
      <c r="I63" s="86">
        <v>0.34699999999999998</v>
      </c>
      <c r="J63" s="86">
        <v>0.35399999999999998</v>
      </c>
      <c r="K63" s="86">
        <v>0.501</v>
      </c>
      <c r="L63" s="86">
        <f t="shared" si="125"/>
        <v>0.501</v>
      </c>
      <c r="M63" s="86">
        <v>0.70799999999999996</v>
      </c>
      <c r="N63" s="86">
        <f t="shared" si="119"/>
        <v>0.70799999999999996</v>
      </c>
      <c r="O63" s="86">
        <v>0.67400000000000004</v>
      </c>
      <c r="P63" s="86">
        <f t="shared" si="126"/>
        <v>0.67400000000000004</v>
      </c>
      <c r="Q63" s="86">
        <v>0.85599999999999998</v>
      </c>
      <c r="R63" s="86">
        <f t="shared" si="120"/>
        <v>0.85599999999999998</v>
      </c>
      <c r="S63" s="86">
        <v>0.88600000000000001</v>
      </c>
      <c r="T63" s="86">
        <f t="shared" si="121"/>
        <v>0.88600000000000001</v>
      </c>
      <c r="U63" s="86">
        <v>1.24</v>
      </c>
      <c r="V63" s="86">
        <f t="shared" ref="V63" si="130">U63</f>
        <v>1.24</v>
      </c>
      <c r="W63" s="86">
        <v>0.69299999999999995</v>
      </c>
      <c r="X63" s="86">
        <f t="shared" si="123"/>
        <v>0.69299999999999995</v>
      </c>
      <c r="Y63" s="86">
        <v>0.70099999999999996</v>
      </c>
      <c r="Z63" s="86">
        <f t="shared" si="124"/>
        <v>0.70099999999999996</v>
      </c>
      <c r="AA63" s="86">
        <f>N58</f>
        <v>116.5</v>
      </c>
      <c r="AB63" s="86">
        <f>M73</f>
        <v>223.0269841269841</v>
      </c>
    </row>
    <row r="64" spans="2:28" x14ac:dyDescent="0.35">
      <c r="B64" s="108">
        <v>2.5</v>
      </c>
      <c r="E64" s="86">
        <v>0.312</v>
      </c>
      <c r="F64" s="86">
        <v>0.26700000000000002</v>
      </c>
      <c r="G64" s="86">
        <v>0.44800000000000001</v>
      </c>
      <c r="H64" s="86">
        <v>0.437</v>
      </c>
      <c r="I64" s="86">
        <v>0.41199999999999998</v>
      </c>
      <c r="J64" s="86">
        <v>0.42099999999999999</v>
      </c>
      <c r="K64" s="86">
        <v>0.59399999999999997</v>
      </c>
      <c r="L64" s="86">
        <f t="shared" si="125"/>
        <v>0.59399999999999997</v>
      </c>
      <c r="M64" s="86">
        <v>0.87</v>
      </c>
      <c r="N64" s="86">
        <f t="shared" si="119"/>
        <v>0.87</v>
      </c>
      <c r="O64" s="86">
        <v>0.79300000000000004</v>
      </c>
      <c r="P64" s="86">
        <f t="shared" si="126"/>
        <v>0.79300000000000004</v>
      </c>
      <c r="Q64" s="86">
        <v>1.016</v>
      </c>
      <c r="R64" s="86">
        <f t="shared" si="120"/>
        <v>1.016</v>
      </c>
      <c r="S64" s="86">
        <v>1.056</v>
      </c>
      <c r="T64" s="86">
        <f t="shared" si="121"/>
        <v>1.056</v>
      </c>
      <c r="U64" s="86">
        <v>1.4770000000000001</v>
      </c>
      <c r="V64" s="86">
        <f t="shared" ref="V64" si="131">U64</f>
        <v>1.4770000000000001</v>
      </c>
      <c r="W64" s="86">
        <v>0.81599999999999995</v>
      </c>
      <c r="X64" s="86">
        <f t="shared" si="123"/>
        <v>0.81599999999999995</v>
      </c>
      <c r="Y64" s="86">
        <v>0.81200000000000006</v>
      </c>
      <c r="Z64" s="86">
        <f t="shared" si="124"/>
        <v>0.81200000000000006</v>
      </c>
      <c r="AA64" s="86">
        <v>140</v>
      </c>
      <c r="AB64" s="86">
        <f>O73</f>
        <v>204.55853174603178</v>
      </c>
    </row>
    <row r="65" spans="2:28" x14ac:dyDescent="0.35">
      <c r="B65" s="108">
        <v>3</v>
      </c>
      <c r="G65" s="86">
        <v>0.52</v>
      </c>
      <c r="H65" s="86">
        <v>0.504</v>
      </c>
      <c r="O65" s="86">
        <v>0.91100000000000003</v>
      </c>
      <c r="P65" s="86">
        <f t="shared" si="126"/>
        <v>0.91100000000000003</v>
      </c>
      <c r="AA65" s="86">
        <f>Q58</f>
        <v>222</v>
      </c>
      <c r="AB65" s="86">
        <f>Q73</f>
        <v>533.92857142857144</v>
      </c>
    </row>
    <row r="66" spans="2:28" x14ac:dyDescent="0.35">
      <c r="B66" s="86" t="s">
        <v>297</v>
      </c>
      <c r="C66" s="86">
        <f t="shared" ref="C66" si="132">SLOPE(C59:C65,$B59:$B65)</f>
        <v>0.17599999999999999</v>
      </c>
      <c r="D66" s="86">
        <f t="shared" ref="D66" si="133">SLOPE(D59:D65,$B59:$B65)</f>
        <v>0.17200000000000001</v>
      </c>
      <c r="E66" s="86">
        <f t="shared" ref="E66:N66" si="134">SLOPE(E59:E65,$B59:$B65)</f>
        <v>9.4857142857142862E-2</v>
      </c>
      <c r="F66" s="86">
        <f t="shared" si="134"/>
        <v>8.3542857142857155E-2</v>
      </c>
      <c r="G66" s="86">
        <f t="shared" si="134"/>
        <v>0.14197142857142855</v>
      </c>
      <c r="H66" s="86">
        <f t="shared" si="134"/>
        <v>0.1394285714285714</v>
      </c>
      <c r="I66" s="86">
        <f t="shared" si="134"/>
        <v>0.13485714285714284</v>
      </c>
      <c r="J66" s="86">
        <f t="shared" si="134"/>
        <v>0.13879999999999998</v>
      </c>
      <c r="K66" s="86">
        <f t="shared" si="134"/>
        <v>0.19954285714285711</v>
      </c>
      <c r="L66" s="86">
        <f t="shared" si="134"/>
        <v>0.19954285714285711</v>
      </c>
      <c r="M66" s="86">
        <f t="shared" si="134"/>
        <v>0.34908571428571428</v>
      </c>
      <c r="N66" s="86">
        <f t="shared" si="134"/>
        <v>0.34908571428571428</v>
      </c>
      <c r="O66" s="86">
        <f t="shared" ref="O66" si="135">SLOPE(O59:O65,$B59:$B65)</f>
        <v>0.25614285714285717</v>
      </c>
      <c r="P66" s="86">
        <f t="shared" ref="P66:V66" si="136">SLOPE(P59:P65,$B59:$B65)</f>
        <v>0.25614285714285717</v>
      </c>
      <c r="Q66" s="86">
        <f t="shared" si="136"/>
        <v>0.3342857142857143</v>
      </c>
      <c r="R66" s="86">
        <f t="shared" si="136"/>
        <v>0.3342857142857143</v>
      </c>
      <c r="S66" s="86">
        <f t="shared" si="136"/>
        <v>0.35544186046511622</v>
      </c>
      <c r="T66" s="86">
        <f t="shared" si="136"/>
        <v>0.35544186046511622</v>
      </c>
      <c r="U66" s="86">
        <f t="shared" si="136"/>
        <v>0.47931428571428569</v>
      </c>
      <c r="V66" s="86">
        <f t="shared" si="136"/>
        <v>0.47931428571428569</v>
      </c>
      <c r="W66" s="86">
        <f>SLOPE(W59:W65,$B59:$B65)</f>
        <v>0.25405714285714281</v>
      </c>
      <c r="X66" s="86">
        <f>SLOPE(X59:X65,$B59:$B65)</f>
        <v>0.25405714285714281</v>
      </c>
      <c r="Y66" s="86">
        <f>SLOPE(Y59:Y65,$B59:$B65)</f>
        <v>0.23279999999999998</v>
      </c>
      <c r="Z66" s="86">
        <f>SLOPE(Z59:Z65,$B59:$B65)</f>
        <v>0.23279999999999998</v>
      </c>
      <c r="AA66" s="86">
        <f>S58</f>
        <v>246</v>
      </c>
      <c r="AB66" s="86">
        <f>S73</f>
        <v>567.71963824289389</v>
      </c>
    </row>
    <row r="67" spans="2:28" x14ac:dyDescent="0.35">
      <c r="B67" s="86" t="s">
        <v>298</v>
      </c>
      <c r="C67" s="202">
        <f t="shared" ref="C67:D67" si="137">RSQ(C59:C65,$B59:$B65)</f>
        <v>0.99967469263617692</v>
      </c>
      <c r="D67" s="202">
        <f t="shared" si="137"/>
        <v>0.99965939133772685</v>
      </c>
      <c r="E67" s="202">
        <f t="shared" ref="E67:N67" si="138">RSQ(E59:E65,$B59:$B65)</f>
        <v>0.9997895638165869</v>
      </c>
      <c r="F67" s="202">
        <f t="shared" si="138"/>
        <v>0.99917913238593892</v>
      </c>
      <c r="G67" s="202">
        <f t="shared" si="138"/>
        <v>0.9999759431919133</v>
      </c>
      <c r="H67" s="202">
        <f t="shared" si="138"/>
        <v>0.9997229335460307</v>
      </c>
      <c r="I67" s="202">
        <f t="shared" si="138"/>
        <v>0.99959439038310371</v>
      </c>
      <c r="J67" s="202">
        <f t="shared" si="138"/>
        <v>0.99984341544137234</v>
      </c>
      <c r="K67" s="202">
        <f t="shared" si="138"/>
        <v>0.99965328483110216</v>
      </c>
      <c r="L67" s="202">
        <f t="shared" si="138"/>
        <v>0.99965328483110216</v>
      </c>
      <c r="M67" s="202">
        <f t="shared" si="138"/>
        <v>0.9991260564044866</v>
      </c>
      <c r="N67" s="202">
        <f t="shared" si="138"/>
        <v>0.9991260564044866</v>
      </c>
      <c r="O67" s="202">
        <f t="shared" ref="O67:V67" si="139">RSQ(O59:O65,$B59:$B65)</f>
        <v>0.99842015493475622</v>
      </c>
      <c r="P67" s="202">
        <f t="shared" si="139"/>
        <v>0.99842015493475622</v>
      </c>
      <c r="Q67" s="202">
        <f t="shared" si="139"/>
        <v>0.9998722251579707</v>
      </c>
      <c r="R67" s="202">
        <f t="shared" si="139"/>
        <v>0.9998722251579707</v>
      </c>
      <c r="S67" s="202">
        <f t="shared" si="139"/>
        <v>0.99984197747369175</v>
      </c>
      <c r="T67" s="202">
        <f t="shared" si="139"/>
        <v>0.99984197747369175</v>
      </c>
      <c r="U67" s="202">
        <f t="shared" si="139"/>
        <v>0.99987537774404189</v>
      </c>
      <c r="V67" s="202">
        <f t="shared" si="139"/>
        <v>0.99987537774404189</v>
      </c>
      <c r="W67" s="202">
        <f>RSQ(W59:W65,$B59:$B65)</f>
        <v>0.99991919810527019</v>
      </c>
      <c r="X67" s="202">
        <f>RSQ(X59:X65,$B59:$B65)</f>
        <v>0.99991919810527019</v>
      </c>
      <c r="Y67" s="202">
        <f>RSQ(Y59:Y65,$B59:$B65)</f>
        <v>0.9976751035796334</v>
      </c>
      <c r="Z67" s="202">
        <f>RSQ(Z59:Z65,$B59:$B65)</f>
        <v>0.9976751035796334</v>
      </c>
      <c r="AA67" s="226">
        <f>U58</f>
        <v>284.5</v>
      </c>
      <c r="AB67" s="226">
        <f>U73</f>
        <v>765.57142857142856</v>
      </c>
    </row>
    <row r="68" spans="2:28" x14ac:dyDescent="0.35">
      <c r="B68" s="86" t="s">
        <v>292</v>
      </c>
      <c r="C68" s="86">
        <v>36000</v>
      </c>
      <c r="D68" s="86">
        <v>36000</v>
      </c>
      <c r="E68" s="86">
        <v>36000</v>
      </c>
      <c r="F68" s="86">
        <v>36000</v>
      </c>
      <c r="G68" s="86">
        <v>36000</v>
      </c>
      <c r="H68" s="86">
        <v>36000</v>
      </c>
      <c r="I68" s="86">
        <v>36000</v>
      </c>
      <c r="J68" s="86">
        <v>36000</v>
      </c>
      <c r="K68" s="86">
        <v>36000</v>
      </c>
      <c r="L68" s="86">
        <v>36000</v>
      </c>
      <c r="M68" s="86">
        <v>36000</v>
      </c>
      <c r="N68" s="86">
        <v>36000</v>
      </c>
      <c r="O68" s="86">
        <v>36000</v>
      </c>
      <c r="P68" s="86">
        <v>36000</v>
      </c>
      <c r="Q68" s="86">
        <v>36000</v>
      </c>
      <c r="R68" s="86">
        <v>36000</v>
      </c>
      <c r="S68" s="86">
        <v>36000</v>
      </c>
      <c r="T68" s="86">
        <v>36000</v>
      </c>
      <c r="U68" s="86">
        <v>36000</v>
      </c>
      <c r="V68" s="86">
        <v>36000</v>
      </c>
      <c r="W68" s="86">
        <v>36000</v>
      </c>
      <c r="X68" s="86">
        <v>36000</v>
      </c>
      <c r="Y68" s="86">
        <v>36000</v>
      </c>
      <c r="Z68" s="86">
        <v>36000</v>
      </c>
      <c r="AA68" s="86">
        <f>W58</f>
        <v>357</v>
      </c>
      <c r="AB68" s="86">
        <f>W73</f>
        <v>811.57142857142856</v>
      </c>
    </row>
    <row r="69" spans="2:28" x14ac:dyDescent="0.35">
      <c r="B69" s="86" t="s">
        <v>296</v>
      </c>
      <c r="C69" s="86">
        <v>25</v>
      </c>
      <c r="D69" s="86">
        <v>25</v>
      </c>
      <c r="E69" s="86">
        <v>25</v>
      </c>
      <c r="F69" s="86">
        <v>25</v>
      </c>
      <c r="G69" s="86">
        <v>25</v>
      </c>
      <c r="H69" s="86">
        <v>25</v>
      </c>
      <c r="I69" s="86">
        <v>25</v>
      </c>
      <c r="J69" s="86">
        <v>25</v>
      </c>
      <c r="K69" s="86">
        <v>25</v>
      </c>
      <c r="L69" s="86">
        <v>25</v>
      </c>
      <c r="M69" s="86">
        <v>25</v>
      </c>
      <c r="N69" s="86">
        <v>25</v>
      </c>
      <c r="O69" s="86">
        <v>25</v>
      </c>
      <c r="P69" s="86">
        <v>25</v>
      </c>
      <c r="Q69" s="86">
        <v>25</v>
      </c>
      <c r="R69" s="86">
        <v>25</v>
      </c>
      <c r="S69" s="86">
        <v>25</v>
      </c>
      <c r="T69" s="86">
        <v>25</v>
      </c>
      <c r="U69" s="86">
        <v>25</v>
      </c>
      <c r="V69" s="86">
        <v>25</v>
      </c>
      <c r="W69" s="86">
        <v>25</v>
      </c>
      <c r="X69" s="86">
        <v>25</v>
      </c>
      <c r="Y69" s="86">
        <v>25</v>
      </c>
      <c r="Z69" s="86">
        <v>25</v>
      </c>
      <c r="AA69" s="86">
        <f>Y58</f>
        <v>406.5</v>
      </c>
      <c r="AB69" s="86">
        <f>Y73</f>
        <v>743.66666666666652</v>
      </c>
    </row>
    <row r="70" spans="2:28" x14ac:dyDescent="0.35">
      <c r="B70" s="86" t="s">
        <v>293</v>
      </c>
      <c r="C70" s="86">
        <v>2</v>
      </c>
      <c r="D70" s="86">
        <v>2</v>
      </c>
      <c r="E70" s="86">
        <v>10</v>
      </c>
      <c r="F70" s="86">
        <v>10</v>
      </c>
      <c r="G70" s="86">
        <v>10</v>
      </c>
      <c r="H70" s="86">
        <v>10</v>
      </c>
      <c r="I70" s="86">
        <v>20</v>
      </c>
      <c r="J70" s="86">
        <v>20</v>
      </c>
      <c r="K70" s="86">
        <v>40</v>
      </c>
      <c r="L70" s="86">
        <v>40</v>
      </c>
      <c r="M70" s="86">
        <v>40</v>
      </c>
      <c r="N70" s="86">
        <v>40</v>
      </c>
      <c r="O70" s="86">
        <v>50</v>
      </c>
      <c r="P70" s="86">
        <v>50</v>
      </c>
      <c r="Q70" s="86">
        <v>100</v>
      </c>
      <c r="R70" s="86">
        <v>100</v>
      </c>
      <c r="S70" s="86">
        <v>100</v>
      </c>
      <c r="T70" s="86">
        <v>100</v>
      </c>
      <c r="U70" s="86">
        <v>100</v>
      </c>
      <c r="V70" s="86">
        <v>100</v>
      </c>
      <c r="W70" s="86">
        <v>200</v>
      </c>
      <c r="X70" s="86">
        <v>200</v>
      </c>
      <c r="Y70" s="86">
        <v>200</v>
      </c>
      <c r="Z70" s="86">
        <v>200</v>
      </c>
    </row>
    <row r="71" spans="2:28" x14ac:dyDescent="0.35">
      <c r="B71" s="86" t="s">
        <v>294</v>
      </c>
      <c r="C71" s="86">
        <f t="shared" ref="C71:N71" si="140">(C66*C69*C70*10^6 / C68)/1000</f>
        <v>0.24444444444444441</v>
      </c>
      <c r="D71" s="86">
        <f t="shared" si="140"/>
        <v>0.23888888888888896</v>
      </c>
      <c r="E71" s="86">
        <f t="shared" si="140"/>
        <v>0.65873015873015883</v>
      </c>
      <c r="F71" s="86">
        <f t="shared" si="140"/>
        <v>0.58015873015873032</v>
      </c>
      <c r="G71" s="86">
        <f t="shared" si="140"/>
        <v>0.98591269841269846</v>
      </c>
      <c r="H71" s="86">
        <f t="shared" si="140"/>
        <v>0.96825396825396781</v>
      </c>
      <c r="I71" s="86">
        <f t="shared" si="140"/>
        <v>1.8730158730158728</v>
      </c>
      <c r="J71" s="86">
        <f t="shared" si="140"/>
        <v>1.9277777777777774</v>
      </c>
      <c r="K71" s="86">
        <f t="shared" si="140"/>
        <v>5.5428571428571409</v>
      </c>
      <c r="L71" s="86">
        <f t="shared" si="140"/>
        <v>5.5428571428571409</v>
      </c>
      <c r="M71" s="86">
        <f t="shared" si="140"/>
        <v>9.6968253968253961</v>
      </c>
      <c r="N71" s="86">
        <f t="shared" si="140"/>
        <v>9.6968253968253961</v>
      </c>
      <c r="O71" s="86">
        <f t="shared" ref="O71" si="141">(O66*O69*O70*10^6 / O68)/1000</f>
        <v>8.8938492063492074</v>
      </c>
      <c r="P71" s="86">
        <f t="shared" ref="P71:V71" si="142">(P66*P69*P70*10^6 / P68)/1000</f>
        <v>8.8938492063492074</v>
      </c>
      <c r="Q71" s="86">
        <f t="shared" si="142"/>
        <v>23.214285714285715</v>
      </c>
      <c r="R71" s="86">
        <f t="shared" si="142"/>
        <v>23.214285714285715</v>
      </c>
      <c r="S71" s="86">
        <f t="shared" si="142"/>
        <v>24.683462532299735</v>
      </c>
      <c r="T71" s="86">
        <f t="shared" si="142"/>
        <v>24.683462532299735</v>
      </c>
      <c r="U71" s="86">
        <f t="shared" si="142"/>
        <v>33.285714285714285</v>
      </c>
      <c r="V71" s="86">
        <f t="shared" si="142"/>
        <v>33.285714285714285</v>
      </c>
      <c r="W71" s="86">
        <f>(W66*W69*W70*10^6 / W68)/1000</f>
        <v>35.285714285714285</v>
      </c>
      <c r="X71" s="86">
        <f t="shared" ref="X71" si="143">(X66*X69*X70*10^6 / X68)/1000</f>
        <v>35.285714285714285</v>
      </c>
      <c r="Y71" s="86">
        <f>(Y66*Y69*Y70*10^6 / Y68)/1000</f>
        <v>32.333333333333329</v>
      </c>
      <c r="Z71" s="86">
        <f t="shared" ref="Z71" si="144">(Z66*Z69*Z70*10^6 / Z68)/1000</f>
        <v>32.333333333333329</v>
      </c>
    </row>
    <row r="72" spans="2:28" x14ac:dyDescent="0.35">
      <c r="B72" s="86" t="s">
        <v>295</v>
      </c>
      <c r="C72" s="86">
        <f t="shared" ref="C72:N72" si="145">C71*23</f>
        <v>5.6222222222222218</v>
      </c>
      <c r="D72" s="86">
        <f t="shared" si="145"/>
        <v>5.4944444444444462</v>
      </c>
      <c r="E72" s="86">
        <f t="shared" si="145"/>
        <v>15.150793650793654</v>
      </c>
      <c r="F72" s="86">
        <f t="shared" si="145"/>
        <v>13.343650793650797</v>
      </c>
      <c r="G72" s="86">
        <f t="shared" si="145"/>
        <v>22.675992063492064</v>
      </c>
      <c r="H72" s="86">
        <f t="shared" si="145"/>
        <v>22.269841269841258</v>
      </c>
      <c r="I72" s="86">
        <f t="shared" si="145"/>
        <v>43.079365079365076</v>
      </c>
      <c r="J72" s="86">
        <f t="shared" si="145"/>
        <v>44.338888888888881</v>
      </c>
      <c r="K72" s="86">
        <f t="shared" si="145"/>
        <v>127.48571428571424</v>
      </c>
      <c r="L72" s="86">
        <f t="shared" si="145"/>
        <v>127.48571428571424</v>
      </c>
      <c r="M72" s="86">
        <f t="shared" si="145"/>
        <v>223.0269841269841</v>
      </c>
      <c r="N72" s="86">
        <f t="shared" si="145"/>
        <v>223.0269841269841</v>
      </c>
      <c r="O72" s="86">
        <f t="shared" ref="O72" si="146">O71*23</f>
        <v>204.55853174603178</v>
      </c>
      <c r="P72" s="86">
        <f t="shared" ref="P72:V72" si="147">P71*23</f>
        <v>204.55853174603178</v>
      </c>
      <c r="Q72" s="86">
        <f t="shared" si="147"/>
        <v>533.92857142857144</v>
      </c>
      <c r="R72" s="86">
        <f t="shared" si="147"/>
        <v>533.92857142857144</v>
      </c>
      <c r="S72" s="86">
        <f t="shared" si="147"/>
        <v>567.71963824289389</v>
      </c>
      <c r="T72" s="86">
        <f t="shared" si="147"/>
        <v>567.71963824289389</v>
      </c>
      <c r="U72" s="86">
        <f t="shared" si="147"/>
        <v>765.57142857142856</v>
      </c>
      <c r="V72" s="86">
        <f t="shared" si="147"/>
        <v>765.57142857142856</v>
      </c>
      <c r="W72" s="86">
        <f>W71*23</f>
        <v>811.57142857142856</v>
      </c>
      <c r="X72" s="86">
        <f t="shared" ref="X72" si="148">X71*23</f>
        <v>811.57142857142856</v>
      </c>
      <c r="Y72" s="86">
        <f>Y71*23</f>
        <v>743.66666666666652</v>
      </c>
      <c r="Z72" s="86">
        <f t="shared" ref="Z72" si="149">Z71*23</f>
        <v>743.66666666666652</v>
      </c>
    </row>
    <row r="73" spans="2:28" x14ac:dyDescent="0.35">
      <c r="B73" s="108" t="s">
        <v>299</v>
      </c>
      <c r="C73" s="330">
        <f>AVERAGE(C72:D72)</f>
        <v>5.5583333333333336</v>
      </c>
      <c r="D73" s="330"/>
      <c r="E73" s="330">
        <f>AVERAGE(E72:F72)</f>
        <v>14.247222222222225</v>
      </c>
      <c r="F73" s="330"/>
      <c r="G73" s="330">
        <f>AVERAGE(G72:H72)</f>
        <v>22.472916666666663</v>
      </c>
      <c r="H73" s="330"/>
      <c r="I73" s="330">
        <f>AVERAGE(I72:J72)</f>
        <v>43.709126984126982</v>
      </c>
      <c r="J73" s="330"/>
      <c r="K73" s="330">
        <f>AVERAGE(K72:L72)</f>
        <v>127.48571428571424</v>
      </c>
      <c r="L73" s="330"/>
      <c r="M73" s="330">
        <f>AVERAGE(M72:N72)</f>
        <v>223.0269841269841</v>
      </c>
      <c r="N73" s="330"/>
      <c r="O73" s="330">
        <f>AVERAGE(O72:P72)</f>
        <v>204.55853174603178</v>
      </c>
      <c r="P73" s="330"/>
      <c r="Q73" s="330">
        <f>AVERAGE(Q72:R72)</f>
        <v>533.92857142857144</v>
      </c>
      <c r="R73" s="330"/>
      <c r="S73" s="330">
        <f>AVERAGE(S72:T72)</f>
        <v>567.71963824289389</v>
      </c>
      <c r="T73" s="330"/>
      <c r="U73" s="330">
        <f>AVERAGE(U72:V72)</f>
        <v>765.57142857142856</v>
      </c>
      <c r="V73" s="330"/>
      <c r="W73" s="330">
        <f>AVERAGE(W72:X72)</f>
        <v>811.57142857142856</v>
      </c>
      <c r="X73" s="330"/>
      <c r="Y73" s="330">
        <f>AVERAGE(Y72:Z72)</f>
        <v>743.66666666666652</v>
      </c>
      <c r="Z73" s="330"/>
    </row>
    <row r="74" spans="2:28" ht="15" thickBot="1" x14ac:dyDescent="0.4"/>
    <row r="75" spans="2:28" ht="15" thickBot="1" x14ac:dyDescent="0.4">
      <c r="B75" s="338" t="s">
        <v>303</v>
      </c>
      <c r="C75" s="339"/>
      <c r="D75" s="339"/>
      <c r="E75" s="339"/>
      <c r="F75" s="339"/>
      <c r="G75" s="339"/>
      <c r="H75" s="339"/>
      <c r="I75" s="339"/>
      <c r="J75" s="340"/>
      <c r="AA75" s="86" t="s">
        <v>404</v>
      </c>
    </row>
    <row r="76" spans="2:28" x14ac:dyDescent="0.35">
      <c r="B76" s="87" t="s">
        <v>290</v>
      </c>
      <c r="C76" s="108">
        <v>0</v>
      </c>
      <c r="D76" s="108">
        <v>0</v>
      </c>
      <c r="E76" s="108">
        <v>11</v>
      </c>
      <c r="F76" s="108">
        <v>11</v>
      </c>
      <c r="G76" s="108">
        <f>F76+24.5</f>
        <v>35.5</v>
      </c>
      <c r="H76" s="108">
        <f>G76</f>
        <v>35.5</v>
      </c>
      <c r="I76" s="108">
        <f>H76+24+23.5</f>
        <v>83</v>
      </c>
      <c r="J76" s="108">
        <f>I76</f>
        <v>83</v>
      </c>
      <c r="K76" s="108">
        <f>J76+23.5</f>
        <v>106.5</v>
      </c>
      <c r="L76" s="108">
        <f>K76</f>
        <v>106.5</v>
      </c>
      <c r="M76" s="108">
        <f>L76+24.5</f>
        <v>131</v>
      </c>
      <c r="N76" s="108">
        <f>M76</f>
        <v>131</v>
      </c>
      <c r="O76" s="108">
        <f>N76+33.5</f>
        <v>164.5</v>
      </c>
      <c r="P76" s="108">
        <f>O76</f>
        <v>164.5</v>
      </c>
      <c r="Q76" s="108">
        <f>P76+24</f>
        <v>188.5</v>
      </c>
      <c r="R76" s="108">
        <f>Q76</f>
        <v>188.5</v>
      </c>
      <c r="S76" s="108">
        <f>R76+38.5</f>
        <v>227</v>
      </c>
      <c r="T76" s="108">
        <f>S76</f>
        <v>227</v>
      </c>
      <c r="U76" s="108">
        <f>T76+72.5</f>
        <v>299.5</v>
      </c>
      <c r="V76" s="108">
        <f>U76</f>
        <v>299.5</v>
      </c>
      <c r="W76" s="108">
        <f>V76+49.5</f>
        <v>349</v>
      </c>
      <c r="X76" s="108">
        <f>W76</f>
        <v>349</v>
      </c>
      <c r="Y76" s="108">
        <f>X76+23</f>
        <v>372</v>
      </c>
      <c r="Z76" s="108">
        <f>Y76</f>
        <v>372</v>
      </c>
      <c r="AA76" s="86">
        <v>0</v>
      </c>
      <c r="AB76" s="86">
        <v>5</v>
      </c>
    </row>
    <row r="77" spans="2:28" x14ac:dyDescent="0.35">
      <c r="B77" s="108">
        <v>0</v>
      </c>
      <c r="E77" s="86">
        <v>5.8999999999999997E-2</v>
      </c>
      <c r="F77" s="86">
        <v>5.8999999999999997E-2</v>
      </c>
      <c r="G77" s="86">
        <v>1.4E-2</v>
      </c>
      <c r="H77" s="86">
        <f>G77</f>
        <v>1.4E-2</v>
      </c>
      <c r="I77" s="86">
        <v>0.158</v>
      </c>
      <c r="J77" s="86">
        <f t="shared" ref="J77:J82" si="150">I77</f>
        <v>0.158</v>
      </c>
      <c r="K77" s="86">
        <v>0.23799999999999999</v>
      </c>
      <c r="L77" s="86">
        <f t="shared" ref="L77:L82" si="151">K77</f>
        <v>0.23799999999999999</v>
      </c>
      <c r="M77" s="86">
        <v>6.4000000000000001E-2</v>
      </c>
      <c r="N77" s="86">
        <f t="shared" ref="N77:N82" si="152">M77</f>
        <v>6.4000000000000001E-2</v>
      </c>
      <c r="O77" s="86">
        <v>0.19900000000000001</v>
      </c>
      <c r="P77" s="86">
        <f t="shared" ref="P77" si="153">O77</f>
        <v>0.19900000000000001</v>
      </c>
      <c r="Q77" s="86">
        <v>0.193</v>
      </c>
      <c r="R77" s="86">
        <f t="shared" ref="R77:R82" si="154">Q77</f>
        <v>0.193</v>
      </c>
      <c r="S77" s="86">
        <v>0.3</v>
      </c>
      <c r="T77" s="86">
        <f t="shared" ref="T77" si="155">S77</f>
        <v>0.3</v>
      </c>
      <c r="U77" s="86">
        <v>0.187</v>
      </c>
      <c r="V77" s="86">
        <f t="shared" ref="V77:V82" si="156">U77</f>
        <v>0.187</v>
      </c>
      <c r="W77" s="86">
        <v>0.30499999999999999</v>
      </c>
      <c r="X77" s="86">
        <f t="shared" ref="X77:X82" si="157">W77</f>
        <v>0.30499999999999999</v>
      </c>
      <c r="Y77" s="86">
        <v>0.22800000000000001</v>
      </c>
      <c r="Z77" s="86">
        <f t="shared" ref="Z77:Z82" si="158">Y77</f>
        <v>0.22800000000000001</v>
      </c>
      <c r="AA77" s="86">
        <v>11</v>
      </c>
      <c r="AB77" s="86">
        <f>E91</f>
        <v>17.601388888888891</v>
      </c>
    </row>
    <row r="78" spans="2:28" x14ac:dyDescent="0.35">
      <c r="B78" s="108">
        <v>0.5</v>
      </c>
      <c r="E78" s="86">
        <v>0.12</v>
      </c>
      <c r="F78" s="86">
        <v>0.12</v>
      </c>
      <c r="G78" s="86">
        <v>4.2000000000000003E-2</v>
      </c>
      <c r="H78" s="86">
        <f t="shared" ref="H78:H82" si="159">G78</f>
        <v>4.2000000000000003E-2</v>
      </c>
      <c r="I78" s="86">
        <v>0.28999999999999998</v>
      </c>
      <c r="J78" s="86">
        <f t="shared" si="150"/>
        <v>0.28999999999999998</v>
      </c>
      <c r="K78" s="86">
        <v>0.49</v>
      </c>
      <c r="L78" s="86">
        <f t="shared" si="151"/>
        <v>0.49</v>
      </c>
      <c r="M78" s="86">
        <v>0.23200000000000001</v>
      </c>
      <c r="N78" s="86">
        <f t="shared" si="152"/>
        <v>0.23200000000000001</v>
      </c>
      <c r="O78" s="86">
        <v>0.40200000000000002</v>
      </c>
      <c r="P78" s="86">
        <f t="shared" ref="P78" si="160">O78</f>
        <v>0.40200000000000002</v>
      </c>
      <c r="Q78" s="86">
        <v>0.40100000000000002</v>
      </c>
      <c r="R78" s="86">
        <f t="shared" si="154"/>
        <v>0.40100000000000002</v>
      </c>
      <c r="S78" s="86">
        <v>0.59299999999999997</v>
      </c>
      <c r="T78" s="86">
        <f t="shared" ref="T78" si="161">S78</f>
        <v>0.59299999999999997</v>
      </c>
      <c r="U78" s="86">
        <v>0.34100000000000003</v>
      </c>
      <c r="V78" s="86">
        <f t="shared" si="156"/>
        <v>0.34100000000000003</v>
      </c>
      <c r="W78" s="86">
        <v>0.53600000000000003</v>
      </c>
      <c r="X78" s="86">
        <f t="shared" si="157"/>
        <v>0.53600000000000003</v>
      </c>
      <c r="Y78" s="86">
        <v>0.35199999999999998</v>
      </c>
      <c r="Z78" s="86">
        <f t="shared" si="158"/>
        <v>0.35199999999999998</v>
      </c>
      <c r="AA78" s="86">
        <v>35.5</v>
      </c>
      <c r="AB78" s="86">
        <f>G91</f>
        <v>30.119047619047624</v>
      </c>
    </row>
    <row r="79" spans="2:28" x14ac:dyDescent="0.35">
      <c r="B79" s="108">
        <v>1</v>
      </c>
      <c r="E79" s="86">
        <v>0.17599999999999999</v>
      </c>
      <c r="F79" s="86">
        <v>0.17599999999999999</v>
      </c>
      <c r="G79" s="86">
        <v>6.6000000000000003E-2</v>
      </c>
      <c r="H79" s="86">
        <f t="shared" si="159"/>
        <v>6.6000000000000003E-2</v>
      </c>
      <c r="I79" s="86">
        <v>0.42299999999999999</v>
      </c>
      <c r="J79" s="86">
        <f t="shared" si="150"/>
        <v>0.42299999999999999</v>
      </c>
      <c r="K79" s="86">
        <v>0.72299999999999998</v>
      </c>
      <c r="L79" s="86">
        <f t="shared" si="151"/>
        <v>0.72299999999999998</v>
      </c>
      <c r="M79" s="86">
        <v>0.39600000000000002</v>
      </c>
      <c r="N79" s="86">
        <f t="shared" si="152"/>
        <v>0.39600000000000002</v>
      </c>
      <c r="O79" s="86">
        <v>0.59799999999999998</v>
      </c>
      <c r="P79" s="86">
        <f t="shared" ref="P79" si="162">O79</f>
        <v>0.59799999999999998</v>
      </c>
      <c r="Q79" s="86">
        <v>0.60799999999999998</v>
      </c>
      <c r="R79" s="86">
        <f t="shared" si="154"/>
        <v>0.60799999999999998</v>
      </c>
      <c r="S79" s="86">
        <v>0.85599999999999998</v>
      </c>
      <c r="T79" s="86">
        <f t="shared" ref="T79" si="163">S79</f>
        <v>0.85599999999999998</v>
      </c>
      <c r="U79" s="86">
        <v>0.48699999999999999</v>
      </c>
      <c r="V79" s="86">
        <f t="shared" si="156"/>
        <v>0.48699999999999999</v>
      </c>
      <c r="W79" s="86">
        <v>0.71399999999999997</v>
      </c>
      <c r="X79" s="86">
        <f t="shared" si="157"/>
        <v>0.71399999999999997</v>
      </c>
      <c r="Y79" s="86">
        <v>0.44700000000000001</v>
      </c>
      <c r="Z79" s="86">
        <f t="shared" si="158"/>
        <v>0.44700000000000001</v>
      </c>
      <c r="AA79" s="86">
        <f>I76</f>
        <v>83</v>
      </c>
      <c r="AB79" s="86">
        <f>I91</f>
        <v>164.10317460317458</v>
      </c>
    </row>
    <row r="80" spans="2:28" x14ac:dyDescent="0.35">
      <c r="B80" s="108">
        <v>1.5</v>
      </c>
      <c r="E80" s="86">
        <v>0.22900000000000001</v>
      </c>
      <c r="F80" s="86">
        <v>0.22900000000000001</v>
      </c>
      <c r="G80" s="86">
        <v>8.8999999999999996E-2</v>
      </c>
      <c r="H80" s="86">
        <f t="shared" si="159"/>
        <v>8.8999999999999996E-2</v>
      </c>
      <c r="I80" s="86">
        <v>0.55300000000000005</v>
      </c>
      <c r="J80" s="86">
        <f t="shared" si="150"/>
        <v>0.55300000000000005</v>
      </c>
      <c r="K80" s="86">
        <v>0.95399999999999996</v>
      </c>
      <c r="L80" s="86">
        <f t="shared" si="151"/>
        <v>0.95399999999999996</v>
      </c>
      <c r="M80" s="86">
        <v>0.56699999999999995</v>
      </c>
      <c r="N80" s="86">
        <f t="shared" si="152"/>
        <v>0.56699999999999995</v>
      </c>
      <c r="O80" s="86">
        <v>0.79100000000000004</v>
      </c>
      <c r="P80" s="86">
        <f t="shared" ref="P80" si="164">O80</f>
        <v>0.79100000000000004</v>
      </c>
      <c r="S80" s="86">
        <v>1.103</v>
      </c>
      <c r="T80" s="86">
        <f t="shared" ref="T80" si="165">S80</f>
        <v>1.103</v>
      </c>
      <c r="U80" s="86">
        <v>0.627</v>
      </c>
      <c r="V80" s="86">
        <f t="shared" si="156"/>
        <v>0.627</v>
      </c>
      <c r="W80" s="86">
        <v>0.91700000000000004</v>
      </c>
      <c r="X80" s="86">
        <f t="shared" si="157"/>
        <v>0.91700000000000004</v>
      </c>
      <c r="Y80" s="86">
        <v>0.56000000000000005</v>
      </c>
      <c r="Z80" s="86">
        <f t="shared" si="158"/>
        <v>0.56000000000000005</v>
      </c>
      <c r="AA80" s="86">
        <f>K76</f>
        <v>106.5</v>
      </c>
      <c r="AB80" s="86">
        <f>K91</f>
        <v>370.96626984126982</v>
      </c>
    </row>
    <row r="81" spans="2:28" x14ac:dyDescent="0.35">
      <c r="B81" s="108">
        <v>2</v>
      </c>
      <c r="E81" s="86">
        <v>0.28000000000000003</v>
      </c>
      <c r="F81" s="86">
        <v>0.28000000000000003</v>
      </c>
      <c r="G81" s="86">
        <v>0.111</v>
      </c>
      <c r="H81" s="86">
        <f t="shared" si="159"/>
        <v>0.111</v>
      </c>
      <c r="I81" s="86">
        <v>0.67500000000000004</v>
      </c>
      <c r="J81" s="86">
        <f t="shared" si="150"/>
        <v>0.67500000000000004</v>
      </c>
      <c r="K81" s="86">
        <v>1.181</v>
      </c>
      <c r="L81" s="86">
        <f t="shared" si="151"/>
        <v>1.181</v>
      </c>
      <c r="M81" s="86">
        <v>0.74199999999999999</v>
      </c>
      <c r="N81" s="86">
        <f t="shared" si="152"/>
        <v>0.74199999999999999</v>
      </c>
      <c r="O81" s="86">
        <v>0.99099999999999999</v>
      </c>
      <c r="P81" s="86">
        <f t="shared" ref="P81" si="166">O81</f>
        <v>0.99099999999999999</v>
      </c>
      <c r="Q81" s="86">
        <v>1.0049999999999999</v>
      </c>
      <c r="R81" s="86">
        <f t="shared" si="154"/>
        <v>1.0049999999999999</v>
      </c>
      <c r="S81" s="86">
        <v>1.38</v>
      </c>
      <c r="T81" s="86">
        <f t="shared" ref="T81" si="167">S81</f>
        <v>1.38</v>
      </c>
      <c r="U81" s="86">
        <v>0.76900000000000002</v>
      </c>
      <c r="V81" s="86">
        <f t="shared" si="156"/>
        <v>0.76900000000000002</v>
      </c>
      <c r="W81" s="86">
        <v>1.077</v>
      </c>
      <c r="X81" s="86">
        <f t="shared" si="157"/>
        <v>1.077</v>
      </c>
      <c r="Y81" s="86">
        <v>0.64900000000000002</v>
      </c>
      <c r="Z81" s="86">
        <f t="shared" si="158"/>
        <v>0.64900000000000002</v>
      </c>
      <c r="AA81" s="86">
        <f>M76</f>
        <v>131</v>
      </c>
      <c r="AB81" s="86">
        <f>M91</f>
        <v>539.95238095238085</v>
      </c>
    </row>
    <row r="82" spans="2:28" x14ac:dyDescent="0.35">
      <c r="B82" s="108">
        <v>2.5</v>
      </c>
      <c r="G82" s="86">
        <v>0.13300000000000001</v>
      </c>
      <c r="H82" s="86">
        <f t="shared" si="159"/>
        <v>0.13300000000000001</v>
      </c>
      <c r="I82" s="86">
        <v>0.8</v>
      </c>
      <c r="J82" s="86">
        <f t="shared" si="150"/>
        <v>0.8</v>
      </c>
      <c r="K82" s="86">
        <v>1.403</v>
      </c>
      <c r="L82" s="86">
        <f t="shared" si="151"/>
        <v>1.403</v>
      </c>
      <c r="M82" s="86">
        <v>0.90700000000000003</v>
      </c>
      <c r="N82" s="86">
        <f t="shared" si="152"/>
        <v>0.90700000000000003</v>
      </c>
      <c r="O82" s="86">
        <v>1.1850000000000001</v>
      </c>
      <c r="P82" s="86">
        <f t="shared" ref="P82" si="168">O82</f>
        <v>1.1850000000000001</v>
      </c>
      <c r="Q82" s="86">
        <v>1.206</v>
      </c>
      <c r="R82" s="86">
        <f t="shared" si="154"/>
        <v>1.206</v>
      </c>
      <c r="S82" s="86">
        <v>1.163</v>
      </c>
      <c r="T82" s="86">
        <f t="shared" ref="T82" si="169">S82</f>
        <v>1.163</v>
      </c>
      <c r="U82" s="86">
        <v>0.92200000000000004</v>
      </c>
      <c r="V82" s="86">
        <f t="shared" si="156"/>
        <v>0.92200000000000004</v>
      </c>
      <c r="W82" s="86">
        <v>1.2569999999999999</v>
      </c>
      <c r="X82" s="86">
        <f t="shared" si="157"/>
        <v>1.2569999999999999</v>
      </c>
      <c r="Y82" s="86">
        <v>0.749</v>
      </c>
      <c r="Z82" s="86">
        <f t="shared" si="158"/>
        <v>0.749</v>
      </c>
      <c r="AA82" s="86">
        <f>O76</f>
        <v>164.5</v>
      </c>
      <c r="AB82" s="86">
        <f>O91</f>
        <v>628.8492063492065</v>
      </c>
    </row>
    <row r="83" spans="2:28" x14ac:dyDescent="0.35">
      <c r="B83" s="108">
        <v>3</v>
      </c>
      <c r="AA83" s="86">
        <f>Q76</f>
        <v>188.5</v>
      </c>
      <c r="AB83" s="86">
        <f>Q91</f>
        <v>645.53779069767427</v>
      </c>
    </row>
    <row r="84" spans="2:28" x14ac:dyDescent="0.35">
      <c r="B84" s="86" t="s">
        <v>297</v>
      </c>
      <c r="C84" s="86" t="e">
        <f t="shared" ref="C84" si="170">SLOPE(C77:C83,$B77:$B83)</f>
        <v>#DIV/0!</v>
      </c>
      <c r="D84" s="86" t="e">
        <f t="shared" ref="D84" si="171">SLOPE(D77:D83,$B77:$B83)</f>
        <v>#DIV/0!</v>
      </c>
      <c r="E84" s="86">
        <f>SLOPE(E77:E83,$B77:$B83)</f>
        <v>0.11020000000000001</v>
      </c>
      <c r="F84" s="86">
        <f>SLOPE(F77:F83,$B77:$B83)</f>
        <v>0.11020000000000001</v>
      </c>
      <c r="G84" s="86">
        <f>SLOPE(G77:G83,$B77:$B83)</f>
        <v>4.7142857142857153E-2</v>
      </c>
      <c r="H84" s="86">
        <f>SLOPE(H77:H83,$B77:$B83)</f>
        <v>4.7142857142857153E-2</v>
      </c>
      <c r="I84" s="86">
        <f t="shared" ref="I84" si="172">SLOPE(I77:I83,$B77:$B83)</f>
        <v>0.25685714285714284</v>
      </c>
      <c r="J84" s="86">
        <f t="shared" ref="J84:T84" si="173">SLOPE(J77:J83,$B77:$B83)</f>
        <v>0.25685714285714284</v>
      </c>
      <c r="K84" s="86">
        <f t="shared" si="173"/>
        <v>0.46451428571428571</v>
      </c>
      <c r="L84" s="86">
        <f t="shared" si="173"/>
        <v>0.46451428571428571</v>
      </c>
      <c r="M84" s="86">
        <f t="shared" si="173"/>
        <v>0.33805714285714278</v>
      </c>
      <c r="N84" s="86">
        <f t="shared" si="173"/>
        <v>0.33805714285714278</v>
      </c>
      <c r="O84" s="86">
        <f t="shared" si="173"/>
        <v>0.39371428571428574</v>
      </c>
      <c r="P84" s="86">
        <f t="shared" si="173"/>
        <v>0.39371428571428574</v>
      </c>
      <c r="Q84" s="86">
        <f t="shared" si="173"/>
        <v>0.40416279069767436</v>
      </c>
      <c r="R84" s="86">
        <f t="shared" si="173"/>
        <v>0.40416279069767436</v>
      </c>
      <c r="S84" s="86">
        <f t="shared" si="173"/>
        <v>0.39560000000000001</v>
      </c>
      <c r="T84" s="86">
        <f t="shared" si="173"/>
        <v>0.39560000000000001</v>
      </c>
      <c r="U84" s="86">
        <f t="shared" ref="U84:Z84" si="174">SLOPE(U77:U83,$B77:$B83)</f>
        <v>0.29137142857142856</v>
      </c>
      <c r="V84" s="86">
        <f t="shared" si="174"/>
        <v>0.29137142857142856</v>
      </c>
      <c r="W84" s="86">
        <f t="shared" si="174"/>
        <v>0.37634285714285709</v>
      </c>
      <c r="X84" s="86">
        <f t="shared" si="174"/>
        <v>0.37634285714285709</v>
      </c>
      <c r="Y84" s="86">
        <f t="shared" si="174"/>
        <v>0.20622857142857143</v>
      </c>
      <c r="Z84" s="86">
        <f t="shared" si="174"/>
        <v>0.20622857142857143</v>
      </c>
      <c r="AA84" s="86">
        <f>S76</f>
        <v>227</v>
      </c>
      <c r="AB84" s="86">
        <f>S91</f>
        <v>631.86111111111109</v>
      </c>
    </row>
    <row r="85" spans="2:28" x14ac:dyDescent="0.35">
      <c r="B85" s="86" t="s">
        <v>298</v>
      </c>
      <c r="C85" s="202" t="e">
        <f t="shared" ref="C85:D85" si="175">RSQ(C77:C83,$B77:$B83)</f>
        <v>#DIV/0!</v>
      </c>
      <c r="D85" s="202" t="e">
        <f t="shared" si="175"/>
        <v>#DIV/0!</v>
      </c>
      <c r="E85" s="202">
        <f>RSQ(E77:E83,$B77:$B83)</f>
        <v>0.99872692343118763</v>
      </c>
      <c r="F85" s="202">
        <f>RSQ(F77:F83,$B77:$B83)</f>
        <v>0.99872692343118763</v>
      </c>
      <c r="G85" s="202">
        <f>RSQ(G77:G83,$B77:$B83)</f>
        <v>0.99798630983946723</v>
      </c>
      <c r="H85" s="202">
        <f>RSQ(H77:H83,$B77:$B83)</f>
        <v>0.99798630983946723</v>
      </c>
      <c r="I85" s="202">
        <f t="shared" ref="I85:T85" si="176">RSQ(I77:I83,$B77:$B83)</f>
        <v>0.99971038698878889</v>
      </c>
      <c r="J85" s="202">
        <f t="shared" si="176"/>
        <v>0.99971038698878889</v>
      </c>
      <c r="K85" s="202">
        <f t="shared" si="176"/>
        <v>0.99958032555174325</v>
      </c>
      <c r="L85" s="202">
        <f t="shared" si="176"/>
        <v>0.99958032555174325</v>
      </c>
      <c r="M85" s="202">
        <f t="shared" si="176"/>
        <v>0.99991836636739995</v>
      </c>
      <c r="N85" s="202">
        <f t="shared" si="176"/>
        <v>0.99991836636739995</v>
      </c>
      <c r="O85" s="202">
        <f t="shared" si="176"/>
        <v>0.999955063343133</v>
      </c>
      <c r="P85" s="202">
        <f t="shared" si="176"/>
        <v>0.999955063343133</v>
      </c>
      <c r="Q85" s="202">
        <f t="shared" si="176"/>
        <v>0.99990506800018042</v>
      </c>
      <c r="R85" s="202">
        <f t="shared" si="176"/>
        <v>0.99990506800018042</v>
      </c>
      <c r="S85" s="202">
        <f t="shared" si="176"/>
        <v>0.85912179069056904</v>
      </c>
      <c r="T85" s="202">
        <f t="shared" si="176"/>
        <v>0.85912179069056904</v>
      </c>
      <c r="U85" s="202">
        <f t="shared" ref="U85:Z85" si="177">RSQ(U77:U83,$B77:$B83)</f>
        <v>0.99976912846958588</v>
      </c>
      <c r="V85" s="202">
        <f t="shared" si="177"/>
        <v>0.99976912846958588</v>
      </c>
      <c r="W85" s="202">
        <f t="shared" si="177"/>
        <v>0.99721669303662919</v>
      </c>
      <c r="X85" s="202">
        <f t="shared" si="177"/>
        <v>0.99721669303662919</v>
      </c>
      <c r="Y85" s="202">
        <f t="shared" si="177"/>
        <v>0.99789891517245422</v>
      </c>
      <c r="Z85" s="202">
        <f t="shared" si="177"/>
        <v>0.99789891517245422</v>
      </c>
      <c r="AA85" s="86">
        <f>U76</f>
        <v>299.5</v>
      </c>
      <c r="AB85" s="86">
        <f>U91</f>
        <v>930.76984126984109</v>
      </c>
    </row>
    <row r="86" spans="2:28" x14ac:dyDescent="0.35">
      <c r="B86" s="86" t="s">
        <v>292</v>
      </c>
      <c r="C86" s="86">
        <v>36000</v>
      </c>
      <c r="D86" s="86">
        <v>36000</v>
      </c>
      <c r="E86" s="86">
        <v>36000</v>
      </c>
      <c r="F86" s="86">
        <v>36000</v>
      </c>
      <c r="G86" s="86">
        <v>36000</v>
      </c>
      <c r="H86" s="86">
        <v>36000</v>
      </c>
      <c r="I86" s="86">
        <v>36000</v>
      </c>
      <c r="J86" s="86">
        <v>36000</v>
      </c>
      <c r="K86" s="86">
        <v>36000</v>
      </c>
      <c r="L86" s="86">
        <v>36000</v>
      </c>
      <c r="M86" s="86">
        <v>36000</v>
      </c>
      <c r="N86" s="86">
        <v>36000</v>
      </c>
      <c r="O86" s="86">
        <v>36000</v>
      </c>
      <c r="P86" s="86">
        <v>36000</v>
      </c>
      <c r="Q86" s="86">
        <v>36000</v>
      </c>
      <c r="R86" s="86">
        <v>36000</v>
      </c>
      <c r="S86" s="86">
        <v>36000</v>
      </c>
      <c r="T86" s="86">
        <v>36000</v>
      </c>
      <c r="U86" s="86">
        <v>36000</v>
      </c>
      <c r="V86" s="86">
        <v>36000</v>
      </c>
      <c r="W86" s="86">
        <v>36000</v>
      </c>
      <c r="X86" s="86">
        <v>36000</v>
      </c>
      <c r="Y86" s="86">
        <v>36000</v>
      </c>
      <c r="Z86" s="86">
        <v>36000</v>
      </c>
      <c r="AA86" s="226">
        <f>W76</f>
        <v>349</v>
      </c>
      <c r="AB86" s="226">
        <f>W91</f>
        <v>1202.2063492063492</v>
      </c>
    </row>
    <row r="87" spans="2:28" x14ac:dyDescent="0.35">
      <c r="B87" s="86" t="s">
        <v>296</v>
      </c>
      <c r="C87" s="86">
        <v>25</v>
      </c>
      <c r="D87" s="86">
        <v>25</v>
      </c>
      <c r="E87" s="86">
        <v>25</v>
      </c>
      <c r="F87" s="86">
        <v>25</v>
      </c>
      <c r="G87" s="86">
        <v>25</v>
      </c>
      <c r="H87" s="86">
        <v>25</v>
      </c>
      <c r="I87" s="86">
        <v>25</v>
      </c>
      <c r="J87" s="86">
        <v>25</v>
      </c>
      <c r="K87" s="86">
        <v>25</v>
      </c>
      <c r="L87" s="86">
        <v>25</v>
      </c>
      <c r="M87" s="86">
        <v>25</v>
      </c>
      <c r="N87" s="86">
        <v>25</v>
      </c>
      <c r="O87" s="86">
        <v>25</v>
      </c>
      <c r="P87" s="86">
        <v>25</v>
      </c>
      <c r="Q87" s="86">
        <v>25</v>
      </c>
      <c r="R87" s="86">
        <v>25</v>
      </c>
      <c r="S87" s="86">
        <v>25</v>
      </c>
      <c r="T87" s="86">
        <v>25</v>
      </c>
      <c r="U87" s="86">
        <v>25</v>
      </c>
      <c r="V87" s="86">
        <v>25</v>
      </c>
      <c r="W87" s="86">
        <v>25</v>
      </c>
      <c r="X87" s="86">
        <v>25</v>
      </c>
      <c r="Y87" s="86">
        <v>25</v>
      </c>
      <c r="Z87" s="86">
        <v>25</v>
      </c>
      <c r="AA87" s="86">
        <f>Y76</f>
        <v>372</v>
      </c>
      <c r="AB87" s="86">
        <f>Y91</f>
        <v>658.78571428571422</v>
      </c>
    </row>
    <row r="88" spans="2:28" x14ac:dyDescent="0.35">
      <c r="B88" s="86" t="s">
        <v>293</v>
      </c>
      <c r="C88" s="86">
        <v>2</v>
      </c>
      <c r="D88" s="86">
        <v>2</v>
      </c>
      <c r="E88" s="86">
        <v>10</v>
      </c>
      <c r="F88" s="86">
        <v>10</v>
      </c>
      <c r="G88" s="86">
        <v>40</v>
      </c>
      <c r="H88" s="86">
        <v>40</v>
      </c>
      <c r="I88" s="86">
        <v>40</v>
      </c>
      <c r="J88" s="86">
        <v>40</v>
      </c>
      <c r="K88" s="86">
        <v>50</v>
      </c>
      <c r="L88" s="86">
        <v>50</v>
      </c>
      <c r="M88" s="86">
        <v>100</v>
      </c>
      <c r="N88" s="86">
        <v>100</v>
      </c>
      <c r="O88" s="86">
        <v>100</v>
      </c>
      <c r="P88" s="86">
        <v>100</v>
      </c>
      <c r="Q88" s="86">
        <v>100</v>
      </c>
      <c r="R88" s="86">
        <v>100</v>
      </c>
      <c r="S88" s="86">
        <v>100</v>
      </c>
      <c r="T88" s="86">
        <v>100</v>
      </c>
      <c r="U88" s="86">
        <v>200</v>
      </c>
      <c r="V88" s="86">
        <v>200</v>
      </c>
      <c r="W88" s="86">
        <v>200</v>
      </c>
      <c r="X88" s="86">
        <v>200</v>
      </c>
      <c r="Y88" s="86">
        <v>200</v>
      </c>
      <c r="Z88" s="86">
        <v>200</v>
      </c>
    </row>
    <row r="89" spans="2:28" x14ac:dyDescent="0.35">
      <c r="B89" s="86" t="s">
        <v>294</v>
      </c>
      <c r="C89" s="86" t="e">
        <f t="shared" ref="C89:H89" si="178">(C84*C87*C88*10^6 / C86)/1000</f>
        <v>#DIV/0!</v>
      </c>
      <c r="D89" s="86" t="e">
        <f t="shared" si="178"/>
        <v>#DIV/0!</v>
      </c>
      <c r="E89" s="86">
        <f t="shared" si="178"/>
        <v>0.76527777777777783</v>
      </c>
      <c r="F89" s="86">
        <f t="shared" si="178"/>
        <v>0.76527777777777783</v>
      </c>
      <c r="G89" s="86">
        <f t="shared" si="178"/>
        <v>1.3095238095238098</v>
      </c>
      <c r="H89" s="86">
        <f t="shared" si="178"/>
        <v>1.3095238095238098</v>
      </c>
      <c r="I89" s="86">
        <f t="shared" ref="I89" si="179">(I84*I87*I88*10^6 / I86)/1000</f>
        <v>7.1349206349206344</v>
      </c>
      <c r="J89" s="86">
        <f t="shared" ref="J89:T89" si="180">(J84*J87*J88*10^6 / J86)/1000</f>
        <v>7.1349206349206344</v>
      </c>
      <c r="K89" s="86">
        <f t="shared" si="180"/>
        <v>16.128968253968253</v>
      </c>
      <c r="L89" s="86">
        <f t="shared" si="180"/>
        <v>16.128968253968253</v>
      </c>
      <c r="M89" s="86">
        <f t="shared" si="180"/>
        <v>23.476190476190471</v>
      </c>
      <c r="N89" s="86">
        <f t="shared" si="180"/>
        <v>23.476190476190471</v>
      </c>
      <c r="O89" s="86">
        <f t="shared" si="180"/>
        <v>27.341269841269845</v>
      </c>
      <c r="P89" s="86">
        <f t="shared" si="180"/>
        <v>27.341269841269845</v>
      </c>
      <c r="Q89" s="86">
        <f t="shared" si="180"/>
        <v>28.066860465116271</v>
      </c>
      <c r="R89" s="86">
        <f t="shared" si="180"/>
        <v>28.066860465116271</v>
      </c>
      <c r="S89" s="86">
        <f t="shared" si="180"/>
        <v>27.472222222222221</v>
      </c>
      <c r="T89" s="86">
        <f t="shared" si="180"/>
        <v>27.472222222222221</v>
      </c>
      <c r="U89" s="86">
        <f>(U84*U87*U88*10^6 / U86)/1000</f>
        <v>40.468253968253961</v>
      </c>
      <c r="V89" s="86">
        <f t="shared" ref="V89" si="181">(V84*V87*V88*10^6 / V86)/1000</f>
        <v>40.468253968253961</v>
      </c>
      <c r="W89" s="86">
        <f>(W84*W87*W88*10^6 / W86)/1000</f>
        <v>52.269841269841265</v>
      </c>
      <c r="X89" s="86">
        <f t="shared" ref="X89" si="182">(X84*X87*X88*10^6 / X86)/1000</f>
        <v>52.269841269841265</v>
      </c>
      <c r="Y89" s="86">
        <f>(Y84*Y87*Y88*10^6 / Y86)/1000</f>
        <v>28.642857142857142</v>
      </c>
      <c r="Z89" s="86">
        <f t="shared" ref="Z89" si="183">(Z84*Z87*Z88*10^6 / Z86)/1000</f>
        <v>28.642857142857142</v>
      </c>
    </row>
    <row r="90" spans="2:28" x14ac:dyDescent="0.35">
      <c r="B90" s="86" t="s">
        <v>295</v>
      </c>
      <c r="C90" s="86" t="e">
        <f t="shared" ref="C90:H90" si="184">C89*23</f>
        <v>#DIV/0!</v>
      </c>
      <c r="D90" s="86" t="e">
        <f t="shared" si="184"/>
        <v>#DIV/0!</v>
      </c>
      <c r="E90" s="86">
        <f t="shared" si="184"/>
        <v>17.601388888888891</v>
      </c>
      <c r="F90" s="86">
        <f t="shared" si="184"/>
        <v>17.601388888888891</v>
      </c>
      <c r="G90" s="86">
        <f t="shared" si="184"/>
        <v>30.119047619047624</v>
      </c>
      <c r="H90" s="86">
        <f t="shared" si="184"/>
        <v>30.119047619047624</v>
      </c>
      <c r="I90" s="86">
        <f t="shared" ref="I90" si="185">I89*23</f>
        <v>164.10317460317458</v>
      </c>
      <c r="J90" s="86">
        <f t="shared" ref="J90:T90" si="186">J89*23</f>
        <v>164.10317460317458</v>
      </c>
      <c r="K90" s="86">
        <f t="shared" si="186"/>
        <v>370.96626984126982</v>
      </c>
      <c r="L90" s="86">
        <f t="shared" si="186"/>
        <v>370.96626984126982</v>
      </c>
      <c r="M90" s="86">
        <f t="shared" si="186"/>
        <v>539.95238095238085</v>
      </c>
      <c r="N90" s="86">
        <f t="shared" si="186"/>
        <v>539.95238095238085</v>
      </c>
      <c r="O90" s="86">
        <f t="shared" si="186"/>
        <v>628.8492063492065</v>
      </c>
      <c r="P90" s="86">
        <f t="shared" si="186"/>
        <v>628.8492063492065</v>
      </c>
      <c r="Q90" s="86">
        <f t="shared" si="186"/>
        <v>645.53779069767427</v>
      </c>
      <c r="R90" s="86">
        <f t="shared" si="186"/>
        <v>645.53779069767427</v>
      </c>
      <c r="S90" s="86">
        <f t="shared" si="186"/>
        <v>631.86111111111109</v>
      </c>
      <c r="T90" s="86">
        <f t="shared" si="186"/>
        <v>631.86111111111109</v>
      </c>
      <c r="U90" s="86">
        <f>U89*23</f>
        <v>930.76984126984109</v>
      </c>
      <c r="V90" s="86">
        <f t="shared" ref="V90" si="187">V89*23</f>
        <v>930.76984126984109</v>
      </c>
      <c r="W90" s="86">
        <f>W89*23</f>
        <v>1202.2063492063492</v>
      </c>
      <c r="X90" s="86">
        <f t="shared" ref="X90" si="188">X89*23</f>
        <v>1202.2063492063492</v>
      </c>
      <c r="Y90" s="86">
        <f>Y89*23</f>
        <v>658.78571428571422</v>
      </c>
      <c r="Z90" s="86">
        <f t="shared" ref="Z90" si="189">Z89*23</f>
        <v>658.78571428571422</v>
      </c>
    </row>
    <row r="91" spans="2:28" x14ac:dyDescent="0.35">
      <c r="B91" s="108" t="s">
        <v>299</v>
      </c>
      <c r="C91" s="330" t="e">
        <f>AVERAGE(C90:D90)</f>
        <v>#DIV/0!</v>
      </c>
      <c r="D91" s="330"/>
      <c r="E91" s="330">
        <f>AVERAGE(E90:F90)</f>
        <v>17.601388888888891</v>
      </c>
      <c r="F91" s="330"/>
      <c r="G91" s="330">
        <f>AVERAGE(G90:H90)</f>
        <v>30.119047619047624</v>
      </c>
      <c r="H91" s="330"/>
      <c r="I91" s="330">
        <f>AVERAGE(I90:J90)</f>
        <v>164.10317460317458</v>
      </c>
      <c r="J91" s="330"/>
      <c r="K91" s="330">
        <f>AVERAGE(K90:L90)</f>
        <v>370.96626984126982</v>
      </c>
      <c r="L91" s="330"/>
      <c r="M91" s="330">
        <f>AVERAGE(M90:N90)</f>
        <v>539.95238095238085</v>
      </c>
      <c r="N91" s="330"/>
      <c r="O91" s="330">
        <f>AVERAGE(O90:P90)</f>
        <v>628.8492063492065</v>
      </c>
      <c r="P91" s="330"/>
      <c r="Q91" s="330">
        <f>AVERAGE(Q90:R90)</f>
        <v>645.53779069767427</v>
      </c>
      <c r="R91" s="330"/>
      <c r="S91" s="330">
        <f>AVERAGE(S90:T90)</f>
        <v>631.86111111111109</v>
      </c>
      <c r="T91" s="330"/>
      <c r="U91" s="330">
        <f>AVERAGE(U90:V90)</f>
        <v>930.76984126984109</v>
      </c>
      <c r="V91" s="330"/>
      <c r="W91" s="330">
        <f>AVERAGE(W90:X90)</f>
        <v>1202.2063492063492</v>
      </c>
      <c r="X91" s="330"/>
      <c r="Y91" s="330">
        <f>AVERAGE(Y90:Z90)</f>
        <v>658.78571428571422</v>
      </c>
      <c r="Z91" s="330"/>
    </row>
    <row r="92" spans="2:28" ht="15" thickBot="1" x14ac:dyDescent="0.4"/>
    <row r="93" spans="2:28" ht="15" thickBot="1" x14ac:dyDescent="0.4">
      <c r="B93" s="338" t="s">
        <v>304</v>
      </c>
      <c r="C93" s="339"/>
      <c r="D93" s="339"/>
      <c r="E93" s="339"/>
      <c r="F93" s="339"/>
      <c r="G93" s="339"/>
      <c r="H93" s="339"/>
      <c r="I93" s="339"/>
      <c r="J93" s="340"/>
      <c r="AA93" s="86" t="s">
        <v>404</v>
      </c>
    </row>
    <row r="94" spans="2:28" x14ac:dyDescent="0.35">
      <c r="B94" s="87" t="s">
        <v>290</v>
      </c>
      <c r="C94" s="108">
        <v>0</v>
      </c>
      <c r="D94" s="108">
        <v>0</v>
      </c>
      <c r="E94" s="108">
        <v>17.5</v>
      </c>
      <c r="F94" s="108">
        <v>17.5</v>
      </c>
      <c r="G94" s="108">
        <f>F94+24</f>
        <v>41.5</v>
      </c>
      <c r="H94" s="108">
        <v>41.5</v>
      </c>
      <c r="I94" s="108">
        <f>H94+24.5</f>
        <v>66</v>
      </c>
      <c r="J94" s="108">
        <f>I94</f>
        <v>66</v>
      </c>
      <c r="K94" s="108">
        <f>J94+24+23.5</f>
        <v>113.5</v>
      </c>
      <c r="L94" s="108">
        <f>K94</f>
        <v>113.5</v>
      </c>
      <c r="M94" s="108">
        <f>L94+23.5</f>
        <v>137</v>
      </c>
      <c r="N94" s="108">
        <f>M94</f>
        <v>137</v>
      </c>
      <c r="O94" s="108">
        <f>N94+24.5</f>
        <v>161.5</v>
      </c>
      <c r="P94" s="108">
        <f>O94</f>
        <v>161.5</v>
      </c>
      <c r="Q94" s="108">
        <f>P94+33.5</f>
        <v>195</v>
      </c>
      <c r="R94" s="108">
        <f>Q94</f>
        <v>195</v>
      </c>
      <c r="S94" s="108">
        <f>R94+24</f>
        <v>219</v>
      </c>
      <c r="T94" s="108">
        <f>S94</f>
        <v>219</v>
      </c>
      <c r="U94" s="108">
        <f>T94+38.5</f>
        <v>257.5</v>
      </c>
      <c r="V94" s="108">
        <f>U94</f>
        <v>257.5</v>
      </c>
      <c r="W94" s="108">
        <f>V94+72.5</f>
        <v>330</v>
      </c>
      <c r="X94" s="108">
        <f>W94</f>
        <v>330</v>
      </c>
      <c r="Y94" s="108">
        <f>X94+49.5</f>
        <v>379.5</v>
      </c>
      <c r="Z94" s="108">
        <f>Y94</f>
        <v>379.5</v>
      </c>
      <c r="AA94" s="86">
        <v>0</v>
      </c>
    </row>
    <row r="95" spans="2:28" x14ac:dyDescent="0.35">
      <c r="B95" s="108">
        <v>0</v>
      </c>
      <c r="E95" s="86">
        <v>0.16500000000000001</v>
      </c>
      <c r="F95" s="86">
        <v>0.161</v>
      </c>
      <c r="G95" s="86">
        <v>0.17199999999999999</v>
      </c>
      <c r="H95" s="86">
        <v>0.17199999999999999</v>
      </c>
      <c r="I95" s="86">
        <v>4.7E-2</v>
      </c>
      <c r="J95" s="86">
        <f>I95</f>
        <v>4.7E-2</v>
      </c>
      <c r="K95" s="86">
        <v>0.14799999999999999</v>
      </c>
      <c r="L95" s="86">
        <f t="shared" ref="L95:L100" si="190">K95</f>
        <v>0.14799999999999999</v>
      </c>
      <c r="M95" s="86">
        <v>0.158</v>
      </c>
      <c r="N95" s="86">
        <f t="shared" ref="N95:N100" si="191">M95</f>
        <v>0.158</v>
      </c>
      <c r="O95" s="86">
        <v>2.1999999999999999E-2</v>
      </c>
      <c r="P95" s="86">
        <f t="shared" ref="P95:P100" si="192">O95</f>
        <v>2.1999999999999999E-2</v>
      </c>
      <c r="Q95" s="86">
        <v>0.156</v>
      </c>
      <c r="R95" s="86">
        <f t="shared" ref="R95" si="193">Q95</f>
        <v>0.156</v>
      </c>
      <c r="S95" s="86">
        <v>0.161</v>
      </c>
      <c r="T95" s="86">
        <f t="shared" ref="T95:T100" si="194">S95</f>
        <v>0.161</v>
      </c>
      <c r="U95" s="86">
        <v>0.27</v>
      </c>
      <c r="V95" s="86">
        <f t="shared" ref="V95" si="195">U95</f>
        <v>0.27</v>
      </c>
      <c r="W95" s="86">
        <v>0.14399999999999999</v>
      </c>
      <c r="X95" s="86">
        <f t="shared" ref="X95:X100" si="196">W95</f>
        <v>0.14399999999999999</v>
      </c>
      <c r="Y95" s="86">
        <v>0.18</v>
      </c>
      <c r="Z95" s="86">
        <f t="shared" ref="Z95:Z100" si="197">Y95</f>
        <v>0.18</v>
      </c>
      <c r="AA95" s="86">
        <v>17.5</v>
      </c>
      <c r="AB95" s="86">
        <f>E109</f>
        <v>36.781746031746032</v>
      </c>
    </row>
    <row r="96" spans="2:28" x14ac:dyDescent="0.35">
      <c r="B96" s="108">
        <v>0.5</v>
      </c>
      <c r="E96" s="86">
        <v>0.28999999999999998</v>
      </c>
      <c r="F96" s="86">
        <v>0.28899999999999998</v>
      </c>
      <c r="G96" s="86">
        <v>0.29799999999999999</v>
      </c>
      <c r="H96" s="86">
        <v>0.29799999999999999</v>
      </c>
      <c r="I96" s="86">
        <v>9.9000000000000005E-2</v>
      </c>
      <c r="J96" s="86">
        <f t="shared" ref="J96:J100" si="198">I96</f>
        <v>9.9000000000000005E-2</v>
      </c>
      <c r="K96" s="86">
        <v>0.26600000000000001</v>
      </c>
      <c r="L96" s="86">
        <f t="shared" si="190"/>
        <v>0.26600000000000001</v>
      </c>
      <c r="M96" s="86">
        <v>0.35</v>
      </c>
      <c r="N96" s="86">
        <f t="shared" si="191"/>
        <v>0.35</v>
      </c>
      <c r="O96" s="86">
        <v>0.16</v>
      </c>
      <c r="P96" s="86">
        <f t="shared" si="192"/>
        <v>0.16</v>
      </c>
      <c r="Q96" s="86">
        <v>0.32</v>
      </c>
      <c r="R96" s="86">
        <f t="shared" ref="R96" si="199">Q96</f>
        <v>0.32</v>
      </c>
      <c r="S96" s="86">
        <v>0.34200000000000003</v>
      </c>
      <c r="T96" s="86">
        <f t="shared" si="194"/>
        <v>0.34200000000000003</v>
      </c>
      <c r="U96" s="86">
        <v>0.54</v>
      </c>
      <c r="V96" s="86">
        <f t="shared" ref="V96" si="200">U96</f>
        <v>0.54</v>
      </c>
      <c r="W96" s="86">
        <v>0.255</v>
      </c>
      <c r="X96" s="86">
        <f t="shared" si="196"/>
        <v>0.255</v>
      </c>
      <c r="Y96" s="86">
        <v>0.29199999999999998</v>
      </c>
      <c r="Z96" s="86">
        <f t="shared" si="197"/>
        <v>0.29199999999999998</v>
      </c>
      <c r="AA96" s="86">
        <v>41.5</v>
      </c>
      <c r="AB96" s="86">
        <f>G109</f>
        <v>37.406944444444449</v>
      </c>
    </row>
    <row r="97" spans="2:34" x14ac:dyDescent="0.35">
      <c r="B97" s="108">
        <v>1</v>
      </c>
      <c r="E97" s="86">
        <v>0.40500000000000003</v>
      </c>
      <c r="F97" s="86">
        <v>0.40400000000000003</v>
      </c>
      <c r="G97" s="86">
        <v>0.41799999999999998</v>
      </c>
      <c r="H97" s="86">
        <v>0.41799999999999998</v>
      </c>
      <c r="I97" s="86">
        <v>0.14699999999999999</v>
      </c>
      <c r="J97" s="86">
        <f t="shared" si="198"/>
        <v>0.14699999999999999</v>
      </c>
      <c r="K97" s="86">
        <v>0.38</v>
      </c>
      <c r="L97" s="86">
        <f t="shared" si="190"/>
        <v>0.38</v>
      </c>
      <c r="M97" s="86">
        <v>0.53</v>
      </c>
      <c r="N97" s="86">
        <f t="shared" si="191"/>
        <v>0.53</v>
      </c>
      <c r="O97" s="86">
        <v>0.28799999999999998</v>
      </c>
      <c r="P97" s="86">
        <f t="shared" si="192"/>
        <v>0.28799999999999998</v>
      </c>
      <c r="Q97" s="86">
        <v>0.47399999999999998</v>
      </c>
      <c r="R97" s="86">
        <f t="shared" ref="R97" si="201">Q97</f>
        <v>0.47399999999999998</v>
      </c>
      <c r="S97" s="86">
        <v>0.52200000000000002</v>
      </c>
      <c r="T97" s="86">
        <f t="shared" si="194"/>
        <v>0.52200000000000002</v>
      </c>
      <c r="U97" s="86">
        <v>0.79500000000000004</v>
      </c>
      <c r="V97" s="86">
        <f t="shared" ref="V97" si="202">U97</f>
        <v>0.79500000000000004</v>
      </c>
      <c r="W97" s="86">
        <v>0.36299999999999999</v>
      </c>
      <c r="X97" s="86">
        <f t="shared" si="196"/>
        <v>0.36299999999999999</v>
      </c>
      <c r="Y97" s="86">
        <v>0.378</v>
      </c>
      <c r="Z97" s="86">
        <f t="shared" si="197"/>
        <v>0.378</v>
      </c>
      <c r="AA97" s="86">
        <v>66</v>
      </c>
      <c r="AB97" s="86">
        <f>I109</f>
        <v>60.311111111111089</v>
      </c>
    </row>
    <row r="98" spans="2:34" x14ac:dyDescent="0.35">
      <c r="B98" s="108">
        <v>1.5</v>
      </c>
      <c r="E98" s="86">
        <v>0.52100000000000002</v>
      </c>
      <c r="F98" s="86">
        <v>0.52100000000000002</v>
      </c>
      <c r="G98" s="86">
        <v>0.53100000000000003</v>
      </c>
      <c r="H98" s="86">
        <v>0.53100000000000003</v>
      </c>
      <c r="I98" s="86">
        <v>0.19400000000000001</v>
      </c>
      <c r="J98" s="86">
        <f t="shared" si="198"/>
        <v>0.19400000000000001</v>
      </c>
      <c r="K98" s="86">
        <v>0.49399999999999999</v>
      </c>
      <c r="L98" s="86">
        <f t="shared" si="190"/>
        <v>0.49399999999999999</v>
      </c>
      <c r="M98" s="86">
        <v>0.70899999999999996</v>
      </c>
      <c r="N98" s="86">
        <f t="shared" si="191"/>
        <v>0.70899999999999996</v>
      </c>
      <c r="O98" s="86">
        <v>0.41299999999999998</v>
      </c>
      <c r="P98" s="86">
        <f t="shared" si="192"/>
        <v>0.41299999999999998</v>
      </c>
      <c r="Q98" s="86">
        <v>0.624</v>
      </c>
      <c r="R98" s="86">
        <f t="shared" ref="R98" si="203">Q98</f>
        <v>0.624</v>
      </c>
      <c r="U98" s="86">
        <v>1.0429999999999999</v>
      </c>
      <c r="V98" s="86">
        <f t="shared" ref="V98" si="204">U98</f>
        <v>1.0429999999999999</v>
      </c>
      <c r="W98" s="86">
        <v>0.47199999999999998</v>
      </c>
      <c r="X98" s="86">
        <f t="shared" si="196"/>
        <v>0.47199999999999998</v>
      </c>
      <c r="Y98" s="86">
        <v>0.47699999999999998</v>
      </c>
      <c r="Z98" s="86">
        <f t="shared" si="197"/>
        <v>0.47699999999999998</v>
      </c>
      <c r="AA98" s="86">
        <f>K94</f>
        <v>113.5</v>
      </c>
      <c r="AB98" s="86">
        <f>K109</f>
        <v>145.26507936507937</v>
      </c>
    </row>
    <row r="99" spans="2:34" x14ac:dyDescent="0.35">
      <c r="B99" s="108">
        <v>2</v>
      </c>
      <c r="E99" s="86">
        <v>0.63200000000000001</v>
      </c>
      <c r="F99" s="86">
        <v>0.63600000000000001</v>
      </c>
      <c r="G99" s="86">
        <v>0.64100000000000001</v>
      </c>
      <c r="H99" s="86">
        <v>0.64100000000000001</v>
      </c>
      <c r="I99" s="86">
        <v>0.23899999999999999</v>
      </c>
      <c r="J99" s="86">
        <f t="shared" si="198"/>
        <v>0.23899999999999999</v>
      </c>
      <c r="K99" s="86">
        <v>0.60599999999999998</v>
      </c>
      <c r="L99" s="86">
        <f t="shared" si="190"/>
        <v>0.60599999999999998</v>
      </c>
      <c r="M99" s="86">
        <v>0.88600000000000001</v>
      </c>
      <c r="N99" s="86">
        <f t="shared" si="191"/>
        <v>0.88600000000000001</v>
      </c>
      <c r="O99" s="86">
        <v>0.53700000000000003</v>
      </c>
      <c r="P99" s="86">
        <f t="shared" si="192"/>
        <v>0.53700000000000003</v>
      </c>
      <c r="Q99" s="86">
        <v>0.77800000000000002</v>
      </c>
      <c r="R99" s="86">
        <f t="shared" ref="R99" si="205">Q99</f>
        <v>0.77800000000000002</v>
      </c>
      <c r="S99" s="86">
        <v>0.86099999999999999</v>
      </c>
      <c r="T99" s="86">
        <f t="shared" si="194"/>
        <v>0.86099999999999999</v>
      </c>
      <c r="U99" s="86">
        <v>1.294</v>
      </c>
      <c r="V99" s="86">
        <f t="shared" ref="V99" si="206">U99</f>
        <v>1.294</v>
      </c>
      <c r="W99" s="86">
        <v>0.57999999999999996</v>
      </c>
      <c r="X99" s="86">
        <f t="shared" si="196"/>
        <v>0.57999999999999996</v>
      </c>
      <c r="Y99" s="86">
        <v>0.55300000000000005</v>
      </c>
      <c r="Z99" s="86">
        <f t="shared" si="197"/>
        <v>0.55300000000000005</v>
      </c>
      <c r="AA99" s="86">
        <f>M94</f>
        <v>137</v>
      </c>
      <c r="AB99" s="86">
        <f>M109</f>
        <v>286.22222222222217</v>
      </c>
    </row>
    <row r="100" spans="2:34" x14ac:dyDescent="0.35">
      <c r="B100" s="108">
        <v>2.5</v>
      </c>
      <c r="E100" s="86">
        <v>0.73299999999999998</v>
      </c>
      <c r="F100" s="86">
        <v>0.745</v>
      </c>
      <c r="I100" s="86">
        <v>0.28399999999999997</v>
      </c>
      <c r="J100" s="86">
        <f t="shared" si="198"/>
        <v>0.28399999999999997</v>
      </c>
      <c r="K100" s="86">
        <v>0.71699999999999997</v>
      </c>
      <c r="L100" s="86">
        <f t="shared" si="190"/>
        <v>0.71699999999999997</v>
      </c>
      <c r="M100" s="86">
        <v>1.0549999999999999</v>
      </c>
      <c r="N100" s="86">
        <f t="shared" si="191"/>
        <v>1.0549999999999999</v>
      </c>
      <c r="O100" s="86">
        <v>0.65900000000000003</v>
      </c>
      <c r="P100" s="86">
        <f t="shared" si="192"/>
        <v>0.65900000000000003</v>
      </c>
      <c r="Q100" s="86">
        <v>0.93100000000000005</v>
      </c>
      <c r="R100" s="86">
        <f t="shared" ref="R100" si="207">Q100</f>
        <v>0.93100000000000005</v>
      </c>
      <c r="S100" s="86">
        <v>1.034</v>
      </c>
      <c r="T100" s="86">
        <f t="shared" si="194"/>
        <v>1.034</v>
      </c>
      <c r="U100" s="86">
        <v>1.5469999999999999</v>
      </c>
      <c r="V100" s="86">
        <f t="shared" ref="V100" si="208">U100</f>
        <v>1.5469999999999999</v>
      </c>
      <c r="W100" s="86">
        <v>0.68600000000000005</v>
      </c>
      <c r="X100" s="86">
        <f t="shared" si="196"/>
        <v>0.68600000000000005</v>
      </c>
      <c r="Y100" s="86">
        <v>0.63500000000000001</v>
      </c>
      <c r="Z100" s="86">
        <f t="shared" si="197"/>
        <v>0.63500000000000001</v>
      </c>
      <c r="AA100" s="86">
        <f>O94</f>
        <v>161.5</v>
      </c>
      <c r="AB100" s="86">
        <f>O109</f>
        <v>405.329365079365</v>
      </c>
    </row>
    <row r="101" spans="2:34" x14ac:dyDescent="0.35">
      <c r="B101" s="108">
        <v>3</v>
      </c>
      <c r="AA101" s="86">
        <f>Q94</f>
        <v>195</v>
      </c>
      <c r="AB101" s="86">
        <f>Q109</f>
        <v>492.76587301587307</v>
      </c>
    </row>
    <row r="102" spans="2:34" x14ac:dyDescent="0.35">
      <c r="B102" s="86" t="s">
        <v>297</v>
      </c>
      <c r="C102" s="86" t="e">
        <f t="shared" ref="C102" si="209">SLOPE(C95:C101,$B95:$B101)</f>
        <v>#DIV/0!</v>
      </c>
      <c r="D102" s="86" t="e">
        <f t="shared" ref="D102" si="210">SLOPE(D95:D101,$B95:$B101)</f>
        <v>#DIV/0!</v>
      </c>
      <c r="E102" s="86">
        <f t="shared" ref="E102:J102" si="211">SLOPE(E95:E101,$B95:$B101)</f>
        <v>0.22754285714285716</v>
      </c>
      <c r="F102" s="86">
        <f t="shared" si="211"/>
        <v>0.23302857142857139</v>
      </c>
      <c r="G102" s="86">
        <f t="shared" si="211"/>
        <v>0.23420000000000002</v>
      </c>
      <c r="H102" s="86">
        <f t="shared" si="211"/>
        <v>0.23420000000000002</v>
      </c>
      <c r="I102" s="86">
        <f t="shared" si="211"/>
        <v>9.4399999999999984E-2</v>
      </c>
      <c r="J102" s="86">
        <f t="shared" si="211"/>
        <v>9.4399999999999984E-2</v>
      </c>
      <c r="K102" s="86">
        <f t="shared" ref="K102" si="212">SLOPE(K95:K101,$B95:$B101)</f>
        <v>0.22737142857142856</v>
      </c>
      <c r="L102" s="86">
        <f t="shared" ref="L102:V102" si="213">SLOPE(L95:L101,$B95:$B101)</f>
        <v>0.22737142857142856</v>
      </c>
      <c r="M102" s="86">
        <f t="shared" si="213"/>
        <v>0.3584</v>
      </c>
      <c r="N102" s="86">
        <f t="shared" si="213"/>
        <v>0.3584</v>
      </c>
      <c r="O102" s="86">
        <f t="shared" si="213"/>
        <v>0.25377142857142854</v>
      </c>
      <c r="P102" s="86">
        <f t="shared" si="213"/>
        <v>0.25377142857142854</v>
      </c>
      <c r="Q102" s="86">
        <f t="shared" si="213"/>
        <v>0.30851428571428574</v>
      </c>
      <c r="R102" s="86">
        <f t="shared" si="213"/>
        <v>0.30851428571428574</v>
      </c>
      <c r="S102" s="86">
        <f t="shared" si="213"/>
        <v>0.34790697674418597</v>
      </c>
      <c r="T102" s="86">
        <f t="shared" si="213"/>
        <v>0.34790697674418597</v>
      </c>
      <c r="U102" s="86">
        <f t="shared" si="213"/>
        <v>0.50828571428571423</v>
      </c>
      <c r="V102" s="86">
        <f t="shared" si="213"/>
        <v>0.50828571428571423</v>
      </c>
      <c r="W102" s="86">
        <f>SLOPE(W95:W101,$B95:$B101)</f>
        <v>0.21680000000000002</v>
      </c>
      <c r="X102" s="86">
        <f>SLOPE(X95:X101,$B95:$B101)</f>
        <v>0.21680000000000002</v>
      </c>
      <c r="Y102" s="86">
        <f>SLOPE(Y95:Y101,$B95:$B101)</f>
        <v>0.1804</v>
      </c>
      <c r="Z102" s="86">
        <f>SLOPE(Z95:Z101,$B95:$B101)</f>
        <v>0.1804</v>
      </c>
      <c r="AA102" s="86">
        <f>S94</f>
        <v>219</v>
      </c>
      <c r="AB102" s="86">
        <f>S109</f>
        <v>555.68475452196367</v>
      </c>
    </row>
    <row r="103" spans="2:34" x14ac:dyDescent="0.35">
      <c r="B103" s="86" t="s">
        <v>298</v>
      </c>
      <c r="C103" s="202" t="e">
        <f t="shared" ref="C103:D103" si="214">RSQ(C95:C101,$B95:$B101)</f>
        <v>#DIV/0!</v>
      </c>
      <c r="D103" s="202" t="e">
        <f t="shared" si="214"/>
        <v>#DIV/0!</v>
      </c>
      <c r="E103" s="202">
        <f t="shared" ref="E103:V103" si="215">RSQ(E95:E101,$B95:$B101)</f>
        <v>0.99897500471462564</v>
      </c>
      <c r="F103" s="202">
        <f t="shared" si="215"/>
        <v>0.9994753632270249</v>
      </c>
      <c r="G103" s="202">
        <f t="shared" si="215"/>
        <v>0.99919917804625635</v>
      </c>
      <c r="H103" s="202">
        <f t="shared" si="215"/>
        <v>0.99919917804625635</v>
      </c>
      <c r="I103" s="202">
        <f t="shared" si="215"/>
        <v>0.99927891598175045</v>
      </c>
      <c r="J103" s="202">
        <f t="shared" si="215"/>
        <v>0.99927891598175045</v>
      </c>
      <c r="K103" s="202">
        <f t="shared" si="215"/>
        <v>0.99989785730863912</v>
      </c>
      <c r="L103" s="202">
        <f t="shared" si="215"/>
        <v>0.99989785730863912</v>
      </c>
      <c r="M103" s="202">
        <f t="shared" si="215"/>
        <v>0.99963688671268613</v>
      </c>
      <c r="N103" s="202">
        <f t="shared" si="215"/>
        <v>0.99963688671268613</v>
      </c>
      <c r="O103" s="202">
        <f t="shared" si="215"/>
        <v>0.99956089725152808</v>
      </c>
      <c r="P103" s="202">
        <f t="shared" si="215"/>
        <v>0.99956089725152808</v>
      </c>
      <c r="Q103" s="202">
        <f t="shared" si="215"/>
        <v>0.99983750623057621</v>
      </c>
      <c r="R103" s="202">
        <f t="shared" si="215"/>
        <v>0.99983750623057621</v>
      </c>
      <c r="S103" s="202">
        <f t="shared" si="215"/>
        <v>0.99981335163898921</v>
      </c>
      <c r="T103" s="202">
        <f t="shared" si="215"/>
        <v>0.99981335163898921</v>
      </c>
      <c r="U103" s="202">
        <f t="shared" si="215"/>
        <v>0.99982443485599093</v>
      </c>
      <c r="V103" s="202">
        <f t="shared" si="215"/>
        <v>0.99982443485599093</v>
      </c>
      <c r="W103" s="202">
        <f>RSQ(W95:W101,$B95:$B101)</f>
        <v>0.99995850420631227</v>
      </c>
      <c r="X103" s="202">
        <f>RSQ(X95:X101,$B95:$B101)</f>
        <v>0.99995850420631227</v>
      </c>
      <c r="Y103" s="202">
        <f>RSQ(Y95:Y101,$B95:$B101)</f>
        <v>0.99631834726820812</v>
      </c>
      <c r="Z103" s="202">
        <f>RSQ(Z95:Z101,$B95:$B101)</f>
        <v>0.99631834726820812</v>
      </c>
      <c r="AA103" s="226">
        <f>U94</f>
        <v>257.5</v>
      </c>
      <c r="AB103" s="226">
        <f>U109</f>
        <v>811.84523809523796</v>
      </c>
    </row>
    <row r="104" spans="2:34" x14ac:dyDescent="0.35">
      <c r="B104" s="86" t="s">
        <v>292</v>
      </c>
      <c r="C104" s="86">
        <v>36000</v>
      </c>
      <c r="D104" s="86">
        <v>36000</v>
      </c>
      <c r="E104" s="86">
        <v>36000</v>
      </c>
      <c r="F104" s="86">
        <v>36000</v>
      </c>
      <c r="G104" s="86">
        <v>36000</v>
      </c>
      <c r="H104" s="86">
        <v>36000</v>
      </c>
      <c r="I104" s="86">
        <v>36000</v>
      </c>
      <c r="J104" s="86">
        <v>36000</v>
      </c>
      <c r="K104" s="86">
        <v>36000</v>
      </c>
      <c r="L104" s="86">
        <v>36000</v>
      </c>
      <c r="M104" s="86">
        <v>36000</v>
      </c>
      <c r="N104" s="86">
        <v>36000</v>
      </c>
      <c r="O104" s="86">
        <v>36000</v>
      </c>
      <c r="P104" s="86">
        <v>36000</v>
      </c>
      <c r="Q104" s="86">
        <v>36000</v>
      </c>
      <c r="R104" s="86">
        <v>36000</v>
      </c>
      <c r="S104" s="86">
        <v>36000</v>
      </c>
      <c r="T104" s="86">
        <v>36000</v>
      </c>
      <c r="U104" s="86">
        <v>36000</v>
      </c>
      <c r="V104" s="86">
        <v>36000</v>
      </c>
      <c r="W104" s="86">
        <v>36000</v>
      </c>
      <c r="X104" s="86">
        <v>36000</v>
      </c>
      <c r="Y104" s="86">
        <v>36000</v>
      </c>
      <c r="Z104" s="86">
        <v>36000</v>
      </c>
      <c r="AA104" s="86">
        <f>W94</f>
        <v>330</v>
      </c>
      <c r="AB104" s="86">
        <f>W109</f>
        <v>692.55555555555566</v>
      </c>
    </row>
    <row r="105" spans="2:34" x14ac:dyDescent="0.35">
      <c r="B105" s="86" t="s">
        <v>296</v>
      </c>
      <c r="C105" s="86">
        <v>25</v>
      </c>
      <c r="D105" s="86">
        <v>25</v>
      </c>
      <c r="E105" s="86">
        <v>25</v>
      </c>
      <c r="F105" s="86">
        <v>25</v>
      </c>
      <c r="G105" s="86">
        <v>25</v>
      </c>
      <c r="H105" s="86">
        <v>25</v>
      </c>
      <c r="I105" s="86">
        <v>25</v>
      </c>
      <c r="J105" s="86">
        <v>25</v>
      </c>
      <c r="K105" s="86">
        <v>25</v>
      </c>
      <c r="L105" s="86">
        <v>25</v>
      </c>
      <c r="M105" s="86">
        <v>25</v>
      </c>
      <c r="N105" s="86">
        <v>25</v>
      </c>
      <c r="O105" s="86">
        <v>25</v>
      </c>
      <c r="P105" s="86">
        <v>25</v>
      </c>
      <c r="Q105" s="86">
        <v>25</v>
      </c>
      <c r="R105" s="86">
        <v>25</v>
      </c>
      <c r="S105" s="86">
        <v>25</v>
      </c>
      <c r="T105" s="86">
        <v>25</v>
      </c>
      <c r="U105" s="86">
        <v>25</v>
      </c>
      <c r="V105" s="86">
        <v>25</v>
      </c>
      <c r="W105" s="86">
        <v>25</v>
      </c>
      <c r="X105" s="86">
        <v>25</v>
      </c>
      <c r="Y105" s="86">
        <v>25</v>
      </c>
      <c r="Z105" s="86">
        <v>25</v>
      </c>
      <c r="AA105" s="86">
        <f>Y94</f>
        <v>379.5</v>
      </c>
      <c r="AB105" s="86">
        <f>Y109</f>
        <v>576.27777777777771</v>
      </c>
    </row>
    <row r="106" spans="2:34" x14ac:dyDescent="0.35">
      <c r="B106" s="86" t="s">
        <v>293</v>
      </c>
      <c r="C106" s="86">
        <v>2</v>
      </c>
      <c r="D106" s="86">
        <v>2</v>
      </c>
      <c r="E106" s="86">
        <v>10</v>
      </c>
      <c r="F106" s="86">
        <v>10</v>
      </c>
      <c r="G106" s="86">
        <v>10</v>
      </c>
      <c r="H106" s="86">
        <v>10</v>
      </c>
      <c r="I106" s="86">
        <v>40</v>
      </c>
      <c r="J106" s="86">
        <v>40</v>
      </c>
      <c r="K106" s="86">
        <v>40</v>
      </c>
      <c r="L106" s="86">
        <v>40</v>
      </c>
      <c r="M106" s="86">
        <v>50</v>
      </c>
      <c r="N106" s="86">
        <v>50</v>
      </c>
      <c r="O106" s="86">
        <v>100</v>
      </c>
      <c r="P106" s="86">
        <v>100</v>
      </c>
      <c r="Q106" s="86">
        <v>100</v>
      </c>
      <c r="R106" s="86">
        <v>100</v>
      </c>
      <c r="S106" s="86">
        <v>100</v>
      </c>
      <c r="T106" s="86">
        <v>100</v>
      </c>
      <c r="U106" s="86">
        <v>100</v>
      </c>
      <c r="V106" s="86">
        <v>100</v>
      </c>
      <c r="W106" s="86">
        <v>200</v>
      </c>
      <c r="X106" s="86">
        <v>200</v>
      </c>
      <c r="Y106" s="86">
        <v>200</v>
      </c>
      <c r="Z106" s="86">
        <v>200</v>
      </c>
    </row>
    <row r="107" spans="2:34" x14ac:dyDescent="0.35">
      <c r="B107" s="86" t="s">
        <v>294</v>
      </c>
      <c r="C107" s="86" t="e">
        <f t="shared" ref="C107:J107" si="216">(C102*C105*C106*10^6 / C104)/1000</f>
        <v>#DIV/0!</v>
      </c>
      <c r="D107" s="86" t="e">
        <f t="shared" si="216"/>
        <v>#DIV/0!</v>
      </c>
      <c r="E107" s="86">
        <f t="shared" si="216"/>
        <v>1.5801587301587301</v>
      </c>
      <c r="F107" s="86">
        <f t="shared" si="216"/>
        <v>1.6182539682539681</v>
      </c>
      <c r="G107" s="86">
        <f t="shared" si="216"/>
        <v>1.6263888888888891</v>
      </c>
      <c r="H107" s="86">
        <f t="shared" si="216"/>
        <v>1.6263888888888891</v>
      </c>
      <c r="I107" s="86">
        <f t="shared" si="216"/>
        <v>2.6222222222222213</v>
      </c>
      <c r="J107" s="86">
        <f t="shared" si="216"/>
        <v>2.6222222222222213</v>
      </c>
      <c r="K107" s="86">
        <f t="shared" ref="K107" si="217">(K102*K105*K106*10^6 / K104)/1000</f>
        <v>6.3158730158730156</v>
      </c>
      <c r="L107" s="86">
        <f t="shared" ref="L107:V107" si="218">(L102*L105*L106*10^6 / L104)/1000</f>
        <v>6.3158730158730156</v>
      </c>
      <c r="M107" s="86">
        <f t="shared" si="218"/>
        <v>12.444444444444443</v>
      </c>
      <c r="N107" s="86">
        <f t="shared" si="218"/>
        <v>12.444444444444443</v>
      </c>
      <c r="O107" s="86">
        <f t="shared" si="218"/>
        <v>17.62301587301587</v>
      </c>
      <c r="P107" s="86">
        <f t="shared" si="218"/>
        <v>17.62301587301587</v>
      </c>
      <c r="Q107" s="86">
        <f t="shared" si="218"/>
        <v>21.424603174603178</v>
      </c>
      <c r="R107" s="86">
        <f t="shared" si="218"/>
        <v>21.424603174603178</v>
      </c>
      <c r="S107" s="86">
        <f t="shared" si="218"/>
        <v>24.160206718346249</v>
      </c>
      <c r="T107" s="86">
        <f t="shared" si="218"/>
        <v>24.160206718346249</v>
      </c>
      <c r="U107" s="86">
        <f t="shared" si="218"/>
        <v>35.297619047619044</v>
      </c>
      <c r="V107" s="86">
        <f t="shared" si="218"/>
        <v>35.297619047619044</v>
      </c>
      <c r="W107" s="86">
        <f>(W102*W105*W106*10^6 / W104)/1000</f>
        <v>30.111111111111118</v>
      </c>
      <c r="X107" s="86">
        <f t="shared" ref="X107" si="219">(X102*X105*X106*10^6 / X104)/1000</f>
        <v>30.111111111111118</v>
      </c>
      <c r="Y107" s="86">
        <f>(Y102*Y105*Y106*10^6 / Y104)/1000</f>
        <v>25.055555555555554</v>
      </c>
      <c r="Z107" s="86">
        <f t="shared" ref="Z107" si="220">(Z102*Z105*Z106*10^6 / Z104)/1000</f>
        <v>25.055555555555554</v>
      </c>
    </row>
    <row r="108" spans="2:34" x14ac:dyDescent="0.35">
      <c r="B108" s="86" t="s">
        <v>295</v>
      </c>
      <c r="C108" s="86" t="e">
        <f t="shared" ref="C108:J108" si="221">C107*23</f>
        <v>#DIV/0!</v>
      </c>
      <c r="D108" s="86" t="e">
        <f t="shared" si="221"/>
        <v>#DIV/0!</v>
      </c>
      <c r="E108" s="86">
        <f t="shared" si="221"/>
        <v>36.343650793650795</v>
      </c>
      <c r="F108" s="86">
        <f t="shared" si="221"/>
        <v>37.219841269841268</v>
      </c>
      <c r="G108" s="86">
        <f t="shared" si="221"/>
        <v>37.406944444444449</v>
      </c>
      <c r="H108" s="86">
        <f t="shared" si="221"/>
        <v>37.406944444444449</v>
      </c>
      <c r="I108" s="86">
        <f t="shared" si="221"/>
        <v>60.311111111111089</v>
      </c>
      <c r="J108" s="86">
        <f t="shared" si="221"/>
        <v>60.311111111111089</v>
      </c>
      <c r="K108" s="86">
        <f t="shared" ref="K108" si="222">K107*23</f>
        <v>145.26507936507937</v>
      </c>
      <c r="L108" s="86">
        <f t="shared" ref="L108:V108" si="223">L107*23</f>
        <v>145.26507936507937</v>
      </c>
      <c r="M108" s="86">
        <f t="shared" si="223"/>
        <v>286.22222222222217</v>
      </c>
      <c r="N108" s="86">
        <f t="shared" si="223"/>
        <v>286.22222222222217</v>
      </c>
      <c r="O108" s="86">
        <f t="shared" si="223"/>
        <v>405.329365079365</v>
      </c>
      <c r="P108" s="86">
        <f t="shared" si="223"/>
        <v>405.329365079365</v>
      </c>
      <c r="Q108" s="86">
        <f t="shared" si="223"/>
        <v>492.76587301587307</v>
      </c>
      <c r="R108" s="86">
        <f t="shared" si="223"/>
        <v>492.76587301587307</v>
      </c>
      <c r="S108" s="86">
        <f t="shared" si="223"/>
        <v>555.68475452196367</v>
      </c>
      <c r="T108" s="86">
        <f t="shared" si="223"/>
        <v>555.68475452196367</v>
      </c>
      <c r="U108" s="86">
        <f t="shared" si="223"/>
        <v>811.84523809523796</v>
      </c>
      <c r="V108" s="86">
        <f t="shared" si="223"/>
        <v>811.84523809523796</v>
      </c>
      <c r="W108" s="86">
        <f>W107*23</f>
        <v>692.55555555555566</v>
      </c>
      <c r="X108" s="86">
        <f t="shared" ref="X108" si="224">X107*23</f>
        <v>692.55555555555566</v>
      </c>
      <c r="Y108" s="86">
        <f>Y107*23</f>
        <v>576.27777777777771</v>
      </c>
      <c r="Z108" s="86">
        <f t="shared" ref="Z108" si="225">Z107*23</f>
        <v>576.27777777777771</v>
      </c>
    </row>
    <row r="109" spans="2:34" s="108" customFormat="1" x14ac:dyDescent="0.35">
      <c r="B109" s="108" t="s">
        <v>299</v>
      </c>
      <c r="C109" s="330" t="e">
        <f>AVERAGE(C108:D108)</f>
        <v>#DIV/0!</v>
      </c>
      <c r="D109" s="330"/>
      <c r="E109" s="330">
        <f>AVERAGE(E108:F108)</f>
        <v>36.781746031746032</v>
      </c>
      <c r="F109" s="330"/>
      <c r="G109" s="330">
        <f>AVERAGE(G108:H108)</f>
        <v>37.406944444444449</v>
      </c>
      <c r="H109" s="330"/>
      <c r="I109" s="330">
        <f>AVERAGE(I108:J108)</f>
        <v>60.311111111111089</v>
      </c>
      <c r="J109" s="330"/>
      <c r="K109" s="330">
        <f>AVERAGE(K108:L108)</f>
        <v>145.26507936507937</v>
      </c>
      <c r="L109" s="330"/>
      <c r="M109" s="330">
        <f>AVERAGE(M108:N108)</f>
        <v>286.22222222222217</v>
      </c>
      <c r="N109" s="330"/>
      <c r="O109" s="330">
        <f>AVERAGE(O108:P108)</f>
        <v>405.329365079365</v>
      </c>
      <c r="P109" s="330"/>
      <c r="Q109" s="330">
        <f>AVERAGE(Q108:R108)</f>
        <v>492.76587301587307</v>
      </c>
      <c r="R109" s="330"/>
      <c r="S109" s="330">
        <f>AVERAGE(S108:T108)</f>
        <v>555.68475452196367</v>
      </c>
      <c r="T109" s="330"/>
      <c r="U109" s="330">
        <f>AVERAGE(U108:V108)</f>
        <v>811.84523809523796</v>
      </c>
      <c r="V109" s="330"/>
      <c r="W109" s="330">
        <f>AVERAGE(W108:X108)</f>
        <v>692.55555555555566</v>
      </c>
      <c r="X109" s="330"/>
      <c r="Y109" s="330">
        <f>AVERAGE(Y108:Z108)</f>
        <v>576.27777777777771</v>
      </c>
      <c r="Z109" s="330"/>
    </row>
    <row r="110" spans="2:34" ht="15" thickBot="1" x14ac:dyDescent="0.4"/>
    <row r="111" spans="2:34" ht="15" thickBot="1" x14ac:dyDescent="0.4">
      <c r="B111" s="338" t="s">
        <v>305</v>
      </c>
      <c r="C111" s="339"/>
      <c r="D111" s="339"/>
      <c r="E111" s="339"/>
      <c r="F111" s="339"/>
      <c r="G111" s="339"/>
      <c r="H111" s="339"/>
      <c r="I111" s="339"/>
      <c r="J111" s="340"/>
      <c r="AG111" s="86" t="s">
        <v>404</v>
      </c>
    </row>
    <row r="112" spans="2:34" x14ac:dyDescent="0.35">
      <c r="B112" s="87" t="s">
        <v>290</v>
      </c>
      <c r="C112" s="108">
        <v>0</v>
      </c>
      <c r="D112" s="108">
        <v>0</v>
      </c>
      <c r="E112" s="108">
        <v>18.5</v>
      </c>
      <c r="F112" s="108">
        <v>18.5</v>
      </c>
      <c r="G112" s="108">
        <v>40.5</v>
      </c>
      <c r="H112" s="108">
        <v>40.5</v>
      </c>
      <c r="I112" s="108">
        <v>62.5</v>
      </c>
      <c r="J112" s="108">
        <v>62.5</v>
      </c>
      <c r="K112" s="108">
        <f>J112+24</f>
        <v>86.5</v>
      </c>
      <c r="L112" s="108">
        <v>86.5</v>
      </c>
      <c r="M112" s="108">
        <f>L112+24.5</f>
        <v>111</v>
      </c>
      <c r="N112" s="108">
        <f>M112</f>
        <v>111</v>
      </c>
      <c r="O112" s="108">
        <f>N112+24+23.5</f>
        <v>158.5</v>
      </c>
      <c r="P112" s="108">
        <f>O112</f>
        <v>158.5</v>
      </c>
      <c r="Q112" s="108">
        <f>P112+23.5</f>
        <v>182</v>
      </c>
      <c r="R112" s="108">
        <f>Q112</f>
        <v>182</v>
      </c>
      <c r="S112" s="108">
        <f>R112+24.5</f>
        <v>206.5</v>
      </c>
      <c r="T112" s="108">
        <f>S112</f>
        <v>206.5</v>
      </c>
      <c r="U112" s="108">
        <f>T112+33.5</f>
        <v>240</v>
      </c>
      <c r="V112" s="108">
        <f>U112</f>
        <v>240</v>
      </c>
      <c r="W112" s="108">
        <f>V112+24</f>
        <v>264</v>
      </c>
      <c r="X112" s="108">
        <f>W112</f>
        <v>264</v>
      </c>
      <c r="Y112" s="108">
        <f>X112+38.5</f>
        <v>302.5</v>
      </c>
      <c r="Z112" s="108">
        <f>Y112</f>
        <v>302.5</v>
      </c>
      <c r="AA112" s="108">
        <f>Z112+72.5</f>
        <v>375</v>
      </c>
      <c r="AB112" s="108">
        <f>AA112</f>
        <v>375</v>
      </c>
      <c r="AC112" s="108">
        <f>AB112+49.5</f>
        <v>424.5</v>
      </c>
      <c r="AD112" s="108">
        <f>AC112</f>
        <v>424.5</v>
      </c>
      <c r="AE112" s="108">
        <f>AD112+23</f>
        <v>447.5</v>
      </c>
      <c r="AF112" s="108">
        <f>AE112</f>
        <v>447.5</v>
      </c>
      <c r="AG112" s="86">
        <v>0</v>
      </c>
      <c r="AH112" s="86">
        <f>C127</f>
        <v>11.995138888888885</v>
      </c>
    </row>
    <row r="113" spans="2:34" x14ac:dyDescent="0.35">
      <c r="B113" s="108">
        <v>0</v>
      </c>
      <c r="C113" s="86">
        <v>0.23300000000000001</v>
      </c>
      <c r="D113" s="86">
        <v>0.245</v>
      </c>
      <c r="E113" s="86">
        <v>0.38300000000000001</v>
      </c>
      <c r="F113" s="86">
        <v>0.40699999999999997</v>
      </c>
      <c r="G113" s="86">
        <v>7.9000000000000001E-2</v>
      </c>
      <c r="H113" s="86">
        <v>7.6999999999999999E-2</v>
      </c>
      <c r="I113" s="86">
        <v>0.10100000000000001</v>
      </c>
      <c r="J113" s="86">
        <v>9.6000000000000002E-2</v>
      </c>
      <c r="K113" s="86">
        <v>3.5999999999999997E-2</v>
      </c>
      <c r="L113" s="86">
        <v>3.7999999999999999E-2</v>
      </c>
      <c r="M113" s="86">
        <v>0.01</v>
      </c>
      <c r="N113" s="86">
        <f>M113</f>
        <v>0.01</v>
      </c>
      <c r="O113" s="86">
        <v>6.7000000000000004E-2</v>
      </c>
      <c r="P113" s="86">
        <f t="shared" ref="P113:P118" si="226">O113</f>
        <v>6.7000000000000004E-2</v>
      </c>
      <c r="Q113" s="86">
        <v>4.8000000000000001E-2</v>
      </c>
      <c r="R113" s="86">
        <f t="shared" ref="R113:R118" si="227">Q113</f>
        <v>4.8000000000000001E-2</v>
      </c>
      <c r="S113" s="86">
        <v>-6.7000000000000004E-2</v>
      </c>
      <c r="T113" s="86">
        <f t="shared" ref="T113:T118" si="228">S113</f>
        <v>-6.7000000000000004E-2</v>
      </c>
      <c r="U113" s="86">
        <v>8.1000000000000003E-2</v>
      </c>
      <c r="V113" s="86">
        <f t="shared" ref="V113" si="229">U113</f>
        <v>8.1000000000000003E-2</v>
      </c>
      <c r="W113" s="86">
        <v>6.5000000000000002E-2</v>
      </c>
      <c r="X113" s="86">
        <f t="shared" ref="X113:X118" si="230">W113</f>
        <v>6.5000000000000002E-2</v>
      </c>
      <c r="Y113" s="86">
        <v>0.20899999999999999</v>
      </c>
      <c r="Z113" s="86">
        <f t="shared" ref="Z113:Z118" si="231">Y113</f>
        <v>0.20899999999999999</v>
      </c>
      <c r="AA113" s="86">
        <v>0.16300000000000001</v>
      </c>
      <c r="AB113" s="86">
        <f t="shared" ref="AB113:AB118" si="232">AA113</f>
        <v>0.16300000000000001</v>
      </c>
      <c r="AC113" s="86">
        <v>0.27700000000000002</v>
      </c>
      <c r="AD113" s="86">
        <f t="shared" ref="AD113:AD118" si="233">AC113</f>
        <v>0.27700000000000002</v>
      </c>
      <c r="AE113" s="86">
        <v>0.22800000000000001</v>
      </c>
      <c r="AF113" s="86">
        <f t="shared" ref="AF113:AF118" si="234">AE113</f>
        <v>0.22800000000000001</v>
      </c>
      <c r="AG113" s="86">
        <v>18.5</v>
      </c>
      <c r="AH113" s="86">
        <f>E127</f>
        <v>20.824583333333337</v>
      </c>
    </row>
    <row r="114" spans="2:34" x14ac:dyDescent="0.35">
      <c r="B114" s="108">
        <v>0.5</v>
      </c>
      <c r="C114" s="86">
        <v>0.42699999999999999</v>
      </c>
      <c r="D114" s="86">
        <v>0.44900000000000001</v>
      </c>
      <c r="E114" s="86">
        <v>0.72099999999999997</v>
      </c>
      <c r="F114" s="86">
        <v>0.77</v>
      </c>
      <c r="G114" s="86">
        <v>0.155</v>
      </c>
      <c r="H114" s="86">
        <v>0.157</v>
      </c>
      <c r="K114" s="86">
        <v>7.2999999999999995E-2</v>
      </c>
      <c r="L114" s="86">
        <v>7.5999999999999998E-2</v>
      </c>
      <c r="M114" s="86">
        <v>0.04</v>
      </c>
      <c r="N114" s="86">
        <f t="shared" ref="N114:N118" si="235">M114</f>
        <v>0.04</v>
      </c>
      <c r="O114" s="86">
        <v>0.104</v>
      </c>
      <c r="P114" s="86">
        <f t="shared" si="226"/>
        <v>0.104</v>
      </c>
      <c r="Q114" s="86">
        <v>0.126</v>
      </c>
      <c r="R114" s="86">
        <f t="shared" si="227"/>
        <v>0.126</v>
      </c>
      <c r="S114" s="86">
        <v>-7.0000000000000001E-3</v>
      </c>
      <c r="T114" s="86">
        <f t="shared" si="228"/>
        <v>-7.0000000000000001E-3</v>
      </c>
      <c r="U114" s="86">
        <v>0.16800000000000001</v>
      </c>
      <c r="V114" s="86">
        <f t="shared" ref="V114" si="236">U114</f>
        <v>0.16800000000000001</v>
      </c>
      <c r="W114" s="86">
        <v>0.14599999999999999</v>
      </c>
      <c r="X114" s="86">
        <f t="shared" si="230"/>
        <v>0.14599999999999999</v>
      </c>
      <c r="Y114" s="86">
        <v>0.372</v>
      </c>
      <c r="Z114" s="86">
        <f t="shared" si="231"/>
        <v>0.372</v>
      </c>
      <c r="AA114" s="86">
        <v>0.27</v>
      </c>
      <c r="AB114" s="86">
        <f t="shared" si="232"/>
        <v>0.27</v>
      </c>
      <c r="AC114" s="86">
        <v>0.41499999999999998</v>
      </c>
      <c r="AD114" s="86">
        <f t="shared" si="233"/>
        <v>0.41499999999999998</v>
      </c>
      <c r="AE114" s="86">
        <v>0.35199999999999998</v>
      </c>
      <c r="AF114" s="86">
        <f t="shared" si="234"/>
        <v>0.35199999999999998</v>
      </c>
      <c r="AG114" s="86">
        <v>40.5</v>
      </c>
      <c r="AH114" s="86">
        <f>G127</f>
        <v>24.118055555555564</v>
      </c>
    </row>
    <row r="115" spans="2:34" x14ac:dyDescent="0.35">
      <c r="B115" s="108">
        <v>1</v>
      </c>
      <c r="C115" s="86">
        <v>0.61499999999999999</v>
      </c>
      <c r="D115" s="86">
        <v>0.65100000000000002</v>
      </c>
      <c r="E115" s="86">
        <v>1.052</v>
      </c>
      <c r="F115" s="86">
        <v>1.107</v>
      </c>
      <c r="G115" s="86">
        <v>0.23300000000000001</v>
      </c>
      <c r="H115" s="86">
        <v>0.23100000000000001</v>
      </c>
      <c r="I115" s="86">
        <v>0.28399999999999997</v>
      </c>
      <c r="J115" s="86">
        <v>0.26600000000000001</v>
      </c>
      <c r="K115" s="86">
        <v>0.107</v>
      </c>
      <c r="L115" s="86">
        <v>0.115</v>
      </c>
      <c r="M115" s="86">
        <v>6.5000000000000002E-2</v>
      </c>
      <c r="N115" s="86">
        <f t="shared" si="235"/>
        <v>6.5000000000000002E-2</v>
      </c>
      <c r="O115" s="86">
        <v>0.14000000000000001</v>
      </c>
      <c r="P115" s="86">
        <f t="shared" si="226"/>
        <v>0.14000000000000001</v>
      </c>
      <c r="Q115" s="86">
        <v>0.19900000000000001</v>
      </c>
      <c r="R115" s="86">
        <f t="shared" si="227"/>
        <v>0.19900000000000001</v>
      </c>
      <c r="S115" s="86">
        <v>5.0999999999999997E-2</v>
      </c>
      <c r="T115" s="86">
        <f t="shared" si="228"/>
        <v>5.0999999999999997E-2</v>
      </c>
      <c r="U115" s="86">
        <v>0.25</v>
      </c>
      <c r="V115" s="86">
        <f t="shared" ref="V115" si="237">U115</f>
        <v>0.25</v>
      </c>
      <c r="W115" s="86">
        <v>0.222</v>
      </c>
      <c r="X115" s="86">
        <f t="shared" si="230"/>
        <v>0.222</v>
      </c>
      <c r="Y115" s="86">
        <v>0.52300000000000002</v>
      </c>
      <c r="Z115" s="86">
        <f t="shared" si="231"/>
        <v>0.52300000000000002</v>
      </c>
      <c r="AA115" s="86">
        <v>0.36799999999999999</v>
      </c>
      <c r="AB115" s="86">
        <f t="shared" si="232"/>
        <v>0.36799999999999999</v>
      </c>
      <c r="AC115" s="86">
        <v>0.52900000000000003</v>
      </c>
      <c r="AD115" s="86">
        <f t="shared" si="233"/>
        <v>0.52900000000000003</v>
      </c>
      <c r="AE115" s="86">
        <v>0.44700000000000001</v>
      </c>
      <c r="AF115" s="86">
        <f t="shared" si="234"/>
        <v>0.44700000000000001</v>
      </c>
      <c r="AG115" s="86">
        <v>62.5</v>
      </c>
      <c r="AH115" s="86">
        <f>I127</f>
        <v>26.548115079365076</v>
      </c>
    </row>
    <row r="116" spans="2:34" x14ac:dyDescent="0.35">
      <c r="B116" s="108">
        <v>1.5</v>
      </c>
      <c r="C116" s="86">
        <v>0.79100000000000004</v>
      </c>
      <c r="D116" s="86">
        <v>0.83199999999999996</v>
      </c>
      <c r="E116" s="86">
        <v>1.355</v>
      </c>
      <c r="F116" s="86">
        <v>1.425</v>
      </c>
      <c r="G116" s="86">
        <v>0.307</v>
      </c>
      <c r="H116" s="86">
        <v>0.312</v>
      </c>
      <c r="I116" s="86">
        <v>0.36699999999999999</v>
      </c>
      <c r="J116" s="86">
        <v>0.35</v>
      </c>
      <c r="K116" s="86">
        <v>0.14099999999999999</v>
      </c>
      <c r="L116" s="86">
        <v>0.154</v>
      </c>
      <c r="M116" s="86">
        <v>0.09</v>
      </c>
      <c r="N116" s="86">
        <f t="shared" si="235"/>
        <v>0.09</v>
      </c>
      <c r="O116" s="86">
        <v>0.17599999999999999</v>
      </c>
      <c r="P116" s="86">
        <f t="shared" si="226"/>
        <v>0.17599999999999999</v>
      </c>
      <c r="Q116" s="86">
        <v>0.27</v>
      </c>
      <c r="R116" s="86">
        <f t="shared" si="227"/>
        <v>0.27</v>
      </c>
      <c r="S116" s="86">
        <v>0.107</v>
      </c>
      <c r="T116" s="86">
        <f t="shared" si="228"/>
        <v>0.107</v>
      </c>
      <c r="U116" s="86">
        <v>0.32900000000000001</v>
      </c>
      <c r="V116" s="86">
        <f t="shared" ref="V116" si="238">U116</f>
        <v>0.32900000000000001</v>
      </c>
      <c r="Y116" s="86">
        <v>0.67300000000000004</v>
      </c>
      <c r="Z116" s="86">
        <f t="shared" si="231"/>
        <v>0.67300000000000004</v>
      </c>
      <c r="AA116" s="86">
        <v>0.46700000000000003</v>
      </c>
      <c r="AB116" s="86">
        <f t="shared" si="232"/>
        <v>0.46700000000000003</v>
      </c>
      <c r="AC116" s="86">
        <v>0.64200000000000002</v>
      </c>
      <c r="AD116" s="86">
        <f t="shared" si="233"/>
        <v>0.64200000000000002</v>
      </c>
      <c r="AE116" s="86">
        <v>0.56000000000000005</v>
      </c>
      <c r="AF116" s="86">
        <f t="shared" si="234"/>
        <v>0.56000000000000005</v>
      </c>
      <c r="AG116" s="86">
        <v>86.5</v>
      </c>
      <c r="AH116" s="86">
        <f>K127</f>
        <v>22.790079365079368</v>
      </c>
    </row>
    <row r="117" spans="2:34" x14ac:dyDescent="0.35">
      <c r="B117" s="108">
        <v>2</v>
      </c>
      <c r="C117" s="86">
        <v>0.96099999999999997</v>
      </c>
      <c r="D117" s="86">
        <v>1.0209999999999999</v>
      </c>
      <c r="E117" s="86">
        <v>1.657</v>
      </c>
      <c r="F117" s="86">
        <v>1.748</v>
      </c>
      <c r="G117" s="86">
        <v>0.379</v>
      </c>
      <c r="H117" s="86">
        <v>0.38300000000000001</v>
      </c>
      <c r="I117" s="86">
        <v>0.44600000000000001</v>
      </c>
      <c r="J117" s="86">
        <v>0.43</v>
      </c>
      <c r="K117" s="86">
        <v>0.17399999999999999</v>
      </c>
      <c r="L117" s="86">
        <v>0.188</v>
      </c>
      <c r="M117" s="86">
        <v>0.115</v>
      </c>
      <c r="N117" s="86">
        <f t="shared" si="235"/>
        <v>0.115</v>
      </c>
      <c r="O117" s="86">
        <v>0.214</v>
      </c>
      <c r="P117" s="86">
        <f t="shared" si="226"/>
        <v>0.214</v>
      </c>
      <c r="Q117" s="86">
        <v>0.33900000000000002</v>
      </c>
      <c r="R117" s="86">
        <f t="shared" si="227"/>
        <v>0.33900000000000002</v>
      </c>
      <c r="S117" s="86">
        <v>0.16200000000000001</v>
      </c>
      <c r="T117" s="86">
        <f t="shared" si="228"/>
        <v>0.16200000000000001</v>
      </c>
      <c r="U117" s="86">
        <v>0.41</v>
      </c>
      <c r="V117" s="86">
        <f t="shared" ref="V117" si="239">U117</f>
        <v>0.41</v>
      </c>
      <c r="W117" s="86">
        <v>0.376</v>
      </c>
      <c r="X117" s="86">
        <f t="shared" si="230"/>
        <v>0.376</v>
      </c>
      <c r="Y117" s="86">
        <v>0.82299999999999995</v>
      </c>
      <c r="Z117" s="86">
        <f t="shared" si="231"/>
        <v>0.82299999999999995</v>
      </c>
      <c r="AA117" s="86">
        <v>0.56499999999999995</v>
      </c>
      <c r="AB117" s="86">
        <f t="shared" si="232"/>
        <v>0.56499999999999995</v>
      </c>
      <c r="AC117" s="86">
        <v>0.76</v>
      </c>
      <c r="AD117" s="86">
        <f t="shared" si="233"/>
        <v>0.76</v>
      </c>
      <c r="AE117" s="86">
        <v>0.64900000000000002</v>
      </c>
      <c r="AF117" s="86">
        <f t="shared" si="234"/>
        <v>0.64900000000000002</v>
      </c>
      <c r="AG117" s="86">
        <v>111</v>
      </c>
      <c r="AH117" s="86">
        <f>M127</f>
        <v>32.674603174603178</v>
      </c>
    </row>
    <row r="118" spans="2:34" x14ac:dyDescent="0.35">
      <c r="B118" s="108">
        <v>2.5</v>
      </c>
      <c r="G118" s="86">
        <v>0.45400000000000001</v>
      </c>
      <c r="H118" s="86">
        <v>0.45800000000000002</v>
      </c>
      <c r="I118" s="86">
        <v>0.52500000000000002</v>
      </c>
      <c r="J118" s="86">
        <v>0.50900000000000001</v>
      </c>
      <c r="K118" s="86">
        <v>0.20699999999999999</v>
      </c>
      <c r="L118" s="86">
        <v>0.224</v>
      </c>
      <c r="M118" s="86">
        <v>0.13900000000000001</v>
      </c>
      <c r="N118" s="86">
        <f t="shared" si="235"/>
        <v>0.13900000000000001</v>
      </c>
      <c r="O118" s="86">
        <v>0.252</v>
      </c>
      <c r="P118" s="86">
        <f t="shared" si="226"/>
        <v>0.252</v>
      </c>
      <c r="Q118" s="86">
        <v>0.40799999999999997</v>
      </c>
      <c r="R118" s="86">
        <f t="shared" si="227"/>
        <v>0.40799999999999997</v>
      </c>
      <c r="S118" s="86">
        <v>0.21299999999999999</v>
      </c>
      <c r="T118" s="86">
        <f t="shared" si="228"/>
        <v>0.21299999999999999</v>
      </c>
      <c r="U118" s="86">
        <v>0.48799999999999999</v>
      </c>
      <c r="V118" s="86">
        <f t="shared" ref="V118" si="240">U118</f>
        <v>0.48799999999999999</v>
      </c>
      <c r="W118" s="86">
        <v>0.45500000000000002</v>
      </c>
      <c r="X118" s="86">
        <f t="shared" si="230"/>
        <v>0.45500000000000002</v>
      </c>
      <c r="Y118" s="86">
        <v>0.96899999999999997</v>
      </c>
      <c r="Z118" s="86">
        <f t="shared" si="231"/>
        <v>0.96899999999999997</v>
      </c>
      <c r="AA118" s="86">
        <v>0.66500000000000004</v>
      </c>
      <c r="AB118" s="86">
        <f t="shared" si="232"/>
        <v>0.66500000000000004</v>
      </c>
      <c r="AC118" s="86">
        <v>0.88</v>
      </c>
      <c r="AD118" s="86">
        <f t="shared" si="233"/>
        <v>0.88</v>
      </c>
      <c r="AE118" s="86">
        <v>0.749</v>
      </c>
      <c r="AF118" s="86">
        <f t="shared" si="234"/>
        <v>0.749</v>
      </c>
      <c r="AG118" s="86">
        <f>O112</f>
        <v>158.5</v>
      </c>
      <c r="AH118" s="86">
        <f>O127</f>
        <v>47.131746031746026</v>
      </c>
    </row>
    <row r="119" spans="2:34" x14ac:dyDescent="0.35">
      <c r="B119" s="108">
        <v>3</v>
      </c>
      <c r="I119" s="86">
        <v>0.60799999999999998</v>
      </c>
      <c r="J119" s="86">
        <v>0.59199999999999997</v>
      </c>
      <c r="AG119" s="86">
        <f>Q112</f>
        <v>182</v>
      </c>
      <c r="AH119" s="86">
        <f>Q127</f>
        <v>114.54365079365076</v>
      </c>
    </row>
    <row r="120" spans="2:34" x14ac:dyDescent="0.35">
      <c r="B120" s="86" t="s">
        <v>297</v>
      </c>
      <c r="C120" s="86">
        <f t="shared" ref="C120" si="241">SLOPE(C113:C119,$B113:$B119)</f>
        <v>0.36399999999999999</v>
      </c>
      <c r="D120" s="86">
        <f t="shared" ref="D120" si="242">SLOPE(D113:D119,$B113:$B119)</f>
        <v>0.3869999999999999</v>
      </c>
      <c r="E120" s="86">
        <f>SLOPE(E113:E119,$B113:$B119)</f>
        <v>0.63640000000000008</v>
      </c>
      <c r="F120" s="86">
        <f>SLOPE(F113:F119,$B113:$B119)</f>
        <v>0.66739999999999999</v>
      </c>
      <c r="G120" s="86">
        <f t="shared" ref="G120:J120" si="243">SLOPE(G113:G119,$B113:$B119)</f>
        <v>0.14977142857142858</v>
      </c>
      <c r="H120" s="86">
        <f t="shared" si="243"/>
        <v>0.15222857142857144</v>
      </c>
      <c r="I120" s="86">
        <f t="shared" si="243"/>
        <v>0.16765714285714284</v>
      </c>
      <c r="J120" s="86">
        <f t="shared" si="243"/>
        <v>0.16477142857142854</v>
      </c>
      <c r="K120" s="86">
        <f t="shared" ref="K120" si="244">SLOPE(K113:K119,$B113:$B119)</f>
        <v>6.8114285714285724E-2</v>
      </c>
      <c r="L120" s="86">
        <f t="shared" ref="L120" si="245">SLOPE(L113:L119,$B113:$B119)</f>
        <v>7.457142857142858E-2</v>
      </c>
      <c r="M120" s="86">
        <f t="shared" ref="M120" si="246">SLOPE(M113:M119,$B113:$B119)</f>
        <v>5.1142857142857143E-2</v>
      </c>
      <c r="N120" s="86">
        <f t="shared" ref="N120" si="247">SLOPE(N113:N119,$B113:$B119)</f>
        <v>5.1142857142857143E-2</v>
      </c>
      <c r="O120" s="86">
        <f t="shared" ref="O120" si="248">SLOPE(O113:O119,$B113:$B119)</f>
        <v>7.3771428571428571E-2</v>
      </c>
      <c r="P120" s="86">
        <f t="shared" ref="P120:V120" si="249">SLOPE(P113:P119,$B113:$B119)</f>
        <v>7.3771428571428571E-2</v>
      </c>
      <c r="Q120" s="86">
        <f t="shared" si="249"/>
        <v>0.14342857142857141</v>
      </c>
      <c r="R120" s="86">
        <f t="shared" si="249"/>
        <v>0.14342857142857141</v>
      </c>
      <c r="S120" s="86">
        <f t="shared" si="249"/>
        <v>0.11217142857142857</v>
      </c>
      <c r="T120" s="86">
        <f t="shared" si="249"/>
        <v>0.11217142857142857</v>
      </c>
      <c r="U120" s="86">
        <f t="shared" si="249"/>
        <v>0.16228571428571428</v>
      </c>
      <c r="V120" s="86">
        <f t="shared" si="249"/>
        <v>0.16228571428571428</v>
      </c>
      <c r="W120" s="86">
        <f t="shared" ref="W120:AB120" si="250">SLOPE(W113:W119,$B113:$B119)</f>
        <v>0.15527906976744182</v>
      </c>
      <c r="X120" s="86">
        <f t="shared" si="250"/>
        <v>0.15527906976744182</v>
      </c>
      <c r="Y120" s="86">
        <f t="shared" si="250"/>
        <v>0.30302857142857137</v>
      </c>
      <c r="Z120" s="86">
        <f t="shared" si="250"/>
        <v>0.30302857142857137</v>
      </c>
      <c r="AA120" s="86">
        <f t="shared" si="250"/>
        <v>0.19965714285714284</v>
      </c>
      <c r="AB120" s="86">
        <f t="shared" si="250"/>
        <v>0.19965714285714284</v>
      </c>
      <c r="AC120" s="86">
        <f>SLOPE(AC113:AC119,$B113:$B119)</f>
        <v>0.23788571428571431</v>
      </c>
      <c r="AD120" s="86">
        <f>SLOPE(AD113:AD119,$B113:$B119)</f>
        <v>0.23788571428571431</v>
      </c>
      <c r="AE120" s="86">
        <f>SLOPE(AE113:AE119,$B113:$B119)</f>
        <v>0.20622857142857143</v>
      </c>
      <c r="AF120" s="86">
        <f>SLOPE(AF113:AF119,$B113:$B119)</f>
        <v>0.20622857142857143</v>
      </c>
      <c r="AG120" s="86">
        <f>S112</f>
        <v>206.5</v>
      </c>
      <c r="AH120" s="86">
        <f>S127</f>
        <v>179.16269841269843</v>
      </c>
    </row>
    <row r="121" spans="2:34" x14ac:dyDescent="0.35">
      <c r="B121" s="86" t="s">
        <v>298</v>
      </c>
      <c r="C121" s="202">
        <f t="shared" ref="C121:D121" si="251">RSQ(C113:C119,$B113:$B119)</f>
        <v>0.99921809766056757</v>
      </c>
      <c r="D121" s="202">
        <f t="shared" si="251"/>
        <v>0.99938956554790115</v>
      </c>
      <c r="E121" s="202">
        <f>RSQ(E113:E119,$B113:$B119)</f>
        <v>0.99925902766428321</v>
      </c>
      <c r="F121" s="202">
        <f>RSQ(F113:F119,$B113:$B119)</f>
        <v>0.9992818281247694</v>
      </c>
      <c r="G121" s="202">
        <f t="shared" ref="G121:J121" si="252">RSQ(G113:G119,$B113:$B119)</f>
        <v>0.99984610977195665</v>
      </c>
      <c r="H121" s="202">
        <f t="shared" si="252"/>
        <v>0.99969329330307</v>
      </c>
      <c r="I121" s="202">
        <f t="shared" si="252"/>
        <v>0.99884979799452145</v>
      </c>
      <c r="J121" s="202">
        <f t="shared" si="252"/>
        <v>0.99977255958098765</v>
      </c>
      <c r="K121" s="202">
        <f t="shared" ref="K121:L121" si="253">RSQ(K113:K119,$B113:$B119)</f>
        <v>0.99960884186236343</v>
      </c>
      <c r="L121" s="202">
        <f t="shared" si="253"/>
        <v>0.9994014242581627</v>
      </c>
      <c r="M121" s="219">
        <f t="shared" ref="M121:V121" si="254">RSQ(M113:M119,$B113:$B119)</f>
        <v>0.9987531560736882</v>
      </c>
      <c r="N121" s="219">
        <f t="shared" si="254"/>
        <v>0.9987531560736882</v>
      </c>
      <c r="O121" s="202">
        <f t="shared" si="254"/>
        <v>0.99986961812308084</v>
      </c>
      <c r="P121" s="202">
        <f t="shared" si="254"/>
        <v>0.99986961812308084</v>
      </c>
      <c r="Q121" s="202">
        <f t="shared" si="254"/>
        <v>0.99946801647350991</v>
      </c>
      <c r="R121" s="202">
        <f t="shared" si="254"/>
        <v>0.99946801647350991</v>
      </c>
      <c r="S121" s="202">
        <f t="shared" si="254"/>
        <v>0.99928529287821288</v>
      </c>
      <c r="T121" s="202">
        <f t="shared" si="254"/>
        <v>0.99928529287821288</v>
      </c>
      <c r="U121" s="202">
        <f t="shared" si="254"/>
        <v>0.99970087638261995</v>
      </c>
      <c r="V121" s="202">
        <f t="shared" si="254"/>
        <v>0.99970087638261995</v>
      </c>
      <c r="W121" s="202">
        <f t="shared" ref="W121:AB121" si="255">RSQ(W113:W119,$B113:$B119)</f>
        <v>0.9999328254292823</v>
      </c>
      <c r="X121" s="202">
        <f t="shared" si="255"/>
        <v>0.9999328254292823</v>
      </c>
      <c r="Y121" s="202">
        <f t="shared" si="255"/>
        <v>0.99971953722219642</v>
      </c>
      <c r="Z121" s="202">
        <f t="shared" si="255"/>
        <v>0.99971953722219642</v>
      </c>
      <c r="AA121" s="202">
        <f t="shared" si="255"/>
        <v>0.9998233170209152</v>
      </c>
      <c r="AB121" s="202">
        <f t="shared" si="255"/>
        <v>0.9998233170209152</v>
      </c>
      <c r="AC121" s="202">
        <f>RSQ(AC113:AC119,$B113:$B119)</f>
        <v>0.99914736074924937</v>
      </c>
      <c r="AD121" s="202">
        <f>RSQ(AD113:AD119,$B113:$B119)</f>
        <v>0.99914736074924937</v>
      </c>
      <c r="AE121" s="202">
        <f>RSQ(AE113:AE119,$B113:$B119)</f>
        <v>0.99789891517245422</v>
      </c>
      <c r="AF121" s="202">
        <f>RSQ(AF113:AF119,$B113:$B119)</f>
        <v>0.99789891517245422</v>
      </c>
      <c r="AG121" s="86">
        <f>U112</f>
        <v>240</v>
      </c>
      <c r="AH121" s="86">
        <f>U127</f>
        <v>259.20634920634916</v>
      </c>
    </row>
    <row r="122" spans="2:34" x14ac:dyDescent="0.35">
      <c r="B122" s="86" t="s">
        <v>292</v>
      </c>
      <c r="C122" s="86">
        <v>36000</v>
      </c>
      <c r="D122" s="86">
        <v>36000</v>
      </c>
      <c r="E122" s="86">
        <v>36000</v>
      </c>
      <c r="F122" s="86">
        <v>36000</v>
      </c>
      <c r="G122" s="86">
        <v>36000</v>
      </c>
      <c r="H122" s="86">
        <v>36000</v>
      </c>
      <c r="I122" s="86">
        <v>36000</v>
      </c>
      <c r="J122" s="86">
        <v>36000</v>
      </c>
      <c r="K122" s="86">
        <v>36000</v>
      </c>
      <c r="L122" s="86">
        <v>36000</v>
      </c>
      <c r="M122" s="86">
        <v>36000</v>
      </c>
      <c r="N122" s="86">
        <v>36000</v>
      </c>
      <c r="O122" s="86">
        <v>36000</v>
      </c>
      <c r="P122" s="86">
        <v>36000</v>
      </c>
      <c r="Q122" s="86">
        <v>36000</v>
      </c>
      <c r="R122" s="86">
        <v>36000</v>
      </c>
      <c r="S122" s="86">
        <v>36000</v>
      </c>
      <c r="T122" s="86">
        <v>36000</v>
      </c>
      <c r="U122" s="86">
        <v>36000</v>
      </c>
      <c r="V122" s="86">
        <v>36000</v>
      </c>
      <c r="W122" s="86">
        <v>36000</v>
      </c>
      <c r="X122" s="86">
        <v>36000</v>
      </c>
      <c r="Y122" s="86">
        <v>36000</v>
      </c>
      <c r="Z122" s="86">
        <v>36000</v>
      </c>
      <c r="AA122" s="86">
        <v>36000</v>
      </c>
      <c r="AB122" s="86">
        <v>36000</v>
      </c>
      <c r="AC122" s="86">
        <v>36000</v>
      </c>
      <c r="AD122" s="86">
        <v>36000</v>
      </c>
      <c r="AE122" s="86">
        <v>36000</v>
      </c>
      <c r="AF122" s="86">
        <v>36000</v>
      </c>
      <c r="AG122" s="86">
        <f>W112</f>
        <v>264</v>
      </c>
      <c r="AH122" s="86">
        <f>W127</f>
        <v>248.01518087855291</v>
      </c>
    </row>
    <row r="123" spans="2:34" x14ac:dyDescent="0.35">
      <c r="B123" s="86" t="s">
        <v>296</v>
      </c>
      <c r="C123" s="86">
        <v>25</v>
      </c>
      <c r="D123" s="86">
        <v>25</v>
      </c>
      <c r="E123" s="86">
        <v>25</v>
      </c>
      <c r="F123" s="86">
        <v>25</v>
      </c>
      <c r="G123" s="86">
        <v>25</v>
      </c>
      <c r="H123" s="86">
        <v>25</v>
      </c>
      <c r="I123" s="86">
        <v>25</v>
      </c>
      <c r="J123" s="86">
        <v>25</v>
      </c>
      <c r="K123" s="86">
        <v>25</v>
      </c>
      <c r="L123" s="86">
        <v>25</v>
      </c>
      <c r="M123" s="86">
        <v>25</v>
      </c>
      <c r="N123" s="86">
        <v>25</v>
      </c>
      <c r="O123" s="86">
        <v>25</v>
      </c>
      <c r="P123" s="86">
        <v>25</v>
      </c>
      <c r="Q123" s="86">
        <v>25</v>
      </c>
      <c r="R123" s="86">
        <v>25</v>
      </c>
      <c r="S123" s="86">
        <v>25</v>
      </c>
      <c r="T123" s="86">
        <v>25</v>
      </c>
      <c r="U123" s="86">
        <v>25</v>
      </c>
      <c r="V123" s="86">
        <v>25</v>
      </c>
      <c r="W123" s="86">
        <v>25</v>
      </c>
      <c r="X123" s="86">
        <v>25</v>
      </c>
      <c r="Y123" s="86">
        <v>25</v>
      </c>
      <c r="Z123" s="86">
        <v>25</v>
      </c>
      <c r="AA123" s="86">
        <v>25</v>
      </c>
      <c r="AB123" s="86">
        <v>25</v>
      </c>
      <c r="AC123" s="86">
        <v>25</v>
      </c>
      <c r="AD123" s="86">
        <v>25</v>
      </c>
      <c r="AE123" s="86">
        <v>25</v>
      </c>
      <c r="AF123" s="86">
        <v>25</v>
      </c>
      <c r="AG123" s="86">
        <f>Y112</f>
        <v>302.5</v>
      </c>
      <c r="AH123" s="86">
        <f>Y127</f>
        <v>484.00396825396808</v>
      </c>
    </row>
    <row r="124" spans="2:34" x14ac:dyDescent="0.35">
      <c r="B124" s="86" t="s">
        <v>293</v>
      </c>
      <c r="C124" s="86">
        <v>2</v>
      </c>
      <c r="D124" s="86">
        <v>2</v>
      </c>
      <c r="E124" s="86">
        <v>2</v>
      </c>
      <c r="F124" s="86">
        <v>2</v>
      </c>
      <c r="G124" s="86">
        <v>10</v>
      </c>
      <c r="H124" s="86">
        <v>10</v>
      </c>
      <c r="I124" s="86">
        <v>10</v>
      </c>
      <c r="J124" s="86">
        <v>10</v>
      </c>
      <c r="K124" s="86">
        <v>20</v>
      </c>
      <c r="L124" s="86">
        <v>20</v>
      </c>
      <c r="M124" s="86">
        <v>40</v>
      </c>
      <c r="N124" s="86">
        <v>40</v>
      </c>
      <c r="O124" s="86">
        <v>40</v>
      </c>
      <c r="P124" s="86">
        <v>40</v>
      </c>
      <c r="Q124" s="86">
        <v>50</v>
      </c>
      <c r="R124" s="86">
        <v>50</v>
      </c>
      <c r="S124" s="86">
        <v>100</v>
      </c>
      <c r="T124" s="86">
        <v>100</v>
      </c>
      <c r="U124" s="86">
        <v>100</v>
      </c>
      <c r="V124" s="86">
        <v>100</v>
      </c>
      <c r="W124" s="86">
        <v>100</v>
      </c>
      <c r="X124" s="86">
        <v>100</v>
      </c>
      <c r="Y124" s="86">
        <v>100</v>
      </c>
      <c r="Z124" s="86">
        <v>100</v>
      </c>
      <c r="AA124" s="86">
        <v>200</v>
      </c>
      <c r="AB124" s="86">
        <v>200</v>
      </c>
      <c r="AC124" s="86">
        <v>200</v>
      </c>
      <c r="AD124" s="86">
        <v>200</v>
      </c>
      <c r="AE124" s="86">
        <v>200</v>
      </c>
      <c r="AF124" s="86">
        <v>200</v>
      </c>
      <c r="AG124" s="86">
        <f>AA112</f>
        <v>375</v>
      </c>
      <c r="AH124" s="86">
        <f>AA127</f>
        <v>637.79365079365084</v>
      </c>
    </row>
    <row r="125" spans="2:34" x14ac:dyDescent="0.35">
      <c r="B125" s="86" t="s">
        <v>294</v>
      </c>
      <c r="C125" s="86">
        <f>(C120*C123*C124*10^6 / C122)/1000</f>
        <v>0.50555555555555554</v>
      </c>
      <c r="D125" s="86">
        <f>(D120*D123*D124*10^6 / D122)/1000</f>
        <v>0.53749999999999976</v>
      </c>
      <c r="E125" s="86">
        <f>(E120*E123*E124*10^6 / E122)/1000</f>
        <v>0.88388888888888906</v>
      </c>
      <c r="F125" s="86">
        <f>(F120*F123*F124*10^6 / F122)/1000</f>
        <v>0.92694444444444435</v>
      </c>
      <c r="G125" s="86">
        <f t="shared" ref="G125:J125" si="256">(G120*G123*G124*10^6 / G122)/1000</f>
        <v>1.0400793650793654</v>
      </c>
      <c r="H125" s="86">
        <f t="shared" si="256"/>
        <v>1.0571428571428574</v>
      </c>
      <c r="I125" s="86">
        <f t="shared" si="256"/>
        <v>1.1642857142857141</v>
      </c>
      <c r="J125" s="86">
        <f t="shared" si="256"/>
        <v>1.1442460317460317</v>
      </c>
      <c r="K125" s="86">
        <f t="shared" ref="K125" si="257">(K120*K123*K124*10^6 / K122)/1000</f>
        <v>0.94603174603174622</v>
      </c>
      <c r="L125" s="86">
        <f t="shared" ref="L125" si="258">(L120*L123*L124*10^6 / L122)/1000</f>
        <v>1.0357142857142858</v>
      </c>
      <c r="M125" s="86">
        <f t="shared" ref="M125" si="259">(M120*M123*M124*10^6 / M122)/1000</f>
        <v>1.4206349206349207</v>
      </c>
      <c r="N125" s="86">
        <f t="shared" ref="N125" si="260">(N120*N123*N124*10^6 / N122)/1000</f>
        <v>1.4206349206349207</v>
      </c>
      <c r="O125" s="86">
        <f t="shared" ref="O125" si="261">(O120*O123*O124*10^6 / O122)/1000</f>
        <v>2.049206349206349</v>
      </c>
      <c r="P125" s="86">
        <f t="shared" ref="P125:V125" si="262">(P120*P123*P124*10^6 / P122)/1000</f>
        <v>2.049206349206349</v>
      </c>
      <c r="Q125" s="86">
        <f t="shared" si="262"/>
        <v>4.9801587301587285</v>
      </c>
      <c r="R125" s="86">
        <f t="shared" si="262"/>
        <v>4.9801587301587285</v>
      </c>
      <c r="S125" s="86">
        <f t="shared" si="262"/>
        <v>7.7896825396825404</v>
      </c>
      <c r="T125" s="86">
        <f t="shared" si="262"/>
        <v>7.7896825396825404</v>
      </c>
      <c r="U125" s="86">
        <f t="shared" si="262"/>
        <v>11.269841269841269</v>
      </c>
      <c r="V125" s="86">
        <f t="shared" si="262"/>
        <v>11.269841269841269</v>
      </c>
      <c r="W125" s="86">
        <f>(W120*W123*W124*10^6 / W122)/1000</f>
        <v>10.783268733850127</v>
      </c>
      <c r="X125" s="86">
        <f>(X120*X123*X124*10^6 / X122)/1000</f>
        <v>10.783268733850127</v>
      </c>
      <c r="Y125" s="86">
        <f>(Y120*Y123*Y124*10^6 / Y122)/1000</f>
        <v>21.043650793650787</v>
      </c>
      <c r="Z125" s="86">
        <f>(Z120*Z123*Z124*10^6 / Z122)/1000</f>
        <v>21.043650793650787</v>
      </c>
      <c r="AA125" s="86">
        <f>(AA120*AA123*AA124*10^6 / AA122)/1000</f>
        <v>27.730158730158731</v>
      </c>
      <c r="AB125" s="86">
        <f t="shared" ref="AB125" si="263">(AB120*AB123*AB124*10^6 / AB122)/1000</f>
        <v>27.730158730158731</v>
      </c>
      <c r="AC125" s="86">
        <f>(AC120*AC123*AC124*10^6 / AC122)/1000</f>
        <v>33.039682539682538</v>
      </c>
      <c r="AD125" s="86">
        <f t="shared" ref="AD125" si="264">(AD120*AD123*AD124*10^6 / AD122)/1000</f>
        <v>33.039682539682538</v>
      </c>
      <c r="AE125" s="86">
        <f>(AE120*AE123*AE124*10^6 / AE122)/1000</f>
        <v>28.642857142857142</v>
      </c>
      <c r="AF125" s="86">
        <f t="shared" ref="AF125" si="265">(AF120*AF123*AF124*10^6 / AF122)/1000</f>
        <v>28.642857142857142</v>
      </c>
      <c r="AG125" s="226">
        <f>AC112</f>
        <v>424.5</v>
      </c>
      <c r="AH125" s="226">
        <f>AC127</f>
        <v>759.91269841269832</v>
      </c>
    </row>
    <row r="126" spans="2:34" x14ac:dyDescent="0.35">
      <c r="B126" s="86" t="s">
        <v>295</v>
      </c>
      <c r="C126" s="86">
        <f>C125*23</f>
        <v>11.627777777777776</v>
      </c>
      <c r="D126" s="86">
        <f>D125*23</f>
        <v>12.362499999999994</v>
      </c>
      <c r="E126" s="86">
        <f>E125*23</f>
        <v>20.329444444444448</v>
      </c>
      <c r="F126" s="86">
        <f>F125*23</f>
        <v>21.319722222222222</v>
      </c>
      <c r="G126" s="86">
        <f t="shared" ref="G126:J126" si="266">G125*23</f>
        <v>23.921825396825405</v>
      </c>
      <c r="H126" s="86">
        <f t="shared" si="266"/>
        <v>24.31428571428572</v>
      </c>
      <c r="I126" s="86">
        <f t="shared" si="266"/>
        <v>26.778571428571425</v>
      </c>
      <c r="J126" s="86">
        <f t="shared" si="266"/>
        <v>26.31765873015873</v>
      </c>
      <c r="K126" s="86">
        <f t="shared" ref="K126" si="267">K125*23</f>
        <v>21.758730158730163</v>
      </c>
      <c r="L126" s="86">
        <f t="shared" ref="L126" si="268">L125*23</f>
        <v>23.821428571428573</v>
      </c>
      <c r="M126" s="86">
        <f t="shared" ref="M126" si="269">M125*23</f>
        <v>32.674603174603178</v>
      </c>
      <c r="N126" s="86">
        <f t="shared" ref="N126" si="270">N125*23</f>
        <v>32.674603174603178</v>
      </c>
      <c r="O126" s="86">
        <f t="shared" ref="O126" si="271">O125*23</f>
        <v>47.131746031746026</v>
      </c>
      <c r="P126" s="86">
        <f t="shared" ref="P126:V126" si="272">P125*23</f>
        <v>47.131746031746026</v>
      </c>
      <c r="Q126" s="86">
        <f t="shared" si="272"/>
        <v>114.54365079365076</v>
      </c>
      <c r="R126" s="86">
        <f t="shared" si="272"/>
        <v>114.54365079365076</v>
      </c>
      <c r="S126" s="86">
        <f t="shared" si="272"/>
        <v>179.16269841269843</v>
      </c>
      <c r="T126" s="86">
        <f t="shared" si="272"/>
        <v>179.16269841269843</v>
      </c>
      <c r="U126" s="86">
        <f t="shared" si="272"/>
        <v>259.20634920634916</v>
      </c>
      <c r="V126" s="86">
        <f t="shared" si="272"/>
        <v>259.20634920634916</v>
      </c>
      <c r="W126" s="86">
        <f>W125*23</f>
        <v>248.01518087855291</v>
      </c>
      <c r="X126" s="86">
        <f>X125*23</f>
        <v>248.01518087855291</v>
      </c>
      <c r="Y126" s="86">
        <f>Y125*23</f>
        <v>484.00396825396808</v>
      </c>
      <c r="Z126" s="86">
        <f>Z125*23</f>
        <v>484.00396825396808</v>
      </c>
      <c r="AA126" s="86">
        <f>AA125*23</f>
        <v>637.79365079365084</v>
      </c>
      <c r="AB126" s="86">
        <f t="shared" ref="AB126" si="273">AB125*23</f>
        <v>637.79365079365084</v>
      </c>
      <c r="AC126" s="86">
        <f>AC125*23</f>
        <v>759.91269841269832</v>
      </c>
      <c r="AD126" s="86">
        <f t="shared" ref="AD126" si="274">AD125*23</f>
        <v>759.91269841269832</v>
      </c>
      <c r="AE126" s="86">
        <f>AE125*23</f>
        <v>658.78571428571422</v>
      </c>
      <c r="AF126" s="86">
        <f t="shared" ref="AF126" si="275">AF125*23</f>
        <v>658.78571428571422</v>
      </c>
      <c r="AG126" s="86">
        <f>AE112</f>
        <v>447.5</v>
      </c>
      <c r="AH126" s="86">
        <f>AE127</f>
        <v>658.78571428571422</v>
      </c>
    </row>
    <row r="127" spans="2:34" s="108" customFormat="1" x14ac:dyDescent="0.35">
      <c r="B127" s="108" t="s">
        <v>299</v>
      </c>
      <c r="C127" s="330">
        <f>AVERAGE(C126:D126)</f>
        <v>11.995138888888885</v>
      </c>
      <c r="D127" s="330"/>
      <c r="E127" s="330">
        <f>AVERAGE(E126:F126)</f>
        <v>20.824583333333337</v>
      </c>
      <c r="F127" s="330"/>
      <c r="G127" s="330">
        <f t="shared" ref="G127" si="276">AVERAGE(G126:H126)</f>
        <v>24.118055555555564</v>
      </c>
      <c r="H127" s="330"/>
      <c r="I127" s="330">
        <f t="shared" ref="I127" si="277">AVERAGE(I126:J126)</f>
        <v>26.548115079365076</v>
      </c>
      <c r="J127" s="330"/>
      <c r="K127" s="330">
        <f t="shared" ref="K127" si="278">AVERAGE(K126:L126)</f>
        <v>22.790079365079368</v>
      </c>
      <c r="L127" s="330"/>
      <c r="M127" s="309">
        <f t="shared" ref="M127" si="279">AVERAGE(M126:N126)</f>
        <v>32.674603174603178</v>
      </c>
      <c r="N127" s="309"/>
      <c r="O127" s="330">
        <f>AVERAGE(O126:P126)</f>
        <v>47.131746031746026</v>
      </c>
      <c r="P127" s="330"/>
      <c r="Q127" s="330">
        <f>AVERAGE(Q126:R126)</f>
        <v>114.54365079365076</v>
      </c>
      <c r="R127" s="330"/>
      <c r="S127" s="330">
        <f>AVERAGE(S126:T126)</f>
        <v>179.16269841269843</v>
      </c>
      <c r="T127" s="330"/>
      <c r="U127" s="330">
        <f>AVERAGE(U126:V126)</f>
        <v>259.20634920634916</v>
      </c>
      <c r="V127" s="330"/>
      <c r="W127" s="330">
        <f>AVERAGE(W126:X126)</f>
        <v>248.01518087855291</v>
      </c>
      <c r="X127" s="330"/>
      <c r="Y127" s="330">
        <f>AVERAGE(Y126:Z126)</f>
        <v>484.00396825396808</v>
      </c>
      <c r="Z127" s="330"/>
      <c r="AA127" s="330">
        <f>AVERAGE(AA126:AB126)</f>
        <v>637.79365079365084</v>
      </c>
      <c r="AB127" s="330"/>
      <c r="AC127" s="330">
        <f>AVERAGE(AC126:AD126)</f>
        <v>759.91269841269832</v>
      </c>
      <c r="AD127" s="330"/>
      <c r="AE127" s="330">
        <f>AVERAGE(AE126:AF126)</f>
        <v>658.78571428571422</v>
      </c>
      <c r="AF127" s="330"/>
    </row>
    <row r="128" spans="2:34" ht="15" thickBot="1" x14ac:dyDescent="0.4"/>
    <row r="129" spans="2:28" ht="15" thickBot="1" x14ac:dyDescent="0.4">
      <c r="B129" s="338" t="s">
        <v>306</v>
      </c>
      <c r="C129" s="339"/>
      <c r="D129" s="339"/>
      <c r="E129" s="339"/>
      <c r="F129" s="339"/>
      <c r="G129" s="339"/>
      <c r="H129" s="339"/>
      <c r="I129" s="339"/>
      <c r="J129" s="340"/>
      <c r="AA129" s="86" t="s">
        <v>404</v>
      </c>
    </row>
    <row r="130" spans="2:28" x14ac:dyDescent="0.35">
      <c r="B130" s="87" t="s">
        <v>290</v>
      </c>
      <c r="C130" s="108">
        <v>0</v>
      </c>
      <c r="D130" s="108">
        <v>0</v>
      </c>
      <c r="E130" s="108">
        <v>17.5</v>
      </c>
      <c r="F130" s="108">
        <v>17.5</v>
      </c>
      <c r="G130" s="108">
        <f>F130+24</f>
        <v>41.5</v>
      </c>
      <c r="H130" s="108">
        <v>41.5</v>
      </c>
      <c r="I130" s="108">
        <f>H130+24.5</f>
        <v>66</v>
      </c>
      <c r="J130" s="108">
        <f>I130</f>
        <v>66</v>
      </c>
      <c r="K130" s="108">
        <f>J130+24+23.5</f>
        <v>113.5</v>
      </c>
      <c r="L130" s="108">
        <f>K130</f>
        <v>113.5</v>
      </c>
      <c r="M130" s="108">
        <f>L130+23.5</f>
        <v>137</v>
      </c>
      <c r="N130" s="108">
        <f>M130</f>
        <v>137</v>
      </c>
      <c r="O130" s="108">
        <f>N130+24.5</f>
        <v>161.5</v>
      </c>
      <c r="P130" s="108">
        <f>O130</f>
        <v>161.5</v>
      </c>
      <c r="Q130" s="108">
        <f>P130+33.5</f>
        <v>195</v>
      </c>
      <c r="R130" s="108">
        <f>Q130</f>
        <v>195</v>
      </c>
      <c r="S130" s="108">
        <f>R130+24</f>
        <v>219</v>
      </c>
      <c r="T130" s="108">
        <f>S130</f>
        <v>219</v>
      </c>
      <c r="U130" s="108">
        <f>T130+38.5</f>
        <v>257.5</v>
      </c>
      <c r="V130" s="108">
        <f>U130</f>
        <v>257.5</v>
      </c>
      <c r="W130" s="108">
        <f>V130+72.5</f>
        <v>330</v>
      </c>
      <c r="X130" s="108">
        <f>W130</f>
        <v>330</v>
      </c>
      <c r="Y130" s="108">
        <f>X130+49.5</f>
        <v>379.5</v>
      </c>
      <c r="Z130" s="108">
        <f>Y130</f>
        <v>379.5</v>
      </c>
      <c r="AA130" s="86">
        <v>0</v>
      </c>
    </row>
    <row r="131" spans="2:28" x14ac:dyDescent="0.35">
      <c r="B131" s="108">
        <v>0</v>
      </c>
      <c r="E131" s="86">
        <v>8.4000000000000005E-2</v>
      </c>
      <c r="F131" s="86">
        <v>8.5000000000000006E-2</v>
      </c>
      <c r="G131" s="86">
        <v>0.123</v>
      </c>
      <c r="H131" s="86">
        <v>0.123</v>
      </c>
      <c r="I131" s="86">
        <v>7.9000000000000001E-2</v>
      </c>
      <c r="J131" s="86">
        <f>I131</f>
        <v>7.9000000000000001E-2</v>
      </c>
      <c r="K131" s="86">
        <v>0.193</v>
      </c>
      <c r="L131" s="86">
        <f t="shared" ref="L131:L136" si="280">K131</f>
        <v>0.193</v>
      </c>
      <c r="M131" s="86">
        <v>0.18099999999999999</v>
      </c>
      <c r="N131" s="86">
        <f t="shared" ref="N131:N136" si="281">M131</f>
        <v>0.18099999999999999</v>
      </c>
      <c r="O131" s="86">
        <v>3.1E-2</v>
      </c>
      <c r="P131" s="86">
        <f t="shared" ref="P131:P136" si="282">O131</f>
        <v>3.1E-2</v>
      </c>
      <c r="Q131" s="86">
        <v>0.20899999999999999</v>
      </c>
      <c r="R131" s="86">
        <f t="shared" ref="R131" si="283">Q131</f>
        <v>0.20899999999999999</v>
      </c>
      <c r="S131" s="86">
        <v>0.159</v>
      </c>
      <c r="T131" s="86">
        <f t="shared" ref="T131:T136" si="284">S131</f>
        <v>0.159</v>
      </c>
      <c r="U131" s="86">
        <v>0.28199999999999997</v>
      </c>
      <c r="V131" s="86">
        <f t="shared" ref="V131:V136" si="285">U131</f>
        <v>0.28199999999999997</v>
      </c>
      <c r="W131" s="86">
        <v>0.13700000000000001</v>
      </c>
      <c r="X131" s="86">
        <f t="shared" ref="X131:X136" si="286">W131</f>
        <v>0.13700000000000001</v>
      </c>
      <c r="Y131" s="86">
        <v>0.182</v>
      </c>
      <c r="Z131" s="86">
        <f t="shared" ref="Z131:Z136" si="287">Y131</f>
        <v>0.182</v>
      </c>
      <c r="AA131" s="86">
        <v>17.5</v>
      </c>
      <c r="AB131" s="86">
        <f>E145</f>
        <v>14.484523809523811</v>
      </c>
    </row>
    <row r="132" spans="2:28" x14ac:dyDescent="0.35">
      <c r="B132" s="108">
        <v>0.5</v>
      </c>
      <c r="E132" s="86">
        <v>0.13600000000000001</v>
      </c>
      <c r="F132" s="86">
        <v>0.13500000000000001</v>
      </c>
      <c r="G132" s="86">
        <v>0.19800000000000001</v>
      </c>
      <c r="H132" s="86">
        <v>0.19800000000000001</v>
      </c>
      <c r="I132" s="86">
        <v>0.14799999999999999</v>
      </c>
      <c r="J132" s="86">
        <f t="shared" ref="J132:J136" si="288">I132</f>
        <v>0.14799999999999999</v>
      </c>
      <c r="K132" s="86">
        <v>0.36799999999999999</v>
      </c>
      <c r="L132" s="86">
        <f t="shared" si="280"/>
        <v>0.36799999999999999</v>
      </c>
      <c r="M132" s="86">
        <v>0.42</v>
      </c>
      <c r="N132" s="86">
        <f t="shared" si="281"/>
        <v>0.42</v>
      </c>
      <c r="O132" s="86">
        <v>0.19</v>
      </c>
      <c r="P132" s="86">
        <f t="shared" si="282"/>
        <v>0.19</v>
      </c>
      <c r="Q132" s="86">
        <v>0.38600000000000001</v>
      </c>
      <c r="R132" s="86">
        <f t="shared" ref="R132" si="289">Q132</f>
        <v>0.38600000000000001</v>
      </c>
      <c r="S132" s="86">
        <v>0.34</v>
      </c>
      <c r="T132" s="86">
        <f t="shared" si="284"/>
        <v>0.34</v>
      </c>
      <c r="U132" s="86">
        <v>0.52700000000000002</v>
      </c>
      <c r="V132" s="86">
        <f t="shared" si="285"/>
        <v>0.52700000000000002</v>
      </c>
      <c r="W132" s="86">
        <v>0.22800000000000001</v>
      </c>
      <c r="X132" s="86">
        <f t="shared" si="286"/>
        <v>0.22800000000000001</v>
      </c>
      <c r="Y132" s="86">
        <v>0.253</v>
      </c>
      <c r="Z132" s="86">
        <f t="shared" si="287"/>
        <v>0.253</v>
      </c>
      <c r="AA132" s="86">
        <v>41.5</v>
      </c>
      <c r="AB132" s="86">
        <f>G145</f>
        <v>23.06388888888889</v>
      </c>
    </row>
    <row r="133" spans="2:28" x14ac:dyDescent="0.35">
      <c r="B133" s="108">
        <v>1</v>
      </c>
      <c r="E133" s="86">
        <v>0.17899999999999999</v>
      </c>
      <c r="F133" s="86">
        <v>0.17799999999999999</v>
      </c>
      <c r="G133" s="86">
        <v>0.27</v>
      </c>
      <c r="H133" s="86">
        <v>0.27</v>
      </c>
      <c r="I133" s="86">
        <v>0.21</v>
      </c>
      <c r="J133" s="86">
        <f t="shared" si="288"/>
        <v>0.21</v>
      </c>
      <c r="K133" s="86">
        <v>0.52300000000000002</v>
      </c>
      <c r="L133" s="86">
        <f t="shared" si="280"/>
        <v>0.52300000000000002</v>
      </c>
      <c r="M133" s="86">
        <v>0.64100000000000001</v>
      </c>
      <c r="N133" s="86">
        <f t="shared" si="281"/>
        <v>0.64100000000000001</v>
      </c>
      <c r="O133" s="86">
        <v>0.33900000000000002</v>
      </c>
      <c r="P133" s="86">
        <f t="shared" si="282"/>
        <v>0.33900000000000002</v>
      </c>
      <c r="Q133" s="86">
        <v>0.55600000000000005</v>
      </c>
      <c r="R133" s="86">
        <f t="shared" ref="R133" si="290">Q133</f>
        <v>0.55600000000000005</v>
      </c>
      <c r="S133" s="86">
        <v>0.52800000000000002</v>
      </c>
      <c r="T133" s="86">
        <f t="shared" si="284"/>
        <v>0.52800000000000002</v>
      </c>
      <c r="U133" s="86">
        <v>0.754</v>
      </c>
      <c r="V133" s="86">
        <f t="shared" si="285"/>
        <v>0.754</v>
      </c>
      <c r="W133" s="86">
        <v>0.313</v>
      </c>
      <c r="X133" s="86">
        <f t="shared" si="286"/>
        <v>0.313</v>
      </c>
      <c r="Y133" s="86">
        <v>0.315</v>
      </c>
      <c r="Z133" s="86">
        <f t="shared" si="287"/>
        <v>0.315</v>
      </c>
      <c r="AA133" s="86">
        <v>66</v>
      </c>
      <c r="AB133" s="86">
        <f>I145</f>
        <v>76.484126984127002</v>
      </c>
    </row>
    <row r="134" spans="2:28" x14ac:dyDescent="0.35">
      <c r="B134" s="108">
        <v>1.5</v>
      </c>
      <c r="E134" s="86">
        <v>0.223</v>
      </c>
      <c r="F134" s="86">
        <v>0.22600000000000001</v>
      </c>
      <c r="G134" s="86">
        <v>0.34200000000000003</v>
      </c>
      <c r="H134" s="86">
        <v>0.34200000000000003</v>
      </c>
      <c r="I134" s="86">
        <v>0.27</v>
      </c>
      <c r="J134" s="86">
        <f t="shared" si="288"/>
        <v>0.27</v>
      </c>
      <c r="K134" s="86">
        <v>0.68799999999999994</v>
      </c>
      <c r="L134" s="86">
        <f t="shared" si="280"/>
        <v>0.68799999999999994</v>
      </c>
      <c r="M134" s="86">
        <v>0.872</v>
      </c>
      <c r="N134" s="86">
        <f t="shared" si="281"/>
        <v>0.872</v>
      </c>
      <c r="O134" s="86">
        <v>0.48599999999999999</v>
      </c>
      <c r="P134" s="86">
        <f t="shared" si="282"/>
        <v>0.48599999999999999</v>
      </c>
      <c r="Q134" s="86">
        <v>0.72199999999999998</v>
      </c>
      <c r="R134" s="86">
        <f t="shared" ref="R134" si="291">Q134</f>
        <v>0.72199999999999998</v>
      </c>
      <c r="S134" s="86">
        <v>0.70099999999999996</v>
      </c>
      <c r="T134" s="86">
        <f t="shared" si="284"/>
        <v>0.70099999999999996</v>
      </c>
      <c r="U134" s="86">
        <v>0.98</v>
      </c>
      <c r="V134" s="86">
        <f t="shared" si="285"/>
        <v>0.98</v>
      </c>
      <c r="W134" s="86">
        <v>0.39900000000000002</v>
      </c>
      <c r="X134" s="86">
        <f t="shared" si="286"/>
        <v>0.39900000000000002</v>
      </c>
      <c r="Y134" s="86">
        <v>0.36799999999999999</v>
      </c>
      <c r="Z134" s="86">
        <f t="shared" si="287"/>
        <v>0.36799999999999999</v>
      </c>
      <c r="AA134" s="86">
        <f>K130</f>
        <v>113.5</v>
      </c>
      <c r="AB134" s="86">
        <f>K145</f>
        <v>209.48253968253971</v>
      </c>
    </row>
    <row r="135" spans="2:28" x14ac:dyDescent="0.35">
      <c r="B135" s="108">
        <v>2</v>
      </c>
      <c r="E135" s="86">
        <v>0.26800000000000002</v>
      </c>
      <c r="F135" s="86">
        <v>0.27200000000000002</v>
      </c>
      <c r="G135" s="86">
        <v>0.41199999999999998</v>
      </c>
      <c r="H135" s="86">
        <v>0.41199999999999998</v>
      </c>
      <c r="I135" s="86">
        <v>0.318</v>
      </c>
      <c r="J135" s="86">
        <f t="shared" si="288"/>
        <v>0.318</v>
      </c>
      <c r="K135" s="86">
        <v>0.85399999999999998</v>
      </c>
      <c r="L135" s="86">
        <f t="shared" si="280"/>
        <v>0.85399999999999998</v>
      </c>
      <c r="M135" s="86">
        <v>1.07</v>
      </c>
      <c r="N135" s="86">
        <f t="shared" si="281"/>
        <v>1.07</v>
      </c>
      <c r="O135" s="86">
        <v>0.63500000000000001</v>
      </c>
      <c r="P135" s="86">
        <f t="shared" si="282"/>
        <v>0.63500000000000001</v>
      </c>
      <c r="Q135" s="86">
        <v>0.88700000000000001</v>
      </c>
      <c r="R135" s="86">
        <f t="shared" ref="R135" si="292">Q135</f>
        <v>0.88700000000000001</v>
      </c>
      <c r="S135" s="86">
        <v>0.86399999999999999</v>
      </c>
      <c r="T135" s="86">
        <f t="shared" si="284"/>
        <v>0.86399999999999999</v>
      </c>
      <c r="U135" s="86">
        <v>1.1970000000000001</v>
      </c>
      <c r="V135" s="86">
        <f t="shared" si="285"/>
        <v>1.1970000000000001</v>
      </c>
      <c r="W135" s="86">
        <v>0.48299999999999998</v>
      </c>
      <c r="X135" s="86">
        <f t="shared" si="286"/>
        <v>0.48299999999999998</v>
      </c>
      <c r="Y135" s="86">
        <v>0.42199999999999999</v>
      </c>
      <c r="Z135" s="86">
        <f t="shared" si="287"/>
        <v>0.42199999999999999</v>
      </c>
      <c r="AA135" s="86">
        <f>M130</f>
        <v>137</v>
      </c>
      <c r="AB135" s="86">
        <f>M145</f>
        <v>350.52182539682531</v>
      </c>
    </row>
    <row r="136" spans="2:28" x14ac:dyDescent="0.35">
      <c r="B136" s="108">
        <v>2.5</v>
      </c>
      <c r="E136" s="86">
        <v>0.31</v>
      </c>
      <c r="F136" s="86">
        <v>0.314</v>
      </c>
      <c r="I136" s="86">
        <v>0.38400000000000001</v>
      </c>
      <c r="J136" s="86">
        <f t="shared" si="288"/>
        <v>0.38400000000000001</v>
      </c>
      <c r="K136" s="86">
        <v>1.016</v>
      </c>
      <c r="L136" s="86">
        <f t="shared" si="280"/>
        <v>1.016</v>
      </c>
      <c r="M136" s="86">
        <v>1.2809999999999999</v>
      </c>
      <c r="N136" s="86">
        <f t="shared" si="281"/>
        <v>1.2809999999999999</v>
      </c>
      <c r="O136" s="86">
        <v>0.77900000000000003</v>
      </c>
      <c r="P136" s="86">
        <f t="shared" si="282"/>
        <v>0.77900000000000003</v>
      </c>
      <c r="Q136" s="86">
        <v>1.0469999999999999</v>
      </c>
      <c r="R136" s="86">
        <f t="shared" ref="R136" si="293">Q136</f>
        <v>1.0469999999999999</v>
      </c>
      <c r="S136" s="86">
        <v>1.024</v>
      </c>
      <c r="T136" s="86">
        <f t="shared" si="284"/>
        <v>1.024</v>
      </c>
      <c r="U136" s="86">
        <v>1.399</v>
      </c>
      <c r="V136" s="86">
        <f t="shared" si="285"/>
        <v>1.399</v>
      </c>
      <c r="W136" s="86">
        <v>0.56499999999999995</v>
      </c>
      <c r="X136" s="86">
        <f t="shared" si="286"/>
        <v>0.56499999999999995</v>
      </c>
      <c r="Y136" s="86">
        <v>0.47799999999999998</v>
      </c>
      <c r="Z136" s="86">
        <f t="shared" si="287"/>
        <v>0.47799999999999998</v>
      </c>
      <c r="AA136" s="86">
        <f>O130</f>
        <v>161.5</v>
      </c>
      <c r="AB136" s="86">
        <f>O145</f>
        <v>476.61111111111109</v>
      </c>
    </row>
    <row r="137" spans="2:28" x14ac:dyDescent="0.35">
      <c r="B137" s="108">
        <v>3</v>
      </c>
      <c r="AA137" s="86">
        <f>Q130</f>
        <v>195</v>
      </c>
      <c r="AB137" s="86">
        <f>Q145</f>
        <v>534.74999999999989</v>
      </c>
    </row>
    <row r="138" spans="2:28" x14ac:dyDescent="0.35">
      <c r="B138" s="86" t="s">
        <v>297</v>
      </c>
      <c r="C138" s="86" t="e">
        <f t="shared" ref="C138" si="294">SLOPE(C131:C137,$B131:$B137)</f>
        <v>#DIV/0!</v>
      </c>
      <c r="D138" s="86" t="e">
        <f t="shared" ref="D138" si="295">SLOPE(D131:D137,$B131:$B137)</f>
        <v>#DIV/0!</v>
      </c>
      <c r="E138" s="86">
        <f t="shared" ref="E138:J138" si="296">SLOPE(E131:E137,$B131:$B137)</f>
        <v>8.9714285714285719E-2</v>
      </c>
      <c r="F138" s="86">
        <f t="shared" si="296"/>
        <v>9.1657142857142868E-2</v>
      </c>
      <c r="G138" s="86">
        <f t="shared" si="296"/>
        <v>0.1444</v>
      </c>
      <c r="H138" s="86">
        <f t="shared" si="296"/>
        <v>0.1444</v>
      </c>
      <c r="I138" s="86">
        <f t="shared" si="296"/>
        <v>0.11971428571428573</v>
      </c>
      <c r="J138" s="86">
        <f t="shared" si="296"/>
        <v>0.11971428571428573</v>
      </c>
      <c r="K138" s="86">
        <f t="shared" ref="K138" si="297">SLOPE(K131:K137,$B131:$B137)</f>
        <v>0.32788571428571428</v>
      </c>
      <c r="L138" s="86">
        <f t="shared" ref="L138:V138" si="298">SLOPE(L131:L137,$B131:$B137)</f>
        <v>0.32788571428571428</v>
      </c>
      <c r="M138" s="86">
        <f t="shared" si="298"/>
        <v>0.43891428571428565</v>
      </c>
      <c r="N138" s="86">
        <f t="shared" si="298"/>
        <v>0.43891428571428565</v>
      </c>
      <c r="O138" s="86">
        <f t="shared" si="298"/>
        <v>0.2984</v>
      </c>
      <c r="P138" s="86">
        <f t="shared" si="298"/>
        <v>0.2984</v>
      </c>
      <c r="Q138" s="86">
        <f t="shared" si="298"/>
        <v>0.33479999999999999</v>
      </c>
      <c r="R138" s="86">
        <f t="shared" si="298"/>
        <v>0.33479999999999999</v>
      </c>
      <c r="S138" s="86">
        <f t="shared" si="298"/>
        <v>0.34685714285714275</v>
      </c>
      <c r="T138" s="86">
        <f t="shared" si="298"/>
        <v>0.34685714285714275</v>
      </c>
      <c r="U138" s="86">
        <f t="shared" si="298"/>
        <v>0.44691428571428571</v>
      </c>
      <c r="V138" s="86">
        <f t="shared" si="298"/>
        <v>0.44691428571428571</v>
      </c>
      <c r="W138" s="86">
        <f>SLOPE(W131:W137,$B131:$B137)</f>
        <v>0.17091428571428569</v>
      </c>
      <c r="X138" s="86">
        <f>SLOPE(X131:X137,$B131:$B137)</f>
        <v>0.17091428571428569</v>
      </c>
      <c r="Y138" s="86">
        <f>SLOPE(Y131:Y137,$B131:$B137)</f>
        <v>0.11657142857142858</v>
      </c>
      <c r="Z138" s="86">
        <f>SLOPE(Z131:Z137,$B131:$B137)</f>
        <v>0.11657142857142858</v>
      </c>
      <c r="AA138" s="86">
        <f>S130</f>
        <v>219</v>
      </c>
      <c r="AB138" s="86">
        <f>S145</f>
        <v>554.00793650793628</v>
      </c>
    </row>
    <row r="139" spans="2:28" x14ac:dyDescent="0.35">
      <c r="B139" s="86" t="s">
        <v>298</v>
      </c>
      <c r="C139" s="202" t="e">
        <f t="shared" ref="C139:D139" si="299">RSQ(C131:C137,$B131:$B137)</f>
        <v>#DIV/0!</v>
      </c>
      <c r="D139" s="202" t="e">
        <f t="shared" si="299"/>
        <v>#DIV/0!</v>
      </c>
      <c r="E139" s="202">
        <f t="shared" ref="E139:V139" si="300">RSQ(E131:E137,$B131:$B137)</f>
        <v>0.99905967039826216</v>
      </c>
      <c r="F139" s="202">
        <f t="shared" si="300"/>
        <v>0.99948824199730635</v>
      </c>
      <c r="G139" s="202">
        <f t="shared" si="300"/>
        <v>0.99985422740524754</v>
      </c>
      <c r="H139" s="202">
        <f t="shared" si="300"/>
        <v>0.99985422740524754</v>
      </c>
      <c r="I139" s="202">
        <f t="shared" si="300"/>
        <v>0.99770106494339961</v>
      </c>
      <c r="J139" s="202">
        <f t="shared" si="300"/>
        <v>0.99770106494339961</v>
      </c>
      <c r="K139" s="202">
        <f t="shared" si="300"/>
        <v>0.99984706805532264</v>
      </c>
      <c r="L139" s="202">
        <f t="shared" si="300"/>
        <v>0.99984706805532264</v>
      </c>
      <c r="M139" s="202">
        <f t="shared" si="300"/>
        <v>0.99910183545641584</v>
      </c>
      <c r="N139" s="202">
        <f t="shared" si="300"/>
        <v>0.99910183545641584</v>
      </c>
      <c r="O139" s="202">
        <f t="shared" si="300"/>
        <v>0.99978749833181058</v>
      </c>
      <c r="P139" s="202">
        <f t="shared" si="300"/>
        <v>0.99978749833181058</v>
      </c>
      <c r="Q139" s="202">
        <f t="shared" si="300"/>
        <v>0.99972438171908751</v>
      </c>
      <c r="R139" s="202">
        <f t="shared" si="300"/>
        <v>0.99972438171908751</v>
      </c>
      <c r="S139" s="202">
        <f t="shared" si="300"/>
        <v>0.99897585153353807</v>
      </c>
      <c r="T139" s="202">
        <f t="shared" si="300"/>
        <v>0.99897585153353807</v>
      </c>
      <c r="U139" s="202">
        <f t="shared" si="300"/>
        <v>0.99908950418534237</v>
      </c>
      <c r="V139" s="202">
        <f t="shared" si="300"/>
        <v>0.99908950418534237</v>
      </c>
      <c r="W139" s="202">
        <f>RSQ(W131:W137,$B131:$B137)</f>
        <v>0.99975220614571225</v>
      </c>
      <c r="X139" s="202">
        <f>RSQ(X131:X137,$B131:$B137)</f>
        <v>0.99975220614571225</v>
      </c>
      <c r="Y139" s="202">
        <f>RSQ(Y131:Y137,$B131:$B137)</f>
        <v>0.99701648916800345</v>
      </c>
      <c r="Z139" s="202">
        <f>RSQ(Z131:Z137,$B131:$B137)</f>
        <v>0.99701648916800345</v>
      </c>
      <c r="AA139" s="226">
        <f>U130</f>
        <v>257.5</v>
      </c>
      <c r="AB139" s="226">
        <f>U145</f>
        <v>713.82142857142867</v>
      </c>
    </row>
    <row r="140" spans="2:28" x14ac:dyDescent="0.35">
      <c r="B140" s="86" t="s">
        <v>292</v>
      </c>
      <c r="C140" s="86">
        <v>36000</v>
      </c>
      <c r="D140" s="86">
        <v>36000</v>
      </c>
      <c r="E140" s="86">
        <v>36000</v>
      </c>
      <c r="F140" s="86">
        <v>36000</v>
      </c>
      <c r="G140" s="86">
        <v>36000</v>
      </c>
      <c r="H140" s="86">
        <v>36000</v>
      </c>
      <c r="I140" s="86">
        <v>36000</v>
      </c>
      <c r="J140" s="86">
        <v>36000</v>
      </c>
      <c r="K140" s="86">
        <v>36000</v>
      </c>
      <c r="L140" s="86">
        <v>36000</v>
      </c>
      <c r="M140" s="86">
        <v>36000</v>
      </c>
      <c r="N140" s="86">
        <v>36000</v>
      </c>
      <c r="O140" s="86">
        <v>36000</v>
      </c>
      <c r="P140" s="86">
        <v>36000</v>
      </c>
      <c r="Q140" s="86">
        <v>36000</v>
      </c>
      <c r="R140" s="86">
        <v>36000</v>
      </c>
      <c r="S140" s="86">
        <v>36000</v>
      </c>
      <c r="T140" s="86">
        <v>36000</v>
      </c>
      <c r="U140" s="86">
        <v>36000</v>
      </c>
      <c r="V140" s="86">
        <v>36000</v>
      </c>
      <c r="W140" s="86">
        <v>36000</v>
      </c>
      <c r="X140" s="86">
        <v>36000</v>
      </c>
      <c r="Y140" s="86">
        <v>36000</v>
      </c>
      <c r="Z140" s="86">
        <v>36000</v>
      </c>
      <c r="AA140" s="86">
        <f>W130</f>
        <v>330</v>
      </c>
      <c r="AB140" s="86">
        <f>W145</f>
        <v>545.97619047619037</v>
      </c>
    </row>
    <row r="141" spans="2:28" x14ac:dyDescent="0.35">
      <c r="B141" s="86" t="s">
        <v>296</v>
      </c>
      <c r="C141" s="86">
        <v>25</v>
      </c>
      <c r="D141" s="86">
        <v>25</v>
      </c>
      <c r="E141" s="86">
        <v>25</v>
      </c>
      <c r="F141" s="86">
        <v>25</v>
      </c>
      <c r="G141" s="86">
        <v>25</v>
      </c>
      <c r="H141" s="86">
        <v>25</v>
      </c>
      <c r="I141" s="86">
        <v>25</v>
      </c>
      <c r="J141" s="86">
        <v>25</v>
      </c>
      <c r="K141" s="86">
        <v>25</v>
      </c>
      <c r="L141" s="86">
        <v>25</v>
      </c>
      <c r="M141" s="86">
        <v>25</v>
      </c>
      <c r="N141" s="86">
        <v>25</v>
      </c>
      <c r="O141" s="86">
        <v>25</v>
      </c>
      <c r="P141" s="86">
        <v>25</v>
      </c>
      <c r="Q141" s="86">
        <v>25</v>
      </c>
      <c r="R141" s="86">
        <v>25</v>
      </c>
      <c r="S141" s="86">
        <v>25</v>
      </c>
      <c r="T141" s="86">
        <v>25</v>
      </c>
      <c r="U141" s="86">
        <v>25</v>
      </c>
      <c r="V141" s="86">
        <v>25</v>
      </c>
      <c r="W141" s="86">
        <v>25</v>
      </c>
      <c r="X141" s="86">
        <v>25</v>
      </c>
      <c r="Y141" s="86">
        <v>25</v>
      </c>
      <c r="Z141" s="86">
        <v>25</v>
      </c>
      <c r="AA141" s="86">
        <f>Y130</f>
        <v>379.5</v>
      </c>
      <c r="AB141" s="86">
        <f>Y145</f>
        <v>372.38095238095246</v>
      </c>
    </row>
    <row r="142" spans="2:28" x14ac:dyDescent="0.35">
      <c r="B142" s="86" t="s">
        <v>293</v>
      </c>
      <c r="C142" s="86">
        <v>2</v>
      </c>
      <c r="D142" s="86">
        <v>2</v>
      </c>
      <c r="E142" s="86">
        <v>10</v>
      </c>
      <c r="F142" s="86">
        <v>10</v>
      </c>
      <c r="G142" s="86">
        <v>10</v>
      </c>
      <c r="H142" s="86">
        <v>10</v>
      </c>
      <c r="I142" s="86">
        <v>40</v>
      </c>
      <c r="J142" s="86">
        <v>40</v>
      </c>
      <c r="K142" s="86">
        <v>40</v>
      </c>
      <c r="L142" s="86">
        <v>40</v>
      </c>
      <c r="M142" s="86">
        <v>50</v>
      </c>
      <c r="N142" s="86">
        <v>50</v>
      </c>
      <c r="O142" s="86">
        <v>100</v>
      </c>
      <c r="P142" s="86">
        <v>100</v>
      </c>
      <c r="Q142" s="86">
        <v>100</v>
      </c>
      <c r="R142" s="86">
        <v>100</v>
      </c>
      <c r="S142" s="86">
        <v>100</v>
      </c>
      <c r="T142" s="86">
        <v>100</v>
      </c>
      <c r="U142" s="86">
        <v>100</v>
      </c>
      <c r="V142" s="86">
        <v>100</v>
      </c>
      <c r="W142" s="86">
        <v>200</v>
      </c>
      <c r="X142" s="86">
        <v>200</v>
      </c>
      <c r="Y142" s="86">
        <v>200</v>
      </c>
      <c r="Z142" s="86">
        <v>200</v>
      </c>
    </row>
    <row r="143" spans="2:28" x14ac:dyDescent="0.35">
      <c r="B143" s="86" t="s">
        <v>294</v>
      </c>
      <c r="C143" s="86" t="e">
        <f t="shared" ref="C143:J143" si="301">(C138*C141*C142*10^6 / C140)/1000</f>
        <v>#DIV/0!</v>
      </c>
      <c r="D143" s="86" t="e">
        <f t="shared" si="301"/>
        <v>#DIV/0!</v>
      </c>
      <c r="E143" s="86">
        <f t="shared" si="301"/>
        <v>0.62301587301587302</v>
      </c>
      <c r="F143" s="86">
        <f t="shared" si="301"/>
        <v>0.63650793650793658</v>
      </c>
      <c r="G143" s="86">
        <f t="shared" si="301"/>
        <v>1.0027777777777778</v>
      </c>
      <c r="H143" s="86">
        <f t="shared" si="301"/>
        <v>1.0027777777777778</v>
      </c>
      <c r="I143" s="86">
        <f t="shared" si="301"/>
        <v>3.325396825396826</v>
      </c>
      <c r="J143" s="86">
        <f t="shared" si="301"/>
        <v>3.325396825396826</v>
      </c>
      <c r="K143" s="86">
        <f t="shared" ref="K143" si="302">(K138*K141*K142*10^6 / K140)/1000</f>
        <v>9.1079365079365093</v>
      </c>
      <c r="L143" s="86">
        <f t="shared" ref="L143:V143" si="303">(L138*L141*L142*10^6 / L140)/1000</f>
        <v>9.1079365079365093</v>
      </c>
      <c r="M143" s="86">
        <f t="shared" si="303"/>
        <v>15.24007936507936</v>
      </c>
      <c r="N143" s="86">
        <f t="shared" si="303"/>
        <v>15.24007936507936</v>
      </c>
      <c r="O143" s="86">
        <f t="shared" si="303"/>
        <v>20.722222222222221</v>
      </c>
      <c r="P143" s="86">
        <f t="shared" si="303"/>
        <v>20.722222222222221</v>
      </c>
      <c r="Q143" s="86">
        <f t="shared" si="303"/>
        <v>23.249999999999996</v>
      </c>
      <c r="R143" s="86">
        <f t="shared" si="303"/>
        <v>23.249999999999996</v>
      </c>
      <c r="S143" s="86">
        <f t="shared" si="303"/>
        <v>24.087301587301578</v>
      </c>
      <c r="T143" s="86">
        <f t="shared" si="303"/>
        <v>24.087301587301578</v>
      </c>
      <c r="U143" s="86">
        <f t="shared" si="303"/>
        <v>31.035714285714288</v>
      </c>
      <c r="V143" s="86">
        <f t="shared" si="303"/>
        <v>31.035714285714288</v>
      </c>
      <c r="W143" s="86">
        <f>(W138*W141*W142*10^6 / W140)/1000</f>
        <v>23.738095238095234</v>
      </c>
      <c r="X143" s="86">
        <f t="shared" ref="X143" si="304">(X138*X141*X142*10^6 / X140)/1000</f>
        <v>23.738095238095234</v>
      </c>
      <c r="Y143" s="86">
        <f>(Y138*Y141*Y142*10^6 / Y140)/1000</f>
        <v>16.190476190476193</v>
      </c>
      <c r="Z143" s="86">
        <f t="shared" ref="Z143" si="305">(Z138*Z141*Z142*10^6 / Z140)/1000</f>
        <v>16.190476190476193</v>
      </c>
    </row>
    <row r="144" spans="2:28" x14ac:dyDescent="0.35">
      <c r="B144" s="86" t="s">
        <v>295</v>
      </c>
      <c r="C144" s="86" t="e">
        <f t="shared" ref="C144:J144" si="306">C143*23</f>
        <v>#DIV/0!</v>
      </c>
      <c r="D144" s="86" t="e">
        <f t="shared" si="306"/>
        <v>#DIV/0!</v>
      </c>
      <c r="E144" s="86">
        <f t="shared" si="306"/>
        <v>14.329365079365079</v>
      </c>
      <c r="F144" s="86">
        <f t="shared" si="306"/>
        <v>14.639682539682541</v>
      </c>
      <c r="G144" s="86">
        <f t="shared" si="306"/>
        <v>23.06388888888889</v>
      </c>
      <c r="H144" s="86">
        <f t="shared" si="306"/>
        <v>23.06388888888889</v>
      </c>
      <c r="I144" s="86">
        <f t="shared" si="306"/>
        <v>76.484126984127002</v>
      </c>
      <c r="J144" s="86">
        <f t="shared" si="306"/>
        <v>76.484126984127002</v>
      </c>
      <c r="K144" s="86">
        <f t="shared" ref="K144" si="307">K143*23</f>
        <v>209.48253968253971</v>
      </c>
      <c r="L144" s="86">
        <f t="shared" ref="L144:V144" si="308">L143*23</f>
        <v>209.48253968253971</v>
      </c>
      <c r="M144" s="86">
        <f t="shared" si="308"/>
        <v>350.52182539682531</v>
      </c>
      <c r="N144" s="86">
        <f t="shared" si="308"/>
        <v>350.52182539682531</v>
      </c>
      <c r="O144" s="86">
        <f t="shared" si="308"/>
        <v>476.61111111111109</v>
      </c>
      <c r="P144" s="86">
        <f t="shared" si="308"/>
        <v>476.61111111111109</v>
      </c>
      <c r="Q144" s="86">
        <f t="shared" si="308"/>
        <v>534.74999999999989</v>
      </c>
      <c r="R144" s="86">
        <f t="shared" si="308"/>
        <v>534.74999999999989</v>
      </c>
      <c r="S144" s="86">
        <f t="shared" si="308"/>
        <v>554.00793650793628</v>
      </c>
      <c r="T144" s="86">
        <f t="shared" si="308"/>
        <v>554.00793650793628</v>
      </c>
      <c r="U144" s="86">
        <f t="shared" si="308"/>
        <v>713.82142857142867</v>
      </c>
      <c r="V144" s="86">
        <f t="shared" si="308"/>
        <v>713.82142857142867</v>
      </c>
      <c r="W144" s="86">
        <f>W143*23</f>
        <v>545.97619047619037</v>
      </c>
      <c r="X144" s="86">
        <f t="shared" ref="X144" si="309">X143*23</f>
        <v>545.97619047619037</v>
      </c>
      <c r="Y144" s="86">
        <f>Y143*23</f>
        <v>372.38095238095246</v>
      </c>
      <c r="Z144" s="86">
        <f t="shared" ref="Z144" si="310">Z143*23</f>
        <v>372.38095238095246</v>
      </c>
    </row>
    <row r="145" spans="2:28" s="108" customFormat="1" x14ac:dyDescent="0.35">
      <c r="B145" s="108" t="s">
        <v>299</v>
      </c>
      <c r="C145" s="330" t="e">
        <f>AVERAGE(C144:D144)</f>
        <v>#DIV/0!</v>
      </c>
      <c r="D145" s="330"/>
      <c r="E145" s="330">
        <f>AVERAGE(E144:F144)</f>
        <v>14.484523809523811</v>
      </c>
      <c r="F145" s="330"/>
      <c r="G145" s="330">
        <f>AVERAGE(G144:H144)</f>
        <v>23.06388888888889</v>
      </c>
      <c r="H145" s="330"/>
      <c r="I145" s="330">
        <f>AVERAGE(I144:J144)</f>
        <v>76.484126984127002</v>
      </c>
      <c r="J145" s="330"/>
      <c r="K145" s="330">
        <f>AVERAGE(K144:L144)</f>
        <v>209.48253968253971</v>
      </c>
      <c r="L145" s="330"/>
      <c r="M145" s="330">
        <f>AVERAGE(M144:N144)</f>
        <v>350.52182539682531</v>
      </c>
      <c r="N145" s="330"/>
      <c r="O145" s="330">
        <f>AVERAGE(O144:P144)</f>
        <v>476.61111111111109</v>
      </c>
      <c r="P145" s="330"/>
      <c r="Q145" s="330">
        <f>AVERAGE(Q144:R144)</f>
        <v>534.74999999999989</v>
      </c>
      <c r="R145" s="330"/>
      <c r="S145" s="330">
        <f>AVERAGE(S144:T144)</f>
        <v>554.00793650793628</v>
      </c>
      <c r="T145" s="330"/>
      <c r="U145" s="330">
        <f>AVERAGE(U144:V144)</f>
        <v>713.82142857142867</v>
      </c>
      <c r="V145" s="330"/>
      <c r="W145" s="330">
        <f>AVERAGE(W144:X144)</f>
        <v>545.97619047619037</v>
      </c>
      <c r="X145" s="330"/>
      <c r="Y145" s="330">
        <f>AVERAGE(Y144:Z144)</f>
        <v>372.38095238095246</v>
      </c>
      <c r="Z145" s="330"/>
    </row>
    <row r="146" spans="2:28" ht="15" thickBot="1" x14ac:dyDescent="0.4"/>
    <row r="147" spans="2:28" ht="15" thickBot="1" x14ac:dyDescent="0.4">
      <c r="B147" s="338" t="s">
        <v>307</v>
      </c>
      <c r="C147" s="339"/>
      <c r="D147" s="339"/>
      <c r="E147" s="339"/>
      <c r="F147" s="339"/>
      <c r="G147" s="339"/>
      <c r="H147" s="339"/>
      <c r="I147" s="339"/>
      <c r="J147" s="340"/>
      <c r="AA147" s="86" t="s">
        <v>404</v>
      </c>
    </row>
    <row r="148" spans="2:28" x14ac:dyDescent="0.35">
      <c r="B148" s="87" t="s">
        <v>290</v>
      </c>
      <c r="C148" s="108">
        <v>0</v>
      </c>
      <c r="D148" s="108">
        <v>0</v>
      </c>
      <c r="E148" s="108">
        <v>17.5</v>
      </c>
      <c r="F148" s="108">
        <v>17.5</v>
      </c>
      <c r="G148" s="108">
        <v>41.5</v>
      </c>
      <c r="H148" s="108">
        <v>41.5</v>
      </c>
      <c r="I148" s="108">
        <f>H148+24.5</f>
        <v>66</v>
      </c>
      <c r="J148" s="108">
        <f>I148</f>
        <v>66</v>
      </c>
      <c r="K148" s="108">
        <f>J148+24+23.5</f>
        <v>113.5</v>
      </c>
      <c r="L148" s="108">
        <f>K148</f>
        <v>113.5</v>
      </c>
      <c r="M148" s="108">
        <f>L148+23.5</f>
        <v>137</v>
      </c>
      <c r="N148" s="108">
        <f>M148</f>
        <v>137</v>
      </c>
      <c r="O148" s="108">
        <f>N148+24.5</f>
        <v>161.5</v>
      </c>
      <c r="P148" s="108">
        <f>O148</f>
        <v>161.5</v>
      </c>
      <c r="Q148" s="108">
        <f>P148+33.5</f>
        <v>195</v>
      </c>
      <c r="R148" s="108">
        <f>Q148</f>
        <v>195</v>
      </c>
      <c r="S148" s="108">
        <f>R148+24</f>
        <v>219</v>
      </c>
      <c r="T148" s="108">
        <f>S148</f>
        <v>219</v>
      </c>
      <c r="U148" s="108">
        <f>T148+38.5</f>
        <v>257.5</v>
      </c>
      <c r="V148" s="108">
        <f>U148</f>
        <v>257.5</v>
      </c>
      <c r="W148" s="108">
        <f>V148+72.5</f>
        <v>330</v>
      </c>
      <c r="X148" s="108">
        <f>W148</f>
        <v>330</v>
      </c>
      <c r="Y148" s="108">
        <f>X148+49.5</f>
        <v>379.5</v>
      </c>
      <c r="Z148" s="108">
        <f>Y148</f>
        <v>379.5</v>
      </c>
      <c r="AA148" s="86">
        <v>0</v>
      </c>
    </row>
    <row r="149" spans="2:28" x14ac:dyDescent="0.35">
      <c r="B149" s="108">
        <v>0</v>
      </c>
      <c r="E149" s="86">
        <v>8.7999999999999995E-2</v>
      </c>
      <c r="F149" s="86">
        <v>8.5000000000000006E-2</v>
      </c>
      <c r="G149" s="86">
        <v>0.152</v>
      </c>
      <c r="H149" s="86">
        <v>0.152</v>
      </c>
      <c r="I149" s="86">
        <v>9.7000000000000003E-2</v>
      </c>
      <c r="J149" s="86">
        <f>I149</f>
        <v>9.7000000000000003E-2</v>
      </c>
      <c r="K149" s="86">
        <v>0.23599999999999999</v>
      </c>
      <c r="L149" s="86">
        <f t="shared" ref="L149:L154" si="311">K149</f>
        <v>0.23599999999999999</v>
      </c>
      <c r="M149" s="86">
        <v>0.35799999999999998</v>
      </c>
      <c r="N149" s="86">
        <f t="shared" ref="N149:N154" si="312">M149</f>
        <v>0.35799999999999998</v>
      </c>
      <c r="O149" s="86">
        <v>3.7999999999999999E-2</v>
      </c>
      <c r="P149" s="86">
        <f t="shared" ref="P149:P154" si="313">O149</f>
        <v>3.7999999999999999E-2</v>
      </c>
      <c r="Q149" s="86">
        <v>0.22800000000000001</v>
      </c>
      <c r="R149" s="86">
        <f t="shared" ref="R149" si="314">Q149</f>
        <v>0.22800000000000001</v>
      </c>
      <c r="S149" s="86">
        <v>0.156</v>
      </c>
      <c r="T149" s="86">
        <f t="shared" ref="T149:T154" si="315">S149</f>
        <v>0.156</v>
      </c>
      <c r="U149" s="86">
        <v>0.26100000000000001</v>
      </c>
      <c r="V149" s="86">
        <f t="shared" ref="V149:V154" si="316">U149</f>
        <v>0.26100000000000001</v>
      </c>
      <c r="W149" s="86">
        <v>0.13100000000000001</v>
      </c>
      <c r="X149" s="86">
        <f t="shared" ref="X149:X154" si="317">W149</f>
        <v>0.13100000000000001</v>
      </c>
      <c r="Y149" s="86">
        <v>0.151</v>
      </c>
      <c r="Z149" s="86">
        <f t="shared" ref="Z149:Z154" si="318">Y149</f>
        <v>0.151</v>
      </c>
      <c r="AA149" s="86">
        <v>17.5</v>
      </c>
      <c r="AB149" s="86">
        <f>E163</f>
        <v>15.155357142857142</v>
      </c>
    </row>
    <row r="150" spans="2:28" x14ac:dyDescent="0.35">
      <c r="B150" s="108">
        <v>0.5</v>
      </c>
      <c r="E150" s="86">
        <v>0.13900000000000001</v>
      </c>
      <c r="F150" s="86">
        <v>0.14599999999999999</v>
      </c>
      <c r="G150" s="86">
        <v>0.25800000000000001</v>
      </c>
      <c r="H150" s="86">
        <v>0.25800000000000001</v>
      </c>
      <c r="I150" s="86">
        <v>0.18</v>
      </c>
      <c r="J150" s="86">
        <f t="shared" ref="J150:J154" si="319">I150</f>
        <v>0.18</v>
      </c>
      <c r="K150" s="86">
        <v>0.45200000000000001</v>
      </c>
      <c r="L150" s="86">
        <f t="shared" si="311"/>
        <v>0.45200000000000001</v>
      </c>
      <c r="M150" s="86">
        <v>0.63500000000000001</v>
      </c>
      <c r="N150" s="86">
        <f t="shared" si="312"/>
        <v>0.63500000000000001</v>
      </c>
      <c r="O150" s="86">
        <v>0.23</v>
      </c>
      <c r="P150" s="86">
        <f t="shared" si="313"/>
        <v>0.23</v>
      </c>
      <c r="Q150" s="86">
        <v>0.41699999999999998</v>
      </c>
      <c r="R150" s="86">
        <f t="shared" ref="R150" si="320">Q150</f>
        <v>0.41699999999999998</v>
      </c>
      <c r="S150" s="86">
        <v>0.35699999999999998</v>
      </c>
      <c r="T150" s="86">
        <f t="shared" si="315"/>
        <v>0.35699999999999998</v>
      </c>
      <c r="U150" s="86">
        <v>0.49199999999999999</v>
      </c>
      <c r="V150" s="86">
        <f t="shared" si="316"/>
        <v>0.49199999999999999</v>
      </c>
      <c r="W150" s="86">
        <v>0.219</v>
      </c>
      <c r="X150" s="86">
        <f t="shared" si="317"/>
        <v>0.219</v>
      </c>
      <c r="Y150" s="86">
        <v>0.20399999999999999</v>
      </c>
      <c r="Z150" s="86">
        <f t="shared" si="318"/>
        <v>0.20399999999999999</v>
      </c>
      <c r="AA150" s="86">
        <v>41.5</v>
      </c>
      <c r="AB150" s="86">
        <f>G163</f>
        <v>31.561111111111106</v>
      </c>
    </row>
    <row r="151" spans="2:28" x14ac:dyDescent="0.35">
      <c r="B151" s="108">
        <v>1</v>
      </c>
      <c r="E151" s="86">
        <v>0.186</v>
      </c>
      <c r="F151" s="86">
        <v>0.191</v>
      </c>
      <c r="G151" s="86">
        <v>0.36099999999999999</v>
      </c>
      <c r="H151" s="86">
        <v>0.36099999999999999</v>
      </c>
      <c r="I151" s="86">
        <v>0.25600000000000001</v>
      </c>
      <c r="J151" s="86">
        <f t="shared" si="319"/>
        <v>0.25600000000000001</v>
      </c>
      <c r="K151" s="86">
        <v>0.66300000000000003</v>
      </c>
      <c r="L151" s="86">
        <f t="shared" si="311"/>
        <v>0.66300000000000003</v>
      </c>
      <c r="M151" s="86">
        <v>0.89600000000000002</v>
      </c>
      <c r="N151" s="86">
        <f t="shared" si="312"/>
        <v>0.89600000000000002</v>
      </c>
      <c r="O151" s="86">
        <v>0.40100000000000002</v>
      </c>
      <c r="P151" s="86">
        <f t="shared" si="313"/>
        <v>0.40100000000000002</v>
      </c>
      <c r="Q151" s="86">
        <v>0.60099999999999998</v>
      </c>
      <c r="R151" s="86">
        <f t="shared" ref="R151" si="321">Q151</f>
        <v>0.60099999999999998</v>
      </c>
      <c r="S151" s="86">
        <v>0.53500000000000003</v>
      </c>
      <c r="T151" s="86">
        <f t="shared" si="315"/>
        <v>0.53500000000000003</v>
      </c>
      <c r="U151" s="86">
        <v>0.70599999999999996</v>
      </c>
      <c r="V151" s="86">
        <f t="shared" si="316"/>
        <v>0.70599999999999996</v>
      </c>
      <c r="W151" s="86">
        <v>0.30099999999999999</v>
      </c>
      <c r="X151" s="86">
        <f t="shared" si="317"/>
        <v>0.30099999999999999</v>
      </c>
      <c r="Y151" s="86">
        <v>0.249</v>
      </c>
      <c r="Z151" s="86">
        <f t="shared" si="318"/>
        <v>0.249</v>
      </c>
      <c r="AA151" s="86">
        <v>66</v>
      </c>
      <c r="AB151" s="86">
        <f>I163</f>
        <v>94.993650793650787</v>
      </c>
    </row>
    <row r="152" spans="2:28" x14ac:dyDescent="0.35">
      <c r="B152" s="108">
        <v>1.5</v>
      </c>
      <c r="E152" s="86">
        <v>0.23200000000000001</v>
      </c>
      <c r="F152" s="86">
        <v>0.23899999999999999</v>
      </c>
      <c r="G152" s="86">
        <v>0.45600000000000002</v>
      </c>
      <c r="H152" s="86">
        <v>0.45600000000000002</v>
      </c>
      <c r="I152" s="86">
        <v>0.33</v>
      </c>
      <c r="J152" s="86">
        <f t="shared" si="319"/>
        <v>0.33</v>
      </c>
      <c r="K152" s="86">
        <v>0.86699999999999999</v>
      </c>
      <c r="L152" s="86">
        <f t="shared" si="311"/>
        <v>0.86699999999999999</v>
      </c>
      <c r="M152" s="86">
        <v>1.149</v>
      </c>
      <c r="N152" s="86">
        <f t="shared" si="312"/>
        <v>1.149</v>
      </c>
      <c r="O152" s="86">
        <v>0.56599999999999995</v>
      </c>
      <c r="P152" s="86">
        <f t="shared" si="313"/>
        <v>0.56599999999999995</v>
      </c>
      <c r="Q152" s="86">
        <v>0.78300000000000003</v>
      </c>
      <c r="R152" s="86">
        <f t="shared" ref="R152" si="322">Q152</f>
        <v>0.78300000000000003</v>
      </c>
      <c r="S152" s="86">
        <v>0.71899999999999997</v>
      </c>
      <c r="T152" s="86">
        <f t="shared" si="315"/>
        <v>0.71899999999999997</v>
      </c>
      <c r="U152" s="86">
        <v>0.92700000000000005</v>
      </c>
      <c r="V152" s="86">
        <f t="shared" si="316"/>
        <v>0.92700000000000005</v>
      </c>
      <c r="W152" s="86">
        <v>0.38500000000000001</v>
      </c>
      <c r="X152" s="86">
        <f t="shared" si="317"/>
        <v>0.38500000000000001</v>
      </c>
      <c r="Y152" s="86">
        <v>0.29499999999999998</v>
      </c>
      <c r="Z152" s="86">
        <f t="shared" si="318"/>
        <v>0.29499999999999998</v>
      </c>
      <c r="AA152" s="86">
        <f>K148</f>
        <v>113.5</v>
      </c>
      <c r="AB152" s="86">
        <f>K163</f>
        <v>265.44920634920641</v>
      </c>
    </row>
    <row r="153" spans="2:28" x14ac:dyDescent="0.35">
      <c r="B153" s="108">
        <v>2</v>
      </c>
      <c r="E153" s="86">
        <v>0.27800000000000002</v>
      </c>
      <c r="F153" s="86">
        <v>0.28599999999999998</v>
      </c>
      <c r="G153" s="86">
        <v>0.54700000000000004</v>
      </c>
      <c r="H153" s="86">
        <v>0.54700000000000004</v>
      </c>
      <c r="I153" s="86">
        <v>0.40100000000000002</v>
      </c>
      <c r="J153" s="86">
        <f t="shared" si="319"/>
        <v>0.40100000000000002</v>
      </c>
      <c r="K153" s="86">
        <v>1.071</v>
      </c>
      <c r="L153" s="86">
        <f t="shared" si="311"/>
        <v>1.071</v>
      </c>
      <c r="M153" s="86">
        <v>1.4</v>
      </c>
      <c r="N153" s="86">
        <f t="shared" si="312"/>
        <v>1.4</v>
      </c>
      <c r="O153" s="86">
        <v>0.73</v>
      </c>
      <c r="P153" s="86">
        <f t="shared" si="313"/>
        <v>0.73</v>
      </c>
      <c r="Q153" s="86">
        <v>0.96499999999999997</v>
      </c>
      <c r="R153" s="86">
        <f t="shared" ref="R153" si="323">Q153</f>
        <v>0.96499999999999997</v>
      </c>
      <c r="S153" s="86">
        <v>0.89500000000000002</v>
      </c>
      <c r="T153" s="86">
        <f t="shared" si="315"/>
        <v>0.89500000000000002</v>
      </c>
      <c r="U153" s="86">
        <v>1.1439999999999999</v>
      </c>
      <c r="V153" s="86">
        <f t="shared" si="316"/>
        <v>1.1439999999999999</v>
      </c>
      <c r="W153" s="86">
        <v>0.46700000000000003</v>
      </c>
      <c r="X153" s="86">
        <f t="shared" si="317"/>
        <v>0.46700000000000003</v>
      </c>
      <c r="Y153" s="86">
        <v>0.34100000000000003</v>
      </c>
      <c r="Z153" s="86">
        <f t="shared" si="318"/>
        <v>0.34100000000000003</v>
      </c>
      <c r="AA153" s="86">
        <f>M148</f>
        <v>137</v>
      </c>
      <c r="AB153" s="86">
        <f>M163</f>
        <v>409.93849206349211</v>
      </c>
    </row>
    <row r="154" spans="2:28" x14ac:dyDescent="0.35">
      <c r="B154" s="108">
        <v>2.5</v>
      </c>
      <c r="E154" s="86">
        <v>0.32100000000000001</v>
      </c>
      <c r="F154" s="86">
        <v>0.33</v>
      </c>
      <c r="I154" s="86">
        <v>0.47</v>
      </c>
      <c r="J154" s="86">
        <f t="shared" si="319"/>
        <v>0.47</v>
      </c>
      <c r="K154" s="86">
        <v>1.278</v>
      </c>
      <c r="L154" s="86">
        <f t="shared" si="311"/>
        <v>1.278</v>
      </c>
      <c r="M154" s="86">
        <v>1.645</v>
      </c>
      <c r="N154" s="86">
        <f t="shared" si="312"/>
        <v>1.645</v>
      </c>
      <c r="O154" s="86">
        <v>0.89100000000000001</v>
      </c>
      <c r="P154" s="86">
        <f t="shared" si="313"/>
        <v>0.89100000000000001</v>
      </c>
      <c r="Q154" s="86">
        <v>1.141</v>
      </c>
      <c r="R154" s="86">
        <f t="shared" ref="R154" si="324">Q154</f>
        <v>1.141</v>
      </c>
      <c r="S154" s="86">
        <v>1.0720000000000001</v>
      </c>
      <c r="T154" s="86">
        <f t="shared" si="315"/>
        <v>1.0720000000000001</v>
      </c>
      <c r="U154" s="86">
        <v>1.355</v>
      </c>
      <c r="V154" s="86">
        <f t="shared" si="316"/>
        <v>1.355</v>
      </c>
      <c r="W154" s="86">
        <v>0.54600000000000004</v>
      </c>
      <c r="X154" s="86">
        <f t="shared" si="317"/>
        <v>0.54600000000000004</v>
      </c>
      <c r="Y154" s="86">
        <v>0.38600000000000001</v>
      </c>
      <c r="Z154" s="86">
        <f t="shared" si="318"/>
        <v>0.38600000000000001</v>
      </c>
      <c r="AA154" s="86">
        <f>O148</f>
        <v>161.5</v>
      </c>
      <c r="AB154" s="86">
        <f>O163</f>
        <v>541.23015873015868</v>
      </c>
    </row>
    <row r="155" spans="2:28" x14ac:dyDescent="0.35">
      <c r="B155" s="108">
        <v>3</v>
      </c>
      <c r="AA155" s="226">
        <f>Q148</f>
        <v>195</v>
      </c>
      <c r="AB155" s="226">
        <f>Q163</f>
        <v>583.30555555555566</v>
      </c>
    </row>
    <row r="156" spans="2:28" x14ac:dyDescent="0.35">
      <c r="B156" s="86" t="s">
        <v>297</v>
      </c>
      <c r="C156" s="86" t="e">
        <f t="shared" ref="C156" si="325">SLOPE(C149:C155,$B149:$B155)</f>
        <v>#DIV/0!</v>
      </c>
      <c r="D156" s="86" t="e">
        <f t="shared" ref="D156" si="326">SLOPE(D149:D155,$B149:$B155)</f>
        <v>#DIV/0!</v>
      </c>
      <c r="E156" s="86">
        <f t="shared" ref="E156:J156" si="327">SLOPE(E149:E155,$B149:$B155)</f>
        <v>9.3028571428571419E-2</v>
      </c>
      <c r="F156" s="86">
        <f t="shared" si="327"/>
        <v>9.6742857142857144E-2</v>
      </c>
      <c r="G156" s="86">
        <f t="shared" si="327"/>
        <v>0.1976</v>
      </c>
      <c r="H156" s="86">
        <f t="shared" si="327"/>
        <v>0.1976</v>
      </c>
      <c r="I156" s="86">
        <f t="shared" si="327"/>
        <v>0.14868571428571428</v>
      </c>
      <c r="J156" s="86">
        <f t="shared" si="327"/>
        <v>0.14868571428571428</v>
      </c>
      <c r="K156" s="86">
        <f t="shared" ref="K156" si="328">SLOPE(K149:K155,$B149:$B155)</f>
        <v>0.41548571428571435</v>
      </c>
      <c r="L156" s="86">
        <f t="shared" ref="L156:V156" si="329">SLOPE(L149:L155,$B149:$B155)</f>
        <v>0.41548571428571435</v>
      </c>
      <c r="M156" s="86">
        <f t="shared" si="329"/>
        <v>0.51331428571428572</v>
      </c>
      <c r="N156" s="86">
        <f t="shared" si="329"/>
        <v>0.51331428571428572</v>
      </c>
      <c r="O156" s="86">
        <f t="shared" si="329"/>
        <v>0.33885714285714286</v>
      </c>
      <c r="P156" s="86">
        <f t="shared" si="329"/>
        <v>0.33885714285714286</v>
      </c>
      <c r="Q156" s="86">
        <f t="shared" si="329"/>
        <v>0.36520000000000002</v>
      </c>
      <c r="R156" s="86">
        <f t="shared" si="329"/>
        <v>0.36520000000000002</v>
      </c>
      <c r="S156" s="86">
        <f t="shared" si="329"/>
        <v>0.36445714285714287</v>
      </c>
      <c r="T156" s="86">
        <f t="shared" si="329"/>
        <v>0.36445714285714287</v>
      </c>
      <c r="U156" s="86">
        <f t="shared" si="329"/>
        <v>0.43697142857142857</v>
      </c>
      <c r="V156" s="86">
        <f t="shared" si="329"/>
        <v>0.43697142857142857</v>
      </c>
      <c r="W156" s="86">
        <f>SLOPE(W149:W155,$B149:$B155)</f>
        <v>0.1658857142857143</v>
      </c>
      <c r="X156" s="86">
        <f>SLOPE(X149:X155,$B149:$B155)</f>
        <v>0.1658857142857143</v>
      </c>
      <c r="Y156" s="86">
        <f>SLOPE(Y149:Y155,$B149:$B155)</f>
        <v>9.3257142857142858E-2</v>
      </c>
      <c r="Z156" s="86">
        <f>SLOPE(Z149:Z155,$B149:$B155)</f>
        <v>9.3257142857142858E-2</v>
      </c>
      <c r="AA156" s="86">
        <f>S148</f>
        <v>219</v>
      </c>
      <c r="AB156" s="86">
        <f>S163</f>
        <v>582.11904761904759</v>
      </c>
    </row>
    <row r="157" spans="2:28" x14ac:dyDescent="0.35">
      <c r="B157" s="86" t="s">
        <v>298</v>
      </c>
      <c r="C157" s="202" t="e">
        <f t="shared" ref="C157:D157" si="330">RSQ(C149:C155,$B149:$B155)</f>
        <v>#DIV/0!</v>
      </c>
      <c r="D157" s="202" t="e">
        <f t="shared" si="330"/>
        <v>#DIV/0!</v>
      </c>
      <c r="E157" s="202">
        <f t="shared" ref="E157:V157" si="331">RSQ(E149:E155,$B149:$B155)</f>
        <v>0.99934794139013639</v>
      </c>
      <c r="F157" s="202">
        <f t="shared" si="331"/>
        <v>0.99745634767579117</v>
      </c>
      <c r="G157" s="202">
        <f t="shared" si="331"/>
        <v>0.99893162830489068</v>
      </c>
      <c r="H157" s="202">
        <f t="shared" si="331"/>
        <v>0.99893162830489068</v>
      </c>
      <c r="I157" s="202">
        <f t="shared" si="331"/>
        <v>0.99896774574320557</v>
      </c>
      <c r="J157" s="202">
        <f t="shared" si="331"/>
        <v>0.99896774574320557</v>
      </c>
      <c r="K157" s="202">
        <f t="shared" si="331"/>
        <v>0.99988657190600105</v>
      </c>
      <c r="L157" s="202">
        <f t="shared" si="331"/>
        <v>0.99988657190600105</v>
      </c>
      <c r="M157" s="202">
        <f t="shared" si="331"/>
        <v>0.99956014589325903</v>
      </c>
      <c r="N157" s="202">
        <f t="shared" si="331"/>
        <v>0.99956014589325903</v>
      </c>
      <c r="O157" s="202">
        <f t="shared" si="331"/>
        <v>0.99906471480336001</v>
      </c>
      <c r="P157" s="202">
        <f t="shared" si="331"/>
        <v>0.99906471480336001</v>
      </c>
      <c r="Q157" s="202">
        <f t="shared" si="331"/>
        <v>0.99988598810357854</v>
      </c>
      <c r="R157" s="202">
        <f t="shared" si="331"/>
        <v>0.99988598810357854</v>
      </c>
      <c r="S157" s="202">
        <f t="shared" si="331"/>
        <v>0.99955207306267613</v>
      </c>
      <c r="T157" s="202">
        <f t="shared" si="331"/>
        <v>0.99955207306267613</v>
      </c>
      <c r="U157" s="202">
        <f t="shared" si="331"/>
        <v>0.99984834981971471</v>
      </c>
      <c r="V157" s="202">
        <f t="shared" si="331"/>
        <v>0.99984834981971471</v>
      </c>
      <c r="W157" s="202">
        <f>RSQ(W149:W155,$B149:$B155)</f>
        <v>0.99976795405110652</v>
      </c>
      <c r="X157" s="202">
        <f>RSQ(X149:X155,$B149:$B155)</f>
        <v>0.99976795405110652</v>
      </c>
      <c r="Y157" s="202">
        <f>RSQ(Y149:Y155,$B149:$B155)</f>
        <v>0.99934113268146962</v>
      </c>
      <c r="Z157" s="202">
        <f>RSQ(Z149:Z155,$B149:$B155)</f>
        <v>0.99934113268146962</v>
      </c>
      <c r="AA157" s="86">
        <f>U148</f>
        <v>257.5</v>
      </c>
      <c r="AB157" s="86">
        <f>U163</f>
        <v>697.94047619047603</v>
      </c>
    </row>
    <row r="158" spans="2:28" x14ac:dyDescent="0.35">
      <c r="B158" s="86" t="s">
        <v>292</v>
      </c>
      <c r="C158" s="86">
        <v>36000</v>
      </c>
      <c r="D158" s="86">
        <v>36000</v>
      </c>
      <c r="E158" s="86">
        <v>36000</v>
      </c>
      <c r="F158" s="86">
        <v>36000</v>
      </c>
      <c r="G158" s="86">
        <v>36000</v>
      </c>
      <c r="H158" s="86">
        <v>36000</v>
      </c>
      <c r="I158" s="86">
        <v>36000</v>
      </c>
      <c r="J158" s="86">
        <v>36000</v>
      </c>
      <c r="K158" s="86">
        <v>36000</v>
      </c>
      <c r="L158" s="86">
        <v>36000</v>
      </c>
      <c r="M158" s="86">
        <v>36000</v>
      </c>
      <c r="N158" s="86">
        <v>36000</v>
      </c>
      <c r="O158" s="86">
        <v>36000</v>
      </c>
      <c r="P158" s="86">
        <v>36000</v>
      </c>
      <c r="Q158" s="86">
        <v>36000</v>
      </c>
      <c r="R158" s="86">
        <v>36000</v>
      </c>
      <c r="S158" s="86">
        <v>36000</v>
      </c>
      <c r="T158" s="86">
        <v>36000</v>
      </c>
      <c r="U158" s="86">
        <v>36000</v>
      </c>
      <c r="V158" s="86">
        <v>36000</v>
      </c>
      <c r="W158" s="86">
        <v>36000</v>
      </c>
      <c r="X158" s="86">
        <v>36000</v>
      </c>
      <c r="Y158" s="86">
        <v>36000</v>
      </c>
      <c r="Z158" s="86">
        <v>36000</v>
      </c>
      <c r="AA158" s="86">
        <f>W148</f>
        <v>330</v>
      </c>
      <c r="AB158" s="86">
        <f>W163</f>
        <v>529.91269841269855</v>
      </c>
    </row>
    <row r="159" spans="2:28" x14ac:dyDescent="0.35">
      <c r="B159" s="86" t="s">
        <v>296</v>
      </c>
      <c r="C159" s="86">
        <v>25</v>
      </c>
      <c r="D159" s="86">
        <v>25</v>
      </c>
      <c r="E159" s="86">
        <v>25</v>
      </c>
      <c r="F159" s="86">
        <v>25</v>
      </c>
      <c r="G159" s="86">
        <v>25</v>
      </c>
      <c r="H159" s="86">
        <v>25</v>
      </c>
      <c r="I159" s="86">
        <v>25</v>
      </c>
      <c r="J159" s="86">
        <v>25</v>
      </c>
      <c r="K159" s="86">
        <v>25</v>
      </c>
      <c r="L159" s="86">
        <v>25</v>
      </c>
      <c r="M159" s="86">
        <v>25</v>
      </c>
      <c r="N159" s="86">
        <v>25</v>
      </c>
      <c r="O159" s="86">
        <v>25</v>
      </c>
      <c r="P159" s="86">
        <v>25</v>
      </c>
      <c r="Q159" s="86">
        <v>25</v>
      </c>
      <c r="R159" s="86">
        <v>25</v>
      </c>
      <c r="S159" s="86">
        <v>25</v>
      </c>
      <c r="T159" s="86">
        <v>25</v>
      </c>
      <c r="U159" s="86">
        <v>25</v>
      </c>
      <c r="V159" s="86">
        <v>25</v>
      </c>
      <c r="W159" s="86">
        <v>25</v>
      </c>
      <c r="X159" s="86">
        <v>25</v>
      </c>
      <c r="Y159" s="86">
        <v>25</v>
      </c>
      <c r="Z159" s="86">
        <v>25</v>
      </c>
      <c r="AA159" s="86">
        <f>Y148</f>
        <v>379.5</v>
      </c>
      <c r="AB159" s="86">
        <f>Y163</f>
        <v>297.90476190476193</v>
      </c>
    </row>
    <row r="160" spans="2:28" x14ac:dyDescent="0.35">
      <c r="B160" s="86" t="s">
        <v>293</v>
      </c>
      <c r="C160" s="86">
        <v>2</v>
      </c>
      <c r="D160" s="86">
        <v>2</v>
      </c>
      <c r="E160" s="86">
        <v>10</v>
      </c>
      <c r="F160" s="86">
        <v>10</v>
      </c>
      <c r="G160" s="86">
        <v>10</v>
      </c>
      <c r="H160" s="86">
        <v>10</v>
      </c>
      <c r="I160" s="86">
        <v>40</v>
      </c>
      <c r="J160" s="86">
        <v>40</v>
      </c>
      <c r="K160" s="86">
        <v>40</v>
      </c>
      <c r="L160" s="86">
        <v>40</v>
      </c>
      <c r="M160" s="86">
        <v>50</v>
      </c>
      <c r="N160" s="86">
        <v>50</v>
      </c>
      <c r="O160" s="86">
        <v>100</v>
      </c>
      <c r="P160" s="86">
        <v>100</v>
      </c>
      <c r="Q160" s="86">
        <v>100</v>
      </c>
      <c r="R160" s="86">
        <v>100</v>
      </c>
      <c r="S160" s="86">
        <v>100</v>
      </c>
      <c r="T160" s="86">
        <v>100</v>
      </c>
      <c r="U160" s="86">
        <v>100</v>
      </c>
      <c r="V160" s="86">
        <v>100</v>
      </c>
      <c r="W160" s="86">
        <v>200</v>
      </c>
      <c r="X160" s="86">
        <v>200</v>
      </c>
      <c r="Y160" s="86">
        <v>200</v>
      </c>
      <c r="Z160" s="86">
        <v>200</v>
      </c>
    </row>
    <row r="161" spans="2:28" x14ac:dyDescent="0.35">
      <c r="B161" s="86" t="s">
        <v>294</v>
      </c>
      <c r="C161" s="86" t="e">
        <f t="shared" ref="C161:J161" si="332">(C156*C159*C160*10^6 / C158)/1000</f>
        <v>#DIV/0!</v>
      </c>
      <c r="D161" s="86" t="e">
        <f t="shared" si="332"/>
        <v>#DIV/0!</v>
      </c>
      <c r="E161" s="86">
        <f t="shared" si="332"/>
        <v>0.64603174603174596</v>
      </c>
      <c r="F161" s="86">
        <f t="shared" si="332"/>
        <v>0.67182539682539688</v>
      </c>
      <c r="G161" s="86">
        <f t="shared" si="332"/>
        <v>1.372222222222222</v>
      </c>
      <c r="H161" s="86">
        <f t="shared" si="332"/>
        <v>1.372222222222222</v>
      </c>
      <c r="I161" s="86">
        <f t="shared" si="332"/>
        <v>4.1301587301587297</v>
      </c>
      <c r="J161" s="86">
        <f t="shared" si="332"/>
        <v>4.1301587301587297</v>
      </c>
      <c r="K161" s="86">
        <f t="shared" ref="K161" si="333">(K156*K159*K160*10^6 / K158)/1000</f>
        <v>11.541269841269845</v>
      </c>
      <c r="L161" s="86">
        <f t="shared" ref="L161:V161" si="334">(L156*L159*L160*10^6 / L158)/1000</f>
        <v>11.541269841269845</v>
      </c>
      <c r="M161" s="86">
        <f t="shared" si="334"/>
        <v>17.823412698412699</v>
      </c>
      <c r="N161" s="86">
        <f t="shared" si="334"/>
        <v>17.823412698412699</v>
      </c>
      <c r="O161" s="86">
        <f t="shared" si="334"/>
        <v>23.531746031746028</v>
      </c>
      <c r="P161" s="86">
        <f t="shared" si="334"/>
        <v>23.531746031746028</v>
      </c>
      <c r="Q161" s="86">
        <f t="shared" si="334"/>
        <v>25.361111111111114</v>
      </c>
      <c r="R161" s="86">
        <f t="shared" si="334"/>
        <v>25.361111111111114</v>
      </c>
      <c r="S161" s="86">
        <f t="shared" si="334"/>
        <v>25.30952380952381</v>
      </c>
      <c r="T161" s="86">
        <f t="shared" si="334"/>
        <v>25.30952380952381</v>
      </c>
      <c r="U161" s="86">
        <f t="shared" si="334"/>
        <v>30.345238095238088</v>
      </c>
      <c r="V161" s="86">
        <f t="shared" si="334"/>
        <v>30.345238095238088</v>
      </c>
      <c r="W161" s="86">
        <f>(W156*W159*W160*10^6 / W158)/1000</f>
        <v>23.039682539682545</v>
      </c>
      <c r="X161" s="86">
        <f t="shared" ref="X161" si="335">(X156*X159*X160*10^6 / X158)/1000</f>
        <v>23.039682539682545</v>
      </c>
      <c r="Y161" s="86">
        <f>(Y156*Y159*Y160*10^6 / Y158)/1000</f>
        <v>12.952380952380953</v>
      </c>
      <c r="Z161" s="86">
        <f t="shared" ref="Z161" si="336">(Z156*Z159*Z160*10^6 / Z158)/1000</f>
        <v>12.952380952380953</v>
      </c>
    </row>
    <row r="162" spans="2:28" x14ac:dyDescent="0.35">
      <c r="B162" s="86" t="s">
        <v>295</v>
      </c>
      <c r="C162" s="86" t="e">
        <f t="shared" ref="C162:J162" si="337">C161*23</f>
        <v>#DIV/0!</v>
      </c>
      <c r="D162" s="86" t="e">
        <f t="shared" si="337"/>
        <v>#DIV/0!</v>
      </c>
      <c r="E162" s="86">
        <f t="shared" si="337"/>
        <v>14.858730158730157</v>
      </c>
      <c r="F162" s="86">
        <f t="shared" si="337"/>
        <v>15.451984126984128</v>
      </c>
      <c r="G162" s="86">
        <f t="shared" si="337"/>
        <v>31.561111111111106</v>
      </c>
      <c r="H162" s="86">
        <f t="shared" si="337"/>
        <v>31.561111111111106</v>
      </c>
      <c r="I162" s="86">
        <f t="shared" si="337"/>
        <v>94.993650793650787</v>
      </c>
      <c r="J162" s="86">
        <f t="shared" si="337"/>
        <v>94.993650793650787</v>
      </c>
      <c r="K162" s="86">
        <f t="shared" ref="K162" si="338">K161*23</f>
        <v>265.44920634920641</v>
      </c>
      <c r="L162" s="86">
        <f t="shared" ref="L162:V162" si="339">L161*23</f>
        <v>265.44920634920641</v>
      </c>
      <c r="M162" s="86">
        <f t="shared" si="339"/>
        <v>409.93849206349211</v>
      </c>
      <c r="N162" s="86">
        <f t="shared" si="339"/>
        <v>409.93849206349211</v>
      </c>
      <c r="O162" s="86">
        <f t="shared" si="339"/>
        <v>541.23015873015868</v>
      </c>
      <c r="P162" s="86">
        <f t="shared" si="339"/>
        <v>541.23015873015868</v>
      </c>
      <c r="Q162" s="86">
        <f t="shared" si="339"/>
        <v>583.30555555555566</v>
      </c>
      <c r="R162" s="86">
        <f t="shared" si="339"/>
        <v>583.30555555555566</v>
      </c>
      <c r="S162" s="86">
        <f t="shared" si="339"/>
        <v>582.11904761904759</v>
      </c>
      <c r="T162" s="86">
        <f t="shared" si="339"/>
        <v>582.11904761904759</v>
      </c>
      <c r="U162" s="86">
        <f t="shared" si="339"/>
        <v>697.94047619047603</v>
      </c>
      <c r="V162" s="86">
        <f t="shared" si="339"/>
        <v>697.94047619047603</v>
      </c>
      <c r="W162" s="86">
        <f>W161*23</f>
        <v>529.91269841269855</v>
      </c>
      <c r="X162" s="86">
        <f t="shared" ref="X162" si="340">X161*23</f>
        <v>529.91269841269855</v>
      </c>
      <c r="Y162" s="86">
        <f>Y161*23</f>
        <v>297.90476190476193</v>
      </c>
      <c r="Z162" s="86">
        <f t="shared" ref="Z162" si="341">Z161*23</f>
        <v>297.90476190476193</v>
      </c>
    </row>
    <row r="163" spans="2:28" s="108" customFormat="1" x14ac:dyDescent="0.35">
      <c r="B163" s="108" t="s">
        <v>299</v>
      </c>
      <c r="C163" s="330" t="e">
        <f>AVERAGE(C162:D162)</f>
        <v>#DIV/0!</v>
      </c>
      <c r="D163" s="330"/>
      <c r="E163" s="330">
        <f>AVERAGE(E162:F162)</f>
        <v>15.155357142857142</v>
      </c>
      <c r="F163" s="330"/>
      <c r="G163" s="330">
        <f>AVERAGE(G162:H162)</f>
        <v>31.561111111111106</v>
      </c>
      <c r="H163" s="330"/>
      <c r="I163" s="330">
        <f>AVERAGE(I162:J162)</f>
        <v>94.993650793650787</v>
      </c>
      <c r="J163" s="330"/>
      <c r="K163" s="330">
        <f>AVERAGE(K162:L162)</f>
        <v>265.44920634920641</v>
      </c>
      <c r="L163" s="330"/>
      <c r="M163" s="330">
        <f>AVERAGE(M162:N162)</f>
        <v>409.93849206349211</v>
      </c>
      <c r="N163" s="330"/>
      <c r="O163" s="330">
        <f>AVERAGE(O162:P162)</f>
        <v>541.23015873015868</v>
      </c>
      <c r="P163" s="330"/>
      <c r="Q163" s="330">
        <f>AVERAGE(Q162:R162)</f>
        <v>583.30555555555566</v>
      </c>
      <c r="R163" s="330"/>
      <c r="S163" s="330">
        <f>AVERAGE(S162:T162)</f>
        <v>582.11904761904759</v>
      </c>
      <c r="T163" s="330"/>
      <c r="U163" s="330">
        <f>AVERAGE(U162:V162)</f>
        <v>697.94047619047603</v>
      </c>
      <c r="V163" s="330"/>
      <c r="W163" s="330">
        <f>AVERAGE(W162:X162)</f>
        <v>529.91269841269855</v>
      </c>
      <c r="X163" s="330"/>
      <c r="Y163" s="330">
        <f>AVERAGE(Y162:Z162)</f>
        <v>297.90476190476193</v>
      </c>
      <c r="Z163" s="330"/>
    </row>
    <row r="164" spans="2:28" ht="15" thickBot="1" x14ac:dyDescent="0.4"/>
    <row r="165" spans="2:28" ht="15" thickBot="1" x14ac:dyDescent="0.4">
      <c r="B165" s="338" t="s">
        <v>308</v>
      </c>
      <c r="C165" s="339"/>
      <c r="D165" s="339"/>
      <c r="E165" s="339"/>
      <c r="F165" s="339"/>
      <c r="G165" s="339"/>
      <c r="H165" s="339"/>
      <c r="I165" s="339"/>
      <c r="J165" s="340"/>
      <c r="AA165" s="86" t="s">
        <v>404</v>
      </c>
    </row>
    <row r="166" spans="2:28" x14ac:dyDescent="0.35">
      <c r="B166" s="87" t="s">
        <v>290</v>
      </c>
      <c r="C166" s="108">
        <v>0</v>
      </c>
      <c r="D166" s="108">
        <v>0</v>
      </c>
      <c r="E166" s="108">
        <v>17.5</v>
      </c>
      <c r="F166" s="108">
        <v>17.5</v>
      </c>
      <c r="G166" s="108">
        <v>41.5</v>
      </c>
      <c r="H166" s="108">
        <v>41.5</v>
      </c>
      <c r="I166" s="108">
        <f>H166+24.5</f>
        <v>66</v>
      </c>
      <c r="J166" s="108">
        <f>I166</f>
        <v>66</v>
      </c>
      <c r="K166" s="108">
        <f>J166+24+23.5</f>
        <v>113.5</v>
      </c>
      <c r="L166" s="108">
        <f>K166</f>
        <v>113.5</v>
      </c>
      <c r="M166" s="108">
        <f>L166+23.5</f>
        <v>137</v>
      </c>
      <c r="N166" s="108">
        <f>M166</f>
        <v>137</v>
      </c>
      <c r="O166" s="108">
        <f>N166+24.5</f>
        <v>161.5</v>
      </c>
      <c r="P166" s="108">
        <f>O166</f>
        <v>161.5</v>
      </c>
      <c r="Q166" s="108">
        <f>P166+33.5</f>
        <v>195</v>
      </c>
      <c r="R166" s="108">
        <f>Q166</f>
        <v>195</v>
      </c>
      <c r="S166" s="108">
        <f>R166+24</f>
        <v>219</v>
      </c>
      <c r="T166" s="108">
        <f>S166</f>
        <v>219</v>
      </c>
      <c r="U166" s="108">
        <f>T166+38.5</f>
        <v>257.5</v>
      </c>
      <c r="V166" s="108">
        <f>U166</f>
        <v>257.5</v>
      </c>
      <c r="W166" s="108">
        <f>V166+72.5</f>
        <v>330</v>
      </c>
      <c r="X166" s="108">
        <f>W166</f>
        <v>330</v>
      </c>
      <c r="Y166" s="108">
        <f>X166+49.5</f>
        <v>379.5</v>
      </c>
      <c r="Z166" s="108">
        <f>Y166</f>
        <v>379.5</v>
      </c>
      <c r="AA166" s="86">
        <v>0</v>
      </c>
    </row>
    <row r="167" spans="2:28" x14ac:dyDescent="0.35">
      <c r="B167" s="108">
        <v>0</v>
      </c>
      <c r="E167" s="86">
        <v>0.04</v>
      </c>
      <c r="F167" s="86">
        <v>4.1000000000000002E-2</v>
      </c>
      <c r="G167" s="86">
        <v>5.7000000000000002E-2</v>
      </c>
      <c r="H167" s="86">
        <v>5.7000000000000002E-2</v>
      </c>
      <c r="I167" s="86">
        <v>3.7999999999999999E-2</v>
      </c>
      <c r="J167" s="86">
        <f>I167</f>
        <v>3.7999999999999999E-2</v>
      </c>
      <c r="K167" s="86">
        <v>0.191</v>
      </c>
      <c r="L167" s="86">
        <f t="shared" ref="L167:L172" si="342">K167</f>
        <v>0.191</v>
      </c>
      <c r="M167" s="86">
        <v>0.23300000000000001</v>
      </c>
      <c r="N167" s="86">
        <f t="shared" ref="N167:N172" si="343">M167</f>
        <v>0.23300000000000001</v>
      </c>
      <c r="O167" s="86">
        <v>2.8000000000000001E-2</v>
      </c>
      <c r="P167" s="86">
        <f t="shared" ref="P167:P172" si="344">O167</f>
        <v>2.8000000000000001E-2</v>
      </c>
      <c r="Q167" s="86">
        <v>0.157</v>
      </c>
      <c r="R167" s="86">
        <f t="shared" ref="R167" si="345">Q167</f>
        <v>0.157</v>
      </c>
      <c r="S167" s="86">
        <v>0.11899999999999999</v>
      </c>
      <c r="T167" s="86">
        <f t="shared" ref="T167:T172" si="346">S167</f>
        <v>0.11899999999999999</v>
      </c>
      <c r="U167" s="86">
        <v>0.25</v>
      </c>
      <c r="V167" s="86">
        <f t="shared" ref="V167:V172" si="347">U167</f>
        <v>0.25</v>
      </c>
      <c r="W167" s="86">
        <v>0.161</v>
      </c>
      <c r="X167" s="86">
        <f t="shared" ref="X167:X172" si="348">W167</f>
        <v>0.161</v>
      </c>
      <c r="Y167" s="86">
        <v>0.185</v>
      </c>
      <c r="Z167" s="86">
        <f t="shared" ref="Z167:Z172" si="349">Y167</f>
        <v>0.185</v>
      </c>
      <c r="AA167" s="86">
        <v>17.5</v>
      </c>
      <c r="AB167" s="86">
        <f>E181</f>
        <v>12.983134920634919</v>
      </c>
    </row>
    <row r="168" spans="2:28" x14ac:dyDescent="0.35">
      <c r="B168" s="108">
        <v>0.5</v>
      </c>
      <c r="E168" s="86">
        <v>8.5000000000000006E-2</v>
      </c>
      <c r="F168" s="86">
        <v>8.5999999999999993E-2</v>
      </c>
      <c r="G168" s="86">
        <v>0.13200000000000001</v>
      </c>
      <c r="H168" s="86">
        <v>0.13200000000000001</v>
      </c>
      <c r="I168" s="86">
        <v>9.0999999999999998E-2</v>
      </c>
      <c r="J168" s="86">
        <f t="shared" ref="J168:J172" si="350">I168</f>
        <v>9.0999999999999998E-2</v>
      </c>
      <c r="K168" s="86">
        <v>0.33400000000000002</v>
      </c>
      <c r="L168" s="86">
        <f t="shared" si="342"/>
        <v>0.33400000000000002</v>
      </c>
      <c r="M168" s="86">
        <v>0.43</v>
      </c>
      <c r="N168" s="86">
        <f t="shared" si="343"/>
        <v>0.43</v>
      </c>
      <c r="O168" s="86">
        <v>0.17399999999999999</v>
      </c>
      <c r="P168" s="86">
        <f t="shared" si="344"/>
        <v>0.17399999999999999</v>
      </c>
      <c r="Q168" s="86">
        <v>0.30099999999999999</v>
      </c>
      <c r="R168" s="86">
        <f t="shared" ref="R168" si="351">Q168</f>
        <v>0.30099999999999999</v>
      </c>
      <c r="S168" s="86">
        <v>0.28499999999999998</v>
      </c>
      <c r="T168" s="86">
        <f t="shared" si="346"/>
        <v>0.28499999999999998</v>
      </c>
      <c r="U168" s="86">
        <v>0.47799999999999998</v>
      </c>
      <c r="V168" s="86">
        <f t="shared" si="347"/>
        <v>0.47799999999999998</v>
      </c>
      <c r="W168" s="86">
        <v>0.28199999999999997</v>
      </c>
      <c r="X168" s="86">
        <f t="shared" si="348"/>
        <v>0.28199999999999997</v>
      </c>
      <c r="Y168" s="86">
        <v>0.28499999999999998</v>
      </c>
      <c r="Z168" s="86">
        <f t="shared" si="349"/>
        <v>0.28499999999999998</v>
      </c>
      <c r="AA168" s="86">
        <v>41.5</v>
      </c>
      <c r="AB168" s="86">
        <f>G181</f>
        <v>21.49861111111111</v>
      </c>
    </row>
    <row r="169" spans="2:28" x14ac:dyDescent="0.35">
      <c r="B169" s="108">
        <v>1</v>
      </c>
      <c r="E169" s="86">
        <v>0.125</v>
      </c>
      <c r="F169" s="86">
        <v>0.128</v>
      </c>
      <c r="G169" s="86">
        <v>0.19600000000000001</v>
      </c>
      <c r="H169" s="86">
        <v>0.19600000000000001</v>
      </c>
      <c r="I169" s="86">
        <v>0.13700000000000001</v>
      </c>
      <c r="J169" s="86">
        <f t="shared" si="350"/>
        <v>0.13700000000000001</v>
      </c>
      <c r="K169" s="86">
        <v>0.48099999999999998</v>
      </c>
      <c r="L169" s="86">
        <f t="shared" si="342"/>
        <v>0.48099999999999998</v>
      </c>
      <c r="M169" s="86">
        <v>0.61499999999999999</v>
      </c>
      <c r="N169" s="86">
        <f t="shared" si="343"/>
        <v>0.61499999999999999</v>
      </c>
      <c r="O169" s="86">
        <v>0.30399999999999999</v>
      </c>
      <c r="P169" s="86">
        <f t="shared" si="344"/>
        <v>0.30399999999999999</v>
      </c>
      <c r="Q169" s="86">
        <v>0.438</v>
      </c>
      <c r="R169" s="86">
        <f t="shared" ref="R169" si="352">Q169</f>
        <v>0.438</v>
      </c>
      <c r="S169" s="86">
        <v>0.44900000000000001</v>
      </c>
      <c r="T169" s="86">
        <f t="shared" si="346"/>
        <v>0.44900000000000001</v>
      </c>
      <c r="U169" s="86">
        <v>0.69</v>
      </c>
      <c r="V169" s="86">
        <f t="shared" si="347"/>
        <v>0.69</v>
      </c>
      <c r="W169" s="86">
        <v>0.39100000000000001</v>
      </c>
      <c r="X169" s="86">
        <f t="shared" si="348"/>
        <v>0.39100000000000001</v>
      </c>
      <c r="Y169" s="86">
        <v>0.36699999999999999</v>
      </c>
      <c r="Z169" s="86">
        <f t="shared" si="349"/>
        <v>0.36699999999999999</v>
      </c>
      <c r="AA169" s="86">
        <v>66</v>
      </c>
      <c r="AB169" s="86">
        <f>I181</f>
        <v>58.120634920634927</v>
      </c>
    </row>
    <row r="170" spans="2:28" x14ac:dyDescent="0.35">
      <c r="B170" s="108">
        <v>1.5</v>
      </c>
      <c r="E170" s="86">
        <v>0.16400000000000001</v>
      </c>
      <c r="F170" s="86">
        <v>0.16900000000000001</v>
      </c>
      <c r="G170" s="86">
        <v>0.26300000000000001</v>
      </c>
      <c r="H170" s="86">
        <v>0.26300000000000001</v>
      </c>
      <c r="I170" s="86">
        <v>0.182</v>
      </c>
      <c r="J170" s="86">
        <f t="shared" si="350"/>
        <v>0.182</v>
      </c>
      <c r="K170" s="86">
        <v>0.629</v>
      </c>
      <c r="L170" s="86">
        <f t="shared" si="342"/>
        <v>0.629</v>
      </c>
      <c r="M170" s="86">
        <v>0.79600000000000004</v>
      </c>
      <c r="N170" s="86">
        <f t="shared" si="343"/>
        <v>0.79600000000000004</v>
      </c>
      <c r="O170" s="86">
        <v>0.434</v>
      </c>
      <c r="P170" s="86">
        <f t="shared" si="344"/>
        <v>0.434</v>
      </c>
      <c r="Q170" s="86">
        <v>0.57399999999999995</v>
      </c>
      <c r="R170" s="86">
        <f t="shared" ref="R170" si="353">Q170</f>
        <v>0.57399999999999995</v>
      </c>
      <c r="S170" s="86">
        <v>0.61599999999999999</v>
      </c>
      <c r="T170" s="86">
        <f t="shared" si="346"/>
        <v>0.61599999999999999</v>
      </c>
      <c r="U170" s="86">
        <v>0.90400000000000003</v>
      </c>
      <c r="V170" s="86">
        <f t="shared" si="347"/>
        <v>0.90400000000000003</v>
      </c>
      <c r="W170" s="86">
        <v>0.50800000000000001</v>
      </c>
      <c r="X170" s="86">
        <f t="shared" si="348"/>
        <v>0.50800000000000001</v>
      </c>
      <c r="Y170" s="86">
        <v>0.45800000000000002</v>
      </c>
      <c r="Z170" s="86">
        <f t="shared" si="349"/>
        <v>0.45800000000000002</v>
      </c>
      <c r="AA170" s="86">
        <f>K166</f>
        <v>113.5</v>
      </c>
      <c r="AB170" s="86">
        <f>K181</f>
        <v>185.4603174603175</v>
      </c>
    </row>
    <row r="171" spans="2:28" x14ac:dyDescent="0.35">
      <c r="B171" s="108">
        <v>2</v>
      </c>
      <c r="E171" s="86">
        <v>0.20200000000000001</v>
      </c>
      <c r="F171" s="86">
        <v>0.20899999999999999</v>
      </c>
      <c r="G171" s="86">
        <v>0.32800000000000001</v>
      </c>
      <c r="H171" s="86">
        <v>0.32800000000000001</v>
      </c>
      <c r="I171" s="86">
        <v>0.22500000000000001</v>
      </c>
      <c r="J171" s="86">
        <f t="shared" si="350"/>
        <v>0.22500000000000001</v>
      </c>
      <c r="K171" s="86">
        <v>0.77300000000000002</v>
      </c>
      <c r="L171" s="86">
        <f t="shared" si="342"/>
        <v>0.77300000000000002</v>
      </c>
      <c r="M171" s="86">
        <v>0.98</v>
      </c>
      <c r="N171" s="86">
        <f t="shared" si="343"/>
        <v>0.98</v>
      </c>
      <c r="O171" s="86">
        <v>0.56200000000000006</v>
      </c>
      <c r="P171" s="86">
        <f t="shared" si="344"/>
        <v>0.56200000000000006</v>
      </c>
      <c r="Q171" s="86">
        <v>0.71099999999999997</v>
      </c>
      <c r="R171" s="86">
        <f t="shared" ref="R171" si="354">Q171</f>
        <v>0.71099999999999997</v>
      </c>
      <c r="S171" s="86">
        <v>0.76600000000000001</v>
      </c>
      <c r="T171" s="86">
        <f t="shared" si="346"/>
        <v>0.76600000000000001</v>
      </c>
      <c r="U171" s="86">
        <v>1.111</v>
      </c>
      <c r="V171" s="86">
        <f t="shared" si="347"/>
        <v>1.111</v>
      </c>
      <c r="W171" s="86">
        <v>0.63100000000000001</v>
      </c>
      <c r="X171" s="86">
        <f t="shared" si="348"/>
        <v>0.63100000000000001</v>
      </c>
      <c r="Y171" s="86">
        <v>0.54500000000000004</v>
      </c>
      <c r="Z171" s="86">
        <f t="shared" si="349"/>
        <v>0.54500000000000004</v>
      </c>
      <c r="AA171" s="86">
        <f>M166</f>
        <v>137</v>
      </c>
      <c r="AB171" s="86">
        <f>M181</f>
        <v>295.30357142857144</v>
      </c>
    </row>
    <row r="172" spans="2:28" x14ac:dyDescent="0.35">
      <c r="B172" s="108">
        <v>2.5</v>
      </c>
      <c r="E172" s="86">
        <v>0.24099999999999999</v>
      </c>
      <c r="F172" s="86">
        <v>0.249</v>
      </c>
      <c r="I172" s="86">
        <v>0.26700000000000002</v>
      </c>
      <c r="J172" s="86">
        <f t="shared" si="350"/>
        <v>0.26700000000000002</v>
      </c>
      <c r="K172" s="86">
        <v>0.91400000000000003</v>
      </c>
      <c r="L172" s="86">
        <f t="shared" si="342"/>
        <v>0.91400000000000003</v>
      </c>
      <c r="M172" s="86">
        <v>1.161</v>
      </c>
      <c r="N172" s="86">
        <f t="shared" si="343"/>
        <v>1.161</v>
      </c>
      <c r="O172" s="86">
        <v>0.69099999999999995</v>
      </c>
      <c r="P172" s="86">
        <f t="shared" si="344"/>
        <v>0.69099999999999995</v>
      </c>
      <c r="Q172" s="86">
        <v>0.84</v>
      </c>
      <c r="R172" s="86">
        <f t="shared" ref="R172" si="355">Q172</f>
        <v>0.84</v>
      </c>
      <c r="S172" s="86">
        <v>0.91100000000000003</v>
      </c>
      <c r="T172" s="86">
        <f t="shared" si="346"/>
        <v>0.91100000000000003</v>
      </c>
      <c r="U172" s="86">
        <v>1.3140000000000001</v>
      </c>
      <c r="V172" s="86">
        <f t="shared" si="347"/>
        <v>1.3140000000000001</v>
      </c>
      <c r="W172" s="86">
        <v>0.755</v>
      </c>
      <c r="X172" s="86">
        <f t="shared" si="348"/>
        <v>0.755</v>
      </c>
      <c r="Y172" s="86">
        <v>0.625</v>
      </c>
      <c r="Z172" s="86">
        <f t="shared" si="349"/>
        <v>0.625</v>
      </c>
      <c r="AA172" s="86">
        <f>O166</f>
        <v>161.5</v>
      </c>
      <c r="AB172" s="86">
        <f>O181</f>
        <v>420.66269841269838</v>
      </c>
    </row>
    <row r="173" spans="2:28" x14ac:dyDescent="0.35">
      <c r="B173" s="108">
        <v>3</v>
      </c>
      <c r="AA173" s="86">
        <f>Q166</f>
        <v>195</v>
      </c>
      <c r="AB173" s="86">
        <f>Q181</f>
        <v>436.36111111111109</v>
      </c>
    </row>
    <row r="174" spans="2:28" x14ac:dyDescent="0.35">
      <c r="B174" s="86" t="s">
        <v>297</v>
      </c>
      <c r="C174" s="86" t="e">
        <f t="shared" ref="C174" si="356">SLOPE(C167:C173,$B167:$B173)</f>
        <v>#DIV/0!</v>
      </c>
      <c r="D174" s="86" t="e">
        <f t="shared" ref="D174" si="357">SLOPE(D167:D173,$B167:$B173)</f>
        <v>#DIV/0!</v>
      </c>
      <c r="E174" s="86">
        <f t="shared" ref="E174:J174" si="358">SLOPE(E167:E173,$B167:$B173)</f>
        <v>7.971428571428571E-2</v>
      </c>
      <c r="F174" s="86">
        <f t="shared" si="358"/>
        <v>8.2857142857142851E-2</v>
      </c>
      <c r="G174" s="86">
        <f t="shared" si="358"/>
        <v>0.1346</v>
      </c>
      <c r="H174" s="86">
        <f t="shared" si="358"/>
        <v>0.1346</v>
      </c>
      <c r="I174" s="86">
        <f t="shared" si="358"/>
        <v>9.0971428571428578E-2</v>
      </c>
      <c r="J174" s="86">
        <f t="shared" si="358"/>
        <v>9.0971428571428578E-2</v>
      </c>
      <c r="K174" s="86">
        <f t="shared" ref="K174" si="359">SLOPE(K167:K173,$B167:$B173)</f>
        <v>0.29028571428571431</v>
      </c>
      <c r="L174" s="86">
        <f t="shared" ref="L174:V174" si="360">SLOPE(L167:L173,$B167:$B173)</f>
        <v>0.29028571428571431</v>
      </c>
      <c r="M174" s="86">
        <f t="shared" si="360"/>
        <v>0.36977142857142858</v>
      </c>
      <c r="N174" s="86">
        <f t="shared" si="360"/>
        <v>0.36977142857142858</v>
      </c>
      <c r="O174" s="86">
        <f t="shared" si="360"/>
        <v>0.26337142857142853</v>
      </c>
      <c r="P174" s="86">
        <f t="shared" si="360"/>
        <v>0.26337142857142853</v>
      </c>
      <c r="Q174" s="86">
        <f t="shared" si="360"/>
        <v>0.2732</v>
      </c>
      <c r="R174" s="86">
        <f t="shared" si="360"/>
        <v>0.2732</v>
      </c>
      <c r="S174" s="86">
        <f t="shared" si="360"/>
        <v>0.31828571428571428</v>
      </c>
      <c r="T174" s="86">
        <f t="shared" si="360"/>
        <v>0.31828571428571428</v>
      </c>
      <c r="U174" s="86">
        <f t="shared" si="360"/>
        <v>0.4247428571428572</v>
      </c>
      <c r="V174" s="86">
        <f t="shared" si="360"/>
        <v>0.4247428571428572</v>
      </c>
      <c r="W174" s="86">
        <f>SLOPE(W167:W173,$B167:$B173)</f>
        <v>0.23622857142857145</v>
      </c>
      <c r="X174" s="86">
        <f>SLOPE(X167:X173,$B167:$B173)</f>
        <v>0.23622857142857145</v>
      </c>
      <c r="Y174" s="86">
        <f>SLOPE(Y167:Y173,$B167:$B173)</f>
        <v>0.17548571428571433</v>
      </c>
      <c r="Z174" s="86">
        <f>SLOPE(Z167:Z173,$B167:$B173)</f>
        <v>0.17548571428571433</v>
      </c>
      <c r="AA174" s="86">
        <f>S166</f>
        <v>219</v>
      </c>
      <c r="AB174" s="86">
        <f>S181</f>
        <v>508.3730158730159</v>
      </c>
    </row>
    <row r="175" spans="2:28" x14ac:dyDescent="0.35">
      <c r="B175" s="86" t="s">
        <v>298</v>
      </c>
      <c r="C175" s="202" t="e">
        <f t="shared" ref="C175:D175" si="361">RSQ(C167:C173,$B167:$B173)</f>
        <v>#DIV/0!</v>
      </c>
      <c r="D175" s="202" t="e">
        <f t="shared" si="361"/>
        <v>#DIV/0!</v>
      </c>
      <c r="E175" s="202">
        <f t="shared" ref="E175:V175" si="362">RSQ(E167:E173,$B167:$B173)</f>
        <v>0.99919216744725792</v>
      </c>
      <c r="F175" s="202">
        <f t="shared" si="362"/>
        <v>0.99952460185405245</v>
      </c>
      <c r="G175" s="202">
        <f t="shared" si="362"/>
        <v>0.99925209809649052</v>
      </c>
      <c r="H175" s="202">
        <f t="shared" si="362"/>
        <v>0.99925209809649052</v>
      </c>
      <c r="I175" s="202">
        <f t="shared" si="362"/>
        <v>0.99838124300788378</v>
      </c>
      <c r="J175" s="202">
        <f t="shared" si="362"/>
        <v>0.99838124300788378</v>
      </c>
      <c r="K175" s="202">
        <f t="shared" si="362"/>
        <v>0.99994446130696746</v>
      </c>
      <c r="L175" s="202">
        <f t="shared" si="362"/>
        <v>0.99994446130696746</v>
      </c>
      <c r="M175" s="202">
        <f t="shared" si="362"/>
        <v>0.99980650373329127</v>
      </c>
      <c r="N175" s="202">
        <f t="shared" si="362"/>
        <v>0.99980650373329127</v>
      </c>
      <c r="O175" s="202">
        <f t="shared" si="362"/>
        <v>0.99951988146661985</v>
      </c>
      <c r="P175" s="202">
        <f t="shared" si="362"/>
        <v>0.99951988146661985</v>
      </c>
      <c r="Q175" s="202">
        <f t="shared" si="362"/>
        <v>0.99976976126508821</v>
      </c>
      <c r="R175" s="202">
        <f t="shared" si="362"/>
        <v>0.99976976126508821</v>
      </c>
      <c r="S175" s="202">
        <f t="shared" si="362"/>
        <v>0.99920085145176873</v>
      </c>
      <c r="T175" s="202">
        <f t="shared" si="362"/>
        <v>0.99920085145176873</v>
      </c>
      <c r="U175" s="202">
        <f t="shared" si="362"/>
        <v>0.99965750180837165</v>
      </c>
      <c r="V175" s="202">
        <f t="shared" si="362"/>
        <v>0.99965750180837165</v>
      </c>
      <c r="W175" s="202">
        <f>RSQ(W167:W173,$B167:$B173)</f>
        <v>0.99957786394320147</v>
      </c>
      <c r="X175" s="202">
        <f>RSQ(X167:X173,$B167:$B173)</f>
        <v>0.99957786394320147</v>
      </c>
      <c r="Y175" s="202">
        <f>RSQ(Y167:Y173,$B167:$B173)</f>
        <v>0.99911251593715777</v>
      </c>
      <c r="Z175" s="202">
        <f>RSQ(Z167:Z173,$B167:$B173)</f>
        <v>0.99911251593715777</v>
      </c>
      <c r="AA175" s="226">
        <f>U166</f>
        <v>257.5</v>
      </c>
      <c r="AB175" s="226">
        <f>U181</f>
        <v>678.40873015873035</v>
      </c>
    </row>
    <row r="176" spans="2:28" x14ac:dyDescent="0.35">
      <c r="B176" s="86" t="s">
        <v>292</v>
      </c>
      <c r="C176" s="86">
        <v>36000</v>
      </c>
      <c r="D176" s="86">
        <v>36000</v>
      </c>
      <c r="E176" s="86">
        <v>36000</v>
      </c>
      <c r="F176" s="86">
        <v>36000</v>
      </c>
      <c r="G176" s="86">
        <v>36000</v>
      </c>
      <c r="H176" s="86">
        <v>36000</v>
      </c>
      <c r="I176" s="86">
        <v>36000</v>
      </c>
      <c r="J176" s="86">
        <v>36000</v>
      </c>
      <c r="K176" s="86">
        <v>36000</v>
      </c>
      <c r="L176" s="86">
        <v>36000</v>
      </c>
      <c r="M176" s="86">
        <v>36000</v>
      </c>
      <c r="N176" s="86">
        <v>36000</v>
      </c>
      <c r="O176" s="86">
        <v>36000</v>
      </c>
      <c r="P176" s="86">
        <v>36000</v>
      </c>
      <c r="Q176" s="86">
        <v>36000</v>
      </c>
      <c r="R176" s="86">
        <v>36000</v>
      </c>
      <c r="S176" s="86">
        <v>36000</v>
      </c>
      <c r="T176" s="86">
        <v>36000</v>
      </c>
      <c r="U176" s="86">
        <v>36000</v>
      </c>
      <c r="V176" s="86">
        <v>36000</v>
      </c>
      <c r="W176" s="86">
        <v>36000</v>
      </c>
      <c r="X176" s="86">
        <v>36000</v>
      </c>
      <c r="Y176" s="86">
        <v>36000</v>
      </c>
      <c r="Z176" s="86">
        <v>36000</v>
      </c>
      <c r="AA176" s="86">
        <f>W166</f>
        <v>330</v>
      </c>
      <c r="AB176" s="86">
        <f>W181</f>
        <v>754.61904761904782</v>
      </c>
    </row>
    <row r="177" spans="2:28" x14ac:dyDescent="0.35">
      <c r="B177" s="86" t="s">
        <v>296</v>
      </c>
      <c r="C177" s="86">
        <v>25</v>
      </c>
      <c r="D177" s="86">
        <v>25</v>
      </c>
      <c r="E177" s="86">
        <v>25</v>
      </c>
      <c r="F177" s="86">
        <v>25</v>
      </c>
      <c r="G177" s="86">
        <v>25</v>
      </c>
      <c r="H177" s="86">
        <v>25</v>
      </c>
      <c r="I177" s="86">
        <v>25</v>
      </c>
      <c r="J177" s="86">
        <v>25</v>
      </c>
      <c r="K177" s="86">
        <v>25</v>
      </c>
      <c r="L177" s="86">
        <v>25</v>
      </c>
      <c r="M177" s="86">
        <v>25</v>
      </c>
      <c r="N177" s="86">
        <v>25</v>
      </c>
      <c r="O177" s="86">
        <v>25</v>
      </c>
      <c r="P177" s="86">
        <v>25</v>
      </c>
      <c r="Q177" s="86">
        <v>25</v>
      </c>
      <c r="R177" s="86">
        <v>25</v>
      </c>
      <c r="S177" s="86">
        <v>25</v>
      </c>
      <c r="T177" s="86">
        <v>25</v>
      </c>
      <c r="U177" s="86">
        <v>25</v>
      </c>
      <c r="V177" s="86">
        <v>25</v>
      </c>
      <c r="W177" s="86">
        <v>25</v>
      </c>
      <c r="X177" s="86">
        <v>25</v>
      </c>
      <c r="Y177" s="86">
        <v>25</v>
      </c>
      <c r="Z177" s="86">
        <v>25</v>
      </c>
      <c r="AA177" s="86">
        <f>Y166</f>
        <v>379.5</v>
      </c>
      <c r="AB177" s="86">
        <f>Y181</f>
        <v>560.57936507936518</v>
      </c>
    </row>
    <row r="178" spans="2:28" x14ac:dyDescent="0.35">
      <c r="B178" s="86" t="s">
        <v>293</v>
      </c>
      <c r="C178" s="86">
        <v>2</v>
      </c>
      <c r="D178" s="86">
        <v>2</v>
      </c>
      <c r="E178" s="86">
        <v>10</v>
      </c>
      <c r="F178" s="86">
        <v>10</v>
      </c>
      <c r="G178" s="86">
        <v>10</v>
      </c>
      <c r="H178" s="86">
        <v>10</v>
      </c>
      <c r="I178" s="86">
        <v>40</v>
      </c>
      <c r="J178" s="86">
        <v>40</v>
      </c>
      <c r="K178" s="86">
        <v>40</v>
      </c>
      <c r="L178" s="86">
        <v>40</v>
      </c>
      <c r="M178" s="86">
        <v>50</v>
      </c>
      <c r="N178" s="86">
        <v>50</v>
      </c>
      <c r="O178" s="86">
        <v>100</v>
      </c>
      <c r="P178" s="86">
        <v>100</v>
      </c>
      <c r="Q178" s="86">
        <v>100</v>
      </c>
      <c r="R178" s="86">
        <v>100</v>
      </c>
      <c r="S178" s="86">
        <v>100</v>
      </c>
      <c r="T178" s="86">
        <v>100</v>
      </c>
      <c r="U178" s="86">
        <v>100</v>
      </c>
      <c r="V178" s="86">
        <v>100</v>
      </c>
      <c r="W178" s="86">
        <v>200</v>
      </c>
      <c r="X178" s="86">
        <v>200</v>
      </c>
      <c r="Y178" s="86">
        <v>200</v>
      </c>
      <c r="Z178" s="86">
        <v>200</v>
      </c>
    </row>
    <row r="179" spans="2:28" x14ac:dyDescent="0.35">
      <c r="B179" s="86" t="s">
        <v>294</v>
      </c>
      <c r="C179" s="86" t="e">
        <f t="shared" ref="C179:J179" si="363">(C174*C177*C178*10^6 / C176)/1000</f>
        <v>#DIV/0!</v>
      </c>
      <c r="D179" s="86" t="e">
        <f t="shared" si="363"/>
        <v>#DIV/0!</v>
      </c>
      <c r="E179" s="86">
        <f t="shared" si="363"/>
        <v>0.55357142857142849</v>
      </c>
      <c r="F179" s="86">
        <f t="shared" si="363"/>
        <v>0.57539682539682535</v>
      </c>
      <c r="G179" s="86">
        <f t="shared" si="363"/>
        <v>0.93472222222222212</v>
      </c>
      <c r="H179" s="86">
        <f t="shared" si="363"/>
        <v>0.93472222222222212</v>
      </c>
      <c r="I179" s="86">
        <f t="shared" si="363"/>
        <v>2.5269841269841273</v>
      </c>
      <c r="J179" s="86">
        <f t="shared" si="363"/>
        <v>2.5269841269841273</v>
      </c>
      <c r="K179" s="86">
        <f t="shared" ref="K179" si="364">(K174*K177*K178*10^6 / K176)/1000</f>
        <v>8.063492063492065</v>
      </c>
      <c r="L179" s="86">
        <f t="shared" ref="L179:V179" si="365">(L174*L177*L178*10^6 / L176)/1000</f>
        <v>8.063492063492065</v>
      </c>
      <c r="M179" s="86">
        <f t="shared" si="365"/>
        <v>12.839285714285715</v>
      </c>
      <c r="N179" s="86">
        <f t="shared" si="365"/>
        <v>12.839285714285715</v>
      </c>
      <c r="O179" s="86">
        <f t="shared" si="365"/>
        <v>18.289682539682538</v>
      </c>
      <c r="P179" s="86">
        <f t="shared" si="365"/>
        <v>18.289682539682538</v>
      </c>
      <c r="Q179" s="86">
        <f t="shared" si="365"/>
        <v>18.972222222222221</v>
      </c>
      <c r="R179" s="86">
        <f t="shared" si="365"/>
        <v>18.972222222222221</v>
      </c>
      <c r="S179" s="86">
        <f t="shared" si="365"/>
        <v>22.103174603174605</v>
      </c>
      <c r="T179" s="86">
        <f t="shared" si="365"/>
        <v>22.103174603174605</v>
      </c>
      <c r="U179" s="86">
        <f t="shared" si="365"/>
        <v>29.496031746031754</v>
      </c>
      <c r="V179" s="86">
        <f t="shared" si="365"/>
        <v>29.496031746031754</v>
      </c>
      <c r="W179" s="86">
        <f>(W174*W177*W178*10^6 / W176)/1000</f>
        <v>32.809523809523817</v>
      </c>
      <c r="X179" s="86">
        <f t="shared" ref="X179" si="366">(X174*X177*X178*10^6 / X176)/1000</f>
        <v>32.809523809523817</v>
      </c>
      <c r="Y179" s="86">
        <f>(Y174*Y177*Y178*10^6 / Y176)/1000</f>
        <v>24.373015873015877</v>
      </c>
      <c r="Z179" s="86">
        <f t="shared" ref="Z179" si="367">(Z174*Z177*Z178*10^6 / Z176)/1000</f>
        <v>24.373015873015877</v>
      </c>
    </row>
    <row r="180" spans="2:28" x14ac:dyDescent="0.35">
      <c r="B180" s="86" t="s">
        <v>295</v>
      </c>
      <c r="C180" s="86" t="e">
        <f t="shared" ref="C180:J180" si="368">C179*23</f>
        <v>#DIV/0!</v>
      </c>
      <c r="D180" s="86" t="e">
        <f t="shared" si="368"/>
        <v>#DIV/0!</v>
      </c>
      <c r="E180" s="86">
        <f t="shared" si="368"/>
        <v>12.732142857142856</v>
      </c>
      <c r="F180" s="86">
        <f t="shared" si="368"/>
        <v>13.234126984126982</v>
      </c>
      <c r="G180" s="86">
        <f t="shared" si="368"/>
        <v>21.49861111111111</v>
      </c>
      <c r="H180" s="86">
        <f t="shared" si="368"/>
        <v>21.49861111111111</v>
      </c>
      <c r="I180" s="86">
        <f t="shared" si="368"/>
        <v>58.120634920634927</v>
      </c>
      <c r="J180" s="86">
        <f t="shared" si="368"/>
        <v>58.120634920634927</v>
      </c>
      <c r="K180" s="86">
        <f t="shared" ref="K180" si="369">K179*23</f>
        <v>185.4603174603175</v>
      </c>
      <c r="L180" s="86">
        <f t="shared" ref="L180:V180" si="370">L179*23</f>
        <v>185.4603174603175</v>
      </c>
      <c r="M180" s="86">
        <f t="shared" si="370"/>
        <v>295.30357142857144</v>
      </c>
      <c r="N180" s="86">
        <f t="shared" si="370"/>
        <v>295.30357142857144</v>
      </c>
      <c r="O180" s="86">
        <f t="shared" si="370"/>
        <v>420.66269841269838</v>
      </c>
      <c r="P180" s="86">
        <f t="shared" si="370"/>
        <v>420.66269841269838</v>
      </c>
      <c r="Q180" s="86">
        <f t="shared" si="370"/>
        <v>436.36111111111109</v>
      </c>
      <c r="R180" s="86">
        <f t="shared" si="370"/>
        <v>436.36111111111109</v>
      </c>
      <c r="S180" s="86">
        <f t="shared" si="370"/>
        <v>508.3730158730159</v>
      </c>
      <c r="T180" s="86">
        <f t="shared" si="370"/>
        <v>508.3730158730159</v>
      </c>
      <c r="U180" s="86">
        <f t="shared" si="370"/>
        <v>678.40873015873035</v>
      </c>
      <c r="V180" s="86">
        <f t="shared" si="370"/>
        <v>678.40873015873035</v>
      </c>
      <c r="W180" s="86">
        <f>W179*23</f>
        <v>754.61904761904782</v>
      </c>
      <c r="X180" s="86">
        <f t="shared" ref="X180" si="371">X179*23</f>
        <v>754.61904761904782</v>
      </c>
      <c r="Y180" s="86">
        <f>Y179*23</f>
        <v>560.57936507936518</v>
      </c>
      <c r="Z180" s="86">
        <f t="shared" ref="Z180" si="372">Z179*23</f>
        <v>560.57936507936518</v>
      </c>
    </row>
    <row r="181" spans="2:28" s="108" customFormat="1" x14ac:dyDescent="0.35">
      <c r="B181" s="108" t="s">
        <v>299</v>
      </c>
      <c r="C181" s="330" t="e">
        <f>AVERAGE(C180:D180)</f>
        <v>#DIV/0!</v>
      </c>
      <c r="D181" s="330"/>
      <c r="E181" s="330">
        <f>AVERAGE(E180:F180)</f>
        <v>12.983134920634919</v>
      </c>
      <c r="F181" s="330"/>
      <c r="G181" s="330">
        <f>AVERAGE(G180:H180)</f>
        <v>21.49861111111111</v>
      </c>
      <c r="H181" s="330"/>
      <c r="I181" s="330">
        <f>AVERAGE(I180:J180)</f>
        <v>58.120634920634927</v>
      </c>
      <c r="J181" s="330"/>
      <c r="K181" s="330">
        <f>AVERAGE(K180:L180)</f>
        <v>185.4603174603175</v>
      </c>
      <c r="L181" s="330"/>
      <c r="M181" s="330">
        <f>AVERAGE(M180:N180)</f>
        <v>295.30357142857144</v>
      </c>
      <c r="N181" s="330"/>
      <c r="O181" s="330">
        <f>AVERAGE(O180:P180)</f>
        <v>420.66269841269838</v>
      </c>
      <c r="P181" s="330"/>
      <c r="Q181" s="330">
        <f>AVERAGE(Q180:R180)</f>
        <v>436.36111111111109</v>
      </c>
      <c r="R181" s="330"/>
      <c r="S181" s="330">
        <f>AVERAGE(S180:T180)</f>
        <v>508.3730158730159</v>
      </c>
      <c r="T181" s="330"/>
      <c r="U181" s="330">
        <f>AVERAGE(U180:V180)</f>
        <v>678.40873015873035</v>
      </c>
      <c r="V181" s="330"/>
      <c r="W181" s="330">
        <f>AVERAGE(W180:X180)</f>
        <v>754.61904761904782</v>
      </c>
      <c r="X181" s="330"/>
      <c r="Y181" s="330">
        <f>AVERAGE(Y180:Z180)</f>
        <v>560.57936507936518</v>
      </c>
      <c r="Z181" s="330"/>
    </row>
    <row r="182" spans="2:28" ht="15" thickBot="1" x14ac:dyDescent="0.4"/>
    <row r="183" spans="2:28" ht="15" thickBot="1" x14ac:dyDescent="0.4">
      <c r="B183" s="338" t="s">
        <v>309</v>
      </c>
      <c r="C183" s="339"/>
      <c r="D183" s="339"/>
      <c r="E183" s="339"/>
      <c r="F183" s="339"/>
      <c r="G183" s="339"/>
      <c r="H183" s="339"/>
      <c r="I183" s="339"/>
      <c r="J183" s="340"/>
      <c r="AA183" s="86" t="s">
        <v>404</v>
      </c>
    </row>
    <row r="184" spans="2:28" x14ac:dyDescent="0.35">
      <c r="B184" s="87" t="s">
        <v>290</v>
      </c>
      <c r="C184" s="108">
        <v>0</v>
      </c>
      <c r="D184" s="108">
        <v>0</v>
      </c>
      <c r="E184" s="108">
        <v>17.5</v>
      </c>
      <c r="F184" s="108">
        <v>17.5</v>
      </c>
      <c r="G184" s="108">
        <v>41.5</v>
      </c>
      <c r="H184" s="108">
        <v>41.5</v>
      </c>
      <c r="I184" s="108">
        <f>H184+24.5</f>
        <v>66</v>
      </c>
      <c r="J184" s="108">
        <f>I184</f>
        <v>66</v>
      </c>
      <c r="K184" s="108">
        <f>J184+24+23.5</f>
        <v>113.5</v>
      </c>
      <c r="L184" s="108">
        <f>K184</f>
        <v>113.5</v>
      </c>
      <c r="M184" s="108">
        <f>L184+23.5</f>
        <v>137</v>
      </c>
      <c r="N184" s="108">
        <f>M184</f>
        <v>137</v>
      </c>
      <c r="O184" s="108">
        <f>N184+24.5</f>
        <v>161.5</v>
      </c>
      <c r="P184" s="108">
        <f>O184</f>
        <v>161.5</v>
      </c>
      <c r="Q184" s="108">
        <f>P184+33.5</f>
        <v>195</v>
      </c>
      <c r="R184" s="108">
        <f>Q184</f>
        <v>195</v>
      </c>
      <c r="S184" s="108">
        <f>R184+24</f>
        <v>219</v>
      </c>
      <c r="T184" s="108">
        <f>S184</f>
        <v>219</v>
      </c>
      <c r="U184" s="108">
        <f>T184+38.5</f>
        <v>257.5</v>
      </c>
      <c r="V184" s="108">
        <f>U184</f>
        <v>257.5</v>
      </c>
      <c r="W184" s="108">
        <f>V184+72.5</f>
        <v>330</v>
      </c>
      <c r="X184" s="108">
        <f>W184</f>
        <v>330</v>
      </c>
      <c r="Y184" s="108">
        <f>X184+49.5</f>
        <v>379.5</v>
      </c>
      <c r="Z184" s="108">
        <f>Y184</f>
        <v>379.5</v>
      </c>
      <c r="AA184" s="86">
        <v>0</v>
      </c>
    </row>
    <row r="185" spans="2:28" x14ac:dyDescent="0.35">
      <c r="B185" s="108">
        <v>0</v>
      </c>
      <c r="E185" s="86">
        <v>6.2E-2</v>
      </c>
      <c r="F185" s="86">
        <v>6.2E-2</v>
      </c>
      <c r="G185" s="86">
        <v>8.5000000000000006E-2</v>
      </c>
      <c r="H185" s="86">
        <v>8.5000000000000006E-2</v>
      </c>
      <c r="I185" s="86">
        <v>7.5999999999999998E-2</v>
      </c>
      <c r="J185" s="86">
        <f>I185</f>
        <v>7.5999999999999998E-2</v>
      </c>
      <c r="K185" s="86">
        <v>0.219</v>
      </c>
      <c r="L185" s="86">
        <f t="shared" ref="L185:L190" si="373">K185</f>
        <v>0.219</v>
      </c>
      <c r="M185" s="86">
        <v>0.26400000000000001</v>
      </c>
      <c r="N185" s="86">
        <f t="shared" ref="N185:N190" si="374">M185</f>
        <v>0.26400000000000001</v>
      </c>
      <c r="O185" s="86">
        <v>3.7999999999999999E-2</v>
      </c>
      <c r="P185" s="86">
        <f t="shared" ref="P185:P190" si="375">O185</f>
        <v>3.7999999999999999E-2</v>
      </c>
      <c r="Q185" s="86">
        <v>0.161</v>
      </c>
      <c r="R185" s="86">
        <f t="shared" ref="R185" si="376">Q185</f>
        <v>0.161</v>
      </c>
      <c r="S185" s="86">
        <v>0.121</v>
      </c>
      <c r="T185" s="86">
        <f t="shared" ref="T185:T190" si="377">S185</f>
        <v>0.121</v>
      </c>
      <c r="U185" s="86">
        <v>0.24299999999999999</v>
      </c>
      <c r="V185" s="86">
        <f t="shared" ref="V185:V190" si="378">U185</f>
        <v>0.24299999999999999</v>
      </c>
      <c r="W185" s="86">
        <v>0.13300000000000001</v>
      </c>
      <c r="X185" s="86">
        <f t="shared" ref="X185:X190" si="379">W185</f>
        <v>0.13300000000000001</v>
      </c>
      <c r="Y185" s="86">
        <v>0.14399999999999999</v>
      </c>
      <c r="Z185" s="86">
        <f t="shared" ref="Z185:Z190" si="380">Y185</f>
        <v>0.14399999999999999</v>
      </c>
      <c r="AA185" s="86">
        <v>17.5</v>
      </c>
      <c r="AB185" s="86">
        <f>E199</f>
        <v>20.964682539682542</v>
      </c>
    </row>
    <row r="186" spans="2:28" x14ac:dyDescent="0.35">
      <c r="B186" s="108">
        <v>0.5</v>
      </c>
      <c r="E186" s="86">
        <v>0.13200000000000001</v>
      </c>
      <c r="F186" s="86">
        <v>0.13500000000000001</v>
      </c>
      <c r="G186" s="86">
        <v>0.188</v>
      </c>
      <c r="H186" s="86">
        <v>0.188</v>
      </c>
      <c r="I186" s="86">
        <v>0.161</v>
      </c>
      <c r="J186" s="86">
        <f t="shared" ref="J186:J190" si="381">I186</f>
        <v>0.161</v>
      </c>
      <c r="K186" s="86">
        <v>0.45400000000000001</v>
      </c>
      <c r="L186" s="86">
        <f t="shared" si="373"/>
        <v>0.45400000000000001</v>
      </c>
      <c r="M186" s="86">
        <v>0.48699999999999999</v>
      </c>
      <c r="N186" s="86">
        <f t="shared" si="374"/>
        <v>0.48699999999999999</v>
      </c>
      <c r="O186" s="86">
        <v>0.2</v>
      </c>
      <c r="P186" s="86">
        <f t="shared" si="375"/>
        <v>0.2</v>
      </c>
      <c r="Q186" s="86">
        <v>0.30499999999999999</v>
      </c>
      <c r="R186" s="86">
        <f t="shared" ref="R186" si="382">Q186</f>
        <v>0.30499999999999999</v>
      </c>
      <c r="S186" s="86">
        <v>0.28799999999999998</v>
      </c>
      <c r="T186" s="86">
        <f t="shared" si="377"/>
        <v>0.28799999999999998</v>
      </c>
      <c r="U186" s="86">
        <v>0.46300000000000002</v>
      </c>
      <c r="V186" s="86">
        <f t="shared" si="378"/>
        <v>0.46300000000000002</v>
      </c>
      <c r="W186" s="86">
        <v>0.23899999999999999</v>
      </c>
      <c r="X186" s="86">
        <f t="shared" si="379"/>
        <v>0.23899999999999999</v>
      </c>
      <c r="Y186" s="86">
        <v>0.20799999999999999</v>
      </c>
      <c r="Z186" s="86">
        <f t="shared" si="380"/>
        <v>0.20799999999999999</v>
      </c>
      <c r="AA186" s="86">
        <v>41.5</v>
      </c>
      <c r="AB186" s="86">
        <f>G199</f>
        <v>30.12361111111111</v>
      </c>
    </row>
    <row r="187" spans="2:28" x14ac:dyDescent="0.35">
      <c r="B187" s="108">
        <v>1</v>
      </c>
      <c r="E187" s="86">
        <v>0.19700000000000001</v>
      </c>
      <c r="F187" s="86">
        <v>0.20200000000000001</v>
      </c>
      <c r="G187" s="86">
        <v>0.28100000000000003</v>
      </c>
      <c r="H187" s="86">
        <v>0.28100000000000003</v>
      </c>
      <c r="I187" s="86">
        <v>0.23400000000000001</v>
      </c>
      <c r="J187" s="86">
        <f t="shared" si="381"/>
        <v>0.23400000000000001</v>
      </c>
      <c r="K187" s="86">
        <v>0.629</v>
      </c>
      <c r="L187" s="86">
        <f t="shared" si="373"/>
        <v>0.629</v>
      </c>
      <c r="M187" s="86">
        <v>0.68899999999999995</v>
      </c>
      <c r="N187" s="86">
        <f t="shared" si="374"/>
        <v>0.68899999999999995</v>
      </c>
      <c r="O187" s="86">
        <v>0.34899999999999998</v>
      </c>
      <c r="P187" s="86">
        <f t="shared" si="375"/>
        <v>0.34899999999999998</v>
      </c>
      <c r="Q187" s="86">
        <v>0.45100000000000001</v>
      </c>
      <c r="R187" s="86">
        <f t="shared" ref="R187" si="383">Q187</f>
        <v>0.45100000000000001</v>
      </c>
      <c r="S187" s="86">
        <v>0.44600000000000001</v>
      </c>
      <c r="T187" s="86">
        <f t="shared" si="377"/>
        <v>0.44600000000000001</v>
      </c>
      <c r="U187" s="86">
        <v>0.67100000000000004</v>
      </c>
      <c r="V187" s="86">
        <f t="shared" si="378"/>
        <v>0.67100000000000004</v>
      </c>
      <c r="W187" s="86">
        <v>0.34499999999999997</v>
      </c>
      <c r="X187" s="86">
        <f t="shared" si="379"/>
        <v>0.34499999999999997</v>
      </c>
      <c r="Y187" s="86">
        <v>0.26200000000000001</v>
      </c>
      <c r="Z187" s="86">
        <f t="shared" si="380"/>
        <v>0.26200000000000001</v>
      </c>
      <c r="AA187" s="86">
        <v>66</v>
      </c>
      <c r="AB187" s="86">
        <f>I199</f>
        <v>91.780952380952385</v>
      </c>
    </row>
    <row r="188" spans="2:28" x14ac:dyDescent="0.35">
      <c r="B188" s="108">
        <v>1.5</v>
      </c>
      <c r="E188" s="86">
        <v>0.26100000000000001</v>
      </c>
      <c r="F188" s="86">
        <v>0.26900000000000002</v>
      </c>
      <c r="G188" s="86">
        <v>0.373</v>
      </c>
      <c r="H188" s="86">
        <v>0.373</v>
      </c>
      <c r="I188" s="86">
        <v>0.30299999999999999</v>
      </c>
      <c r="J188" s="86">
        <f t="shared" si="381"/>
        <v>0.30299999999999999</v>
      </c>
      <c r="K188" s="86">
        <v>0.83</v>
      </c>
      <c r="L188" s="86">
        <f t="shared" si="373"/>
        <v>0.83</v>
      </c>
      <c r="M188" s="86">
        <v>0.88300000000000001</v>
      </c>
      <c r="N188" s="86">
        <f t="shared" si="374"/>
        <v>0.88300000000000001</v>
      </c>
      <c r="O188" s="86">
        <v>0.495</v>
      </c>
      <c r="P188" s="86">
        <f t="shared" si="375"/>
        <v>0.495</v>
      </c>
      <c r="Q188" s="86">
        <v>0.61</v>
      </c>
      <c r="R188" s="86">
        <f t="shared" ref="R188" si="384">Q188</f>
        <v>0.61</v>
      </c>
      <c r="S188" s="86">
        <v>0.60399999999999998</v>
      </c>
      <c r="T188" s="86">
        <f t="shared" si="377"/>
        <v>0.60399999999999998</v>
      </c>
      <c r="U188" s="86">
        <v>0.88700000000000001</v>
      </c>
      <c r="V188" s="86">
        <f t="shared" si="378"/>
        <v>0.88700000000000001</v>
      </c>
      <c r="W188" s="86">
        <v>0.44600000000000001</v>
      </c>
      <c r="X188" s="86">
        <f t="shared" si="379"/>
        <v>0.44600000000000001</v>
      </c>
      <c r="Y188" s="86">
        <v>0.316</v>
      </c>
      <c r="Z188" s="86">
        <f t="shared" si="380"/>
        <v>0.316</v>
      </c>
      <c r="AA188" s="86">
        <f>K184</f>
        <v>113.5</v>
      </c>
      <c r="AB188" s="86">
        <f>K199</f>
        <v>245.99047619047613</v>
      </c>
    </row>
    <row r="189" spans="2:28" x14ac:dyDescent="0.35">
      <c r="B189" s="108">
        <v>2</v>
      </c>
      <c r="E189" s="86">
        <v>0.32400000000000001</v>
      </c>
      <c r="F189" s="86">
        <v>0.33400000000000002</v>
      </c>
      <c r="G189" s="86">
        <v>0.46400000000000002</v>
      </c>
      <c r="H189" s="86">
        <v>0.46400000000000002</v>
      </c>
      <c r="I189" s="86">
        <v>0.371</v>
      </c>
      <c r="J189" s="86">
        <f t="shared" si="381"/>
        <v>0.371</v>
      </c>
      <c r="K189" s="86">
        <v>1.0129999999999999</v>
      </c>
      <c r="L189" s="86">
        <f t="shared" si="373"/>
        <v>1.0129999999999999</v>
      </c>
      <c r="M189" s="86">
        <v>1.0920000000000001</v>
      </c>
      <c r="N189" s="86">
        <f t="shared" si="374"/>
        <v>1.0920000000000001</v>
      </c>
      <c r="O189" s="86">
        <v>0.63900000000000001</v>
      </c>
      <c r="P189" s="86">
        <f t="shared" si="375"/>
        <v>0.63900000000000001</v>
      </c>
      <c r="Q189" s="86">
        <v>0.76900000000000002</v>
      </c>
      <c r="R189" s="86">
        <f t="shared" ref="R189" si="385">Q189</f>
        <v>0.76900000000000002</v>
      </c>
      <c r="S189" s="86">
        <v>0.76300000000000001</v>
      </c>
      <c r="T189" s="86">
        <f t="shared" si="377"/>
        <v>0.76300000000000001</v>
      </c>
      <c r="U189" s="86">
        <v>1.0960000000000001</v>
      </c>
      <c r="V189" s="86">
        <f t="shared" si="378"/>
        <v>1.0960000000000001</v>
      </c>
      <c r="W189" s="86">
        <v>0.54900000000000004</v>
      </c>
      <c r="X189" s="86">
        <f t="shared" si="379"/>
        <v>0.54900000000000004</v>
      </c>
      <c r="Y189" s="86">
        <v>0.371</v>
      </c>
      <c r="Z189" s="86">
        <f t="shared" si="380"/>
        <v>0.371</v>
      </c>
      <c r="AA189" s="86">
        <f>M184</f>
        <v>137</v>
      </c>
      <c r="AB189" s="86">
        <f>M199</f>
        <v>326.47222222222223</v>
      </c>
    </row>
    <row r="190" spans="2:28" x14ac:dyDescent="0.35">
      <c r="B190" s="108">
        <v>2.5</v>
      </c>
      <c r="E190" s="86">
        <v>0.38400000000000001</v>
      </c>
      <c r="F190" s="86">
        <v>0.39800000000000002</v>
      </c>
      <c r="I190" s="86">
        <v>0.439</v>
      </c>
      <c r="J190" s="86">
        <f t="shared" si="381"/>
        <v>0.439</v>
      </c>
      <c r="K190" s="86">
        <v>1.1910000000000001</v>
      </c>
      <c r="L190" s="86">
        <f t="shared" si="373"/>
        <v>1.1910000000000001</v>
      </c>
      <c r="M190" s="86">
        <v>1.2929999999999999</v>
      </c>
      <c r="N190" s="86">
        <f t="shared" si="374"/>
        <v>1.2929999999999999</v>
      </c>
      <c r="O190" s="86">
        <v>0.78400000000000003</v>
      </c>
      <c r="P190" s="86">
        <f t="shared" si="375"/>
        <v>0.78400000000000003</v>
      </c>
      <c r="Q190" s="86">
        <v>0.92</v>
      </c>
      <c r="R190" s="86">
        <f t="shared" ref="R190" si="386">Q190</f>
        <v>0.92</v>
      </c>
      <c r="S190" s="86">
        <v>0.92400000000000004</v>
      </c>
      <c r="T190" s="86">
        <f t="shared" si="377"/>
        <v>0.92400000000000004</v>
      </c>
      <c r="U190" s="86">
        <v>1.298</v>
      </c>
      <c r="V190" s="86">
        <f t="shared" si="378"/>
        <v>1.298</v>
      </c>
      <c r="W190" s="86">
        <v>0.66100000000000003</v>
      </c>
      <c r="X190" s="86">
        <f t="shared" si="379"/>
        <v>0.66100000000000003</v>
      </c>
      <c r="Y190" s="86">
        <v>0.42499999999999999</v>
      </c>
      <c r="Z190" s="86">
        <f t="shared" si="380"/>
        <v>0.42499999999999999</v>
      </c>
      <c r="AA190" s="86">
        <f>O184</f>
        <v>161.5</v>
      </c>
      <c r="AB190" s="86">
        <f>O199</f>
        <v>473.96428571428578</v>
      </c>
    </row>
    <row r="191" spans="2:28" x14ac:dyDescent="0.35">
      <c r="B191" s="108">
        <v>3</v>
      </c>
      <c r="AA191" s="86">
        <f>Q184</f>
        <v>195</v>
      </c>
      <c r="AB191" s="86">
        <f>Q199</f>
        <v>487.92857142857144</v>
      </c>
    </row>
    <row r="192" spans="2:28" x14ac:dyDescent="0.35">
      <c r="B192" s="86" t="s">
        <v>297</v>
      </c>
      <c r="C192" s="86" t="e">
        <f t="shared" ref="C192" si="387">SLOPE(C185:C191,$B185:$B191)</f>
        <v>#DIV/0!</v>
      </c>
      <c r="D192" s="86" t="e">
        <f t="shared" ref="D192" si="388">SLOPE(D185:D191,$B185:$B191)</f>
        <v>#DIV/0!</v>
      </c>
      <c r="E192" s="86">
        <f t="shared" ref="E192:J192" si="389">SLOPE(E185:E191,$B185:$B191)</f>
        <v>0.12857142857142856</v>
      </c>
      <c r="F192" s="86">
        <f t="shared" si="389"/>
        <v>0.13394285714285717</v>
      </c>
      <c r="G192" s="86">
        <f t="shared" si="389"/>
        <v>0.18859999999999999</v>
      </c>
      <c r="H192" s="86">
        <f t="shared" si="389"/>
        <v>0.18859999999999999</v>
      </c>
      <c r="I192" s="86">
        <f t="shared" si="389"/>
        <v>0.14365714285714287</v>
      </c>
      <c r="J192" s="86">
        <f t="shared" si="389"/>
        <v>0.14365714285714287</v>
      </c>
      <c r="K192" s="86">
        <f t="shared" ref="K192" si="390">SLOPE(K185:K191,$B185:$B191)</f>
        <v>0.38502857142857139</v>
      </c>
      <c r="L192" s="86">
        <f t="shared" ref="L192:V192" si="391">SLOPE(L185:L191,$B185:$B191)</f>
        <v>0.38502857142857139</v>
      </c>
      <c r="M192" s="86">
        <f t="shared" si="391"/>
        <v>0.4088</v>
      </c>
      <c r="N192" s="86">
        <f t="shared" si="391"/>
        <v>0.4088</v>
      </c>
      <c r="O192" s="86">
        <f t="shared" si="391"/>
        <v>0.2967428571428572</v>
      </c>
      <c r="P192" s="86">
        <f t="shared" si="391"/>
        <v>0.2967428571428572</v>
      </c>
      <c r="Q192" s="86">
        <f t="shared" si="391"/>
        <v>0.3054857142857143</v>
      </c>
      <c r="R192" s="86">
        <f t="shared" si="391"/>
        <v>0.3054857142857143</v>
      </c>
      <c r="S192" s="86">
        <f t="shared" si="391"/>
        <v>0.31988571428571433</v>
      </c>
      <c r="T192" s="86">
        <f t="shared" si="391"/>
        <v>0.31988571428571433</v>
      </c>
      <c r="U192" s="86">
        <f t="shared" si="391"/>
        <v>0.42228571428571432</v>
      </c>
      <c r="V192" s="86">
        <f t="shared" si="391"/>
        <v>0.42228571428571432</v>
      </c>
      <c r="W192" s="86">
        <f>SLOPE(W185:W191,$B185:$B191)</f>
        <v>0.20977142857142858</v>
      </c>
      <c r="X192" s="86">
        <f>SLOPE(X185:X191,$B185:$B191)</f>
        <v>0.20977142857142858</v>
      </c>
      <c r="Y192" s="86">
        <f>SLOPE(Y185:Y191,$B185:$B191)</f>
        <v>0.11131428571428573</v>
      </c>
      <c r="Z192" s="86">
        <f>SLOPE(Z185:Z191,$B185:$B191)</f>
        <v>0.11131428571428573</v>
      </c>
      <c r="AA192" s="86">
        <f>S184</f>
        <v>219</v>
      </c>
      <c r="AB192" s="86">
        <f>S199</f>
        <v>510.92857142857144</v>
      </c>
    </row>
    <row r="193" spans="2:28" x14ac:dyDescent="0.35">
      <c r="B193" s="86" t="s">
        <v>298</v>
      </c>
      <c r="C193" s="202" t="e">
        <f t="shared" ref="C193:D193" si="392">RSQ(C185:C191,$B185:$B191)</f>
        <v>#DIV/0!</v>
      </c>
      <c r="D193" s="202" t="e">
        <f t="shared" si="392"/>
        <v>#DIV/0!</v>
      </c>
      <c r="E193" s="202">
        <f t="shared" ref="E193:V193" si="393">RSQ(E185:E191,$B185:$B191)</f>
        <v>0.99942091166928781</v>
      </c>
      <c r="F193" s="202">
        <f t="shared" si="393"/>
        <v>0.9995311308043181</v>
      </c>
      <c r="G193" s="202">
        <f t="shared" si="393"/>
        <v>0.99939423772853753</v>
      </c>
      <c r="H193" s="202">
        <f t="shared" si="393"/>
        <v>0.99939423772853753</v>
      </c>
      <c r="I193" s="202">
        <f t="shared" si="393"/>
        <v>0.99823671375502288</v>
      </c>
      <c r="J193" s="202">
        <f t="shared" si="393"/>
        <v>0.99823671375502288</v>
      </c>
      <c r="K193" s="202">
        <f t="shared" si="393"/>
        <v>0.99814599576182339</v>
      </c>
      <c r="L193" s="202">
        <f t="shared" si="393"/>
        <v>0.99814599576182339</v>
      </c>
      <c r="M193" s="202">
        <f t="shared" si="393"/>
        <v>0.99967385736136216</v>
      </c>
      <c r="N193" s="202">
        <f t="shared" si="393"/>
        <v>0.99967385736136216</v>
      </c>
      <c r="O193" s="202">
        <f t="shared" si="393"/>
        <v>0.99957685081897141</v>
      </c>
      <c r="P193" s="202">
        <f t="shared" si="393"/>
        <v>0.99957685081897141</v>
      </c>
      <c r="Q193" s="202">
        <f t="shared" si="393"/>
        <v>0.99963190235548893</v>
      </c>
      <c r="R193" s="202">
        <f t="shared" si="393"/>
        <v>0.99963190235548893</v>
      </c>
      <c r="S193" s="202">
        <f t="shared" si="393"/>
        <v>0.9999346089341985</v>
      </c>
      <c r="T193" s="202">
        <f t="shared" si="393"/>
        <v>0.9999346089341985</v>
      </c>
      <c r="U193" s="202">
        <f t="shared" si="393"/>
        <v>0.9998532896978003</v>
      </c>
      <c r="V193" s="202">
        <f t="shared" si="393"/>
        <v>0.9998532896978003</v>
      </c>
      <c r="W193" s="202">
        <f>RSQ(W185:W191,$B185:$B191)</f>
        <v>0.99982461092969188</v>
      </c>
      <c r="X193" s="202">
        <f>RSQ(X185:X191,$B185:$B191)</f>
        <v>0.99982461092969188</v>
      </c>
      <c r="Y193" s="202">
        <f>RSQ(Y185:Y191,$B185:$B191)</f>
        <v>0.99920233121511104</v>
      </c>
      <c r="Z193" s="202">
        <f>RSQ(Z185:Z191,$B185:$B191)</f>
        <v>0.99920233121511104</v>
      </c>
      <c r="AA193" s="226">
        <f>U184</f>
        <v>257.5</v>
      </c>
      <c r="AB193" s="226">
        <f>U199</f>
        <v>674.48412698412699</v>
      </c>
    </row>
    <row r="194" spans="2:28" x14ac:dyDescent="0.35">
      <c r="B194" s="86" t="s">
        <v>292</v>
      </c>
      <c r="C194" s="86">
        <v>36000</v>
      </c>
      <c r="D194" s="86">
        <v>36000</v>
      </c>
      <c r="E194" s="86">
        <v>36000</v>
      </c>
      <c r="F194" s="86">
        <v>36000</v>
      </c>
      <c r="G194" s="86">
        <v>36000</v>
      </c>
      <c r="H194" s="86">
        <v>36000</v>
      </c>
      <c r="I194" s="86">
        <v>36000</v>
      </c>
      <c r="J194" s="86">
        <v>36000</v>
      </c>
      <c r="K194" s="86">
        <v>36000</v>
      </c>
      <c r="L194" s="86">
        <v>36000</v>
      </c>
      <c r="M194" s="86">
        <v>36000</v>
      </c>
      <c r="N194" s="86">
        <v>36000</v>
      </c>
      <c r="O194" s="86">
        <v>36000</v>
      </c>
      <c r="P194" s="86">
        <v>36000</v>
      </c>
      <c r="Q194" s="86">
        <v>36000</v>
      </c>
      <c r="R194" s="86">
        <v>36000</v>
      </c>
      <c r="S194" s="86">
        <v>36000</v>
      </c>
      <c r="T194" s="86">
        <v>36000</v>
      </c>
      <c r="U194" s="86">
        <v>36000</v>
      </c>
      <c r="V194" s="86">
        <v>36000</v>
      </c>
      <c r="W194" s="86">
        <v>36000</v>
      </c>
      <c r="X194" s="86">
        <v>36000</v>
      </c>
      <c r="Y194" s="86">
        <v>36000</v>
      </c>
      <c r="Z194" s="86">
        <v>36000</v>
      </c>
      <c r="AA194" s="86">
        <f>W184</f>
        <v>330</v>
      </c>
      <c r="AB194" s="86">
        <f>W199</f>
        <v>670.10317460317458</v>
      </c>
    </row>
    <row r="195" spans="2:28" x14ac:dyDescent="0.35">
      <c r="B195" s="86" t="s">
        <v>296</v>
      </c>
      <c r="C195" s="86">
        <v>25</v>
      </c>
      <c r="D195" s="86">
        <v>25</v>
      </c>
      <c r="E195" s="86">
        <v>25</v>
      </c>
      <c r="F195" s="86">
        <v>25</v>
      </c>
      <c r="G195" s="86">
        <v>25</v>
      </c>
      <c r="H195" s="86">
        <v>25</v>
      </c>
      <c r="I195" s="86">
        <v>25</v>
      </c>
      <c r="J195" s="86">
        <v>25</v>
      </c>
      <c r="K195" s="86">
        <v>25</v>
      </c>
      <c r="L195" s="86">
        <v>25</v>
      </c>
      <c r="M195" s="86">
        <v>25</v>
      </c>
      <c r="N195" s="86">
        <v>25</v>
      </c>
      <c r="O195" s="86">
        <v>25</v>
      </c>
      <c r="P195" s="86">
        <v>25</v>
      </c>
      <c r="Q195" s="86">
        <v>25</v>
      </c>
      <c r="R195" s="86">
        <v>25</v>
      </c>
      <c r="S195" s="86">
        <v>25</v>
      </c>
      <c r="T195" s="86">
        <v>25</v>
      </c>
      <c r="U195" s="86">
        <v>25</v>
      </c>
      <c r="V195" s="86">
        <v>25</v>
      </c>
      <c r="W195" s="86">
        <v>25</v>
      </c>
      <c r="X195" s="86">
        <v>25</v>
      </c>
      <c r="Y195" s="86">
        <v>25</v>
      </c>
      <c r="Z195" s="86">
        <v>25</v>
      </c>
      <c r="AA195" s="86">
        <f>Y184</f>
        <v>379.5</v>
      </c>
      <c r="AB195" s="86">
        <f>Y199</f>
        <v>355.58730158730162</v>
      </c>
    </row>
    <row r="196" spans="2:28" x14ac:dyDescent="0.35">
      <c r="B196" s="86" t="s">
        <v>293</v>
      </c>
      <c r="C196" s="86">
        <v>2</v>
      </c>
      <c r="D196" s="86">
        <v>2</v>
      </c>
      <c r="E196" s="86">
        <v>10</v>
      </c>
      <c r="F196" s="86">
        <v>10</v>
      </c>
      <c r="G196" s="86">
        <v>10</v>
      </c>
      <c r="H196" s="86">
        <v>10</v>
      </c>
      <c r="I196" s="86">
        <v>40</v>
      </c>
      <c r="J196" s="86">
        <v>40</v>
      </c>
      <c r="K196" s="86">
        <v>40</v>
      </c>
      <c r="L196" s="86">
        <v>40</v>
      </c>
      <c r="M196" s="86">
        <v>50</v>
      </c>
      <c r="N196" s="86">
        <v>50</v>
      </c>
      <c r="O196" s="86">
        <v>100</v>
      </c>
      <c r="P196" s="86">
        <v>100</v>
      </c>
      <c r="Q196" s="86">
        <v>100</v>
      </c>
      <c r="R196" s="86">
        <v>100</v>
      </c>
      <c r="S196" s="86">
        <v>100</v>
      </c>
      <c r="T196" s="86">
        <v>100</v>
      </c>
      <c r="U196" s="86">
        <v>100</v>
      </c>
      <c r="V196" s="86">
        <v>100</v>
      </c>
      <c r="W196" s="86">
        <v>200</v>
      </c>
      <c r="X196" s="86">
        <v>200</v>
      </c>
      <c r="Y196" s="86">
        <v>200</v>
      </c>
      <c r="Z196" s="86">
        <v>200</v>
      </c>
    </row>
    <row r="197" spans="2:28" x14ac:dyDescent="0.35">
      <c r="B197" s="86" t="s">
        <v>294</v>
      </c>
      <c r="C197" s="86" t="e">
        <f t="shared" ref="C197:J197" si="394">(C192*C195*C196*10^6 / C194)/1000</f>
        <v>#DIV/0!</v>
      </c>
      <c r="D197" s="86" t="e">
        <f t="shared" si="394"/>
        <v>#DIV/0!</v>
      </c>
      <c r="E197" s="86">
        <f t="shared" si="394"/>
        <v>0.89285714285714279</v>
      </c>
      <c r="F197" s="86">
        <f t="shared" si="394"/>
        <v>0.93015873015873052</v>
      </c>
      <c r="G197" s="86">
        <f t="shared" si="394"/>
        <v>1.3097222222222222</v>
      </c>
      <c r="H197" s="86">
        <f t="shared" si="394"/>
        <v>1.3097222222222222</v>
      </c>
      <c r="I197" s="86">
        <f t="shared" si="394"/>
        <v>3.990476190476191</v>
      </c>
      <c r="J197" s="86">
        <f t="shared" si="394"/>
        <v>3.990476190476191</v>
      </c>
      <c r="K197" s="86">
        <f t="shared" ref="K197" si="395">(K192*K195*K196*10^6 / K194)/1000</f>
        <v>10.695238095238093</v>
      </c>
      <c r="L197" s="86">
        <f t="shared" ref="L197:V197" si="396">(L192*L195*L196*10^6 / L194)/1000</f>
        <v>10.695238095238093</v>
      </c>
      <c r="M197" s="86">
        <f t="shared" si="396"/>
        <v>14.194444444444445</v>
      </c>
      <c r="N197" s="86">
        <f t="shared" si="396"/>
        <v>14.194444444444445</v>
      </c>
      <c r="O197" s="86">
        <f t="shared" si="396"/>
        <v>20.607142857142861</v>
      </c>
      <c r="P197" s="86">
        <f t="shared" si="396"/>
        <v>20.607142857142861</v>
      </c>
      <c r="Q197" s="86">
        <f t="shared" si="396"/>
        <v>21.214285714285715</v>
      </c>
      <c r="R197" s="86">
        <f t="shared" si="396"/>
        <v>21.214285714285715</v>
      </c>
      <c r="S197" s="86">
        <f t="shared" si="396"/>
        <v>22.214285714285715</v>
      </c>
      <c r="T197" s="86">
        <f t="shared" si="396"/>
        <v>22.214285714285715</v>
      </c>
      <c r="U197" s="86">
        <f t="shared" si="396"/>
        <v>29.325396825396826</v>
      </c>
      <c r="V197" s="86">
        <f t="shared" si="396"/>
        <v>29.325396825396826</v>
      </c>
      <c r="W197" s="86">
        <f>(W192*W195*W196*10^6 / W194)/1000</f>
        <v>29.134920634920636</v>
      </c>
      <c r="X197" s="86">
        <f t="shared" ref="X197" si="397">(X192*X195*X196*10^6 / X194)/1000</f>
        <v>29.134920634920636</v>
      </c>
      <c r="Y197" s="86">
        <f>(Y192*Y195*Y196*10^6 / Y194)/1000</f>
        <v>15.460317460317462</v>
      </c>
      <c r="Z197" s="86">
        <f t="shared" ref="Z197" si="398">(Z192*Z195*Z196*10^6 / Z194)/1000</f>
        <v>15.460317460317462</v>
      </c>
    </row>
    <row r="198" spans="2:28" x14ac:dyDescent="0.35">
      <c r="B198" s="86" t="s">
        <v>295</v>
      </c>
      <c r="C198" s="86" t="e">
        <f t="shared" ref="C198:J198" si="399">C197*23</f>
        <v>#DIV/0!</v>
      </c>
      <c r="D198" s="86" t="e">
        <f t="shared" si="399"/>
        <v>#DIV/0!</v>
      </c>
      <c r="E198" s="86">
        <f t="shared" si="399"/>
        <v>20.535714285714285</v>
      </c>
      <c r="F198" s="86">
        <f t="shared" si="399"/>
        <v>21.393650793650803</v>
      </c>
      <c r="G198" s="86">
        <f t="shared" si="399"/>
        <v>30.12361111111111</v>
      </c>
      <c r="H198" s="86">
        <f t="shared" si="399"/>
        <v>30.12361111111111</v>
      </c>
      <c r="I198" s="86">
        <f t="shared" si="399"/>
        <v>91.780952380952385</v>
      </c>
      <c r="J198" s="86">
        <f t="shared" si="399"/>
        <v>91.780952380952385</v>
      </c>
      <c r="K198" s="86">
        <f t="shared" ref="K198" si="400">K197*23</f>
        <v>245.99047619047613</v>
      </c>
      <c r="L198" s="86">
        <f t="shared" ref="L198:V198" si="401">L197*23</f>
        <v>245.99047619047613</v>
      </c>
      <c r="M198" s="86">
        <f t="shared" si="401"/>
        <v>326.47222222222223</v>
      </c>
      <c r="N198" s="86">
        <f t="shared" si="401"/>
        <v>326.47222222222223</v>
      </c>
      <c r="O198" s="86">
        <f t="shared" si="401"/>
        <v>473.96428571428578</v>
      </c>
      <c r="P198" s="86">
        <f t="shared" si="401"/>
        <v>473.96428571428578</v>
      </c>
      <c r="Q198" s="86">
        <f t="shared" si="401"/>
        <v>487.92857142857144</v>
      </c>
      <c r="R198" s="86">
        <f t="shared" si="401"/>
        <v>487.92857142857144</v>
      </c>
      <c r="S198" s="86">
        <f t="shared" si="401"/>
        <v>510.92857142857144</v>
      </c>
      <c r="T198" s="86">
        <f t="shared" si="401"/>
        <v>510.92857142857144</v>
      </c>
      <c r="U198" s="86">
        <f t="shared" si="401"/>
        <v>674.48412698412699</v>
      </c>
      <c r="V198" s="86">
        <f t="shared" si="401"/>
        <v>674.48412698412699</v>
      </c>
      <c r="W198" s="86">
        <f>W197*23</f>
        <v>670.10317460317458</v>
      </c>
      <c r="X198" s="86">
        <f t="shared" ref="X198" si="402">X197*23</f>
        <v>670.10317460317458</v>
      </c>
      <c r="Y198" s="86">
        <f>Y197*23</f>
        <v>355.58730158730162</v>
      </c>
      <c r="Z198" s="86">
        <f t="shared" ref="Z198" si="403">Z197*23</f>
        <v>355.58730158730162</v>
      </c>
    </row>
    <row r="199" spans="2:28" s="108" customFormat="1" x14ac:dyDescent="0.35">
      <c r="B199" s="108" t="s">
        <v>299</v>
      </c>
      <c r="C199" s="330" t="e">
        <f>AVERAGE(C198:D198)</f>
        <v>#DIV/0!</v>
      </c>
      <c r="D199" s="330"/>
      <c r="E199" s="330">
        <f>AVERAGE(E198:F198)</f>
        <v>20.964682539682542</v>
      </c>
      <c r="F199" s="330"/>
      <c r="G199" s="330">
        <f>AVERAGE(G198:H198)</f>
        <v>30.12361111111111</v>
      </c>
      <c r="H199" s="330"/>
      <c r="I199" s="330">
        <f>AVERAGE(I198:J198)</f>
        <v>91.780952380952385</v>
      </c>
      <c r="J199" s="330"/>
      <c r="K199" s="330">
        <f>AVERAGE(K198:L198)</f>
        <v>245.99047619047613</v>
      </c>
      <c r="L199" s="330"/>
      <c r="M199" s="330">
        <f>AVERAGE(M198:N198)</f>
        <v>326.47222222222223</v>
      </c>
      <c r="N199" s="330"/>
      <c r="O199" s="330">
        <f>AVERAGE(O198:P198)</f>
        <v>473.96428571428578</v>
      </c>
      <c r="P199" s="330"/>
      <c r="Q199" s="330">
        <f>AVERAGE(Q198:R198)</f>
        <v>487.92857142857144</v>
      </c>
      <c r="R199" s="330"/>
      <c r="S199" s="330">
        <f>AVERAGE(S198:T198)</f>
        <v>510.92857142857144</v>
      </c>
      <c r="T199" s="330"/>
      <c r="U199" s="330">
        <f>AVERAGE(U198:V198)</f>
        <v>674.48412698412699</v>
      </c>
      <c r="V199" s="330"/>
      <c r="W199" s="330">
        <f>AVERAGE(W198:X198)</f>
        <v>670.10317460317458</v>
      </c>
      <c r="X199" s="330"/>
      <c r="Y199" s="330">
        <f>AVERAGE(Y198:Z198)</f>
        <v>355.58730158730162</v>
      </c>
      <c r="Z199" s="330"/>
    </row>
    <row r="200" spans="2:28" ht="15" thickBot="1" x14ac:dyDescent="0.4"/>
    <row r="201" spans="2:28" ht="15" thickBot="1" x14ac:dyDescent="0.4">
      <c r="B201" s="338" t="s">
        <v>310</v>
      </c>
      <c r="C201" s="339"/>
      <c r="D201" s="339"/>
      <c r="E201" s="339"/>
      <c r="F201" s="339"/>
      <c r="G201" s="339"/>
      <c r="H201" s="339"/>
      <c r="I201" s="339"/>
      <c r="J201" s="340"/>
      <c r="Y201" s="86" t="s">
        <v>404</v>
      </c>
    </row>
    <row r="202" spans="2:28" x14ac:dyDescent="0.35">
      <c r="B202" s="87" t="s">
        <v>290</v>
      </c>
      <c r="C202" s="108">
        <v>0</v>
      </c>
      <c r="D202" s="108">
        <v>0</v>
      </c>
      <c r="E202" s="108">
        <v>18</v>
      </c>
      <c r="F202" s="108">
        <v>18</v>
      </c>
      <c r="G202" s="108">
        <f>F202+24+23.5</f>
        <v>65.5</v>
      </c>
      <c r="H202" s="108">
        <f>G202</f>
        <v>65.5</v>
      </c>
      <c r="I202" s="108">
        <f>H202+23.5</f>
        <v>89</v>
      </c>
      <c r="J202" s="108">
        <f>I202</f>
        <v>89</v>
      </c>
      <c r="K202" s="108">
        <f>J202+24.5</f>
        <v>113.5</v>
      </c>
      <c r="L202" s="108">
        <f>K202</f>
        <v>113.5</v>
      </c>
      <c r="M202" s="108">
        <f>L202+33.5</f>
        <v>147</v>
      </c>
      <c r="N202" s="108">
        <f>M202</f>
        <v>147</v>
      </c>
      <c r="O202" s="108">
        <f>N202+24</f>
        <v>171</v>
      </c>
      <c r="P202" s="108">
        <f>O202</f>
        <v>171</v>
      </c>
      <c r="Q202" s="108">
        <f>P202+38.5</f>
        <v>209.5</v>
      </c>
      <c r="R202" s="108">
        <f>Q202</f>
        <v>209.5</v>
      </c>
      <c r="S202" s="108">
        <f>R202+72.5</f>
        <v>282</v>
      </c>
      <c r="T202" s="108">
        <f>S202</f>
        <v>282</v>
      </c>
      <c r="U202" s="108">
        <f>T202+49.5</f>
        <v>331.5</v>
      </c>
      <c r="V202" s="108">
        <f>U202</f>
        <v>331.5</v>
      </c>
      <c r="Y202" s="86">
        <v>0</v>
      </c>
    </row>
    <row r="203" spans="2:28" x14ac:dyDescent="0.35">
      <c r="B203" s="108">
        <v>0</v>
      </c>
      <c r="E203" s="86">
        <v>7.0000000000000001E-3</v>
      </c>
      <c r="F203" s="86">
        <f>E203</f>
        <v>7.0000000000000001E-3</v>
      </c>
      <c r="G203" s="86">
        <v>0.17399999999999999</v>
      </c>
      <c r="H203" s="86">
        <f t="shared" ref="H203:H208" si="404">G203</f>
        <v>0.17399999999999999</v>
      </c>
      <c r="I203" s="86">
        <v>0.312</v>
      </c>
      <c r="J203" s="86">
        <f t="shared" ref="J203:J208" si="405">I203</f>
        <v>0.312</v>
      </c>
      <c r="K203" s="86">
        <v>9.1999999999999998E-2</v>
      </c>
      <c r="L203" s="86">
        <f t="shared" ref="L203:L208" si="406">K203</f>
        <v>9.1999999999999998E-2</v>
      </c>
      <c r="M203" s="86">
        <v>0.22500000000000001</v>
      </c>
      <c r="N203" s="86">
        <f t="shared" ref="N203" si="407">M203</f>
        <v>0.22500000000000001</v>
      </c>
      <c r="O203" s="86">
        <v>0.151</v>
      </c>
      <c r="P203" s="86">
        <f t="shared" ref="P203:P208" si="408">O203</f>
        <v>0.151</v>
      </c>
      <c r="Q203" s="86">
        <v>0.26</v>
      </c>
      <c r="R203" s="86">
        <f t="shared" ref="R203:R208" si="409">Q203</f>
        <v>0.26</v>
      </c>
      <c r="S203" s="86">
        <v>0.115</v>
      </c>
      <c r="T203" s="86">
        <f t="shared" ref="T203:T208" si="410">S203</f>
        <v>0.115</v>
      </c>
      <c r="U203" s="86">
        <v>0.129</v>
      </c>
      <c r="V203" s="86">
        <f t="shared" ref="V203:V208" si="411">U203</f>
        <v>0.129</v>
      </c>
      <c r="Y203" s="86">
        <v>18</v>
      </c>
      <c r="Z203" s="86">
        <f>E217</f>
        <v>21.430158730158727</v>
      </c>
    </row>
    <row r="204" spans="2:28" x14ac:dyDescent="0.35">
      <c r="B204" s="108">
        <v>0.5</v>
      </c>
      <c r="E204" s="86">
        <v>2.7E-2</v>
      </c>
      <c r="F204" s="86">
        <f t="shared" ref="F204:F208" si="412">E204</f>
        <v>2.7E-2</v>
      </c>
      <c r="G204" s="86">
        <v>0.33500000000000002</v>
      </c>
      <c r="H204" s="86">
        <f t="shared" si="404"/>
        <v>0.33500000000000002</v>
      </c>
      <c r="I204" s="86">
        <v>0.57799999999999996</v>
      </c>
      <c r="J204" s="86">
        <f t="shared" si="405"/>
        <v>0.57799999999999996</v>
      </c>
      <c r="K204" s="86">
        <v>0.30199999999999999</v>
      </c>
      <c r="L204" s="86">
        <f t="shared" si="406"/>
        <v>0.30199999999999999</v>
      </c>
      <c r="M204" s="86">
        <v>0.44</v>
      </c>
      <c r="N204" s="86">
        <f t="shared" ref="N204" si="413">M204</f>
        <v>0.44</v>
      </c>
      <c r="O204" s="86">
        <v>0.36599999999999999</v>
      </c>
      <c r="P204" s="86">
        <f t="shared" si="408"/>
        <v>0.36599999999999999</v>
      </c>
      <c r="Q204" s="86">
        <v>0.51700000000000002</v>
      </c>
      <c r="R204" s="86">
        <f t="shared" si="409"/>
        <v>0.51700000000000002</v>
      </c>
      <c r="S204" s="86">
        <v>0.19600000000000001</v>
      </c>
      <c r="T204" s="86">
        <f t="shared" si="410"/>
        <v>0.19600000000000001</v>
      </c>
      <c r="U204" s="86">
        <v>0.17599999999999999</v>
      </c>
      <c r="V204" s="86">
        <f t="shared" si="411"/>
        <v>0.17599999999999999</v>
      </c>
      <c r="Y204" s="86">
        <f>G202</f>
        <v>65.5</v>
      </c>
      <c r="Z204" s="86">
        <f>G217</f>
        <v>185.60634920634917</v>
      </c>
    </row>
    <row r="205" spans="2:28" x14ac:dyDescent="0.35">
      <c r="B205" s="108">
        <v>1</v>
      </c>
      <c r="E205" s="86">
        <v>4.3999999999999997E-2</v>
      </c>
      <c r="F205" s="86">
        <f t="shared" si="412"/>
        <v>4.3999999999999997E-2</v>
      </c>
      <c r="G205" s="86">
        <v>0.47699999999999998</v>
      </c>
      <c r="H205" s="86">
        <f t="shared" si="404"/>
        <v>0.47699999999999998</v>
      </c>
      <c r="I205" s="86">
        <v>0.82399999999999995</v>
      </c>
      <c r="J205" s="86">
        <f t="shared" si="405"/>
        <v>0.82399999999999995</v>
      </c>
      <c r="K205" s="86">
        <v>0.48899999999999999</v>
      </c>
      <c r="L205" s="86">
        <f t="shared" si="406"/>
        <v>0.48899999999999999</v>
      </c>
      <c r="M205" s="86">
        <v>0.64500000000000002</v>
      </c>
      <c r="N205" s="86">
        <f t="shared" ref="N205" si="414">M205</f>
        <v>0.64500000000000002</v>
      </c>
      <c r="O205" s="86">
        <v>0.55800000000000005</v>
      </c>
      <c r="P205" s="86">
        <f t="shared" si="408"/>
        <v>0.55800000000000005</v>
      </c>
      <c r="Q205" s="86">
        <v>0.753</v>
      </c>
      <c r="R205" s="86">
        <f t="shared" si="409"/>
        <v>0.753</v>
      </c>
      <c r="S205" s="86">
        <v>0.27</v>
      </c>
      <c r="T205" s="86">
        <f t="shared" si="410"/>
        <v>0.27</v>
      </c>
      <c r="U205" s="86">
        <v>0.214</v>
      </c>
      <c r="V205" s="86">
        <f t="shared" si="411"/>
        <v>0.214</v>
      </c>
      <c r="Y205" s="86">
        <f>I202</f>
        <v>89</v>
      </c>
      <c r="Z205" s="86">
        <f>I217</f>
        <v>391.36507936507945</v>
      </c>
    </row>
    <row r="206" spans="2:28" x14ac:dyDescent="0.35">
      <c r="B206" s="108">
        <v>1.5</v>
      </c>
      <c r="E206" s="86">
        <v>5.8999999999999997E-2</v>
      </c>
      <c r="F206" s="86">
        <f t="shared" si="412"/>
        <v>5.8999999999999997E-2</v>
      </c>
      <c r="G206" s="86">
        <v>0.623</v>
      </c>
      <c r="H206" s="86">
        <f t="shared" si="404"/>
        <v>0.623</v>
      </c>
      <c r="I206" s="86">
        <v>1.0660000000000001</v>
      </c>
      <c r="J206" s="86">
        <f t="shared" si="405"/>
        <v>1.0660000000000001</v>
      </c>
      <c r="K206" s="86">
        <v>0.67500000000000004</v>
      </c>
      <c r="L206" s="86">
        <f t="shared" si="406"/>
        <v>0.67500000000000004</v>
      </c>
      <c r="M206" s="86">
        <v>0.82399999999999995</v>
      </c>
      <c r="N206" s="86">
        <f t="shared" ref="N206" si="415">M206</f>
        <v>0.82399999999999995</v>
      </c>
      <c r="O206" s="86">
        <v>0.751</v>
      </c>
      <c r="P206" s="86">
        <f t="shared" si="408"/>
        <v>0.751</v>
      </c>
      <c r="Q206" s="86">
        <v>0.99</v>
      </c>
      <c r="R206" s="86">
        <f t="shared" si="409"/>
        <v>0.99</v>
      </c>
      <c r="S206" s="86">
        <v>0.34499999999999997</v>
      </c>
      <c r="T206" s="86">
        <f t="shared" si="410"/>
        <v>0.34499999999999997</v>
      </c>
      <c r="U206" s="86">
        <v>0.248</v>
      </c>
      <c r="V206" s="86">
        <f t="shared" si="411"/>
        <v>0.248</v>
      </c>
      <c r="Y206" s="226">
        <f>K202</f>
        <v>113.5</v>
      </c>
      <c r="Z206" s="226">
        <f>K217</f>
        <v>603.93253968253975</v>
      </c>
    </row>
    <row r="207" spans="2:28" x14ac:dyDescent="0.35">
      <c r="B207" s="108">
        <v>2</v>
      </c>
      <c r="E207" s="86">
        <v>7.5999999999999998E-2</v>
      </c>
      <c r="F207" s="86">
        <f t="shared" si="412"/>
        <v>7.5999999999999998E-2</v>
      </c>
      <c r="G207" s="86">
        <v>0.76100000000000001</v>
      </c>
      <c r="H207" s="86">
        <f t="shared" si="404"/>
        <v>0.76100000000000001</v>
      </c>
      <c r="I207" s="86">
        <v>1.306</v>
      </c>
      <c r="J207" s="86">
        <f t="shared" si="405"/>
        <v>1.306</v>
      </c>
      <c r="K207" s="86">
        <v>0.85899999999999999</v>
      </c>
      <c r="L207" s="86">
        <f t="shared" si="406"/>
        <v>0.85899999999999999</v>
      </c>
      <c r="M207" s="86">
        <v>1.014</v>
      </c>
      <c r="N207" s="86">
        <f t="shared" ref="N207" si="416">M207</f>
        <v>1.014</v>
      </c>
      <c r="O207" s="86">
        <v>0.94899999999999995</v>
      </c>
      <c r="P207" s="86">
        <f t="shared" si="408"/>
        <v>0.94899999999999995</v>
      </c>
      <c r="Q207" s="86">
        <v>1.214</v>
      </c>
      <c r="R207" s="86">
        <f t="shared" si="409"/>
        <v>1.214</v>
      </c>
      <c r="S207" s="86">
        <v>0.41899999999999998</v>
      </c>
      <c r="T207" s="86">
        <f t="shared" si="410"/>
        <v>0.41899999999999998</v>
      </c>
      <c r="U207" s="86">
        <v>0.28299999999999997</v>
      </c>
      <c r="V207" s="86">
        <f t="shared" si="411"/>
        <v>0.28299999999999997</v>
      </c>
      <c r="Y207" s="86">
        <f>M202</f>
        <v>147</v>
      </c>
      <c r="Z207" s="86">
        <f>M217</f>
        <v>619.35714285714289</v>
      </c>
    </row>
    <row r="208" spans="2:28" x14ac:dyDescent="0.35">
      <c r="B208" s="108">
        <v>2.5</v>
      </c>
      <c r="E208" s="86">
        <v>9.1999999999999998E-2</v>
      </c>
      <c r="F208" s="86">
        <f t="shared" si="412"/>
        <v>9.1999999999999998E-2</v>
      </c>
      <c r="G208" s="86">
        <v>0.90600000000000003</v>
      </c>
      <c r="H208" s="86">
        <f t="shared" si="404"/>
        <v>0.90600000000000003</v>
      </c>
      <c r="I208" s="86">
        <v>1.542</v>
      </c>
      <c r="J208" s="86">
        <f t="shared" si="405"/>
        <v>1.542</v>
      </c>
      <c r="K208" s="86">
        <v>1.044</v>
      </c>
      <c r="L208" s="86">
        <f t="shared" si="406"/>
        <v>1.044</v>
      </c>
      <c r="M208" s="86">
        <v>1.202</v>
      </c>
      <c r="N208" s="86">
        <f t="shared" ref="N208" si="417">M208</f>
        <v>1.202</v>
      </c>
      <c r="O208" s="86">
        <v>1.151</v>
      </c>
      <c r="P208" s="86">
        <f t="shared" si="408"/>
        <v>1.151</v>
      </c>
      <c r="Q208" s="86">
        <v>1.4319999999999999</v>
      </c>
      <c r="R208" s="86">
        <f t="shared" si="409"/>
        <v>1.4319999999999999</v>
      </c>
      <c r="S208" s="86">
        <v>0.49</v>
      </c>
      <c r="T208" s="86">
        <f t="shared" si="410"/>
        <v>0.49</v>
      </c>
      <c r="U208" s="86">
        <v>0.31900000000000001</v>
      </c>
      <c r="V208" s="86">
        <f t="shared" si="411"/>
        <v>0.31900000000000001</v>
      </c>
      <c r="Y208" s="86">
        <f>O202</f>
        <v>171</v>
      </c>
      <c r="Z208" s="86">
        <f>O217</f>
        <v>633.59523809523819</v>
      </c>
    </row>
    <row r="209" spans="2:28" x14ac:dyDescent="0.35">
      <c r="B209" s="108">
        <v>3</v>
      </c>
      <c r="Y209" s="86">
        <f>Q202</f>
        <v>209.5</v>
      </c>
      <c r="Z209" s="86">
        <f>Q217</f>
        <v>747.31746031746025</v>
      </c>
    </row>
    <row r="210" spans="2:28" x14ac:dyDescent="0.35">
      <c r="B210" s="86" t="s">
        <v>297</v>
      </c>
      <c r="C210" s="86" t="e">
        <f t="shared" ref="C210" si="418">SLOPE(C203:C209,$B203:$B209)</f>
        <v>#DIV/0!</v>
      </c>
      <c r="D210" s="86" t="e">
        <f t="shared" ref="D210" si="419">SLOPE(D203:D209,$B203:$B209)</f>
        <v>#DIV/0!</v>
      </c>
      <c r="E210" s="86">
        <f>SLOPE(E203:E209,$B203:$B209)</f>
        <v>3.3542857142857138E-2</v>
      </c>
      <c r="F210" s="86">
        <f>SLOPE(F203:F209,$B203:$B209)</f>
        <v>3.3542857142857138E-2</v>
      </c>
      <c r="G210" s="86">
        <f t="shared" ref="G210" si="420">SLOPE(G203:G209,$B203:$B209)</f>
        <v>0.29051428571428567</v>
      </c>
      <c r="H210" s="86">
        <f t="shared" ref="H210:R210" si="421">SLOPE(H203:H209,$B203:$B209)</f>
        <v>0.29051428571428567</v>
      </c>
      <c r="I210" s="86">
        <f t="shared" si="421"/>
        <v>0.49005714285714291</v>
      </c>
      <c r="J210" s="86">
        <f t="shared" si="421"/>
        <v>0.49005714285714291</v>
      </c>
      <c r="K210" s="86">
        <f t="shared" si="421"/>
        <v>0.37811428571428574</v>
      </c>
      <c r="L210" s="86">
        <f t="shared" si="421"/>
        <v>0.37811428571428574</v>
      </c>
      <c r="M210" s="86">
        <f t="shared" si="421"/>
        <v>0.38777142857142854</v>
      </c>
      <c r="N210" s="86">
        <f t="shared" si="421"/>
        <v>0.38777142857142854</v>
      </c>
      <c r="O210" s="86">
        <f t="shared" si="421"/>
        <v>0.39668571428571431</v>
      </c>
      <c r="P210" s="86">
        <f t="shared" si="421"/>
        <v>0.39668571428571431</v>
      </c>
      <c r="Q210" s="86">
        <f t="shared" si="421"/>
        <v>0.46788571428571424</v>
      </c>
      <c r="R210" s="86">
        <f t="shared" si="421"/>
        <v>0.46788571428571424</v>
      </c>
      <c r="S210" s="86">
        <f>SLOPE(S203:S209,$B203:$B209)</f>
        <v>0.14965714285714285</v>
      </c>
      <c r="T210" s="86">
        <f>SLOPE(T203:T209,$B203:$B209)</f>
        <v>0.14965714285714285</v>
      </c>
      <c r="U210" s="86">
        <f>SLOPE(U203:U209,$B203:$B209)</f>
        <v>7.4571428571428566E-2</v>
      </c>
      <c r="V210" s="86">
        <f>SLOPE(V203:V209,$B203:$B209)</f>
        <v>7.4571428571428566E-2</v>
      </c>
      <c r="Y210" s="86">
        <f>S202</f>
        <v>282</v>
      </c>
      <c r="Z210" s="86">
        <f>S217</f>
        <v>478.07142857142856</v>
      </c>
    </row>
    <row r="211" spans="2:28" x14ac:dyDescent="0.35">
      <c r="B211" s="86" t="s">
        <v>298</v>
      </c>
      <c r="C211" s="202" t="e">
        <f t="shared" ref="C211:D211" si="422">RSQ(C203:C209,$B203:$B209)</f>
        <v>#DIV/0!</v>
      </c>
      <c r="D211" s="202" t="e">
        <f t="shared" si="422"/>
        <v>#DIV/0!</v>
      </c>
      <c r="E211" s="202">
        <f>RSQ(E203:E209,$B203:$B209)</f>
        <v>0.99829257104227498</v>
      </c>
      <c r="F211" s="202">
        <f>RSQ(F203:F209,$B203:$B209)</f>
        <v>0.99829257104227498</v>
      </c>
      <c r="G211" s="202">
        <f t="shared" ref="G211:R211" si="423">RSQ(G203:G209,$B203:$B209)</f>
        <v>0.9995226494040852</v>
      </c>
      <c r="H211" s="202">
        <f t="shared" si="423"/>
        <v>0.9995226494040852</v>
      </c>
      <c r="I211" s="202">
        <f t="shared" si="423"/>
        <v>0.99960661470095447</v>
      </c>
      <c r="J211" s="202">
        <f t="shared" si="423"/>
        <v>0.99960661470095447</v>
      </c>
      <c r="K211" s="202">
        <f t="shared" si="423"/>
        <v>0.99949621167662284</v>
      </c>
      <c r="L211" s="202">
        <f t="shared" si="423"/>
        <v>0.99949621167662284</v>
      </c>
      <c r="M211" s="202">
        <f t="shared" si="423"/>
        <v>0.99905574169966482</v>
      </c>
      <c r="N211" s="202">
        <f t="shared" si="423"/>
        <v>0.99905574169966482</v>
      </c>
      <c r="O211" s="202">
        <f t="shared" si="423"/>
        <v>0.99976289064299029</v>
      </c>
      <c r="P211" s="202">
        <f t="shared" si="423"/>
        <v>0.99976289064299029</v>
      </c>
      <c r="Q211" s="202">
        <f t="shared" si="423"/>
        <v>0.99923844658365113</v>
      </c>
      <c r="R211" s="202">
        <f t="shared" si="423"/>
        <v>0.99923844658365113</v>
      </c>
      <c r="S211" s="202">
        <f>RSQ(S203:S209,$B203:$B209)</f>
        <v>0.99964478635808618</v>
      </c>
      <c r="T211" s="202">
        <f>RSQ(T203:T209,$B203:$B209)</f>
        <v>0.99964478635808618</v>
      </c>
      <c r="U211" s="202">
        <f>RSQ(U203:U209,$B203:$B209)</f>
        <v>0.99680807580234654</v>
      </c>
      <c r="V211" s="202">
        <f>RSQ(V203:V209,$B203:$B209)</f>
        <v>0.99680807580234654</v>
      </c>
      <c r="Y211" s="86">
        <f>U202</f>
        <v>331.5</v>
      </c>
      <c r="Z211" s="86">
        <f>U217</f>
        <v>238.21428571428569</v>
      </c>
    </row>
    <row r="212" spans="2:28" x14ac:dyDescent="0.35">
      <c r="B212" s="86" t="s">
        <v>292</v>
      </c>
      <c r="C212" s="86">
        <v>36000</v>
      </c>
      <c r="D212" s="86">
        <v>36000</v>
      </c>
      <c r="E212" s="86">
        <v>36000</v>
      </c>
      <c r="F212" s="86">
        <v>36000</v>
      </c>
      <c r="G212" s="86">
        <v>36000</v>
      </c>
      <c r="H212" s="86">
        <v>36000</v>
      </c>
      <c r="I212" s="86">
        <v>36000</v>
      </c>
      <c r="J212" s="86">
        <v>36000</v>
      </c>
      <c r="K212" s="86">
        <v>36000</v>
      </c>
      <c r="L212" s="86">
        <v>36000</v>
      </c>
      <c r="M212" s="86">
        <v>36000</v>
      </c>
      <c r="N212" s="86">
        <v>36000</v>
      </c>
      <c r="O212" s="86">
        <v>36000</v>
      </c>
      <c r="P212" s="86">
        <v>36000</v>
      </c>
      <c r="Q212" s="86">
        <v>36000</v>
      </c>
      <c r="R212" s="86">
        <v>36000</v>
      </c>
      <c r="S212" s="86">
        <v>36000</v>
      </c>
      <c r="T212" s="86">
        <v>36000</v>
      </c>
      <c r="U212" s="86">
        <v>36000</v>
      </c>
      <c r="V212" s="86">
        <v>36000</v>
      </c>
    </row>
    <row r="213" spans="2:28" x14ac:dyDescent="0.35">
      <c r="B213" s="86" t="s">
        <v>296</v>
      </c>
      <c r="C213" s="86">
        <v>25</v>
      </c>
      <c r="D213" s="86">
        <v>25</v>
      </c>
      <c r="E213" s="86">
        <v>25</v>
      </c>
      <c r="F213" s="86">
        <v>25</v>
      </c>
      <c r="G213" s="86">
        <v>25</v>
      </c>
      <c r="H213" s="86">
        <v>25</v>
      </c>
      <c r="I213" s="86">
        <v>25</v>
      </c>
      <c r="J213" s="86">
        <v>25</v>
      </c>
      <c r="K213" s="86">
        <v>25</v>
      </c>
      <c r="L213" s="86">
        <v>25</v>
      </c>
      <c r="M213" s="86">
        <v>25</v>
      </c>
      <c r="N213" s="86">
        <v>25</v>
      </c>
      <c r="O213" s="86">
        <v>25</v>
      </c>
      <c r="P213" s="86">
        <v>25</v>
      </c>
      <c r="Q213" s="86">
        <v>25</v>
      </c>
      <c r="R213" s="86">
        <v>25</v>
      </c>
      <c r="S213" s="86">
        <v>25</v>
      </c>
      <c r="T213" s="86">
        <v>25</v>
      </c>
      <c r="U213" s="86">
        <v>25</v>
      </c>
      <c r="V213" s="86">
        <v>25</v>
      </c>
    </row>
    <row r="214" spans="2:28" x14ac:dyDescent="0.35">
      <c r="B214" s="86" t="s">
        <v>293</v>
      </c>
      <c r="C214" s="86">
        <v>2</v>
      </c>
      <c r="D214" s="86">
        <v>2</v>
      </c>
      <c r="E214" s="86">
        <v>40</v>
      </c>
      <c r="F214" s="86">
        <v>40</v>
      </c>
      <c r="G214" s="86">
        <v>40</v>
      </c>
      <c r="H214" s="86">
        <v>40</v>
      </c>
      <c r="I214" s="86">
        <v>50</v>
      </c>
      <c r="J214" s="86">
        <v>50</v>
      </c>
      <c r="K214" s="86">
        <v>100</v>
      </c>
      <c r="L214" s="86">
        <v>100</v>
      </c>
      <c r="M214" s="86">
        <v>100</v>
      </c>
      <c r="N214" s="86">
        <v>100</v>
      </c>
      <c r="O214" s="86">
        <v>100</v>
      </c>
      <c r="P214" s="86">
        <v>100</v>
      </c>
      <c r="Q214" s="86">
        <v>100</v>
      </c>
      <c r="R214" s="86">
        <v>100</v>
      </c>
      <c r="S214" s="86">
        <v>200</v>
      </c>
      <c r="T214" s="86">
        <v>200</v>
      </c>
      <c r="U214" s="86">
        <v>200</v>
      </c>
      <c r="V214" s="86">
        <v>200</v>
      </c>
    </row>
    <row r="215" spans="2:28" x14ac:dyDescent="0.35">
      <c r="B215" s="86" t="s">
        <v>294</v>
      </c>
      <c r="C215" s="86" t="e">
        <f>(C210*C213*C214*10^6 / C212)/1000</f>
        <v>#DIV/0!</v>
      </c>
      <c r="D215" s="86" t="e">
        <f>(D210*D213*D214*10^6 / D212)/1000</f>
        <v>#DIV/0!</v>
      </c>
      <c r="E215" s="86">
        <f>(E210*E213*E214*10^6 / E212)/1000</f>
        <v>0.93174603174603154</v>
      </c>
      <c r="F215" s="86">
        <f>(F210*F213*F214*10^6 / F212)/1000</f>
        <v>0.93174603174603154</v>
      </c>
      <c r="G215" s="86">
        <f t="shared" ref="G215" si="424">(G210*G213*G214*10^6 / G212)/1000</f>
        <v>8.0698412698412678</v>
      </c>
      <c r="H215" s="86">
        <f t="shared" ref="H215:R215" si="425">(H210*H213*H214*10^6 / H212)/1000</f>
        <v>8.0698412698412678</v>
      </c>
      <c r="I215" s="86">
        <f t="shared" si="425"/>
        <v>17.015873015873019</v>
      </c>
      <c r="J215" s="86">
        <f t="shared" si="425"/>
        <v>17.015873015873019</v>
      </c>
      <c r="K215" s="86">
        <f t="shared" si="425"/>
        <v>26.257936507936513</v>
      </c>
      <c r="L215" s="86">
        <f t="shared" si="425"/>
        <v>26.257936507936513</v>
      </c>
      <c r="M215" s="86">
        <f t="shared" si="425"/>
        <v>26.928571428571431</v>
      </c>
      <c r="N215" s="86">
        <f t="shared" si="425"/>
        <v>26.928571428571431</v>
      </c>
      <c r="O215" s="86">
        <f t="shared" si="425"/>
        <v>27.547619047619051</v>
      </c>
      <c r="P215" s="86">
        <f t="shared" si="425"/>
        <v>27.547619047619051</v>
      </c>
      <c r="Q215" s="86">
        <f t="shared" si="425"/>
        <v>32.492063492063487</v>
      </c>
      <c r="R215" s="86">
        <f t="shared" si="425"/>
        <v>32.492063492063487</v>
      </c>
      <c r="S215" s="86">
        <f>(S210*S213*S214*10^6 / S212)/1000</f>
        <v>20.785714285714285</v>
      </c>
      <c r="T215" s="86">
        <f t="shared" ref="T215" si="426">(T210*T213*T214*10^6 / T212)/1000</f>
        <v>20.785714285714285</v>
      </c>
      <c r="U215" s="86">
        <f>(U210*U213*U214*10^6 / U212)/1000</f>
        <v>10.357142857142856</v>
      </c>
      <c r="V215" s="86">
        <f t="shared" ref="V215" si="427">(V210*V213*V214*10^6 / V212)/1000</f>
        <v>10.357142857142856</v>
      </c>
    </row>
    <row r="216" spans="2:28" x14ac:dyDescent="0.35">
      <c r="B216" s="86" t="s">
        <v>295</v>
      </c>
      <c r="C216" s="86" t="e">
        <f>C215*23</f>
        <v>#DIV/0!</v>
      </c>
      <c r="D216" s="86" t="e">
        <f>D215*23</f>
        <v>#DIV/0!</v>
      </c>
      <c r="E216" s="86">
        <f>E215*23</f>
        <v>21.430158730158727</v>
      </c>
      <c r="F216" s="86">
        <f>F215*23</f>
        <v>21.430158730158727</v>
      </c>
      <c r="G216" s="86">
        <f t="shared" ref="G216" si="428">G215*23</f>
        <v>185.60634920634917</v>
      </c>
      <c r="H216" s="86">
        <f t="shared" ref="H216:R216" si="429">H215*23</f>
        <v>185.60634920634917</v>
      </c>
      <c r="I216" s="86">
        <f t="shared" si="429"/>
        <v>391.36507936507945</v>
      </c>
      <c r="J216" s="86">
        <f t="shared" si="429"/>
        <v>391.36507936507945</v>
      </c>
      <c r="K216" s="86">
        <f t="shared" si="429"/>
        <v>603.93253968253975</v>
      </c>
      <c r="L216" s="86">
        <f t="shared" si="429"/>
        <v>603.93253968253975</v>
      </c>
      <c r="M216" s="86">
        <f t="shared" si="429"/>
        <v>619.35714285714289</v>
      </c>
      <c r="N216" s="86">
        <f t="shared" si="429"/>
        <v>619.35714285714289</v>
      </c>
      <c r="O216" s="86">
        <f t="shared" si="429"/>
        <v>633.59523809523819</v>
      </c>
      <c r="P216" s="86">
        <f t="shared" si="429"/>
        <v>633.59523809523819</v>
      </c>
      <c r="Q216" s="86">
        <f t="shared" si="429"/>
        <v>747.31746031746025</v>
      </c>
      <c r="R216" s="86">
        <f t="shared" si="429"/>
        <v>747.31746031746025</v>
      </c>
      <c r="S216" s="86">
        <f>S215*23</f>
        <v>478.07142857142856</v>
      </c>
      <c r="T216" s="86">
        <f t="shared" ref="T216" si="430">T215*23</f>
        <v>478.07142857142856</v>
      </c>
      <c r="U216" s="86">
        <f>U215*23</f>
        <v>238.21428571428569</v>
      </c>
      <c r="V216" s="86">
        <f t="shared" ref="V216" si="431">V215*23</f>
        <v>238.21428571428569</v>
      </c>
    </row>
    <row r="217" spans="2:28" s="108" customFormat="1" x14ac:dyDescent="0.35">
      <c r="B217" s="108" t="s">
        <v>299</v>
      </c>
      <c r="C217" s="330" t="e">
        <f>AVERAGE(C216:D216)</f>
        <v>#DIV/0!</v>
      </c>
      <c r="D217" s="330"/>
      <c r="E217" s="330">
        <f>AVERAGE(E216:F216)</f>
        <v>21.430158730158727</v>
      </c>
      <c r="F217" s="330"/>
      <c r="G217" s="330">
        <f>AVERAGE(G216:H216)</f>
        <v>185.60634920634917</v>
      </c>
      <c r="H217" s="330"/>
      <c r="I217" s="330">
        <f>AVERAGE(I216:J216)</f>
        <v>391.36507936507945</v>
      </c>
      <c r="J217" s="330"/>
      <c r="K217" s="330">
        <f>AVERAGE(K216:L216)</f>
        <v>603.93253968253975</v>
      </c>
      <c r="L217" s="330"/>
      <c r="M217" s="330">
        <f>AVERAGE(M216:N216)</f>
        <v>619.35714285714289</v>
      </c>
      <c r="N217" s="330"/>
      <c r="O217" s="330">
        <f>AVERAGE(O216:P216)</f>
        <v>633.59523809523819</v>
      </c>
      <c r="P217" s="330"/>
      <c r="Q217" s="330">
        <f>AVERAGE(Q216:R216)</f>
        <v>747.31746031746025</v>
      </c>
      <c r="R217" s="330"/>
      <c r="S217" s="330">
        <f>AVERAGE(S216:T216)</f>
        <v>478.07142857142856</v>
      </c>
      <c r="T217" s="330"/>
      <c r="U217" s="330">
        <f>AVERAGE(U216:V216)</f>
        <v>238.21428571428569</v>
      </c>
      <c r="V217" s="330"/>
    </row>
    <row r="218" spans="2:28" ht="15" thickBot="1" x14ac:dyDescent="0.4"/>
    <row r="219" spans="2:28" ht="15" thickBot="1" x14ac:dyDescent="0.4">
      <c r="B219" s="338" t="s">
        <v>311</v>
      </c>
      <c r="C219" s="339"/>
      <c r="D219" s="339"/>
      <c r="E219" s="339"/>
      <c r="F219" s="339"/>
      <c r="G219" s="339"/>
      <c r="H219" s="339"/>
      <c r="I219" s="339"/>
      <c r="J219" s="340"/>
      <c r="AA219" s="86" t="s">
        <v>404</v>
      </c>
    </row>
    <row r="220" spans="2:28" x14ac:dyDescent="0.35">
      <c r="B220" s="87" t="s">
        <v>290</v>
      </c>
      <c r="C220" s="108">
        <v>0</v>
      </c>
      <c r="D220" s="108">
        <v>0</v>
      </c>
      <c r="E220" s="108">
        <v>17.5</v>
      </c>
      <c r="F220" s="108">
        <v>17.5</v>
      </c>
      <c r="G220" s="108">
        <v>41.5</v>
      </c>
      <c r="H220" s="108">
        <v>41.5</v>
      </c>
      <c r="I220" s="108">
        <f>H220+24.5</f>
        <v>66</v>
      </c>
      <c r="J220" s="108">
        <f>I220</f>
        <v>66</v>
      </c>
      <c r="K220" s="108">
        <f>J220+24+23.5</f>
        <v>113.5</v>
      </c>
      <c r="L220" s="108">
        <f>K220</f>
        <v>113.5</v>
      </c>
      <c r="M220" s="108">
        <f>L220+23.5</f>
        <v>137</v>
      </c>
      <c r="N220" s="108">
        <f>M220</f>
        <v>137</v>
      </c>
      <c r="O220" s="108">
        <f>N220+24.5</f>
        <v>161.5</v>
      </c>
      <c r="P220" s="108">
        <f>O220</f>
        <v>161.5</v>
      </c>
      <c r="Q220" s="108">
        <f>P220+33.5</f>
        <v>195</v>
      </c>
      <c r="R220" s="108">
        <f>Q220</f>
        <v>195</v>
      </c>
      <c r="S220" s="108">
        <f>R220+24</f>
        <v>219</v>
      </c>
      <c r="T220" s="108">
        <f>S220</f>
        <v>219</v>
      </c>
      <c r="U220" s="108">
        <f>T220+38.5</f>
        <v>257.5</v>
      </c>
      <c r="V220" s="108">
        <f>U220</f>
        <v>257.5</v>
      </c>
      <c r="W220" s="108">
        <f>V220+72.5</f>
        <v>330</v>
      </c>
      <c r="X220" s="108">
        <f>W220</f>
        <v>330</v>
      </c>
      <c r="Y220" s="108">
        <f>X220+49.5</f>
        <v>379.5</v>
      </c>
      <c r="Z220" s="108">
        <f>Y220</f>
        <v>379.5</v>
      </c>
      <c r="AA220" s="86">
        <v>0</v>
      </c>
    </row>
    <row r="221" spans="2:28" x14ac:dyDescent="0.35">
      <c r="B221" s="108">
        <v>0</v>
      </c>
      <c r="E221" s="86">
        <v>7.4999999999999997E-2</v>
      </c>
      <c r="F221" s="86">
        <v>6.9000000000000006E-2</v>
      </c>
      <c r="G221" s="86">
        <v>0.13200000000000001</v>
      </c>
      <c r="H221" s="86">
        <v>0.13200000000000001</v>
      </c>
      <c r="I221" s="86">
        <v>7.6999999999999999E-2</v>
      </c>
      <c r="J221" s="86">
        <f>I221</f>
        <v>7.6999999999999999E-2</v>
      </c>
      <c r="K221" s="86">
        <v>0.23499999999999999</v>
      </c>
      <c r="L221" s="86">
        <f t="shared" ref="L221:L226" si="432">K221</f>
        <v>0.23499999999999999</v>
      </c>
      <c r="M221" s="86">
        <v>0.27900000000000003</v>
      </c>
      <c r="N221" s="86">
        <f t="shared" ref="N221:N226" si="433">M221</f>
        <v>0.27900000000000003</v>
      </c>
      <c r="O221" s="86">
        <v>0.04</v>
      </c>
      <c r="P221" s="86">
        <f t="shared" ref="P221:P226" si="434">O221</f>
        <v>0.04</v>
      </c>
      <c r="Q221" s="86">
        <v>0.18</v>
      </c>
      <c r="R221" s="86">
        <f t="shared" ref="R221" si="435">Q221</f>
        <v>0.18</v>
      </c>
      <c r="S221" s="86">
        <v>0.114</v>
      </c>
      <c r="T221" s="86">
        <f t="shared" ref="T221:T226" si="436">S221</f>
        <v>0.114</v>
      </c>
      <c r="U221" s="86">
        <v>0.28399999999999997</v>
      </c>
      <c r="V221" s="86">
        <f t="shared" ref="V221:V226" si="437">U221</f>
        <v>0.28399999999999997</v>
      </c>
      <c r="W221" s="86">
        <v>0.14599999999999999</v>
      </c>
      <c r="X221" s="86">
        <f t="shared" ref="X221:X226" si="438">W221</f>
        <v>0.14599999999999999</v>
      </c>
      <c r="Y221" s="86">
        <v>0.22800000000000001</v>
      </c>
      <c r="Z221" s="86">
        <f t="shared" ref="Z221:Z226" si="439">Y221</f>
        <v>0.22800000000000001</v>
      </c>
      <c r="AA221" s="86">
        <v>17.5</v>
      </c>
      <c r="AB221" s="86">
        <f>E235</f>
        <v>13.736111111111107</v>
      </c>
    </row>
    <row r="222" spans="2:28" x14ac:dyDescent="0.35">
      <c r="B222" s="108">
        <v>0.5</v>
      </c>
      <c r="E222" s="86">
        <v>0.11700000000000001</v>
      </c>
      <c r="F222" s="86">
        <v>0.121</v>
      </c>
      <c r="G222" s="86">
        <v>0.23699999999999999</v>
      </c>
      <c r="H222" s="86">
        <v>0.23699999999999999</v>
      </c>
      <c r="I222" s="86">
        <v>0.159</v>
      </c>
      <c r="J222" s="86">
        <f t="shared" ref="J222:J226" si="440">I222</f>
        <v>0.159</v>
      </c>
      <c r="K222" s="86">
        <v>0.47</v>
      </c>
      <c r="L222" s="86">
        <f t="shared" si="432"/>
        <v>0.47</v>
      </c>
      <c r="M222" s="86">
        <v>0.54100000000000004</v>
      </c>
      <c r="N222" s="86">
        <f t="shared" si="433"/>
        <v>0.54100000000000004</v>
      </c>
      <c r="O222" s="86">
        <v>0.214</v>
      </c>
      <c r="P222" s="86">
        <f t="shared" si="434"/>
        <v>0.214</v>
      </c>
      <c r="Q222" s="86">
        <v>0.35</v>
      </c>
      <c r="R222" s="86">
        <f t="shared" ref="R222" si="441">Q222</f>
        <v>0.35</v>
      </c>
      <c r="S222" s="86">
        <v>0.26100000000000001</v>
      </c>
      <c r="T222" s="86">
        <f t="shared" si="436"/>
        <v>0.26100000000000001</v>
      </c>
      <c r="U222" s="86">
        <v>0.54900000000000004</v>
      </c>
      <c r="V222" s="86">
        <f t="shared" si="437"/>
        <v>0.54900000000000004</v>
      </c>
      <c r="W222" s="86">
        <v>0.23499999999999999</v>
      </c>
      <c r="X222" s="86">
        <f t="shared" si="438"/>
        <v>0.23499999999999999</v>
      </c>
      <c r="Y222" s="86">
        <v>0.27</v>
      </c>
      <c r="Z222" s="86">
        <f t="shared" si="439"/>
        <v>0.27</v>
      </c>
      <c r="AA222" s="86">
        <v>41.5</v>
      </c>
      <c r="AB222" s="86">
        <f>G235</f>
        <v>30.347222222222221</v>
      </c>
    </row>
    <row r="223" spans="2:28" x14ac:dyDescent="0.35">
      <c r="B223" s="108">
        <v>1</v>
      </c>
      <c r="E223" s="86">
        <v>0.159</v>
      </c>
      <c r="F223" s="86">
        <v>0.16700000000000001</v>
      </c>
      <c r="G223" s="86">
        <v>0.33100000000000002</v>
      </c>
      <c r="H223" s="86">
        <v>0.33100000000000002</v>
      </c>
      <c r="I223" s="86">
        <v>0.23100000000000001</v>
      </c>
      <c r="J223" s="86">
        <f t="shared" si="440"/>
        <v>0.23100000000000001</v>
      </c>
      <c r="K223" s="86">
        <v>0.68500000000000005</v>
      </c>
      <c r="L223" s="86">
        <f t="shared" si="432"/>
        <v>0.68500000000000005</v>
      </c>
      <c r="M223" s="86">
        <v>0.76700000000000002</v>
      </c>
      <c r="N223" s="86">
        <f t="shared" si="433"/>
        <v>0.76700000000000002</v>
      </c>
      <c r="O223" s="86">
        <v>0.371</v>
      </c>
      <c r="P223" s="86">
        <f t="shared" si="434"/>
        <v>0.371</v>
      </c>
      <c r="Q223" s="86">
        <v>0.51600000000000001</v>
      </c>
      <c r="R223" s="86">
        <f t="shared" ref="R223" si="442">Q223</f>
        <v>0.51600000000000001</v>
      </c>
      <c r="S223" s="86">
        <v>0.40600000000000003</v>
      </c>
      <c r="T223" s="86">
        <f t="shared" si="436"/>
        <v>0.40600000000000003</v>
      </c>
      <c r="U223" s="86">
        <v>0.80500000000000005</v>
      </c>
      <c r="V223" s="86">
        <f t="shared" si="437"/>
        <v>0.80500000000000005</v>
      </c>
      <c r="W223" s="86">
        <v>0.32</v>
      </c>
      <c r="X223" s="86">
        <f t="shared" si="438"/>
        <v>0.32</v>
      </c>
      <c r="Y223" s="86">
        <v>0.31900000000000001</v>
      </c>
      <c r="Z223" s="86">
        <f t="shared" si="439"/>
        <v>0.31900000000000001</v>
      </c>
      <c r="AA223" s="86">
        <v>66</v>
      </c>
      <c r="AB223" s="86">
        <f>I235</f>
        <v>89.992063492063494</v>
      </c>
    </row>
    <row r="224" spans="2:28" x14ac:dyDescent="0.35">
      <c r="B224" s="108">
        <v>1.5</v>
      </c>
      <c r="E224" s="86">
        <v>0.20100000000000001</v>
      </c>
      <c r="F224" s="86">
        <v>0.21099999999999999</v>
      </c>
      <c r="G224" s="86">
        <v>0.42499999999999999</v>
      </c>
      <c r="H224" s="86">
        <v>0.42499999999999999</v>
      </c>
      <c r="I224" s="86">
        <v>0.3</v>
      </c>
      <c r="J224" s="86">
        <f t="shared" si="440"/>
        <v>0.3</v>
      </c>
      <c r="K224" s="86">
        <v>0.89600000000000002</v>
      </c>
      <c r="L224" s="86">
        <f t="shared" si="432"/>
        <v>0.89600000000000002</v>
      </c>
      <c r="M224" s="86">
        <v>0.99299999999999999</v>
      </c>
      <c r="N224" s="86">
        <f t="shared" si="433"/>
        <v>0.99299999999999999</v>
      </c>
      <c r="O224" s="86">
        <v>0.52800000000000002</v>
      </c>
      <c r="P224" s="86">
        <f t="shared" si="434"/>
        <v>0.52800000000000002</v>
      </c>
      <c r="Q224" s="86">
        <v>0.68400000000000005</v>
      </c>
      <c r="R224" s="86">
        <f t="shared" ref="R224" si="443">Q224</f>
        <v>0.68400000000000005</v>
      </c>
      <c r="S224" s="86">
        <v>0.54800000000000004</v>
      </c>
      <c r="T224" s="86">
        <f t="shared" si="436"/>
        <v>0.54800000000000004</v>
      </c>
      <c r="U224" s="86">
        <v>1.0489999999999999</v>
      </c>
      <c r="V224" s="86">
        <f t="shared" si="437"/>
        <v>1.0489999999999999</v>
      </c>
      <c r="W224" s="86">
        <v>0.40500000000000003</v>
      </c>
      <c r="X224" s="86">
        <f t="shared" si="438"/>
        <v>0.40500000000000003</v>
      </c>
      <c r="Y224" s="86">
        <v>0.39</v>
      </c>
      <c r="Z224" s="86">
        <f t="shared" si="439"/>
        <v>0.39</v>
      </c>
      <c r="AA224" s="86">
        <f>K220</f>
        <v>113.5</v>
      </c>
      <c r="AB224" s="86">
        <f>K235</f>
        <v>273.22539682539684</v>
      </c>
    </row>
    <row r="225" spans="2:33" x14ac:dyDescent="0.35">
      <c r="B225" s="108">
        <v>2</v>
      </c>
      <c r="E225" s="86">
        <v>0.24099999999999999</v>
      </c>
      <c r="F225" s="86">
        <v>0.255</v>
      </c>
      <c r="G225" s="86">
        <v>0.51300000000000001</v>
      </c>
      <c r="H225" s="86">
        <v>0.51300000000000001</v>
      </c>
      <c r="I225" s="86">
        <v>0.36599999999999999</v>
      </c>
      <c r="J225" s="86">
        <f t="shared" si="440"/>
        <v>0.36599999999999999</v>
      </c>
      <c r="K225" s="86">
        <v>1.101</v>
      </c>
      <c r="L225" s="86">
        <f t="shared" si="432"/>
        <v>1.101</v>
      </c>
      <c r="M225" s="86">
        <v>1.2230000000000001</v>
      </c>
      <c r="N225" s="86">
        <f t="shared" si="433"/>
        <v>1.2230000000000001</v>
      </c>
      <c r="O225" s="86">
        <v>0.68400000000000005</v>
      </c>
      <c r="P225" s="86">
        <f t="shared" si="434"/>
        <v>0.68400000000000005</v>
      </c>
      <c r="Q225" s="86">
        <v>0.84199999999999997</v>
      </c>
      <c r="R225" s="86">
        <f t="shared" ref="R225" si="444">Q225</f>
        <v>0.84199999999999997</v>
      </c>
      <c r="S225" s="86">
        <v>0.69599999999999995</v>
      </c>
      <c r="T225" s="86">
        <f t="shared" si="436"/>
        <v>0.69599999999999995</v>
      </c>
      <c r="U225" s="86">
        <v>1.29</v>
      </c>
      <c r="V225" s="86">
        <f t="shared" si="437"/>
        <v>1.29</v>
      </c>
      <c r="W225" s="86">
        <v>0.48899999999999999</v>
      </c>
      <c r="X225" s="86">
        <f t="shared" si="438"/>
        <v>0.48899999999999999</v>
      </c>
      <c r="Y225" s="86">
        <v>0.42499999999999999</v>
      </c>
      <c r="Z225" s="86">
        <f t="shared" si="439"/>
        <v>0.42499999999999999</v>
      </c>
      <c r="AA225" s="86">
        <f>M220</f>
        <v>137</v>
      </c>
      <c r="AB225" s="86">
        <f>M235</f>
        <v>368.59325396825398</v>
      </c>
    </row>
    <row r="226" spans="2:33" x14ac:dyDescent="0.35">
      <c r="B226" s="108">
        <v>2.5</v>
      </c>
      <c r="E226" s="86">
        <v>0.27900000000000003</v>
      </c>
      <c r="F226" s="86">
        <v>0.29499999999999998</v>
      </c>
      <c r="I226" s="86">
        <v>0.432</v>
      </c>
      <c r="J226" s="86">
        <f t="shared" si="440"/>
        <v>0.432</v>
      </c>
      <c r="K226" s="86">
        <v>1.3109999999999999</v>
      </c>
      <c r="L226" s="86">
        <f t="shared" si="432"/>
        <v>1.3109999999999999</v>
      </c>
      <c r="M226" s="86">
        <v>1.44</v>
      </c>
      <c r="N226" s="86">
        <f t="shared" si="433"/>
        <v>1.44</v>
      </c>
      <c r="O226" s="86">
        <v>0.83399999999999996</v>
      </c>
      <c r="P226" s="86">
        <f t="shared" si="434"/>
        <v>0.83399999999999996</v>
      </c>
      <c r="Q226" s="86">
        <v>0.98899999999999999</v>
      </c>
      <c r="R226" s="86">
        <f t="shared" ref="R226" si="445">Q226</f>
        <v>0.98899999999999999</v>
      </c>
      <c r="S226" s="86">
        <v>0.84299999999999997</v>
      </c>
      <c r="T226" s="86">
        <f t="shared" si="436"/>
        <v>0.84299999999999997</v>
      </c>
      <c r="U226" s="86">
        <v>1.53</v>
      </c>
      <c r="V226" s="86">
        <f t="shared" si="437"/>
        <v>1.53</v>
      </c>
      <c r="W226" s="86">
        <v>0.57099999999999995</v>
      </c>
      <c r="X226" s="86">
        <f t="shared" si="438"/>
        <v>0.57099999999999995</v>
      </c>
      <c r="Y226" s="86">
        <v>0.46700000000000003</v>
      </c>
      <c r="Z226" s="86">
        <f t="shared" si="439"/>
        <v>0.46700000000000003</v>
      </c>
      <c r="AA226" s="86">
        <f>O220</f>
        <v>161.5</v>
      </c>
      <c r="AB226" s="86">
        <f>O235</f>
        <v>505.36111111111126</v>
      </c>
    </row>
    <row r="227" spans="2:33" x14ac:dyDescent="0.35">
      <c r="B227" s="108">
        <v>3</v>
      </c>
      <c r="AA227" s="86">
        <f>Q220</f>
        <v>195</v>
      </c>
      <c r="AB227" s="86">
        <f>Q235</f>
        <v>519.23412698412699</v>
      </c>
    </row>
    <row r="228" spans="2:33" x14ac:dyDescent="0.35">
      <c r="B228" s="86" t="s">
        <v>297</v>
      </c>
      <c r="C228" s="86" t="e">
        <f t="shared" ref="C228" si="446">SLOPE(C221:C227,$B221:$B227)</f>
        <v>#DIV/0!</v>
      </c>
      <c r="D228" s="86" t="e">
        <f t="shared" ref="D228" si="447">SLOPE(D221:D227,$B221:$B227)</f>
        <v>#DIV/0!</v>
      </c>
      <c r="E228" s="86">
        <f t="shared" ref="E228:J228" si="448">SLOPE(E221:E227,$B221:$B227)</f>
        <v>8.1942857142857151E-2</v>
      </c>
      <c r="F228" s="86">
        <f t="shared" si="448"/>
        <v>9.0057142857142836E-2</v>
      </c>
      <c r="G228" s="86">
        <f t="shared" si="448"/>
        <v>0.19</v>
      </c>
      <c r="H228" s="86">
        <f t="shared" si="448"/>
        <v>0.19</v>
      </c>
      <c r="I228" s="86">
        <f t="shared" si="448"/>
        <v>0.14085714285714285</v>
      </c>
      <c r="J228" s="86">
        <f t="shared" si="448"/>
        <v>0.14085714285714285</v>
      </c>
      <c r="K228" s="86">
        <f t="shared" ref="K228" si="449">SLOPE(K221:K227,$B221:$B227)</f>
        <v>0.42765714285714285</v>
      </c>
      <c r="L228" s="86">
        <f t="shared" ref="L228:V228" si="450">SLOPE(L221:L227,$B221:$B227)</f>
        <v>0.42765714285714285</v>
      </c>
      <c r="M228" s="86">
        <f t="shared" si="450"/>
        <v>0.46154285714285714</v>
      </c>
      <c r="N228" s="86">
        <f t="shared" si="450"/>
        <v>0.46154285714285714</v>
      </c>
      <c r="O228" s="86">
        <f t="shared" si="450"/>
        <v>0.31640000000000007</v>
      </c>
      <c r="P228" s="86">
        <f t="shared" si="450"/>
        <v>0.31640000000000007</v>
      </c>
      <c r="Q228" s="86">
        <f t="shared" si="450"/>
        <v>0.32508571428571431</v>
      </c>
      <c r="R228" s="86">
        <f t="shared" si="450"/>
        <v>0.32508571428571431</v>
      </c>
      <c r="S228" s="86">
        <f t="shared" si="450"/>
        <v>0.29097142857142849</v>
      </c>
      <c r="T228" s="86">
        <f t="shared" si="450"/>
        <v>0.29097142857142849</v>
      </c>
      <c r="U228" s="86">
        <f t="shared" si="450"/>
        <v>0.49697142857142851</v>
      </c>
      <c r="V228" s="86">
        <f t="shared" si="450"/>
        <v>0.49697142857142851</v>
      </c>
      <c r="W228" s="86">
        <f>SLOPE(W221:W227,$B221:$B227)</f>
        <v>0.16982857142857141</v>
      </c>
      <c r="X228" s="86">
        <f>SLOPE(X221:X227,$B221:$B227)</f>
        <v>0.16982857142857141</v>
      </c>
      <c r="Y228" s="86">
        <f>SLOPE(Y221:Y227,$B221:$B227)</f>
        <v>9.8914285714285705E-2</v>
      </c>
      <c r="Z228" s="86">
        <f>SLOPE(Z221:Z227,$B221:$B227)</f>
        <v>9.8914285714285705E-2</v>
      </c>
      <c r="AA228" s="86">
        <f>S220</f>
        <v>219</v>
      </c>
      <c r="AB228" s="86">
        <f>S235</f>
        <v>464.74603174603163</v>
      </c>
    </row>
    <row r="229" spans="2:33" x14ac:dyDescent="0.35">
      <c r="B229" s="86" t="s">
        <v>298</v>
      </c>
      <c r="C229" s="202" t="e">
        <f t="shared" ref="C229:D229" si="451">RSQ(C221:C227,$B221:$B227)</f>
        <v>#DIV/0!</v>
      </c>
      <c r="D229" s="202" t="e">
        <f t="shared" si="451"/>
        <v>#DIV/0!</v>
      </c>
      <c r="E229" s="202">
        <f t="shared" ref="E229:V229" si="452">RSQ(E221:E227,$B221:$B227)</f>
        <v>0.9996318465681685</v>
      </c>
      <c r="F229" s="202">
        <f t="shared" si="452"/>
        <v>0.99834505230663662</v>
      </c>
      <c r="G229" s="202">
        <f t="shared" si="452"/>
        <v>0.99901261025114196</v>
      </c>
      <c r="H229" s="202">
        <f t="shared" si="452"/>
        <v>0.99901261025114196</v>
      </c>
      <c r="I229" s="202">
        <f t="shared" si="452"/>
        <v>0.99834819691398724</v>
      </c>
      <c r="J229" s="202">
        <f t="shared" si="452"/>
        <v>0.99834819691398724</v>
      </c>
      <c r="K229" s="202">
        <f t="shared" si="452"/>
        <v>0.99949099534286789</v>
      </c>
      <c r="L229" s="202">
        <f t="shared" si="452"/>
        <v>0.99949099534286789</v>
      </c>
      <c r="M229" s="202">
        <f t="shared" si="452"/>
        <v>0.99923830422773907</v>
      </c>
      <c r="N229" s="202">
        <f t="shared" si="452"/>
        <v>0.99923830422773907</v>
      </c>
      <c r="O229" s="202">
        <f t="shared" si="452"/>
        <v>0.99950676205338851</v>
      </c>
      <c r="P229" s="202">
        <f t="shared" si="452"/>
        <v>0.99950676205338851</v>
      </c>
      <c r="Q229" s="202">
        <f t="shared" si="452"/>
        <v>0.99937242637766899</v>
      </c>
      <c r="R229" s="202">
        <f t="shared" si="452"/>
        <v>0.99937242637766899</v>
      </c>
      <c r="S229" s="202">
        <f t="shared" si="452"/>
        <v>0.99996930109073701</v>
      </c>
      <c r="T229" s="202">
        <f t="shared" si="452"/>
        <v>0.99996930109073701</v>
      </c>
      <c r="U229" s="202">
        <f t="shared" si="452"/>
        <v>0.99959785857311378</v>
      </c>
      <c r="V229" s="202">
        <f t="shared" si="452"/>
        <v>0.99959785857311378</v>
      </c>
      <c r="W229" s="202">
        <f>RSQ(W221:W227,$B221:$B227)</f>
        <v>0.99984650458335489</v>
      </c>
      <c r="X229" s="202">
        <f>RSQ(X221:X227,$B221:$B227)</f>
        <v>0.99984650458335489</v>
      </c>
      <c r="Y229" s="202">
        <f>RSQ(Y221:Y227,$B221:$B227)</f>
        <v>0.99180524209853815</v>
      </c>
      <c r="Z229" s="202">
        <f>RSQ(Z221:Z227,$B221:$B227)</f>
        <v>0.99180524209853815</v>
      </c>
      <c r="AA229" s="226">
        <f>U220</f>
        <v>257.5</v>
      </c>
      <c r="AB229" s="226">
        <f>U235</f>
        <v>793.7738095238094</v>
      </c>
    </row>
    <row r="230" spans="2:33" x14ac:dyDescent="0.35">
      <c r="B230" s="86" t="s">
        <v>292</v>
      </c>
      <c r="C230" s="86">
        <v>36000</v>
      </c>
      <c r="D230" s="86">
        <v>36000</v>
      </c>
      <c r="E230" s="86">
        <v>36000</v>
      </c>
      <c r="F230" s="86">
        <v>36000</v>
      </c>
      <c r="G230" s="86">
        <v>36000</v>
      </c>
      <c r="H230" s="86">
        <v>36000</v>
      </c>
      <c r="I230" s="86">
        <v>36000</v>
      </c>
      <c r="J230" s="86">
        <v>36000</v>
      </c>
      <c r="K230" s="86">
        <v>36000</v>
      </c>
      <c r="L230" s="86">
        <v>36000</v>
      </c>
      <c r="M230" s="86">
        <v>36000</v>
      </c>
      <c r="N230" s="86">
        <v>36000</v>
      </c>
      <c r="O230" s="86">
        <v>36000</v>
      </c>
      <c r="P230" s="86">
        <v>36000</v>
      </c>
      <c r="Q230" s="86">
        <v>36000</v>
      </c>
      <c r="R230" s="86">
        <v>36000</v>
      </c>
      <c r="S230" s="86">
        <v>36000</v>
      </c>
      <c r="T230" s="86">
        <v>36000</v>
      </c>
      <c r="U230" s="86">
        <v>36000</v>
      </c>
      <c r="V230" s="86">
        <v>36000</v>
      </c>
      <c r="W230" s="86">
        <v>36000</v>
      </c>
      <c r="X230" s="86">
        <v>36000</v>
      </c>
      <c r="Y230" s="86">
        <v>36000</v>
      </c>
      <c r="Z230" s="86">
        <v>36000</v>
      </c>
      <c r="AA230" s="86">
        <f>W220</f>
        <v>330</v>
      </c>
      <c r="AB230" s="86">
        <f>W235</f>
        <v>542.50793650793651</v>
      </c>
    </row>
    <row r="231" spans="2:33" x14ac:dyDescent="0.35">
      <c r="B231" s="86" t="s">
        <v>296</v>
      </c>
      <c r="C231" s="86">
        <v>25</v>
      </c>
      <c r="D231" s="86">
        <v>25</v>
      </c>
      <c r="E231" s="86">
        <v>25</v>
      </c>
      <c r="F231" s="86">
        <v>25</v>
      </c>
      <c r="G231" s="86">
        <v>25</v>
      </c>
      <c r="H231" s="86">
        <v>25</v>
      </c>
      <c r="I231" s="86">
        <v>25</v>
      </c>
      <c r="J231" s="86">
        <v>25</v>
      </c>
      <c r="K231" s="86">
        <v>25</v>
      </c>
      <c r="L231" s="86">
        <v>25</v>
      </c>
      <c r="M231" s="86">
        <v>25</v>
      </c>
      <c r="N231" s="86">
        <v>25</v>
      </c>
      <c r="O231" s="86">
        <v>25</v>
      </c>
      <c r="P231" s="86">
        <v>25</v>
      </c>
      <c r="Q231" s="86">
        <v>25</v>
      </c>
      <c r="R231" s="86">
        <v>25</v>
      </c>
      <c r="S231" s="86">
        <v>25</v>
      </c>
      <c r="T231" s="86">
        <v>25</v>
      </c>
      <c r="U231" s="86">
        <v>25</v>
      </c>
      <c r="V231" s="86">
        <v>25</v>
      </c>
      <c r="W231" s="86">
        <v>25</v>
      </c>
      <c r="X231" s="86">
        <v>25</v>
      </c>
      <c r="Y231" s="86">
        <v>25</v>
      </c>
      <c r="Z231" s="86">
        <v>25</v>
      </c>
      <c r="AA231" s="86">
        <f>Y220</f>
        <v>379.5</v>
      </c>
      <c r="AB231" s="86">
        <f>Y235</f>
        <v>315.97619047619042</v>
      </c>
    </row>
    <row r="232" spans="2:33" x14ac:dyDescent="0.35">
      <c r="B232" s="86" t="s">
        <v>293</v>
      </c>
      <c r="C232" s="86">
        <v>2</v>
      </c>
      <c r="D232" s="86">
        <v>2</v>
      </c>
      <c r="E232" s="86">
        <v>10</v>
      </c>
      <c r="F232" s="86">
        <v>10</v>
      </c>
      <c r="G232" s="86">
        <v>10</v>
      </c>
      <c r="H232" s="86">
        <v>10</v>
      </c>
      <c r="I232" s="86">
        <v>40</v>
      </c>
      <c r="J232" s="86">
        <v>40</v>
      </c>
      <c r="K232" s="86">
        <v>40</v>
      </c>
      <c r="L232" s="86">
        <v>40</v>
      </c>
      <c r="M232" s="86">
        <v>50</v>
      </c>
      <c r="N232" s="86">
        <v>50</v>
      </c>
      <c r="O232" s="86">
        <v>100</v>
      </c>
      <c r="P232" s="86">
        <v>100</v>
      </c>
      <c r="Q232" s="86">
        <v>100</v>
      </c>
      <c r="R232" s="86">
        <v>100</v>
      </c>
      <c r="S232" s="86">
        <v>100</v>
      </c>
      <c r="T232" s="86">
        <v>100</v>
      </c>
      <c r="U232" s="86">
        <v>100</v>
      </c>
      <c r="V232" s="86">
        <v>100</v>
      </c>
      <c r="W232" s="86">
        <v>200</v>
      </c>
      <c r="X232" s="86">
        <v>200</v>
      </c>
      <c r="Y232" s="86">
        <v>200</v>
      </c>
      <c r="Z232" s="86">
        <v>200</v>
      </c>
    </row>
    <row r="233" spans="2:33" x14ac:dyDescent="0.35">
      <c r="B233" s="86" t="s">
        <v>294</v>
      </c>
      <c r="C233" s="86" t="e">
        <f t="shared" ref="C233:J233" si="453">(C228*C231*C232*10^6 / C230)/1000</f>
        <v>#DIV/0!</v>
      </c>
      <c r="D233" s="86" t="e">
        <f t="shared" si="453"/>
        <v>#DIV/0!</v>
      </c>
      <c r="E233" s="86">
        <f t="shared" si="453"/>
        <v>0.56904761904761902</v>
      </c>
      <c r="F233" s="86">
        <f t="shared" si="453"/>
        <v>0.62539682539682517</v>
      </c>
      <c r="G233" s="86">
        <f t="shared" si="453"/>
        <v>1.3194444444444444</v>
      </c>
      <c r="H233" s="86">
        <f t="shared" si="453"/>
        <v>1.3194444444444444</v>
      </c>
      <c r="I233" s="86">
        <f t="shared" si="453"/>
        <v>3.912698412698413</v>
      </c>
      <c r="J233" s="86">
        <f t="shared" si="453"/>
        <v>3.912698412698413</v>
      </c>
      <c r="K233" s="86">
        <f t="shared" ref="K233" si="454">(K228*K231*K232*10^6 / K230)/1000</f>
        <v>11.87936507936508</v>
      </c>
      <c r="L233" s="86">
        <f t="shared" ref="L233:V233" si="455">(L228*L231*L232*10^6 / L230)/1000</f>
        <v>11.87936507936508</v>
      </c>
      <c r="M233" s="86">
        <f t="shared" si="455"/>
        <v>16.025793650793652</v>
      </c>
      <c r="N233" s="86">
        <f t="shared" si="455"/>
        <v>16.025793650793652</v>
      </c>
      <c r="O233" s="86">
        <f t="shared" si="455"/>
        <v>21.972222222222229</v>
      </c>
      <c r="P233" s="86">
        <f t="shared" si="455"/>
        <v>21.972222222222229</v>
      </c>
      <c r="Q233" s="86">
        <f t="shared" si="455"/>
        <v>22.575396825396826</v>
      </c>
      <c r="R233" s="86">
        <f t="shared" si="455"/>
        <v>22.575396825396826</v>
      </c>
      <c r="S233" s="86">
        <f t="shared" si="455"/>
        <v>20.206349206349202</v>
      </c>
      <c r="T233" s="86">
        <f t="shared" si="455"/>
        <v>20.206349206349202</v>
      </c>
      <c r="U233" s="86">
        <f t="shared" si="455"/>
        <v>34.511904761904759</v>
      </c>
      <c r="V233" s="86">
        <f t="shared" si="455"/>
        <v>34.511904761904759</v>
      </c>
      <c r="W233" s="86">
        <f>(W228*W231*W232*10^6 / W230)/1000</f>
        <v>23.587301587301585</v>
      </c>
      <c r="X233" s="86">
        <f t="shared" ref="X233" si="456">(X228*X231*X232*10^6 / X230)/1000</f>
        <v>23.587301587301585</v>
      </c>
      <c r="Y233" s="86">
        <f>(Y228*Y231*Y232*10^6 / Y230)/1000</f>
        <v>13.738095238095235</v>
      </c>
      <c r="Z233" s="86">
        <f t="shared" ref="Z233" si="457">(Z228*Z231*Z232*10^6 / Z230)/1000</f>
        <v>13.738095238095235</v>
      </c>
    </row>
    <row r="234" spans="2:33" x14ac:dyDescent="0.35">
      <c r="B234" s="86" t="s">
        <v>295</v>
      </c>
      <c r="C234" s="86" t="e">
        <f t="shared" ref="C234:J234" si="458">C233*23</f>
        <v>#DIV/0!</v>
      </c>
      <c r="D234" s="86" t="e">
        <f t="shared" si="458"/>
        <v>#DIV/0!</v>
      </c>
      <c r="E234" s="86">
        <f t="shared" si="458"/>
        <v>13.088095238095237</v>
      </c>
      <c r="F234" s="86">
        <f t="shared" si="458"/>
        <v>14.384126984126979</v>
      </c>
      <c r="G234" s="86">
        <f t="shared" si="458"/>
        <v>30.347222222222221</v>
      </c>
      <c r="H234" s="86">
        <f t="shared" si="458"/>
        <v>30.347222222222221</v>
      </c>
      <c r="I234" s="86">
        <f t="shared" si="458"/>
        <v>89.992063492063494</v>
      </c>
      <c r="J234" s="86">
        <f t="shared" si="458"/>
        <v>89.992063492063494</v>
      </c>
      <c r="K234" s="86">
        <f t="shared" ref="K234" si="459">K233*23</f>
        <v>273.22539682539684</v>
      </c>
      <c r="L234" s="86">
        <f t="shared" ref="L234:V234" si="460">L233*23</f>
        <v>273.22539682539684</v>
      </c>
      <c r="M234" s="86">
        <f t="shared" si="460"/>
        <v>368.59325396825398</v>
      </c>
      <c r="N234" s="86">
        <f t="shared" si="460"/>
        <v>368.59325396825398</v>
      </c>
      <c r="O234" s="86">
        <f t="shared" si="460"/>
        <v>505.36111111111126</v>
      </c>
      <c r="P234" s="86">
        <f t="shared" si="460"/>
        <v>505.36111111111126</v>
      </c>
      <c r="Q234" s="86">
        <f t="shared" si="460"/>
        <v>519.23412698412699</v>
      </c>
      <c r="R234" s="86">
        <f t="shared" si="460"/>
        <v>519.23412698412699</v>
      </c>
      <c r="S234" s="86">
        <f t="shared" si="460"/>
        <v>464.74603174603163</v>
      </c>
      <c r="T234" s="86">
        <f t="shared" si="460"/>
        <v>464.74603174603163</v>
      </c>
      <c r="U234" s="86">
        <f t="shared" si="460"/>
        <v>793.7738095238094</v>
      </c>
      <c r="V234" s="86">
        <f t="shared" si="460"/>
        <v>793.7738095238094</v>
      </c>
      <c r="W234" s="86">
        <f>W233*23</f>
        <v>542.50793650793651</v>
      </c>
      <c r="X234" s="86">
        <f t="shared" ref="X234" si="461">X233*23</f>
        <v>542.50793650793651</v>
      </c>
      <c r="Y234" s="86">
        <f>Y233*23</f>
        <v>315.97619047619042</v>
      </c>
      <c r="Z234" s="86">
        <f t="shared" ref="Z234" si="462">Z233*23</f>
        <v>315.97619047619042</v>
      </c>
    </row>
    <row r="235" spans="2:33" s="108" customFormat="1" x14ac:dyDescent="0.35">
      <c r="B235" s="108" t="s">
        <v>299</v>
      </c>
      <c r="C235" s="330" t="e">
        <f>AVERAGE(C234:D234)</f>
        <v>#DIV/0!</v>
      </c>
      <c r="D235" s="330"/>
      <c r="E235" s="330">
        <f>AVERAGE(E234:F234)</f>
        <v>13.736111111111107</v>
      </c>
      <c r="F235" s="330"/>
      <c r="G235" s="330">
        <f>AVERAGE(G234:H234)</f>
        <v>30.347222222222221</v>
      </c>
      <c r="H235" s="330"/>
      <c r="I235" s="330">
        <f>AVERAGE(I234:J234)</f>
        <v>89.992063492063494</v>
      </c>
      <c r="J235" s="330"/>
      <c r="K235" s="330">
        <f>AVERAGE(K234:L234)</f>
        <v>273.22539682539684</v>
      </c>
      <c r="L235" s="330"/>
      <c r="M235" s="330">
        <f>AVERAGE(M234:N234)</f>
        <v>368.59325396825398</v>
      </c>
      <c r="N235" s="330"/>
      <c r="O235" s="330">
        <f>AVERAGE(O234:P234)</f>
        <v>505.36111111111126</v>
      </c>
      <c r="P235" s="330"/>
      <c r="Q235" s="330">
        <f>AVERAGE(Q234:R234)</f>
        <v>519.23412698412699</v>
      </c>
      <c r="R235" s="330"/>
      <c r="S235" s="330">
        <f>AVERAGE(S234:T234)</f>
        <v>464.74603174603163</v>
      </c>
      <c r="T235" s="330"/>
      <c r="U235" s="330">
        <f>AVERAGE(U234:V234)</f>
        <v>793.7738095238094</v>
      </c>
      <c r="V235" s="330"/>
      <c r="W235" s="330">
        <f>AVERAGE(W234:X234)</f>
        <v>542.50793650793651</v>
      </c>
      <c r="X235" s="330"/>
      <c r="Y235" s="330">
        <f>AVERAGE(Y234:Z234)</f>
        <v>315.97619047619042</v>
      </c>
      <c r="Z235" s="330"/>
    </row>
    <row r="236" spans="2:33" ht="15" thickBot="1" x14ac:dyDescent="0.4">
      <c r="AE236" s="86" t="s">
        <v>414</v>
      </c>
      <c r="AF236" s="86" t="s">
        <v>415</v>
      </c>
      <c r="AG236" s="86" t="s">
        <v>416</v>
      </c>
    </row>
    <row r="237" spans="2:33" ht="15" thickBot="1" x14ac:dyDescent="0.4">
      <c r="B237" s="338" t="s">
        <v>312</v>
      </c>
      <c r="C237" s="339"/>
      <c r="D237" s="339"/>
      <c r="E237" s="339"/>
      <c r="F237" s="339"/>
      <c r="G237" s="339"/>
      <c r="H237" s="339"/>
      <c r="I237" s="339"/>
      <c r="J237" s="340"/>
      <c r="AA237" s="86" t="s">
        <v>404</v>
      </c>
      <c r="AB237" s="86" t="s">
        <v>405</v>
      </c>
      <c r="AC237" s="86" t="s">
        <v>413</v>
      </c>
      <c r="AE237" s="86">
        <v>1</v>
      </c>
      <c r="AF237" s="86">
        <v>1</v>
      </c>
      <c r="AG237" s="86">
        <v>1</v>
      </c>
    </row>
    <row r="238" spans="2:33" x14ac:dyDescent="0.35">
      <c r="B238" s="87" t="s">
        <v>290</v>
      </c>
      <c r="C238" s="108">
        <v>0</v>
      </c>
      <c r="D238" s="108">
        <v>0</v>
      </c>
      <c r="E238" s="108">
        <v>22</v>
      </c>
      <c r="F238" s="108">
        <v>22</v>
      </c>
      <c r="G238" s="108">
        <v>44</v>
      </c>
      <c r="H238" s="108">
        <v>44</v>
      </c>
      <c r="I238" s="108">
        <v>68</v>
      </c>
      <c r="J238" s="108">
        <v>68</v>
      </c>
      <c r="K238" s="108">
        <f>J238+24.5</f>
        <v>92.5</v>
      </c>
      <c r="L238" s="108">
        <f>K238</f>
        <v>92.5</v>
      </c>
      <c r="M238" s="108">
        <f>L238+24</f>
        <v>116.5</v>
      </c>
      <c r="N238" s="108">
        <f>M238</f>
        <v>116.5</v>
      </c>
      <c r="O238" s="108">
        <v>140</v>
      </c>
      <c r="P238" s="108">
        <v>140</v>
      </c>
      <c r="Q238" s="108">
        <f>P238+82</f>
        <v>222</v>
      </c>
      <c r="R238" s="108">
        <f>Q238</f>
        <v>222</v>
      </c>
      <c r="S238" s="108">
        <f>R238+24</f>
        <v>246</v>
      </c>
      <c r="T238" s="108">
        <f>S238</f>
        <v>246</v>
      </c>
      <c r="U238" s="108">
        <f>T238+38.5</f>
        <v>284.5</v>
      </c>
      <c r="V238" s="108">
        <f>U238</f>
        <v>284.5</v>
      </c>
      <c r="W238" s="108">
        <f>V238+72.5</f>
        <v>357</v>
      </c>
      <c r="X238" s="108">
        <f>W238</f>
        <v>357</v>
      </c>
      <c r="Y238" s="108">
        <f>X238+49.5</f>
        <v>406.5</v>
      </c>
      <c r="Z238" s="108">
        <f>Y238</f>
        <v>406.5</v>
      </c>
      <c r="AA238" s="86">
        <v>0</v>
      </c>
      <c r="AB238" s="86">
        <f>C253</f>
        <v>1.6962500000000003</v>
      </c>
    </row>
    <row r="239" spans="2:33" x14ac:dyDescent="0.35">
      <c r="B239" s="108">
        <v>0</v>
      </c>
      <c r="C239" s="86">
        <v>0</v>
      </c>
      <c r="D239" s="86">
        <v>1.0999999999999999E-2</v>
      </c>
      <c r="E239" s="86">
        <v>8.6999999999999994E-2</v>
      </c>
      <c r="F239" s="86">
        <v>8.6999999999999994E-2</v>
      </c>
      <c r="G239" s="86">
        <v>0.16500000000000001</v>
      </c>
      <c r="H239" s="86">
        <v>0.18099999999999999</v>
      </c>
      <c r="I239" s="86">
        <v>0.17</v>
      </c>
      <c r="J239" s="86">
        <v>0.183</v>
      </c>
      <c r="K239" s="86">
        <v>0.183</v>
      </c>
      <c r="L239" s="86">
        <f>K239</f>
        <v>0.183</v>
      </c>
      <c r="M239" s="86">
        <v>5.8999999999999997E-2</v>
      </c>
      <c r="N239" s="86">
        <f t="shared" ref="N239:P245" si="463">M239</f>
        <v>5.8999999999999997E-2</v>
      </c>
      <c r="O239" s="86">
        <v>0.17399999999999999</v>
      </c>
      <c r="P239" s="86">
        <f t="shared" si="463"/>
        <v>0.17399999999999999</v>
      </c>
      <c r="Q239" s="86">
        <v>0.19900000000000001</v>
      </c>
      <c r="R239" s="86">
        <f t="shared" ref="R239:R244" si="464">Q239</f>
        <v>0.19900000000000001</v>
      </c>
      <c r="S239" s="86">
        <v>0.18</v>
      </c>
      <c r="T239" s="86">
        <f t="shared" ref="T239:T244" si="465">S239</f>
        <v>0.18</v>
      </c>
      <c r="U239" s="86">
        <v>0.29299999999999998</v>
      </c>
      <c r="V239" s="86">
        <f t="shared" ref="V239:V244" si="466">U239</f>
        <v>0.29299999999999998</v>
      </c>
      <c r="W239" s="86">
        <v>0.157</v>
      </c>
      <c r="X239" s="86">
        <f t="shared" ref="X239:X244" si="467">W239</f>
        <v>0.157</v>
      </c>
      <c r="Y239" s="86">
        <v>0.252</v>
      </c>
      <c r="Z239" s="86">
        <f t="shared" ref="Z239:Z244" si="468">Y239</f>
        <v>0.252</v>
      </c>
      <c r="AA239" s="86">
        <v>22</v>
      </c>
      <c r="AB239" s="86">
        <f>E253</f>
        <v>16.446825396825396</v>
      </c>
    </row>
    <row r="240" spans="2:33" x14ac:dyDescent="0.35">
      <c r="B240" s="108">
        <v>0.5</v>
      </c>
      <c r="C240" s="86">
        <v>2.1999999999999999E-2</v>
      </c>
      <c r="D240" s="86">
        <v>0.04</v>
      </c>
      <c r="E240" s="86">
        <v>0.14199999999999999</v>
      </c>
      <c r="F240" s="86">
        <v>0.14199999999999999</v>
      </c>
      <c r="G240" s="86">
        <v>0.29099999999999998</v>
      </c>
      <c r="H240" s="86">
        <v>0.313</v>
      </c>
      <c r="I240" s="86">
        <v>0.307</v>
      </c>
      <c r="J240" s="86">
        <v>0.33400000000000002</v>
      </c>
      <c r="K240" s="86">
        <v>0.36899999999999999</v>
      </c>
      <c r="L240" s="86">
        <f t="shared" ref="L240:L244" si="469">K240</f>
        <v>0.36899999999999999</v>
      </c>
      <c r="M240" s="86">
        <v>0.34100000000000003</v>
      </c>
      <c r="N240" s="86">
        <f t="shared" si="463"/>
        <v>0.34100000000000003</v>
      </c>
      <c r="O240" s="86">
        <v>0.38100000000000001</v>
      </c>
      <c r="P240" s="86">
        <f t="shared" si="463"/>
        <v>0.38100000000000001</v>
      </c>
      <c r="Q240" s="86">
        <v>0.40500000000000003</v>
      </c>
      <c r="R240" s="86">
        <f t="shared" si="464"/>
        <v>0.40500000000000003</v>
      </c>
      <c r="S240" s="86">
        <v>0.41399999999999998</v>
      </c>
      <c r="T240" s="86">
        <f t="shared" si="465"/>
        <v>0.41399999999999998</v>
      </c>
      <c r="U240" s="86">
        <v>0.56200000000000006</v>
      </c>
      <c r="V240" s="86">
        <f t="shared" si="466"/>
        <v>0.56200000000000006</v>
      </c>
      <c r="W240" s="86">
        <v>0.26</v>
      </c>
      <c r="X240" s="86">
        <f t="shared" si="467"/>
        <v>0.26</v>
      </c>
      <c r="Y240" s="86">
        <v>0.30099999999999999</v>
      </c>
      <c r="Z240" s="86">
        <f t="shared" si="468"/>
        <v>0.30099999999999999</v>
      </c>
      <c r="AA240" s="86">
        <v>44</v>
      </c>
      <c r="AB240" s="86">
        <f>G253</f>
        <v>39.583730158730155</v>
      </c>
    </row>
    <row r="241" spans="2:29" x14ac:dyDescent="0.35">
      <c r="B241" s="108">
        <v>1</v>
      </c>
      <c r="C241" s="86">
        <v>4.7E-2</v>
      </c>
      <c r="D241" s="86">
        <v>6.7000000000000004E-2</v>
      </c>
      <c r="E241" s="86">
        <v>0.193</v>
      </c>
      <c r="F241" s="86">
        <v>0.19400000000000001</v>
      </c>
      <c r="G241" s="86">
        <v>0.41299999999999998</v>
      </c>
      <c r="H241" s="86">
        <v>0.44</v>
      </c>
      <c r="I241" s="86">
        <v>0.436</v>
      </c>
      <c r="J241" s="86">
        <v>0.47799999999999998</v>
      </c>
      <c r="K241" s="86">
        <v>0.53700000000000003</v>
      </c>
      <c r="L241" s="86">
        <f t="shared" si="469"/>
        <v>0.53700000000000003</v>
      </c>
      <c r="M241" s="86">
        <v>0.59699999999999998</v>
      </c>
      <c r="N241" s="86">
        <f t="shared" si="463"/>
        <v>0.59699999999999998</v>
      </c>
      <c r="O241" s="86">
        <v>0.55300000000000005</v>
      </c>
      <c r="P241" s="86">
        <f t="shared" si="463"/>
        <v>0.55300000000000005</v>
      </c>
      <c r="Q241" s="86">
        <v>0.59699999999999998</v>
      </c>
      <c r="R241" s="86">
        <f t="shared" si="464"/>
        <v>0.59699999999999998</v>
      </c>
      <c r="S241" s="86">
        <v>0.61799999999999999</v>
      </c>
      <c r="T241" s="86">
        <f t="shared" si="465"/>
        <v>0.61799999999999999</v>
      </c>
      <c r="U241" s="86">
        <v>0.81799999999999995</v>
      </c>
      <c r="V241" s="86">
        <f t="shared" si="466"/>
        <v>0.81799999999999995</v>
      </c>
      <c r="W241" s="86">
        <v>0.35799999999999998</v>
      </c>
      <c r="X241" s="86">
        <f t="shared" si="467"/>
        <v>0.35799999999999998</v>
      </c>
      <c r="Y241" s="86">
        <v>0.36399999999999999</v>
      </c>
      <c r="Z241" s="86">
        <f t="shared" si="468"/>
        <v>0.36399999999999999</v>
      </c>
      <c r="AA241" s="86">
        <v>68</v>
      </c>
      <c r="AB241" s="86">
        <f>I253</f>
        <v>85.373809523809541</v>
      </c>
    </row>
    <row r="242" spans="2:29" x14ac:dyDescent="0.35">
      <c r="B242" s="108">
        <v>1.5</v>
      </c>
      <c r="C242" s="86">
        <v>7.1999999999999995E-2</v>
      </c>
      <c r="D242" s="86">
        <v>9.5000000000000001E-2</v>
      </c>
      <c r="E242" s="86">
        <v>0.245</v>
      </c>
      <c r="F242" s="86">
        <v>0.246</v>
      </c>
      <c r="G242" s="86">
        <v>0.53200000000000003</v>
      </c>
      <c r="H242" s="86">
        <v>0.56699999999999995</v>
      </c>
      <c r="I242" s="86">
        <v>0.56100000000000005</v>
      </c>
      <c r="J242" s="86">
        <v>0.61499999999999999</v>
      </c>
      <c r="K242" s="86">
        <v>0.69899999999999995</v>
      </c>
      <c r="L242" s="86">
        <f t="shared" si="469"/>
        <v>0.69899999999999995</v>
      </c>
      <c r="M242" s="86">
        <v>0.85299999999999998</v>
      </c>
      <c r="N242" s="86">
        <f t="shared" si="463"/>
        <v>0.85299999999999998</v>
      </c>
      <c r="O242" s="86">
        <v>0.72099999999999997</v>
      </c>
      <c r="P242" s="86">
        <f t="shared" si="463"/>
        <v>0.72099999999999997</v>
      </c>
      <c r="Q242" s="86">
        <v>0.78900000000000003</v>
      </c>
      <c r="R242" s="86">
        <f t="shared" si="464"/>
        <v>0.78900000000000003</v>
      </c>
      <c r="S242" s="86">
        <v>0.82499999999999996</v>
      </c>
      <c r="T242" s="86">
        <f t="shared" si="465"/>
        <v>0.82499999999999996</v>
      </c>
      <c r="U242" s="86">
        <v>1.0629999999999999</v>
      </c>
      <c r="V242" s="86">
        <f t="shared" si="466"/>
        <v>1.0629999999999999</v>
      </c>
      <c r="W242" s="86">
        <v>0.45500000000000002</v>
      </c>
      <c r="X242" s="86">
        <f t="shared" si="467"/>
        <v>0.45500000000000002</v>
      </c>
      <c r="Y242" s="86">
        <v>0.44700000000000001</v>
      </c>
      <c r="Z242" s="86">
        <f t="shared" si="468"/>
        <v>0.44700000000000001</v>
      </c>
      <c r="AA242" s="86">
        <v>92.5</v>
      </c>
      <c r="AB242" s="86">
        <f>K253</f>
        <v>214.63015873015874</v>
      </c>
    </row>
    <row r="243" spans="2:29" x14ac:dyDescent="0.35">
      <c r="B243" s="108">
        <v>2</v>
      </c>
      <c r="C243" s="86">
        <v>0.1</v>
      </c>
      <c r="D243" s="86">
        <v>0.124</v>
      </c>
      <c r="E243" s="86">
        <v>0.29399999999999998</v>
      </c>
      <c r="F243" s="86">
        <v>0.29499999999999998</v>
      </c>
      <c r="G243" s="86">
        <v>0.65</v>
      </c>
      <c r="H243" s="86">
        <v>0.69499999999999995</v>
      </c>
      <c r="I243" s="86">
        <v>0.68500000000000005</v>
      </c>
      <c r="J243" s="86">
        <v>0.75</v>
      </c>
      <c r="K243" s="86">
        <v>0.86299999999999999</v>
      </c>
      <c r="L243" s="86">
        <f t="shared" si="469"/>
        <v>0.86299999999999999</v>
      </c>
      <c r="M243" s="86">
        <v>1.091</v>
      </c>
      <c r="N243" s="86">
        <f t="shared" si="463"/>
        <v>1.091</v>
      </c>
      <c r="O243" s="86">
        <v>0.88700000000000001</v>
      </c>
      <c r="P243" s="86">
        <f t="shared" si="463"/>
        <v>0.88700000000000001</v>
      </c>
      <c r="Q243" s="86">
        <v>0.97899999999999998</v>
      </c>
      <c r="R243" s="86">
        <f t="shared" si="464"/>
        <v>0.97899999999999998</v>
      </c>
      <c r="S243" s="86">
        <v>1.0209999999999999</v>
      </c>
      <c r="T243" s="86">
        <f t="shared" si="465"/>
        <v>1.0209999999999999</v>
      </c>
      <c r="U243" s="86">
        <v>1.3049999999999999</v>
      </c>
      <c r="V243" s="86">
        <f t="shared" si="466"/>
        <v>1.3049999999999999</v>
      </c>
      <c r="W243" s="86">
        <v>0.55100000000000005</v>
      </c>
      <c r="X243" s="86">
        <f t="shared" si="467"/>
        <v>0.55100000000000005</v>
      </c>
      <c r="Y243" s="86">
        <v>0.52</v>
      </c>
      <c r="Z243" s="86">
        <f t="shared" si="468"/>
        <v>0.52</v>
      </c>
      <c r="AA243" s="86">
        <v>116.5</v>
      </c>
      <c r="AB243" s="86">
        <f>M253</f>
        <v>320.5761904761905</v>
      </c>
    </row>
    <row r="244" spans="2:29" x14ac:dyDescent="0.35">
      <c r="B244" s="108">
        <v>2.5</v>
      </c>
      <c r="E244" s="86">
        <v>0.34499999999999997</v>
      </c>
      <c r="F244" s="86">
        <v>0.34599999999999997</v>
      </c>
      <c r="G244" s="86">
        <v>0.76700000000000002</v>
      </c>
      <c r="H244" s="86">
        <v>0.82</v>
      </c>
      <c r="I244" s="86">
        <v>0.80900000000000005</v>
      </c>
      <c r="J244" s="86">
        <v>0.88600000000000001</v>
      </c>
      <c r="K244" s="86">
        <v>1.03</v>
      </c>
      <c r="L244" s="86">
        <f t="shared" si="469"/>
        <v>1.03</v>
      </c>
      <c r="M244" s="86">
        <v>1.3140000000000001</v>
      </c>
      <c r="N244" s="86">
        <f t="shared" si="463"/>
        <v>1.3140000000000001</v>
      </c>
      <c r="O244" s="86">
        <v>1.0489999999999999</v>
      </c>
      <c r="P244" s="86">
        <f t="shared" si="463"/>
        <v>1.0489999999999999</v>
      </c>
      <c r="Q244" s="86">
        <v>1.163</v>
      </c>
      <c r="R244" s="86">
        <f t="shared" si="464"/>
        <v>1.163</v>
      </c>
      <c r="S244" s="86">
        <v>1.2230000000000001</v>
      </c>
      <c r="T244" s="86">
        <f t="shared" si="465"/>
        <v>1.2230000000000001</v>
      </c>
      <c r="U244" s="86">
        <v>1.544</v>
      </c>
      <c r="V244" s="86">
        <f t="shared" si="466"/>
        <v>1.544</v>
      </c>
      <c r="W244" s="86">
        <v>0.64700000000000002</v>
      </c>
      <c r="X244" s="86">
        <f t="shared" si="467"/>
        <v>0.64700000000000002</v>
      </c>
      <c r="Y244" s="86">
        <v>0.58699999999999997</v>
      </c>
      <c r="Z244" s="86">
        <f t="shared" si="468"/>
        <v>0.58699999999999997</v>
      </c>
      <c r="AA244" s="86">
        <v>140</v>
      </c>
      <c r="AB244" s="86">
        <f>O253</f>
        <v>272.38343253968259</v>
      </c>
      <c r="AC244" s="86">
        <f>SUM(AC238:AC243)</f>
        <v>0</v>
      </c>
    </row>
    <row r="245" spans="2:29" x14ac:dyDescent="0.35">
      <c r="B245" s="108">
        <v>3</v>
      </c>
      <c r="O245" s="86">
        <v>1.2090000000000001</v>
      </c>
      <c r="P245" s="86">
        <f t="shared" si="463"/>
        <v>1.2090000000000001</v>
      </c>
      <c r="AA245" s="86">
        <f>Q238</f>
        <v>222</v>
      </c>
      <c r="AB245" s="86">
        <f>Q253</f>
        <v>614.61111111111097</v>
      </c>
    </row>
    <row r="246" spans="2:29" x14ac:dyDescent="0.35">
      <c r="B246" s="86" t="s">
        <v>297</v>
      </c>
      <c r="C246" s="86">
        <f t="shared" ref="C246" si="470">SLOPE(C239:C245,$B239:$B245)</f>
        <v>0.05</v>
      </c>
      <c r="D246" s="86">
        <f t="shared" ref="D246" si="471">SLOPE(D239:D245,$B239:$B245)</f>
        <v>5.6200000000000007E-2</v>
      </c>
      <c r="E246" s="86">
        <f t="shared" ref="E246:N246" si="472">SLOPE(E239:E245,$B239:$B245)</f>
        <v>0.10274285714285715</v>
      </c>
      <c r="F246" s="86">
        <f t="shared" si="472"/>
        <v>0.10319999999999997</v>
      </c>
      <c r="G246" s="86">
        <f t="shared" si="472"/>
        <v>0.24034285714285711</v>
      </c>
      <c r="H246" s="86">
        <f t="shared" si="472"/>
        <v>0.25531428571428566</v>
      </c>
      <c r="I246" s="86">
        <f t="shared" si="472"/>
        <v>0.25451428571428575</v>
      </c>
      <c r="J246" s="86">
        <f t="shared" si="472"/>
        <v>0.28000000000000003</v>
      </c>
      <c r="K246" s="86">
        <f t="shared" si="472"/>
        <v>0.3359428571428571</v>
      </c>
      <c r="L246" s="86">
        <f t="shared" si="472"/>
        <v>0.3359428571428571</v>
      </c>
      <c r="M246" s="86">
        <f t="shared" si="472"/>
        <v>0.50177142857142865</v>
      </c>
      <c r="N246" s="86">
        <f t="shared" si="472"/>
        <v>0.50177142857142865</v>
      </c>
      <c r="O246" s="86">
        <f t="shared" ref="O246" si="473">SLOPE(O239:O245,$B239:$B245)</f>
        <v>0.34107142857142858</v>
      </c>
      <c r="P246" s="86">
        <f t="shared" ref="P246:V246" si="474">SLOPE(P239:P245,$B239:$B245)</f>
        <v>0.34107142857142858</v>
      </c>
      <c r="Q246" s="86">
        <f t="shared" si="474"/>
        <v>0.38479999999999998</v>
      </c>
      <c r="R246" s="86">
        <f t="shared" si="474"/>
        <v>0.38479999999999998</v>
      </c>
      <c r="S246" s="86">
        <f t="shared" si="474"/>
        <v>0.4138857142857143</v>
      </c>
      <c r="T246" s="86">
        <f t="shared" si="474"/>
        <v>0.4138857142857143</v>
      </c>
      <c r="U246" s="86">
        <f t="shared" si="474"/>
        <v>0.49880000000000008</v>
      </c>
      <c r="V246" s="86">
        <f t="shared" si="474"/>
        <v>0.49880000000000008</v>
      </c>
      <c r="W246" s="86">
        <f>SLOPE(W239:W245,$B239:$B245)</f>
        <v>0.19542857142857142</v>
      </c>
      <c r="X246" s="86">
        <f>SLOPE(X239:X245,$B239:$B245)</f>
        <v>0.19542857142857142</v>
      </c>
      <c r="Y246" s="86">
        <f>SLOPE(Y239:Y245,$B239:$B245)</f>
        <v>0.13800000000000001</v>
      </c>
      <c r="Z246" s="86">
        <f>SLOPE(Z239:Z245,$B239:$B245)</f>
        <v>0.13800000000000001</v>
      </c>
      <c r="AA246" s="86">
        <f>S238</f>
        <v>246</v>
      </c>
      <c r="AB246" s="86">
        <f>S253</f>
        <v>661.06746031746025</v>
      </c>
    </row>
    <row r="247" spans="2:29" x14ac:dyDescent="0.35">
      <c r="B247" s="86" t="s">
        <v>298</v>
      </c>
      <c r="C247" s="202">
        <f t="shared" ref="C247:D247" si="475">RSQ(C239:C245,$B239:$B245)</f>
        <v>0.99827498083312038</v>
      </c>
      <c r="D247" s="202">
        <f t="shared" si="475"/>
        <v>0.99986071012510735</v>
      </c>
      <c r="E247" s="202">
        <f t="shared" ref="E247:N247" si="476">RSQ(E239:E245,$B239:$B245)</f>
        <v>0.99973116229015124</v>
      </c>
      <c r="F247" s="202">
        <f t="shared" si="476"/>
        <v>0.99968818834568118</v>
      </c>
      <c r="G247" s="202">
        <f t="shared" si="476"/>
        <v>0.99981477413635045</v>
      </c>
      <c r="H247" s="202">
        <f t="shared" si="476"/>
        <v>0.99994643717019938</v>
      </c>
      <c r="I247" s="202">
        <f t="shared" si="476"/>
        <v>0.99964841015277006</v>
      </c>
      <c r="J247" s="202">
        <f t="shared" si="476"/>
        <v>0.99952209439218609</v>
      </c>
      <c r="K247" s="202">
        <f t="shared" si="476"/>
        <v>0.99950710944879906</v>
      </c>
      <c r="L247" s="202">
        <f t="shared" si="476"/>
        <v>0.99950710944879906</v>
      </c>
      <c r="M247" s="202">
        <f t="shared" si="476"/>
        <v>0.99851416348453592</v>
      </c>
      <c r="N247" s="202">
        <f t="shared" si="476"/>
        <v>0.99851416348453592</v>
      </c>
      <c r="O247" s="202">
        <f t="shared" ref="O247:V247" si="477">RSQ(O239:O245,$B239:$B245)</f>
        <v>0.99847014918837085</v>
      </c>
      <c r="P247" s="202">
        <f t="shared" si="477"/>
        <v>0.99847014918837085</v>
      </c>
      <c r="Q247" s="202">
        <f t="shared" si="477"/>
        <v>0.99971522428659476</v>
      </c>
      <c r="R247" s="202">
        <f t="shared" si="477"/>
        <v>0.99971522428659476</v>
      </c>
      <c r="S247" s="202">
        <f t="shared" si="477"/>
        <v>0.99922943161343669</v>
      </c>
      <c r="T247" s="202">
        <f t="shared" si="477"/>
        <v>0.99922943161343669</v>
      </c>
      <c r="U247" s="202">
        <f t="shared" si="477"/>
        <v>0.99950733495789967</v>
      </c>
      <c r="V247" s="202">
        <f t="shared" si="477"/>
        <v>0.99950733495789967</v>
      </c>
      <c r="W247" s="202">
        <f>RSQ(W239:W245,$B239:$B245)</f>
        <v>0.99984499057405873</v>
      </c>
      <c r="X247" s="202">
        <f>RSQ(X239:X245,$B239:$B245)</f>
        <v>0.99984499057405873</v>
      </c>
      <c r="Y247" s="202">
        <f>RSQ(Y239:Y245,$B239:$B245)</f>
        <v>0.99496848335997046</v>
      </c>
      <c r="Z247" s="202">
        <f>RSQ(Z239:Z245,$B239:$B245)</f>
        <v>0.99496848335997046</v>
      </c>
      <c r="AA247" s="226">
        <f>U238</f>
        <v>284.5</v>
      </c>
      <c r="AB247" s="226">
        <f>U253</f>
        <v>796.69444444444468</v>
      </c>
    </row>
    <row r="248" spans="2:29" x14ac:dyDescent="0.35">
      <c r="B248" s="86" t="s">
        <v>292</v>
      </c>
      <c r="C248" s="86">
        <v>36000</v>
      </c>
      <c r="D248" s="86">
        <v>36000</v>
      </c>
      <c r="E248" s="86">
        <v>36000</v>
      </c>
      <c r="F248" s="86">
        <v>36000</v>
      </c>
      <c r="G248" s="86">
        <v>36000</v>
      </c>
      <c r="H248" s="86">
        <v>36000</v>
      </c>
      <c r="I248" s="86">
        <v>36000</v>
      </c>
      <c r="J248" s="86">
        <v>36000</v>
      </c>
      <c r="K248" s="86">
        <v>36000</v>
      </c>
      <c r="L248" s="86">
        <v>36000</v>
      </c>
      <c r="M248" s="86">
        <v>36000</v>
      </c>
      <c r="N248" s="86">
        <v>36000</v>
      </c>
      <c r="O248" s="86">
        <v>36000</v>
      </c>
      <c r="P248" s="86">
        <v>36000</v>
      </c>
      <c r="Q248" s="86">
        <v>36000</v>
      </c>
      <c r="R248" s="86">
        <v>36000</v>
      </c>
      <c r="S248" s="86">
        <v>36000</v>
      </c>
      <c r="T248" s="86">
        <v>36000</v>
      </c>
      <c r="U248" s="86">
        <v>36000</v>
      </c>
      <c r="V248" s="86">
        <v>36000</v>
      </c>
      <c r="W248" s="86">
        <v>36000</v>
      </c>
      <c r="X248" s="86">
        <v>36000</v>
      </c>
      <c r="Y248" s="86">
        <v>36000</v>
      </c>
      <c r="Z248" s="86">
        <v>36000</v>
      </c>
      <c r="AA248" s="86">
        <f>W238</f>
        <v>357</v>
      </c>
      <c r="AB248" s="86">
        <f>W253</f>
        <v>624.28571428571422</v>
      </c>
    </row>
    <row r="249" spans="2:29" x14ac:dyDescent="0.35">
      <c r="B249" s="86" t="s">
        <v>296</v>
      </c>
      <c r="C249" s="86">
        <v>25</v>
      </c>
      <c r="D249" s="86">
        <v>25</v>
      </c>
      <c r="E249" s="86">
        <v>25</v>
      </c>
      <c r="F249" s="86">
        <v>25</v>
      </c>
      <c r="G249" s="86">
        <v>25</v>
      </c>
      <c r="H249" s="86">
        <v>25</v>
      </c>
      <c r="I249" s="86">
        <v>25</v>
      </c>
      <c r="J249" s="86">
        <v>25</v>
      </c>
      <c r="K249" s="86">
        <v>25</v>
      </c>
      <c r="L249" s="86">
        <v>25</v>
      </c>
      <c r="M249" s="86">
        <v>25</v>
      </c>
      <c r="N249" s="86">
        <v>25</v>
      </c>
      <c r="O249" s="86">
        <v>25</v>
      </c>
      <c r="P249" s="86">
        <v>25</v>
      </c>
      <c r="Q249" s="86">
        <v>25</v>
      </c>
      <c r="R249" s="86">
        <v>25</v>
      </c>
      <c r="S249" s="86">
        <v>25</v>
      </c>
      <c r="T249" s="86">
        <v>25</v>
      </c>
      <c r="U249" s="86">
        <v>25</v>
      </c>
      <c r="V249" s="86">
        <v>25</v>
      </c>
      <c r="W249" s="86">
        <v>25</v>
      </c>
      <c r="X249" s="86">
        <v>25</v>
      </c>
      <c r="Y249" s="86">
        <v>25</v>
      </c>
      <c r="Z249" s="86">
        <v>25</v>
      </c>
      <c r="AA249" s="86">
        <f>Y238</f>
        <v>406.5</v>
      </c>
      <c r="AB249" s="86">
        <f>Y253</f>
        <v>440.83333333333337</v>
      </c>
    </row>
    <row r="250" spans="2:29" x14ac:dyDescent="0.35">
      <c r="B250" s="86" t="s">
        <v>293</v>
      </c>
      <c r="C250" s="86">
        <v>2</v>
      </c>
      <c r="D250" s="86">
        <v>2</v>
      </c>
      <c r="E250" s="86">
        <v>10</v>
      </c>
      <c r="F250" s="86">
        <v>10</v>
      </c>
      <c r="G250" s="86">
        <v>10</v>
      </c>
      <c r="H250" s="86">
        <v>10</v>
      </c>
      <c r="I250" s="86">
        <v>20</v>
      </c>
      <c r="J250" s="86">
        <v>20</v>
      </c>
      <c r="K250" s="86">
        <v>40</v>
      </c>
      <c r="L250" s="86">
        <v>40</v>
      </c>
      <c r="M250" s="86">
        <v>40</v>
      </c>
      <c r="N250" s="86">
        <v>40</v>
      </c>
      <c r="O250" s="86">
        <v>50</v>
      </c>
      <c r="P250" s="86">
        <v>50</v>
      </c>
      <c r="Q250" s="86">
        <v>100</v>
      </c>
      <c r="R250" s="86">
        <v>100</v>
      </c>
      <c r="S250" s="86">
        <v>100</v>
      </c>
      <c r="T250" s="86">
        <v>100</v>
      </c>
      <c r="U250" s="86">
        <v>100</v>
      </c>
      <c r="V250" s="86">
        <v>100</v>
      </c>
      <c r="W250" s="86">
        <v>200</v>
      </c>
      <c r="X250" s="86">
        <v>200</v>
      </c>
      <c r="Y250" s="86">
        <v>200</v>
      </c>
      <c r="Z250" s="86">
        <v>200</v>
      </c>
    </row>
    <row r="251" spans="2:29" x14ac:dyDescent="0.35">
      <c r="B251" s="86" t="s">
        <v>294</v>
      </c>
      <c r="C251" s="86">
        <f t="shared" ref="C251:N251" si="478">(C246*C249*C250*10^6 / C248)/1000</f>
        <v>6.9444444444444448E-2</v>
      </c>
      <c r="D251" s="86">
        <f t="shared" si="478"/>
        <v>7.8055555555555572E-2</v>
      </c>
      <c r="E251" s="86">
        <f t="shared" si="478"/>
        <v>0.71349206349206362</v>
      </c>
      <c r="F251" s="86">
        <f t="shared" si="478"/>
        <v>0.71666666666666645</v>
      </c>
      <c r="G251" s="86">
        <f t="shared" si="478"/>
        <v>1.6690476190476191</v>
      </c>
      <c r="H251" s="86">
        <f t="shared" si="478"/>
        <v>1.7730158730158727</v>
      </c>
      <c r="I251" s="86">
        <f t="shared" si="478"/>
        <v>3.5349206349206357</v>
      </c>
      <c r="J251" s="86">
        <f t="shared" si="478"/>
        <v>3.8888888888888897</v>
      </c>
      <c r="K251" s="86">
        <f t="shared" si="478"/>
        <v>9.3317460317460323</v>
      </c>
      <c r="L251" s="86">
        <f t="shared" si="478"/>
        <v>9.3317460317460323</v>
      </c>
      <c r="M251" s="86">
        <f t="shared" si="478"/>
        <v>13.938095238095238</v>
      </c>
      <c r="N251" s="86">
        <f t="shared" si="478"/>
        <v>13.938095238095238</v>
      </c>
      <c r="O251" s="86">
        <f t="shared" ref="O251" si="479">(O246*O249*O250*10^6 / O248)/1000</f>
        <v>11.842757936507939</v>
      </c>
      <c r="P251" s="86">
        <f t="shared" ref="P251:V251" si="480">(P246*P249*P250*10^6 / P248)/1000</f>
        <v>11.842757936507939</v>
      </c>
      <c r="Q251" s="86">
        <f t="shared" si="480"/>
        <v>26.722222222222218</v>
      </c>
      <c r="R251" s="86">
        <f t="shared" si="480"/>
        <v>26.722222222222218</v>
      </c>
      <c r="S251" s="86">
        <f t="shared" si="480"/>
        <v>28.74206349206349</v>
      </c>
      <c r="T251" s="86">
        <f t="shared" si="480"/>
        <v>28.74206349206349</v>
      </c>
      <c r="U251" s="86">
        <f t="shared" si="480"/>
        <v>34.6388888888889</v>
      </c>
      <c r="V251" s="86">
        <f t="shared" si="480"/>
        <v>34.6388888888889</v>
      </c>
      <c r="W251" s="86">
        <f>(W246*W249*W250*10^6 / W248)/1000</f>
        <v>27.142857142857139</v>
      </c>
      <c r="X251" s="86">
        <f t="shared" ref="X251" si="481">(X246*X249*X250*10^6 / X248)/1000</f>
        <v>27.142857142857139</v>
      </c>
      <c r="Y251" s="86">
        <f>(Y246*Y249*Y250*10^6 / Y248)/1000</f>
        <v>19.166666666666668</v>
      </c>
      <c r="Z251" s="86">
        <f t="shared" ref="Z251" si="482">(Z246*Z249*Z250*10^6 / Z248)/1000</f>
        <v>19.166666666666668</v>
      </c>
    </row>
    <row r="252" spans="2:29" x14ac:dyDescent="0.35">
      <c r="B252" s="86" t="s">
        <v>295</v>
      </c>
      <c r="C252" s="86">
        <f t="shared" ref="C252:N252" si="483">C251*23</f>
        <v>1.5972222222222223</v>
      </c>
      <c r="D252" s="86">
        <f t="shared" si="483"/>
        <v>1.7952777777777782</v>
      </c>
      <c r="E252" s="86">
        <f t="shared" si="483"/>
        <v>16.410317460317465</v>
      </c>
      <c r="F252" s="86">
        <f t="shared" si="483"/>
        <v>16.483333333333327</v>
      </c>
      <c r="G252" s="86">
        <f t="shared" si="483"/>
        <v>38.388095238095239</v>
      </c>
      <c r="H252" s="86">
        <f t="shared" si="483"/>
        <v>40.779365079365071</v>
      </c>
      <c r="I252" s="86">
        <f t="shared" si="483"/>
        <v>81.303174603174625</v>
      </c>
      <c r="J252" s="86">
        <f t="shared" si="483"/>
        <v>89.444444444444457</v>
      </c>
      <c r="K252" s="86">
        <f t="shared" si="483"/>
        <v>214.63015873015874</v>
      </c>
      <c r="L252" s="86">
        <f t="shared" si="483"/>
        <v>214.63015873015874</v>
      </c>
      <c r="M252" s="86">
        <f t="shared" si="483"/>
        <v>320.5761904761905</v>
      </c>
      <c r="N252" s="86">
        <f t="shared" si="483"/>
        <v>320.5761904761905</v>
      </c>
      <c r="O252" s="86">
        <f t="shared" ref="O252" si="484">O251*23</f>
        <v>272.38343253968259</v>
      </c>
      <c r="P252" s="86">
        <f t="shared" ref="P252:V252" si="485">P251*23</f>
        <v>272.38343253968259</v>
      </c>
      <c r="Q252" s="86">
        <f t="shared" si="485"/>
        <v>614.61111111111097</v>
      </c>
      <c r="R252" s="86">
        <f t="shared" si="485"/>
        <v>614.61111111111097</v>
      </c>
      <c r="S252" s="86">
        <f t="shared" si="485"/>
        <v>661.06746031746025</v>
      </c>
      <c r="T252" s="86">
        <f t="shared" si="485"/>
        <v>661.06746031746025</v>
      </c>
      <c r="U252" s="86">
        <f t="shared" si="485"/>
        <v>796.69444444444468</v>
      </c>
      <c r="V252" s="86">
        <f t="shared" si="485"/>
        <v>796.69444444444468</v>
      </c>
      <c r="W252" s="86">
        <f>W251*23</f>
        <v>624.28571428571422</v>
      </c>
      <c r="X252" s="86">
        <f t="shared" ref="X252" si="486">X251*23</f>
        <v>624.28571428571422</v>
      </c>
      <c r="Y252" s="86">
        <f>Y251*23</f>
        <v>440.83333333333337</v>
      </c>
      <c r="Z252" s="86">
        <f t="shared" ref="Z252" si="487">Z251*23</f>
        <v>440.83333333333337</v>
      </c>
    </row>
    <row r="253" spans="2:29" s="108" customFormat="1" x14ac:dyDescent="0.35">
      <c r="B253" s="108" t="s">
        <v>299</v>
      </c>
      <c r="C253" s="330">
        <f>AVERAGE(C252:D252)</f>
        <v>1.6962500000000003</v>
      </c>
      <c r="D253" s="330"/>
      <c r="E253" s="330">
        <f>AVERAGE(E252:F252)</f>
        <v>16.446825396825396</v>
      </c>
      <c r="F253" s="330"/>
      <c r="G253" s="330">
        <f>AVERAGE(G252:H252)</f>
        <v>39.583730158730155</v>
      </c>
      <c r="H253" s="330"/>
      <c r="I253" s="330">
        <f>AVERAGE(I252:J252)</f>
        <v>85.373809523809541</v>
      </c>
      <c r="J253" s="330"/>
      <c r="K253" s="330">
        <f>AVERAGE(K252:L252)</f>
        <v>214.63015873015874</v>
      </c>
      <c r="L253" s="330"/>
      <c r="M253" s="330">
        <f>AVERAGE(M252:N252)</f>
        <v>320.5761904761905</v>
      </c>
      <c r="N253" s="330"/>
      <c r="O253" s="330">
        <f>AVERAGE(O252:P252)</f>
        <v>272.38343253968259</v>
      </c>
      <c r="P253" s="330"/>
      <c r="Q253" s="330">
        <f>AVERAGE(Q252:R252)</f>
        <v>614.61111111111097</v>
      </c>
      <c r="R253" s="330"/>
      <c r="S253" s="330">
        <f>AVERAGE(S252:T252)</f>
        <v>661.06746031746025</v>
      </c>
      <c r="T253" s="330"/>
      <c r="U253" s="330">
        <f>AVERAGE(U252:V252)</f>
        <v>796.69444444444468</v>
      </c>
      <c r="V253" s="330"/>
      <c r="W253" s="330">
        <f>AVERAGE(W252:X252)</f>
        <v>624.28571428571422</v>
      </c>
      <c r="X253" s="330"/>
      <c r="Y253" s="330">
        <f>AVERAGE(Y252:Z252)</f>
        <v>440.83333333333337</v>
      </c>
      <c r="Z253" s="330"/>
    </row>
    <row r="254" spans="2:29" ht="15" thickBot="1" x14ac:dyDescent="0.4"/>
    <row r="255" spans="2:29" ht="15" thickBot="1" x14ac:dyDescent="0.4">
      <c r="B255" s="338" t="s">
        <v>313</v>
      </c>
      <c r="C255" s="339"/>
      <c r="D255" s="339"/>
      <c r="E255" s="339"/>
      <c r="F255" s="339"/>
      <c r="G255" s="339"/>
      <c r="H255" s="339"/>
      <c r="I255" s="339"/>
      <c r="J255" s="340"/>
      <c r="Y255" s="86" t="s">
        <v>404</v>
      </c>
    </row>
    <row r="256" spans="2:29" x14ac:dyDescent="0.35">
      <c r="B256" s="87" t="s">
        <v>290</v>
      </c>
      <c r="C256" s="108">
        <v>0</v>
      </c>
      <c r="D256" s="108">
        <v>0</v>
      </c>
      <c r="E256" s="108">
        <v>11</v>
      </c>
      <c r="F256" s="108">
        <v>11</v>
      </c>
      <c r="G256" s="108">
        <f>F256+24.5</f>
        <v>35.5</v>
      </c>
      <c r="H256" s="108">
        <f>G256</f>
        <v>35.5</v>
      </c>
      <c r="I256" s="108">
        <f>H256+24+23.5</f>
        <v>83</v>
      </c>
      <c r="J256" s="108">
        <f>I256</f>
        <v>83</v>
      </c>
      <c r="K256" s="108">
        <f>J256+23.5</f>
        <v>106.5</v>
      </c>
      <c r="L256" s="108">
        <f>K256</f>
        <v>106.5</v>
      </c>
      <c r="M256" s="108">
        <f>L256+24.5</f>
        <v>131</v>
      </c>
      <c r="N256" s="108">
        <f>M256</f>
        <v>131</v>
      </c>
      <c r="O256" s="108">
        <f>N256+33.5</f>
        <v>164.5</v>
      </c>
      <c r="P256" s="108">
        <f>O256</f>
        <v>164.5</v>
      </c>
      <c r="Q256" s="108">
        <f>P256+24</f>
        <v>188.5</v>
      </c>
      <c r="R256" s="108">
        <f>Q256</f>
        <v>188.5</v>
      </c>
      <c r="S256" s="108">
        <f>R256+38.5</f>
        <v>227</v>
      </c>
      <c r="T256" s="108">
        <f>S256</f>
        <v>227</v>
      </c>
      <c r="U256" s="108">
        <f>T256+72.5</f>
        <v>299.5</v>
      </c>
      <c r="V256" s="108">
        <f>U256</f>
        <v>299.5</v>
      </c>
      <c r="W256" s="108">
        <f>V256+49.5</f>
        <v>349</v>
      </c>
      <c r="X256" s="108">
        <f>W256</f>
        <v>349</v>
      </c>
      <c r="Y256" s="86">
        <v>0</v>
      </c>
    </row>
    <row r="257" spans="2:26" x14ac:dyDescent="0.35">
      <c r="B257" s="108">
        <v>0</v>
      </c>
      <c r="E257" s="86">
        <v>7.0000000000000007E-2</v>
      </c>
      <c r="F257" s="86">
        <v>7.0000000000000007E-2</v>
      </c>
      <c r="G257" s="86">
        <v>8.0000000000000002E-3</v>
      </c>
      <c r="H257" s="86">
        <f>G257</f>
        <v>8.0000000000000002E-3</v>
      </c>
      <c r="I257" s="86">
        <v>0.155</v>
      </c>
      <c r="J257" s="86">
        <f t="shared" ref="J257:J262" si="488">I257</f>
        <v>0.155</v>
      </c>
      <c r="K257" s="86">
        <v>0.23899999999999999</v>
      </c>
      <c r="L257" s="86">
        <f t="shared" ref="L257:L262" si="489">K257</f>
        <v>0.23899999999999999</v>
      </c>
      <c r="M257" s="86">
        <v>3.4000000000000002E-2</v>
      </c>
      <c r="N257" s="86">
        <f t="shared" ref="N257:N262" si="490">M257</f>
        <v>3.4000000000000002E-2</v>
      </c>
      <c r="O257" s="86">
        <v>0.156</v>
      </c>
      <c r="P257" s="86">
        <f t="shared" ref="P257" si="491">O257</f>
        <v>0.156</v>
      </c>
      <c r="Q257" s="86">
        <v>0.14799999999999999</v>
      </c>
      <c r="R257" s="86">
        <f t="shared" ref="R257:R262" si="492">Q257</f>
        <v>0.14799999999999999</v>
      </c>
      <c r="S257" s="86">
        <v>0.28399999999999997</v>
      </c>
      <c r="T257" s="86">
        <f t="shared" ref="T257:T262" si="493">S257</f>
        <v>0.28399999999999997</v>
      </c>
      <c r="U257" s="86">
        <v>0.16700000000000001</v>
      </c>
      <c r="V257" s="86">
        <f t="shared" ref="V257:V262" si="494">U257</f>
        <v>0.16700000000000001</v>
      </c>
      <c r="W257" s="86">
        <v>0.26600000000000001</v>
      </c>
      <c r="X257" s="86">
        <f t="shared" ref="X257:X262" si="495">W257</f>
        <v>0.26600000000000001</v>
      </c>
      <c r="Y257" s="86">
        <v>11</v>
      </c>
      <c r="Z257" s="86">
        <f>E271</f>
        <v>18.016666666666666</v>
      </c>
    </row>
    <row r="258" spans="2:26" x14ac:dyDescent="0.35">
      <c r="B258" s="108">
        <v>0.5</v>
      </c>
      <c r="E258" s="86">
        <v>0.13200000000000001</v>
      </c>
      <c r="F258" s="86">
        <v>0.13200000000000001</v>
      </c>
      <c r="G258" s="86">
        <v>3.3000000000000002E-2</v>
      </c>
      <c r="H258" s="86">
        <f t="shared" ref="H258:H262" si="496">G258</f>
        <v>3.3000000000000002E-2</v>
      </c>
      <c r="I258" s="86">
        <v>0.30599999999999999</v>
      </c>
      <c r="J258" s="86">
        <f t="shared" si="488"/>
        <v>0.30599999999999999</v>
      </c>
      <c r="K258" s="86">
        <v>0.47499999999999998</v>
      </c>
      <c r="L258" s="86">
        <f t="shared" si="489"/>
        <v>0.47499999999999998</v>
      </c>
      <c r="M258" s="86">
        <v>0.20599999999999999</v>
      </c>
      <c r="N258" s="86">
        <f t="shared" si="490"/>
        <v>0.20599999999999999</v>
      </c>
      <c r="O258" s="86">
        <v>0.36099999999999999</v>
      </c>
      <c r="P258" s="86">
        <f t="shared" ref="P258" si="497">O258</f>
        <v>0.36099999999999999</v>
      </c>
      <c r="Q258" s="86">
        <v>0.34</v>
      </c>
      <c r="R258" s="86">
        <f t="shared" si="492"/>
        <v>0.34</v>
      </c>
      <c r="S258" s="86">
        <v>0.54900000000000004</v>
      </c>
      <c r="T258" s="86">
        <f t="shared" si="493"/>
        <v>0.54900000000000004</v>
      </c>
      <c r="U258" s="86">
        <v>0.28799999999999998</v>
      </c>
      <c r="V258" s="86">
        <f t="shared" si="494"/>
        <v>0.28799999999999998</v>
      </c>
      <c r="W258" s="86">
        <v>0.32700000000000001</v>
      </c>
      <c r="X258" s="86">
        <f t="shared" si="495"/>
        <v>0.32700000000000001</v>
      </c>
      <c r="Y258" s="86">
        <v>35.5</v>
      </c>
      <c r="Z258" s="86">
        <f>G271</f>
        <v>28.257142857142853</v>
      </c>
    </row>
    <row r="259" spans="2:26" x14ac:dyDescent="0.35">
      <c r="B259" s="108">
        <v>1</v>
      </c>
      <c r="E259" s="86">
        <v>0.185</v>
      </c>
      <c r="F259" s="86">
        <v>0.185</v>
      </c>
      <c r="G259" s="86">
        <v>5.6000000000000001E-2</v>
      </c>
      <c r="H259" s="86">
        <f t="shared" si="496"/>
        <v>5.6000000000000001E-2</v>
      </c>
      <c r="I259" s="86">
        <v>0.438</v>
      </c>
      <c r="J259" s="86">
        <f t="shared" si="488"/>
        <v>0.438</v>
      </c>
      <c r="K259" s="86">
        <v>0.69099999999999995</v>
      </c>
      <c r="L259" s="86">
        <f t="shared" si="489"/>
        <v>0.69099999999999995</v>
      </c>
      <c r="M259" s="86">
        <v>0.36099999999999999</v>
      </c>
      <c r="N259" s="86">
        <f t="shared" si="490"/>
        <v>0.36099999999999999</v>
      </c>
      <c r="O259" s="86">
        <v>0.55400000000000005</v>
      </c>
      <c r="P259" s="86">
        <f t="shared" ref="P259" si="498">O259</f>
        <v>0.55400000000000005</v>
      </c>
      <c r="Q259" s="86">
        <v>0.51100000000000001</v>
      </c>
      <c r="R259" s="86">
        <f t="shared" si="492"/>
        <v>0.51100000000000001</v>
      </c>
      <c r="S259" s="86">
        <v>0.80500000000000005</v>
      </c>
      <c r="T259" s="86">
        <f t="shared" si="493"/>
        <v>0.80500000000000005</v>
      </c>
      <c r="U259" s="86">
        <v>0.40100000000000002</v>
      </c>
      <c r="V259" s="86">
        <f t="shared" si="494"/>
        <v>0.40100000000000002</v>
      </c>
      <c r="W259" s="86">
        <v>0.38800000000000001</v>
      </c>
      <c r="X259" s="86">
        <f t="shared" si="495"/>
        <v>0.38800000000000001</v>
      </c>
      <c r="Y259" s="86">
        <f>I256</f>
        <v>83</v>
      </c>
      <c r="Z259" s="86">
        <f>I271</f>
        <v>183.01428571428573</v>
      </c>
    </row>
    <row r="260" spans="2:26" x14ac:dyDescent="0.35">
      <c r="B260" s="108">
        <v>1.5</v>
      </c>
      <c r="E260" s="86">
        <v>0.24199999999999999</v>
      </c>
      <c r="F260" s="86">
        <v>0.24199999999999999</v>
      </c>
      <c r="G260" s="86">
        <v>7.6999999999999999E-2</v>
      </c>
      <c r="H260" s="86">
        <f t="shared" si="496"/>
        <v>7.6999999999999999E-2</v>
      </c>
      <c r="I260" s="86">
        <v>0.59599999999999997</v>
      </c>
      <c r="J260" s="86">
        <f t="shared" si="488"/>
        <v>0.59599999999999997</v>
      </c>
      <c r="K260" s="86">
        <v>0.91100000000000003</v>
      </c>
      <c r="L260" s="86">
        <f t="shared" si="489"/>
        <v>0.91100000000000003</v>
      </c>
      <c r="M260" s="86">
        <v>0.51600000000000001</v>
      </c>
      <c r="N260" s="86">
        <f t="shared" si="490"/>
        <v>0.51600000000000001</v>
      </c>
      <c r="O260" s="86">
        <v>0.74299999999999999</v>
      </c>
      <c r="P260" s="86">
        <f t="shared" ref="P260" si="499">O260</f>
        <v>0.74299999999999999</v>
      </c>
      <c r="Q260" s="86">
        <v>0.69</v>
      </c>
      <c r="R260" s="86">
        <f t="shared" si="492"/>
        <v>0.69</v>
      </c>
      <c r="S260" s="86">
        <v>1.0489999999999999</v>
      </c>
      <c r="T260" s="86">
        <f t="shared" si="493"/>
        <v>1.0489999999999999</v>
      </c>
      <c r="U260" s="86">
        <v>0.51400000000000001</v>
      </c>
      <c r="V260" s="86">
        <f t="shared" si="494"/>
        <v>0.51400000000000001</v>
      </c>
      <c r="W260" s="86">
        <v>0.46300000000000002</v>
      </c>
      <c r="X260" s="86">
        <f t="shared" si="495"/>
        <v>0.46300000000000002</v>
      </c>
      <c r="Y260" s="86">
        <f>K256</f>
        <v>106.5</v>
      </c>
      <c r="Z260" s="86">
        <f>K271</f>
        <v>349.60912698412693</v>
      </c>
    </row>
    <row r="261" spans="2:26" x14ac:dyDescent="0.35">
      <c r="B261" s="108">
        <v>2</v>
      </c>
      <c r="E261" s="86">
        <v>0.29699999999999999</v>
      </c>
      <c r="F261" s="86">
        <v>0.29699999999999999</v>
      </c>
      <c r="G261" s="86">
        <v>9.9000000000000005E-2</v>
      </c>
      <c r="H261" s="86">
        <f t="shared" si="496"/>
        <v>9.9000000000000005E-2</v>
      </c>
      <c r="I261" s="86">
        <v>0.73099999999999998</v>
      </c>
      <c r="J261" s="86">
        <f t="shared" si="488"/>
        <v>0.73099999999999998</v>
      </c>
      <c r="K261" s="86">
        <v>1.127</v>
      </c>
      <c r="L261" s="86">
        <f t="shared" si="489"/>
        <v>1.127</v>
      </c>
      <c r="M261" s="86">
        <v>0.68200000000000005</v>
      </c>
      <c r="N261" s="86">
        <f t="shared" si="490"/>
        <v>0.68200000000000005</v>
      </c>
      <c r="O261" s="86">
        <v>0.94299999999999995</v>
      </c>
      <c r="P261" s="86">
        <f t="shared" ref="P261" si="500">O261</f>
        <v>0.94299999999999995</v>
      </c>
      <c r="Q261" s="86">
        <v>0.876</v>
      </c>
      <c r="R261" s="86">
        <f t="shared" si="492"/>
        <v>0.876</v>
      </c>
      <c r="S261" s="86">
        <v>1.29</v>
      </c>
      <c r="T261" s="86">
        <f t="shared" si="493"/>
        <v>1.29</v>
      </c>
      <c r="U261" s="86">
        <v>0.624</v>
      </c>
      <c r="V261" s="86">
        <f t="shared" si="494"/>
        <v>0.624</v>
      </c>
      <c r="W261" s="86">
        <v>0.52400000000000002</v>
      </c>
      <c r="X261" s="86">
        <f t="shared" si="495"/>
        <v>0.52400000000000002</v>
      </c>
      <c r="Y261" s="86">
        <f>M256</f>
        <v>131</v>
      </c>
      <c r="Z261" s="86">
        <f>M271</f>
        <v>515.94841269841277</v>
      </c>
    </row>
    <row r="262" spans="2:26" x14ac:dyDescent="0.35">
      <c r="B262" s="108">
        <v>2.5</v>
      </c>
      <c r="G262" s="86">
        <v>0.11899999999999999</v>
      </c>
      <c r="H262" s="86">
        <f t="shared" si="496"/>
        <v>0.11899999999999999</v>
      </c>
      <c r="I262" s="86">
        <v>0.871</v>
      </c>
      <c r="J262" s="86">
        <f t="shared" si="488"/>
        <v>0.871</v>
      </c>
      <c r="K262" s="86">
        <v>1.3360000000000001</v>
      </c>
      <c r="L262" s="86">
        <f t="shared" si="489"/>
        <v>1.3360000000000001</v>
      </c>
      <c r="M262" s="86">
        <v>0.84799999999999998</v>
      </c>
      <c r="N262" s="86">
        <f t="shared" si="490"/>
        <v>0.84799999999999998</v>
      </c>
      <c r="O262" s="86">
        <v>1.127</v>
      </c>
      <c r="P262" s="86">
        <f t="shared" ref="P262" si="501">O262</f>
        <v>1.127</v>
      </c>
      <c r="Q262" s="86">
        <v>1.07</v>
      </c>
      <c r="R262" s="86">
        <f t="shared" si="492"/>
        <v>1.07</v>
      </c>
      <c r="S262" s="86">
        <v>1.53</v>
      </c>
      <c r="T262" s="86">
        <f t="shared" si="493"/>
        <v>1.53</v>
      </c>
      <c r="U262" s="86">
        <v>0.73299999999999998</v>
      </c>
      <c r="V262" s="86">
        <f t="shared" si="494"/>
        <v>0.73299999999999998</v>
      </c>
      <c r="W262" s="86">
        <v>0.58399999999999996</v>
      </c>
      <c r="X262" s="86">
        <f t="shared" si="495"/>
        <v>0.58399999999999996</v>
      </c>
      <c r="Y262" s="86">
        <f>O256</f>
        <v>164.5</v>
      </c>
      <c r="Z262" s="86">
        <f>O271</f>
        <v>619.72222222222217</v>
      </c>
    </row>
    <row r="263" spans="2:26" x14ac:dyDescent="0.35">
      <c r="B263" s="108">
        <v>3</v>
      </c>
      <c r="Y263" s="86">
        <f>Q256</f>
        <v>188.5</v>
      </c>
      <c r="Z263" s="86">
        <f>Q271</f>
        <v>583.85317460317469</v>
      </c>
    </row>
    <row r="264" spans="2:26" x14ac:dyDescent="0.35">
      <c r="B264" s="86" t="s">
        <v>297</v>
      </c>
      <c r="C264" s="86" t="e">
        <f t="shared" ref="C264" si="502">SLOPE(C257:C263,$B257:$B263)</f>
        <v>#DIV/0!</v>
      </c>
      <c r="D264" s="86" t="e">
        <f t="shared" ref="D264" si="503">SLOPE(D257:D263,$B257:$B263)</f>
        <v>#DIV/0!</v>
      </c>
      <c r="E264" s="86">
        <f>SLOPE(E257:E263,$B257:$B263)</f>
        <v>0.11279999999999998</v>
      </c>
      <c r="F264" s="86">
        <f>SLOPE(F257:F263,$B257:$B263)</f>
        <v>0.11279999999999998</v>
      </c>
      <c r="G264" s="86">
        <f>SLOPE(G257:G263,$B257:$B263)</f>
        <v>4.422857142857143E-2</v>
      </c>
      <c r="H264" s="86">
        <f>SLOPE(H257:H263,$B257:$B263)</f>
        <v>4.422857142857143E-2</v>
      </c>
      <c r="I264" s="86">
        <f t="shared" ref="I264" si="504">SLOPE(I257:I263,$B257:$B263)</f>
        <v>0.28645714285714285</v>
      </c>
      <c r="J264" s="86">
        <f t="shared" ref="J264:T264" si="505">SLOPE(J257:J263,$B257:$B263)</f>
        <v>0.28645714285714285</v>
      </c>
      <c r="K264" s="86">
        <f t="shared" si="505"/>
        <v>0.43777142857142864</v>
      </c>
      <c r="L264" s="86">
        <f t="shared" si="505"/>
        <v>0.43777142857142864</v>
      </c>
      <c r="M264" s="86">
        <f t="shared" si="505"/>
        <v>0.32302857142857144</v>
      </c>
      <c r="N264" s="86">
        <f t="shared" si="505"/>
        <v>0.32302857142857144</v>
      </c>
      <c r="O264" s="86">
        <f t="shared" si="505"/>
        <v>0.38799999999999996</v>
      </c>
      <c r="P264" s="86">
        <f t="shared" si="505"/>
        <v>0.38799999999999996</v>
      </c>
      <c r="Q264" s="86">
        <f t="shared" si="505"/>
        <v>0.36554285714285717</v>
      </c>
      <c r="R264" s="86">
        <f t="shared" si="505"/>
        <v>0.36554285714285717</v>
      </c>
      <c r="S264" s="86">
        <f t="shared" si="505"/>
        <v>0.49697142857142851</v>
      </c>
      <c r="T264" s="86">
        <f t="shared" si="505"/>
        <v>0.49697142857142851</v>
      </c>
      <c r="U264" s="86">
        <f>SLOPE(U257:U263,$B257:$B263)</f>
        <v>0.22577142857142857</v>
      </c>
      <c r="V264" s="86">
        <f>SLOPE(V257:V263,$B257:$B263)</f>
        <v>0.22577142857142857</v>
      </c>
      <c r="W264" s="86">
        <f>SLOPE(W257:W263,$B257:$B263)</f>
        <v>0.1289142857142857</v>
      </c>
      <c r="X264" s="86">
        <f>SLOPE(X257:X263,$B257:$B263)</f>
        <v>0.1289142857142857</v>
      </c>
      <c r="Y264" s="226">
        <f>S256</f>
        <v>227</v>
      </c>
      <c r="Z264" s="226">
        <f>S271</f>
        <v>793.7738095238094</v>
      </c>
    </row>
    <row r="265" spans="2:26" x14ac:dyDescent="0.35">
      <c r="B265" s="86" t="s">
        <v>298</v>
      </c>
      <c r="C265" s="202" t="e">
        <f t="shared" ref="C265:D265" si="506">RSQ(C257:C263,$B257:$B263)</f>
        <v>#DIV/0!</v>
      </c>
      <c r="D265" s="202" t="e">
        <f t="shared" si="506"/>
        <v>#DIV/0!</v>
      </c>
      <c r="E265" s="202">
        <f>RSQ(E257:E263,$B257:$B263)</f>
        <v>0.99945957494941362</v>
      </c>
      <c r="F265" s="202">
        <f>RSQ(F257:F263,$B257:$B263)</f>
        <v>0.99945957494941362</v>
      </c>
      <c r="G265" s="202">
        <f>RSQ(G257:G263,$B257:$B263)</f>
        <v>0.9987041276756542</v>
      </c>
      <c r="H265" s="202">
        <f>RSQ(H257:H263,$B257:$B263)</f>
        <v>0.9987041276756542</v>
      </c>
      <c r="I265" s="202">
        <f t="shared" ref="I265:T265" si="507">RSQ(I257:I263,$B257:$B263)</f>
        <v>0.99957561743996437</v>
      </c>
      <c r="J265" s="202">
        <f t="shared" si="507"/>
        <v>0.99957561743996437</v>
      </c>
      <c r="K265" s="202">
        <f t="shared" si="507"/>
        <v>0.99969265341332481</v>
      </c>
      <c r="L265" s="202">
        <f t="shared" si="507"/>
        <v>0.99969265341332481</v>
      </c>
      <c r="M265" s="202">
        <f t="shared" si="507"/>
        <v>0.99976194065295587</v>
      </c>
      <c r="N265" s="202">
        <f t="shared" si="507"/>
        <v>0.99976194065295587</v>
      </c>
      <c r="O265" s="202">
        <f t="shared" si="507"/>
        <v>0.99980670676910877</v>
      </c>
      <c r="P265" s="202">
        <f t="shared" si="507"/>
        <v>0.99980670676910877</v>
      </c>
      <c r="Q265" s="202">
        <f t="shared" si="507"/>
        <v>0.99965386432333203</v>
      </c>
      <c r="R265" s="202">
        <f t="shared" si="507"/>
        <v>0.99965386432333203</v>
      </c>
      <c r="S265" s="202">
        <f t="shared" si="507"/>
        <v>0.99959785857311378</v>
      </c>
      <c r="T265" s="202">
        <f t="shared" si="507"/>
        <v>0.99959785857311378</v>
      </c>
      <c r="U265" s="202">
        <f>RSQ(U257:U263,$B257:$B263)</f>
        <v>0.99969619238245933</v>
      </c>
      <c r="V265" s="202">
        <f>RSQ(V257:V263,$B257:$B263)</f>
        <v>0.99969619238245933</v>
      </c>
      <c r="W265" s="202">
        <f>RSQ(W257:W263,$B257:$B263)</f>
        <v>0.99901515736413893</v>
      </c>
      <c r="X265" s="202">
        <f>RSQ(X257:X263,$B257:$B263)</f>
        <v>0.99901515736413893</v>
      </c>
      <c r="Y265" s="86">
        <f>U256</f>
        <v>299.5</v>
      </c>
      <c r="Z265" s="86">
        <f>U271</f>
        <v>721.21428571428578</v>
      </c>
    </row>
    <row r="266" spans="2:26" x14ac:dyDescent="0.35">
      <c r="B266" s="86" t="s">
        <v>292</v>
      </c>
      <c r="C266" s="86">
        <v>36000</v>
      </c>
      <c r="D266" s="86">
        <v>36000</v>
      </c>
      <c r="E266" s="86">
        <v>36000</v>
      </c>
      <c r="F266" s="86">
        <v>36000</v>
      </c>
      <c r="G266" s="86">
        <v>36000</v>
      </c>
      <c r="H266" s="86">
        <v>36000</v>
      </c>
      <c r="I266" s="86">
        <v>36000</v>
      </c>
      <c r="J266" s="86">
        <v>36000</v>
      </c>
      <c r="K266" s="86">
        <v>36000</v>
      </c>
      <c r="L266" s="86">
        <v>36000</v>
      </c>
      <c r="M266" s="86">
        <v>36000</v>
      </c>
      <c r="N266" s="86">
        <v>36000</v>
      </c>
      <c r="O266" s="86">
        <v>36000</v>
      </c>
      <c r="P266" s="86">
        <v>36000</v>
      </c>
      <c r="Q266" s="86">
        <v>36000</v>
      </c>
      <c r="R266" s="86">
        <v>36000</v>
      </c>
      <c r="S266" s="86">
        <v>36000</v>
      </c>
      <c r="T266" s="86">
        <v>36000</v>
      </c>
      <c r="U266" s="86">
        <v>36000</v>
      </c>
      <c r="V266" s="86">
        <v>36000</v>
      </c>
      <c r="W266" s="86">
        <v>36000</v>
      </c>
      <c r="X266" s="86">
        <v>36000</v>
      </c>
      <c r="Y266" s="86">
        <f>W256</f>
        <v>349</v>
      </c>
      <c r="Z266" s="86">
        <f>W271</f>
        <v>411.80952380952374</v>
      </c>
    </row>
    <row r="267" spans="2:26" x14ac:dyDescent="0.35">
      <c r="B267" s="86" t="s">
        <v>296</v>
      </c>
      <c r="C267" s="86">
        <v>25</v>
      </c>
      <c r="D267" s="86">
        <v>25</v>
      </c>
      <c r="E267" s="86">
        <v>25</v>
      </c>
      <c r="F267" s="86">
        <v>25</v>
      </c>
      <c r="G267" s="86">
        <v>25</v>
      </c>
      <c r="H267" s="86">
        <v>25</v>
      </c>
      <c r="I267" s="86">
        <v>25</v>
      </c>
      <c r="J267" s="86">
        <v>25</v>
      </c>
      <c r="K267" s="86">
        <v>25</v>
      </c>
      <c r="L267" s="86">
        <v>25</v>
      </c>
      <c r="M267" s="86">
        <v>25</v>
      </c>
      <c r="N267" s="86">
        <v>25</v>
      </c>
      <c r="O267" s="86">
        <v>25</v>
      </c>
      <c r="P267" s="86">
        <v>25</v>
      </c>
      <c r="Q267" s="86">
        <v>25</v>
      </c>
      <c r="R267" s="86">
        <v>25</v>
      </c>
      <c r="S267" s="86">
        <v>25</v>
      </c>
      <c r="T267" s="86">
        <v>25</v>
      </c>
      <c r="U267" s="86">
        <v>25</v>
      </c>
      <c r="V267" s="86">
        <v>25</v>
      </c>
      <c r="W267" s="86">
        <v>25</v>
      </c>
      <c r="X267" s="86">
        <v>25</v>
      </c>
    </row>
    <row r="268" spans="2:26" x14ac:dyDescent="0.35">
      <c r="B268" s="86" t="s">
        <v>293</v>
      </c>
      <c r="C268" s="86">
        <v>2</v>
      </c>
      <c r="D268" s="86">
        <v>2</v>
      </c>
      <c r="E268" s="86">
        <v>10</v>
      </c>
      <c r="F268" s="86">
        <v>10</v>
      </c>
      <c r="G268" s="86">
        <v>40</v>
      </c>
      <c r="H268" s="86">
        <v>40</v>
      </c>
      <c r="I268" s="86">
        <v>40</v>
      </c>
      <c r="J268" s="86">
        <v>40</v>
      </c>
      <c r="K268" s="86">
        <v>50</v>
      </c>
      <c r="L268" s="86">
        <v>50</v>
      </c>
      <c r="M268" s="86">
        <v>100</v>
      </c>
      <c r="N268" s="86">
        <v>100</v>
      </c>
      <c r="O268" s="86">
        <v>100</v>
      </c>
      <c r="P268" s="86">
        <v>100</v>
      </c>
      <c r="Q268" s="86">
        <v>100</v>
      </c>
      <c r="R268" s="86">
        <v>100</v>
      </c>
      <c r="S268" s="86">
        <v>100</v>
      </c>
      <c r="T268" s="86">
        <v>100</v>
      </c>
      <c r="U268" s="86">
        <v>200</v>
      </c>
      <c r="V268" s="86">
        <v>200</v>
      </c>
      <c r="W268" s="86">
        <v>200</v>
      </c>
      <c r="X268" s="86">
        <v>200</v>
      </c>
    </row>
    <row r="269" spans="2:26" x14ac:dyDescent="0.35">
      <c r="B269" s="86" t="s">
        <v>294</v>
      </c>
      <c r="C269" s="86" t="e">
        <f t="shared" ref="C269:H269" si="508">(C264*C267*C268*10^6 / C266)/1000</f>
        <v>#DIV/0!</v>
      </c>
      <c r="D269" s="86" t="e">
        <f t="shared" si="508"/>
        <v>#DIV/0!</v>
      </c>
      <c r="E269" s="86">
        <f t="shared" si="508"/>
        <v>0.78333333333333321</v>
      </c>
      <c r="F269" s="86">
        <f t="shared" si="508"/>
        <v>0.78333333333333321</v>
      </c>
      <c r="G269" s="86">
        <f t="shared" si="508"/>
        <v>1.2285714285714284</v>
      </c>
      <c r="H269" s="86">
        <f t="shared" si="508"/>
        <v>1.2285714285714284</v>
      </c>
      <c r="I269" s="86">
        <f t="shared" ref="I269" si="509">(I264*I267*I268*10^6 / I266)/1000</f>
        <v>7.9571428571428582</v>
      </c>
      <c r="J269" s="86">
        <f t="shared" ref="J269:T269" si="510">(J264*J267*J268*10^6 / J266)/1000</f>
        <v>7.9571428571428582</v>
      </c>
      <c r="K269" s="86">
        <f t="shared" si="510"/>
        <v>15.200396825396824</v>
      </c>
      <c r="L269" s="86">
        <f t="shared" si="510"/>
        <v>15.200396825396824</v>
      </c>
      <c r="M269" s="86">
        <f t="shared" si="510"/>
        <v>22.432539682539684</v>
      </c>
      <c r="N269" s="86">
        <f t="shared" si="510"/>
        <v>22.432539682539684</v>
      </c>
      <c r="O269" s="86">
        <f t="shared" si="510"/>
        <v>26.944444444444443</v>
      </c>
      <c r="P269" s="86">
        <f t="shared" si="510"/>
        <v>26.944444444444443</v>
      </c>
      <c r="Q269" s="86">
        <f t="shared" si="510"/>
        <v>25.38492063492064</v>
      </c>
      <c r="R269" s="86">
        <f t="shared" si="510"/>
        <v>25.38492063492064</v>
      </c>
      <c r="S269" s="86">
        <f t="shared" si="510"/>
        <v>34.511904761904759</v>
      </c>
      <c r="T269" s="86">
        <f t="shared" si="510"/>
        <v>34.511904761904759</v>
      </c>
      <c r="U269" s="86">
        <f>(U264*U267*U268*10^6 / U266)/1000</f>
        <v>31.357142857142858</v>
      </c>
      <c r="V269" s="86">
        <f t="shared" ref="V269" si="511">(V264*V267*V268*10^6 / V266)/1000</f>
        <v>31.357142857142858</v>
      </c>
      <c r="W269" s="86">
        <f>(W264*W267*W268*10^6 / W266)/1000</f>
        <v>17.904761904761902</v>
      </c>
      <c r="X269" s="86">
        <f t="shared" ref="X269" si="512">(X264*X267*X268*10^6 / X266)/1000</f>
        <v>17.904761904761902</v>
      </c>
    </row>
    <row r="270" spans="2:26" x14ac:dyDescent="0.35">
      <c r="B270" s="86" t="s">
        <v>295</v>
      </c>
      <c r="C270" s="86" t="e">
        <f t="shared" ref="C270:H270" si="513">C269*23</f>
        <v>#DIV/0!</v>
      </c>
      <c r="D270" s="86" t="e">
        <f t="shared" si="513"/>
        <v>#DIV/0!</v>
      </c>
      <c r="E270" s="86">
        <f t="shared" si="513"/>
        <v>18.016666666666666</v>
      </c>
      <c r="F270" s="86">
        <f t="shared" si="513"/>
        <v>18.016666666666666</v>
      </c>
      <c r="G270" s="86">
        <f t="shared" si="513"/>
        <v>28.257142857142853</v>
      </c>
      <c r="H270" s="86">
        <f t="shared" si="513"/>
        <v>28.257142857142853</v>
      </c>
      <c r="I270" s="86">
        <f t="shared" ref="I270" si="514">I269*23</f>
        <v>183.01428571428573</v>
      </c>
      <c r="J270" s="86">
        <f t="shared" ref="J270:T270" si="515">J269*23</f>
        <v>183.01428571428573</v>
      </c>
      <c r="K270" s="86">
        <f t="shared" si="515"/>
        <v>349.60912698412693</v>
      </c>
      <c r="L270" s="86">
        <f t="shared" si="515"/>
        <v>349.60912698412693</v>
      </c>
      <c r="M270" s="86">
        <f t="shared" si="515"/>
        <v>515.94841269841277</v>
      </c>
      <c r="N270" s="86">
        <f t="shared" si="515"/>
        <v>515.94841269841277</v>
      </c>
      <c r="O270" s="86">
        <f t="shared" si="515"/>
        <v>619.72222222222217</v>
      </c>
      <c r="P270" s="86">
        <f t="shared" si="515"/>
        <v>619.72222222222217</v>
      </c>
      <c r="Q270" s="86">
        <f t="shared" si="515"/>
        <v>583.85317460317469</v>
      </c>
      <c r="R270" s="86">
        <f t="shared" si="515"/>
        <v>583.85317460317469</v>
      </c>
      <c r="S270" s="86">
        <f t="shared" si="515"/>
        <v>793.7738095238094</v>
      </c>
      <c r="T270" s="86">
        <f t="shared" si="515"/>
        <v>793.7738095238094</v>
      </c>
      <c r="U270" s="86">
        <f>U269*23</f>
        <v>721.21428571428578</v>
      </c>
      <c r="V270" s="86">
        <f t="shared" ref="V270" si="516">V269*23</f>
        <v>721.21428571428578</v>
      </c>
      <c r="W270" s="86">
        <f>W269*23</f>
        <v>411.80952380952374</v>
      </c>
      <c r="X270" s="86">
        <f t="shared" ref="X270" si="517">X269*23</f>
        <v>411.80952380952374</v>
      </c>
    </row>
    <row r="271" spans="2:26" s="108" customFormat="1" x14ac:dyDescent="0.35">
      <c r="B271" s="108" t="s">
        <v>299</v>
      </c>
      <c r="C271" s="330" t="e">
        <f>AVERAGE(C270:D270)</f>
        <v>#DIV/0!</v>
      </c>
      <c r="D271" s="330"/>
      <c r="E271" s="330">
        <f>AVERAGE(E270:F270)</f>
        <v>18.016666666666666</v>
      </c>
      <c r="F271" s="330"/>
      <c r="G271" s="330">
        <f>AVERAGE(G270:H270)</f>
        <v>28.257142857142853</v>
      </c>
      <c r="H271" s="330"/>
      <c r="I271" s="330">
        <f>AVERAGE(I270:J270)</f>
        <v>183.01428571428573</v>
      </c>
      <c r="J271" s="330"/>
      <c r="K271" s="330">
        <f>AVERAGE(K270:L270)</f>
        <v>349.60912698412693</v>
      </c>
      <c r="L271" s="330"/>
      <c r="M271" s="330">
        <f>AVERAGE(M270:N270)</f>
        <v>515.94841269841277</v>
      </c>
      <c r="N271" s="330"/>
      <c r="O271" s="330">
        <f>AVERAGE(O270:P270)</f>
        <v>619.72222222222217</v>
      </c>
      <c r="P271" s="330"/>
      <c r="Q271" s="330">
        <f>AVERAGE(Q270:R270)</f>
        <v>583.85317460317469</v>
      </c>
      <c r="R271" s="330"/>
      <c r="S271" s="330">
        <f>AVERAGE(S270:T270)</f>
        <v>793.7738095238094</v>
      </c>
      <c r="T271" s="330"/>
      <c r="U271" s="330">
        <f>AVERAGE(U270:V270)</f>
        <v>721.21428571428578</v>
      </c>
      <c r="V271" s="330"/>
      <c r="W271" s="330">
        <f>AVERAGE(W270:X270)</f>
        <v>411.80952380952374</v>
      </c>
      <c r="X271" s="330"/>
    </row>
    <row r="272" spans="2:26" ht="15" thickBot="1" x14ac:dyDescent="0.4"/>
    <row r="273" spans="2:28" ht="15" thickBot="1" x14ac:dyDescent="0.4">
      <c r="B273" s="338" t="s">
        <v>314</v>
      </c>
      <c r="C273" s="339"/>
      <c r="D273" s="339"/>
      <c r="E273" s="339"/>
      <c r="F273" s="339"/>
      <c r="G273" s="339"/>
      <c r="H273" s="339"/>
      <c r="I273" s="339"/>
      <c r="J273" s="340"/>
      <c r="AA273" s="86" t="s">
        <v>404</v>
      </c>
      <c r="AB273" s="86" t="s">
        <v>405</v>
      </c>
    </row>
    <row r="274" spans="2:28" x14ac:dyDescent="0.35">
      <c r="B274" s="87" t="s">
        <v>290</v>
      </c>
      <c r="C274" s="108">
        <v>0</v>
      </c>
      <c r="D274" s="108">
        <v>0</v>
      </c>
      <c r="E274" s="108">
        <v>22</v>
      </c>
      <c r="F274" s="108">
        <v>22</v>
      </c>
      <c r="G274" s="108">
        <v>44</v>
      </c>
      <c r="H274" s="108">
        <v>44</v>
      </c>
      <c r="I274" s="108">
        <v>68</v>
      </c>
      <c r="J274" s="108">
        <v>68</v>
      </c>
      <c r="K274" s="108">
        <f>J274+24.5</f>
        <v>92.5</v>
      </c>
      <c r="L274" s="108">
        <f>K274</f>
        <v>92.5</v>
      </c>
      <c r="M274" s="108">
        <f>L274+24</f>
        <v>116.5</v>
      </c>
      <c r="N274" s="108">
        <f>M274</f>
        <v>116.5</v>
      </c>
      <c r="O274" s="108">
        <v>140</v>
      </c>
      <c r="P274" s="108">
        <v>140</v>
      </c>
      <c r="Q274" s="108">
        <f>P274+82</f>
        <v>222</v>
      </c>
      <c r="R274" s="108">
        <f>Q274</f>
        <v>222</v>
      </c>
      <c r="S274" s="108">
        <f>R274+24</f>
        <v>246</v>
      </c>
      <c r="T274" s="108">
        <f>S274</f>
        <v>246</v>
      </c>
      <c r="U274" s="108">
        <f>T274+38.5</f>
        <v>284.5</v>
      </c>
      <c r="V274" s="108">
        <f>U274</f>
        <v>284.5</v>
      </c>
      <c r="W274" s="108">
        <f>V274+72.5</f>
        <v>357</v>
      </c>
      <c r="X274" s="108">
        <f>W274</f>
        <v>357</v>
      </c>
      <c r="Y274" s="108">
        <f>X274+49.5</f>
        <v>406.5</v>
      </c>
      <c r="Z274" s="108">
        <f>Y274</f>
        <v>406.5</v>
      </c>
      <c r="AA274" s="86">
        <v>0</v>
      </c>
      <c r="AB274" s="86">
        <f>C289</f>
        <v>5.5679166666666671</v>
      </c>
    </row>
    <row r="275" spans="2:28" x14ac:dyDescent="0.35">
      <c r="B275" s="108">
        <v>0</v>
      </c>
      <c r="C275" s="86">
        <v>0.109</v>
      </c>
      <c r="D275" s="86">
        <v>9.4E-2</v>
      </c>
      <c r="E275" s="86">
        <v>7.0000000000000007E-2</v>
      </c>
      <c r="F275" s="86">
        <v>6.2E-2</v>
      </c>
      <c r="G275" s="86">
        <v>0.105</v>
      </c>
      <c r="H275" s="86">
        <v>0.105</v>
      </c>
      <c r="I275" s="86">
        <v>0.104</v>
      </c>
      <c r="J275" s="86">
        <v>0.11</v>
      </c>
      <c r="K275" s="86">
        <v>0.1</v>
      </c>
      <c r="L275" s="86">
        <f>K275</f>
        <v>0.1</v>
      </c>
      <c r="M275" s="86">
        <v>-0.02</v>
      </c>
      <c r="N275" s="86">
        <f t="shared" ref="N275:N280" si="518">M275</f>
        <v>-0.02</v>
      </c>
      <c r="O275" s="86">
        <v>0.12</v>
      </c>
      <c r="P275" s="86">
        <f>O275</f>
        <v>0.12</v>
      </c>
      <c r="Q275" s="86">
        <v>0.125</v>
      </c>
      <c r="R275" s="86">
        <f t="shared" ref="R275:R280" si="519">Q275</f>
        <v>0.125</v>
      </c>
      <c r="S275" s="86">
        <v>0.13600000000000001</v>
      </c>
      <c r="T275" s="86">
        <f t="shared" ref="T275:T280" si="520">S275</f>
        <v>0.13600000000000001</v>
      </c>
      <c r="U275" s="86">
        <v>0.27200000000000002</v>
      </c>
      <c r="V275" s="86">
        <f t="shared" ref="V275:V280" si="521">U275</f>
        <v>0.27200000000000002</v>
      </c>
      <c r="W275" s="86">
        <v>0.16</v>
      </c>
      <c r="X275" s="86">
        <f t="shared" ref="X275:X280" si="522">W275</f>
        <v>0.16</v>
      </c>
      <c r="Y275" s="86">
        <v>0.24399999999999999</v>
      </c>
      <c r="Z275" s="86">
        <f t="shared" ref="Z275:Z280" si="523">Y275</f>
        <v>0.24399999999999999</v>
      </c>
      <c r="AA275" s="86">
        <v>22</v>
      </c>
      <c r="AB275" s="86">
        <f>E289</f>
        <v>13.238690476190474</v>
      </c>
    </row>
    <row r="276" spans="2:28" x14ac:dyDescent="0.35">
      <c r="B276" s="108">
        <v>0.5</v>
      </c>
      <c r="C276" s="86">
        <v>0.20300000000000001</v>
      </c>
      <c r="D276" s="86">
        <v>0.183</v>
      </c>
      <c r="E276" s="86">
        <v>0.114</v>
      </c>
      <c r="F276" s="86">
        <v>0.106</v>
      </c>
      <c r="G276" s="86">
        <v>0.183</v>
      </c>
      <c r="H276" s="86">
        <v>0.189</v>
      </c>
      <c r="I276" s="86">
        <v>0.186</v>
      </c>
      <c r="J276" s="86">
        <v>0.20100000000000001</v>
      </c>
      <c r="K276" s="86">
        <v>0.20799999999999999</v>
      </c>
      <c r="L276" s="86">
        <f t="shared" ref="L276:L280" si="524">K276</f>
        <v>0.20799999999999999</v>
      </c>
      <c r="M276" s="86">
        <v>0.16400000000000001</v>
      </c>
      <c r="N276" s="86">
        <f t="shared" si="518"/>
        <v>0.16400000000000001</v>
      </c>
      <c r="O276" s="86">
        <v>0.26500000000000001</v>
      </c>
      <c r="P276" s="86">
        <f t="shared" ref="P276:P281" si="525">O276</f>
        <v>0.26500000000000001</v>
      </c>
      <c r="Q276" s="86">
        <v>0.29799999999999999</v>
      </c>
      <c r="R276" s="86">
        <f t="shared" si="519"/>
        <v>0.29799999999999999</v>
      </c>
      <c r="S276" s="86">
        <v>0.32800000000000001</v>
      </c>
      <c r="T276" s="86">
        <f t="shared" si="520"/>
        <v>0.32800000000000001</v>
      </c>
      <c r="U276" s="86">
        <v>0.52700000000000002</v>
      </c>
      <c r="V276" s="86">
        <f t="shared" si="521"/>
        <v>0.52700000000000002</v>
      </c>
      <c r="W276" s="86">
        <v>0.27900000000000003</v>
      </c>
      <c r="X276" s="86">
        <f t="shared" si="522"/>
        <v>0.27900000000000003</v>
      </c>
      <c r="Y276" s="86">
        <v>0.30199999999999999</v>
      </c>
      <c r="Z276" s="86">
        <f t="shared" si="523"/>
        <v>0.30199999999999999</v>
      </c>
      <c r="AA276" s="86">
        <v>44</v>
      </c>
      <c r="AB276" s="86">
        <f>G289</f>
        <v>24.670238095238098</v>
      </c>
    </row>
    <row r="277" spans="2:28" x14ac:dyDescent="0.35">
      <c r="B277" s="108">
        <v>1</v>
      </c>
      <c r="C277" s="86">
        <v>0.28699999999999998</v>
      </c>
      <c r="D277" s="86">
        <v>0.26500000000000001</v>
      </c>
      <c r="E277" s="86">
        <v>0.157</v>
      </c>
      <c r="F277" s="86">
        <v>0.14599999999999999</v>
      </c>
      <c r="G277" s="86">
        <v>0.26300000000000001</v>
      </c>
      <c r="H277" s="86">
        <v>0.26900000000000002</v>
      </c>
      <c r="I277" s="86">
        <v>0.26300000000000001</v>
      </c>
      <c r="J277" s="86">
        <v>0.27800000000000002</v>
      </c>
      <c r="K277" s="86">
        <v>0.312</v>
      </c>
      <c r="L277" s="86">
        <f t="shared" si="524"/>
        <v>0.312</v>
      </c>
      <c r="M277" s="86">
        <v>0.33600000000000002</v>
      </c>
      <c r="N277" s="86">
        <f t="shared" si="518"/>
        <v>0.33600000000000002</v>
      </c>
      <c r="O277" s="86">
        <v>0.38800000000000001</v>
      </c>
      <c r="P277" s="86">
        <f t="shared" si="525"/>
        <v>0.38800000000000001</v>
      </c>
      <c r="Q277" s="86">
        <v>0.46200000000000002</v>
      </c>
      <c r="R277" s="86">
        <f t="shared" si="519"/>
        <v>0.46200000000000002</v>
      </c>
      <c r="S277" s="86">
        <v>0.50800000000000001</v>
      </c>
      <c r="T277" s="86">
        <f t="shared" si="520"/>
        <v>0.50800000000000001</v>
      </c>
      <c r="U277" s="86">
        <v>0.76300000000000001</v>
      </c>
      <c r="V277" s="86">
        <f t="shared" si="521"/>
        <v>0.76300000000000001</v>
      </c>
      <c r="W277" s="86">
        <v>0.39100000000000001</v>
      </c>
      <c r="X277" s="86">
        <f t="shared" si="522"/>
        <v>0.39100000000000001</v>
      </c>
      <c r="Y277" s="86">
        <v>0.379</v>
      </c>
      <c r="Z277" s="86">
        <f t="shared" si="523"/>
        <v>0.379</v>
      </c>
      <c r="AA277" s="86">
        <v>68</v>
      </c>
      <c r="AB277" s="86">
        <f>I289</f>
        <v>49.00277777777778</v>
      </c>
    </row>
    <row r="278" spans="2:28" x14ac:dyDescent="0.35">
      <c r="B278" s="108">
        <v>1.5</v>
      </c>
      <c r="C278" s="86">
        <v>0.373</v>
      </c>
      <c r="D278" s="86">
        <v>0.35</v>
      </c>
      <c r="E278" s="86">
        <v>0.19900000000000001</v>
      </c>
      <c r="F278" s="86">
        <v>0.187</v>
      </c>
      <c r="G278" s="86">
        <v>0.33500000000000002</v>
      </c>
      <c r="H278" s="86">
        <v>0.34499999999999997</v>
      </c>
      <c r="I278" s="86">
        <v>0.33600000000000002</v>
      </c>
      <c r="J278" s="86">
        <v>0.35399999999999998</v>
      </c>
      <c r="K278" s="86">
        <v>0.41799999999999998</v>
      </c>
      <c r="L278" s="86">
        <f t="shared" si="524"/>
        <v>0.41799999999999998</v>
      </c>
      <c r="M278" s="86">
        <v>0.504</v>
      </c>
      <c r="N278" s="86">
        <f t="shared" si="518"/>
        <v>0.504</v>
      </c>
      <c r="O278" s="86">
        <v>0.50900000000000001</v>
      </c>
      <c r="P278" s="86">
        <f t="shared" si="525"/>
        <v>0.50900000000000001</v>
      </c>
      <c r="Q278" s="86">
        <v>0.624</v>
      </c>
      <c r="R278" s="86">
        <f t="shared" si="519"/>
        <v>0.624</v>
      </c>
      <c r="S278" s="86">
        <v>0.68600000000000005</v>
      </c>
      <c r="T278" s="86">
        <f t="shared" si="520"/>
        <v>0.68600000000000005</v>
      </c>
      <c r="U278" s="86">
        <v>0.98799999999999999</v>
      </c>
      <c r="V278" s="86">
        <f t="shared" si="521"/>
        <v>0.98799999999999999</v>
      </c>
      <c r="W278" s="86">
        <v>0.501</v>
      </c>
      <c r="X278" s="86">
        <f t="shared" si="522"/>
        <v>0.501</v>
      </c>
      <c r="Y278" s="86">
        <v>0.46500000000000002</v>
      </c>
      <c r="Z278" s="86">
        <f t="shared" si="523"/>
        <v>0.46500000000000002</v>
      </c>
      <c r="AA278" s="86">
        <v>92.5</v>
      </c>
      <c r="AB278" s="86">
        <f>K289</f>
        <v>129.45714285714286</v>
      </c>
    </row>
    <row r="279" spans="2:28" x14ac:dyDescent="0.35">
      <c r="B279" s="108">
        <v>2</v>
      </c>
      <c r="C279" s="86">
        <v>0.46400000000000002</v>
      </c>
      <c r="D279" s="86">
        <v>0.442</v>
      </c>
      <c r="E279" s="86">
        <v>0.24</v>
      </c>
      <c r="F279" s="86">
        <v>0.22600000000000001</v>
      </c>
      <c r="G279" s="86">
        <v>0.41</v>
      </c>
      <c r="H279" s="86">
        <v>0.42299999999999999</v>
      </c>
      <c r="I279" s="86">
        <v>0.41199999999999998</v>
      </c>
      <c r="J279" s="86">
        <v>0.42499999999999999</v>
      </c>
      <c r="K279" s="86">
        <v>0.51300000000000001</v>
      </c>
      <c r="L279" s="86">
        <f t="shared" si="524"/>
        <v>0.51300000000000001</v>
      </c>
      <c r="M279" s="86">
        <v>0.66500000000000004</v>
      </c>
      <c r="N279" s="86">
        <f t="shared" si="518"/>
        <v>0.66500000000000004</v>
      </c>
      <c r="O279" s="86">
        <v>0.627</v>
      </c>
      <c r="P279" s="86">
        <f t="shared" si="525"/>
        <v>0.627</v>
      </c>
      <c r="Q279" s="86">
        <v>0.78600000000000003</v>
      </c>
      <c r="R279" s="86">
        <f t="shared" si="519"/>
        <v>0.78600000000000003</v>
      </c>
      <c r="S279" s="86">
        <v>0.85799999999999998</v>
      </c>
      <c r="T279" s="86">
        <f t="shared" si="520"/>
        <v>0.85799999999999998</v>
      </c>
      <c r="U279" s="86">
        <v>1.2170000000000001</v>
      </c>
      <c r="V279" s="86">
        <f t="shared" si="521"/>
        <v>1.2170000000000001</v>
      </c>
      <c r="W279" s="86">
        <v>0.60799999999999998</v>
      </c>
      <c r="X279" s="86">
        <f t="shared" si="522"/>
        <v>0.60799999999999998</v>
      </c>
      <c r="Y279" s="86">
        <v>0.52700000000000002</v>
      </c>
      <c r="Z279" s="86">
        <f t="shared" si="523"/>
        <v>0.52700000000000002</v>
      </c>
      <c r="AA279" s="86">
        <f>N274</f>
        <v>116.5</v>
      </c>
      <c r="AB279" s="86">
        <f>M289</f>
        <v>214.33809523809529</v>
      </c>
    </row>
    <row r="280" spans="2:28" x14ac:dyDescent="0.35">
      <c r="B280" s="108">
        <v>2.5</v>
      </c>
      <c r="E280" s="86">
        <v>0.28199999999999997</v>
      </c>
      <c r="F280" s="86">
        <v>0.26600000000000001</v>
      </c>
      <c r="G280" s="86">
        <v>0.48499999999999999</v>
      </c>
      <c r="H280" s="86">
        <v>0.5</v>
      </c>
      <c r="I280" s="86">
        <v>0.49</v>
      </c>
      <c r="J280" s="86">
        <v>0.498</v>
      </c>
      <c r="K280" s="86">
        <v>0.60499999999999998</v>
      </c>
      <c r="L280" s="86">
        <f t="shared" si="524"/>
        <v>0.60499999999999998</v>
      </c>
      <c r="M280" s="86">
        <v>0.82</v>
      </c>
      <c r="N280" s="86">
        <f t="shared" si="518"/>
        <v>0.82</v>
      </c>
      <c r="O280" s="86">
        <v>0.74</v>
      </c>
      <c r="P280" s="86">
        <f t="shared" si="525"/>
        <v>0.74</v>
      </c>
      <c r="Q280" s="86">
        <v>0.94799999999999995</v>
      </c>
      <c r="R280" s="86">
        <f t="shared" si="519"/>
        <v>0.94799999999999995</v>
      </c>
      <c r="S280" s="86">
        <v>1.032</v>
      </c>
      <c r="T280" s="86">
        <f t="shared" si="520"/>
        <v>1.032</v>
      </c>
      <c r="U280" s="86">
        <v>1.46</v>
      </c>
      <c r="V280" s="86">
        <f t="shared" si="521"/>
        <v>1.46</v>
      </c>
      <c r="W280" s="86">
        <v>0.72399999999999998</v>
      </c>
      <c r="X280" s="86">
        <f t="shared" si="522"/>
        <v>0.72399999999999998</v>
      </c>
      <c r="Y280" s="86">
        <v>0.58399999999999996</v>
      </c>
      <c r="Z280" s="86">
        <f t="shared" si="523"/>
        <v>0.58399999999999996</v>
      </c>
      <c r="AA280" s="86">
        <v>140</v>
      </c>
      <c r="AB280" s="86">
        <f>O289</f>
        <v>192.92162698412696</v>
      </c>
    </row>
    <row r="281" spans="2:28" x14ac:dyDescent="0.35">
      <c r="B281" s="108">
        <v>3</v>
      </c>
      <c r="O281" s="86">
        <v>0.85099999999999998</v>
      </c>
      <c r="P281" s="86">
        <f t="shared" si="525"/>
        <v>0.85099999999999998</v>
      </c>
      <c r="AA281" s="86">
        <f>Q274</f>
        <v>222</v>
      </c>
      <c r="AB281" s="86">
        <f>Q289</f>
        <v>523.98015873015868</v>
      </c>
    </row>
    <row r="282" spans="2:28" x14ac:dyDescent="0.35">
      <c r="B282" s="86" t="s">
        <v>297</v>
      </c>
      <c r="C282" s="86">
        <f t="shared" ref="C282" si="526">SLOPE(C275:C281,$B275:$B281)</f>
        <v>0.17599999999999999</v>
      </c>
      <c r="D282" s="86">
        <f t="shared" ref="D282" si="527">SLOPE(D275:D281,$B275:$B281)</f>
        <v>0.1726</v>
      </c>
      <c r="E282" s="86">
        <f t="shared" ref="E282:N282" si="528">SLOPE(E275:E281,$B275:$B281)</f>
        <v>8.4571428571428575E-2</v>
      </c>
      <c r="F282" s="86">
        <f t="shared" si="528"/>
        <v>8.1199999999999994E-2</v>
      </c>
      <c r="G282" s="86">
        <f t="shared" si="528"/>
        <v>0.15160000000000001</v>
      </c>
      <c r="H282" s="86">
        <f t="shared" si="528"/>
        <v>0.15731428571428571</v>
      </c>
      <c r="I282" s="86">
        <f t="shared" si="528"/>
        <v>0.1532</v>
      </c>
      <c r="J282" s="86">
        <f t="shared" si="528"/>
        <v>0.15359999999999999</v>
      </c>
      <c r="K282" s="86">
        <f t="shared" si="528"/>
        <v>0.20262857142857144</v>
      </c>
      <c r="L282" s="86">
        <f t="shared" si="528"/>
        <v>0.20262857142857144</v>
      </c>
      <c r="M282" s="86">
        <f t="shared" si="528"/>
        <v>0.33548571428571433</v>
      </c>
      <c r="N282" s="86">
        <f t="shared" si="528"/>
        <v>0.33548571428571433</v>
      </c>
      <c r="O282" s="86">
        <f t="shared" ref="O282" si="529">SLOPE(O275:O281,$B275:$B281)</f>
        <v>0.24157142857142855</v>
      </c>
      <c r="P282" s="86">
        <f t="shared" ref="P282:V282" si="530">SLOPE(P275:P281,$B275:$B281)</f>
        <v>0.24157142857142855</v>
      </c>
      <c r="Q282" s="86">
        <f t="shared" si="530"/>
        <v>0.32805714285714282</v>
      </c>
      <c r="R282" s="86">
        <f t="shared" si="530"/>
        <v>0.32805714285714282</v>
      </c>
      <c r="S282" s="86">
        <f t="shared" si="530"/>
        <v>0.35702857142857142</v>
      </c>
      <c r="T282" s="86">
        <f t="shared" si="530"/>
        <v>0.35702857142857142</v>
      </c>
      <c r="U282" s="86">
        <f t="shared" si="530"/>
        <v>0.47057142857142853</v>
      </c>
      <c r="V282" s="86">
        <f t="shared" si="530"/>
        <v>0.47057142857142853</v>
      </c>
      <c r="W282" s="86">
        <f>SLOPE(W275:W281,$B275:$B281)</f>
        <v>0.2238285714285714</v>
      </c>
      <c r="X282" s="86">
        <f>SLOPE(X275:X281,$B275:$B281)</f>
        <v>0.2238285714285714</v>
      </c>
      <c r="Y282" s="86">
        <f>SLOPE(Y275:Y281,$B275:$B281)</f>
        <v>0.14062857142857144</v>
      </c>
      <c r="Z282" s="86">
        <f>SLOPE(Z275:Z281,$B275:$B281)</f>
        <v>0.14062857142857144</v>
      </c>
      <c r="AA282" s="86">
        <f>S274</f>
        <v>246</v>
      </c>
      <c r="AB282" s="86">
        <f>S289</f>
        <v>570.2539682539682</v>
      </c>
    </row>
    <row r="283" spans="2:28" x14ac:dyDescent="0.35">
      <c r="B283" s="86" t="s">
        <v>298</v>
      </c>
      <c r="C283" s="202">
        <f t="shared" ref="C283:D283" si="531">RSQ(C275:C281,$B275:$B281)</f>
        <v>0.9996798545920208</v>
      </c>
      <c r="D283" s="202">
        <f t="shared" si="531"/>
        <v>0.99965236205887564</v>
      </c>
      <c r="E283" s="202">
        <f t="shared" ref="E283:N283" si="532">RSQ(E275:E281,$B275:$B281)</f>
        <v>0.99985392930178263</v>
      </c>
      <c r="F283" s="202">
        <f t="shared" si="532"/>
        <v>0.99968116996759671</v>
      </c>
      <c r="G283" s="202">
        <f t="shared" si="532"/>
        <v>0.99976004123048445</v>
      </c>
      <c r="H283" s="202">
        <f t="shared" si="532"/>
        <v>0.99972967714490157</v>
      </c>
      <c r="I283" s="202">
        <f t="shared" si="532"/>
        <v>0.99975464303970007</v>
      </c>
      <c r="J283" s="202">
        <f t="shared" si="532"/>
        <v>0.99821283509341996</v>
      </c>
      <c r="K283" s="202">
        <f t="shared" si="532"/>
        <v>0.99903725499024087</v>
      </c>
      <c r="L283" s="202">
        <f t="shared" si="532"/>
        <v>0.99903725499024087</v>
      </c>
      <c r="M283" s="202">
        <f t="shared" si="532"/>
        <v>0.99912680932201503</v>
      </c>
      <c r="N283" s="202">
        <f t="shared" si="532"/>
        <v>0.99912680932201503</v>
      </c>
      <c r="O283" s="202">
        <f t="shared" ref="O283:V283" si="533">RSQ(O275:O281,$B275:$B281)</f>
        <v>0.99833150621801081</v>
      </c>
      <c r="P283" s="202">
        <f t="shared" si="533"/>
        <v>0.99833150621801081</v>
      </c>
      <c r="Q283" s="202">
        <f t="shared" si="533"/>
        <v>0.99986518432115479</v>
      </c>
      <c r="R283" s="202">
        <f t="shared" si="533"/>
        <v>0.99986518432115479</v>
      </c>
      <c r="S283" s="202">
        <f t="shared" si="533"/>
        <v>0.9996438199761275</v>
      </c>
      <c r="T283" s="202">
        <f t="shared" si="533"/>
        <v>0.9996438199761275</v>
      </c>
      <c r="U283" s="202">
        <f t="shared" si="533"/>
        <v>0.99965133071308854</v>
      </c>
      <c r="V283" s="202">
        <f t="shared" si="533"/>
        <v>0.99965133071308854</v>
      </c>
      <c r="W283" s="202">
        <f>RSQ(W275:W281,$B275:$B281)</f>
        <v>0.99976871940861867</v>
      </c>
      <c r="X283" s="202">
        <f>RSQ(X275:X281,$B275:$B281)</f>
        <v>0.99976871940861867</v>
      </c>
      <c r="Y283" s="202">
        <f>RSQ(Y275:Y281,$B275:$B281)</f>
        <v>0.99575208629328271</v>
      </c>
      <c r="Z283" s="202">
        <f>RSQ(Z275:Z281,$B275:$B281)</f>
        <v>0.99575208629328271</v>
      </c>
      <c r="AA283" s="226">
        <f>U274</f>
        <v>284.5</v>
      </c>
      <c r="AB283" s="226">
        <f>U289</f>
        <v>751.60714285714278</v>
      </c>
    </row>
    <row r="284" spans="2:28" x14ac:dyDescent="0.35">
      <c r="B284" s="86" t="s">
        <v>292</v>
      </c>
      <c r="C284" s="86">
        <v>36000</v>
      </c>
      <c r="D284" s="86">
        <v>36000</v>
      </c>
      <c r="E284" s="86">
        <v>36000</v>
      </c>
      <c r="F284" s="86">
        <v>36000</v>
      </c>
      <c r="G284" s="86">
        <v>36000</v>
      </c>
      <c r="H284" s="86">
        <v>36000</v>
      </c>
      <c r="I284" s="86">
        <v>36000</v>
      </c>
      <c r="J284" s="86">
        <v>36000</v>
      </c>
      <c r="K284" s="86">
        <v>36000</v>
      </c>
      <c r="L284" s="86">
        <v>36000</v>
      </c>
      <c r="M284" s="86">
        <v>36000</v>
      </c>
      <c r="N284" s="86">
        <v>36000</v>
      </c>
      <c r="O284" s="86">
        <v>36000</v>
      </c>
      <c r="P284" s="86">
        <v>36000</v>
      </c>
      <c r="Q284" s="86">
        <v>36000</v>
      </c>
      <c r="R284" s="86">
        <v>36000</v>
      </c>
      <c r="S284" s="86">
        <v>36000</v>
      </c>
      <c r="T284" s="86">
        <v>36000</v>
      </c>
      <c r="U284" s="86">
        <v>36000</v>
      </c>
      <c r="V284" s="86">
        <v>36000</v>
      </c>
      <c r="W284" s="86">
        <v>36000</v>
      </c>
      <c r="X284" s="86">
        <v>36000</v>
      </c>
      <c r="Y284" s="86">
        <v>36000</v>
      </c>
      <c r="Z284" s="86">
        <v>36000</v>
      </c>
      <c r="AA284" s="86">
        <f>W274</f>
        <v>357</v>
      </c>
      <c r="AB284" s="86">
        <f>W289</f>
        <v>715.00793650793651</v>
      </c>
    </row>
    <row r="285" spans="2:28" x14ac:dyDescent="0.35">
      <c r="B285" s="86" t="s">
        <v>296</v>
      </c>
      <c r="C285" s="86">
        <v>25</v>
      </c>
      <c r="D285" s="86">
        <v>25</v>
      </c>
      <c r="E285" s="86">
        <v>25</v>
      </c>
      <c r="F285" s="86">
        <v>25</v>
      </c>
      <c r="G285" s="86">
        <v>25</v>
      </c>
      <c r="H285" s="86">
        <v>25</v>
      </c>
      <c r="I285" s="86">
        <v>25</v>
      </c>
      <c r="J285" s="86">
        <v>25</v>
      </c>
      <c r="K285" s="86">
        <v>25</v>
      </c>
      <c r="L285" s="86">
        <v>25</v>
      </c>
      <c r="M285" s="86">
        <v>25</v>
      </c>
      <c r="N285" s="86">
        <v>25</v>
      </c>
      <c r="O285" s="86">
        <v>25</v>
      </c>
      <c r="P285" s="86">
        <v>25</v>
      </c>
      <c r="Q285" s="86">
        <v>25</v>
      </c>
      <c r="R285" s="86">
        <v>25</v>
      </c>
      <c r="S285" s="86">
        <v>25</v>
      </c>
      <c r="T285" s="86">
        <v>25</v>
      </c>
      <c r="U285" s="86">
        <v>25</v>
      </c>
      <c r="V285" s="86">
        <v>25</v>
      </c>
      <c r="W285" s="86">
        <v>25</v>
      </c>
      <c r="X285" s="86">
        <v>25</v>
      </c>
      <c r="Y285" s="86">
        <v>25</v>
      </c>
      <c r="Z285" s="86">
        <v>25</v>
      </c>
      <c r="AA285" s="86">
        <f>Y274</f>
        <v>406.5</v>
      </c>
      <c r="AB285" s="86">
        <f>Y289</f>
        <v>449.23015873015873</v>
      </c>
    </row>
    <row r="286" spans="2:28" x14ac:dyDescent="0.35">
      <c r="B286" s="86" t="s">
        <v>293</v>
      </c>
      <c r="C286" s="86">
        <v>2</v>
      </c>
      <c r="D286" s="86">
        <v>2</v>
      </c>
      <c r="E286" s="86">
        <v>10</v>
      </c>
      <c r="F286" s="86">
        <v>10</v>
      </c>
      <c r="G286" s="86">
        <v>10</v>
      </c>
      <c r="H286" s="86">
        <v>10</v>
      </c>
      <c r="I286" s="86">
        <v>20</v>
      </c>
      <c r="J286" s="86">
        <v>20</v>
      </c>
      <c r="K286" s="86">
        <v>40</v>
      </c>
      <c r="L286" s="86">
        <v>40</v>
      </c>
      <c r="M286" s="86">
        <v>40</v>
      </c>
      <c r="N286" s="86">
        <v>40</v>
      </c>
      <c r="O286" s="86">
        <v>50</v>
      </c>
      <c r="P286" s="86">
        <v>50</v>
      </c>
      <c r="Q286" s="86">
        <v>100</v>
      </c>
      <c r="R286" s="86">
        <v>100</v>
      </c>
      <c r="S286" s="86">
        <v>100</v>
      </c>
      <c r="T286" s="86">
        <v>100</v>
      </c>
      <c r="U286" s="86">
        <v>100</v>
      </c>
      <c r="V286" s="86">
        <v>100</v>
      </c>
      <c r="W286" s="86">
        <v>200</v>
      </c>
      <c r="X286" s="86">
        <v>200</v>
      </c>
      <c r="Y286" s="86">
        <v>200</v>
      </c>
      <c r="Z286" s="86">
        <v>200</v>
      </c>
    </row>
    <row r="287" spans="2:28" x14ac:dyDescent="0.35">
      <c r="B287" s="86" t="s">
        <v>294</v>
      </c>
      <c r="C287" s="86">
        <f t="shared" ref="C287:N287" si="534">(C282*C285*C286*10^6 / C284)/1000</f>
        <v>0.24444444444444441</v>
      </c>
      <c r="D287" s="86">
        <f t="shared" si="534"/>
        <v>0.23972222222222223</v>
      </c>
      <c r="E287" s="86">
        <f t="shared" si="534"/>
        <v>0.58730158730158721</v>
      </c>
      <c r="F287" s="86">
        <f t="shared" si="534"/>
        <v>0.56388888888888877</v>
      </c>
      <c r="G287" s="86">
        <f t="shared" si="534"/>
        <v>1.052777777777778</v>
      </c>
      <c r="H287" s="86">
        <f t="shared" si="534"/>
        <v>1.0924603174603176</v>
      </c>
      <c r="I287" s="86">
        <f t="shared" si="534"/>
        <v>2.1277777777777778</v>
      </c>
      <c r="J287" s="86">
        <f t="shared" si="534"/>
        <v>2.1333333333333333</v>
      </c>
      <c r="K287" s="86">
        <f t="shared" si="534"/>
        <v>5.6285714285714281</v>
      </c>
      <c r="L287" s="86">
        <f t="shared" si="534"/>
        <v>5.6285714285714281</v>
      </c>
      <c r="M287" s="86">
        <f t="shared" si="534"/>
        <v>9.3190476190476215</v>
      </c>
      <c r="N287" s="86">
        <f t="shared" si="534"/>
        <v>9.3190476190476215</v>
      </c>
      <c r="O287" s="86">
        <f t="shared" ref="O287" si="535">(O282*O285*O286*10^6 / O284)/1000</f>
        <v>8.3878968253968242</v>
      </c>
      <c r="P287" s="86">
        <f t="shared" ref="P287:V287" si="536">(P282*P285*P286*10^6 / P284)/1000</f>
        <v>8.3878968253968242</v>
      </c>
      <c r="Q287" s="86">
        <f t="shared" si="536"/>
        <v>22.781746031746028</v>
      </c>
      <c r="R287" s="86">
        <f t="shared" si="536"/>
        <v>22.781746031746028</v>
      </c>
      <c r="S287" s="86">
        <f t="shared" si="536"/>
        <v>24.793650793650791</v>
      </c>
      <c r="T287" s="86">
        <f t="shared" si="536"/>
        <v>24.793650793650791</v>
      </c>
      <c r="U287" s="86">
        <f t="shared" si="536"/>
        <v>32.678571428571423</v>
      </c>
      <c r="V287" s="86">
        <f t="shared" si="536"/>
        <v>32.678571428571423</v>
      </c>
      <c r="W287" s="86">
        <f>(W282*W285*W286*10^6 / W284)/1000</f>
        <v>31.087301587301585</v>
      </c>
      <c r="X287" s="86">
        <f t="shared" ref="X287" si="537">(X282*X285*X286*10^6 / X284)/1000</f>
        <v>31.087301587301585</v>
      </c>
      <c r="Y287" s="86">
        <f>(Y282*Y285*Y286*10^6 / Y284)/1000</f>
        <v>19.531746031746032</v>
      </c>
      <c r="Z287" s="86">
        <f t="shared" ref="Z287" si="538">(Z282*Z285*Z286*10^6 / Z284)/1000</f>
        <v>19.531746031746032</v>
      </c>
    </row>
    <row r="288" spans="2:28" x14ac:dyDescent="0.35">
      <c r="B288" s="86" t="s">
        <v>295</v>
      </c>
      <c r="C288" s="86">
        <f t="shared" ref="C288:N288" si="539">C287*23</f>
        <v>5.6222222222222218</v>
      </c>
      <c r="D288" s="86">
        <f t="shared" si="539"/>
        <v>5.5136111111111115</v>
      </c>
      <c r="E288" s="86">
        <f t="shared" si="539"/>
        <v>13.507936507936506</v>
      </c>
      <c r="F288" s="86">
        <f t="shared" si="539"/>
        <v>12.969444444444441</v>
      </c>
      <c r="G288" s="86">
        <f t="shared" si="539"/>
        <v>24.213888888888896</v>
      </c>
      <c r="H288" s="86">
        <f t="shared" si="539"/>
        <v>25.126587301587303</v>
      </c>
      <c r="I288" s="86">
        <f t="shared" si="539"/>
        <v>48.93888888888889</v>
      </c>
      <c r="J288" s="86">
        <f t="shared" si="539"/>
        <v>49.066666666666663</v>
      </c>
      <c r="K288" s="86">
        <f t="shared" si="539"/>
        <v>129.45714285714286</v>
      </c>
      <c r="L288" s="86">
        <f t="shared" si="539"/>
        <v>129.45714285714286</v>
      </c>
      <c r="M288" s="86">
        <f t="shared" si="539"/>
        <v>214.33809523809529</v>
      </c>
      <c r="N288" s="86">
        <f t="shared" si="539"/>
        <v>214.33809523809529</v>
      </c>
      <c r="O288" s="86">
        <f t="shared" ref="O288" si="540">O287*23</f>
        <v>192.92162698412696</v>
      </c>
      <c r="P288" s="86">
        <f t="shared" ref="P288:V288" si="541">P287*23</f>
        <v>192.92162698412696</v>
      </c>
      <c r="Q288" s="86">
        <f t="shared" si="541"/>
        <v>523.98015873015868</v>
      </c>
      <c r="R288" s="86">
        <f t="shared" si="541"/>
        <v>523.98015873015868</v>
      </c>
      <c r="S288" s="86">
        <f t="shared" si="541"/>
        <v>570.2539682539682</v>
      </c>
      <c r="T288" s="86">
        <f t="shared" si="541"/>
        <v>570.2539682539682</v>
      </c>
      <c r="U288" s="86">
        <f t="shared" si="541"/>
        <v>751.60714285714278</v>
      </c>
      <c r="V288" s="86">
        <f t="shared" si="541"/>
        <v>751.60714285714278</v>
      </c>
      <c r="W288" s="86">
        <f>W287*23</f>
        <v>715.00793650793651</v>
      </c>
      <c r="X288" s="86">
        <f t="shared" ref="X288" si="542">X287*23</f>
        <v>715.00793650793651</v>
      </c>
      <c r="Y288" s="86">
        <f>Y287*23</f>
        <v>449.23015873015873</v>
      </c>
      <c r="Z288" s="86">
        <f t="shared" ref="Z288" si="543">Z287*23</f>
        <v>449.23015873015873</v>
      </c>
    </row>
    <row r="289" spans="2:26" s="108" customFormat="1" x14ac:dyDescent="0.35">
      <c r="B289" s="108" t="s">
        <v>299</v>
      </c>
      <c r="C289" s="330">
        <f>AVERAGE(C288:D288)</f>
        <v>5.5679166666666671</v>
      </c>
      <c r="D289" s="330"/>
      <c r="E289" s="330">
        <f>AVERAGE(E288:F288)</f>
        <v>13.238690476190474</v>
      </c>
      <c r="F289" s="330"/>
      <c r="G289" s="330">
        <f>AVERAGE(G288:H288)</f>
        <v>24.670238095238098</v>
      </c>
      <c r="H289" s="330"/>
      <c r="I289" s="330">
        <f>AVERAGE(I288:J288)</f>
        <v>49.00277777777778</v>
      </c>
      <c r="J289" s="330"/>
      <c r="K289" s="330">
        <f>AVERAGE(K288:L288)</f>
        <v>129.45714285714286</v>
      </c>
      <c r="L289" s="330"/>
      <c r="M289" s="330">
        <f>AVERAGE(M288:N288)</f>
        <v>214.33809523809529</v>
      </c>
      <c r="N289" s="330"/>
      <c r="O289" s="330">
        <f>AVERAGE(O288:P288)</f>
        <v>192.92162698412696</v>
      </c>
      <c r="P289" s="330"/>
      <c r="Q289" s="330">
        <f>AVERAGE(Q288:R288)</f>
        <v>523.98015873015868</v>
      </c>
      <c r="R289" s="330"/>
      <c r="S289" s="330">
        <f>AVERAGE(S288:T288)</f>
        <v>570.2539682539682</v>
      </c>
      <c r="T289" s="330"/>
      <c r="U289" s="330">
        <f>AVERAGE(U288:V288)</f>
        <v>751.60714285714278</v>
      </c>
      <c r="V289" s="330"/>
      <c r="W289" s="330">
        <f>AVERAGE(W288:X288)</f>
        <v>715.00793650793651</v>
      </c>
      <c r="X289" s="330"/>
      <c r="Y289" s="330">
        <f>AVERAGE(Y288:Z288)</f>
        <v>449.23015873015873</v>
      </c>
      <c r="Z289" s="330"/>
    </row>
    <row r="290" spans="2:26" ht="15" thickBot="1" x14ac:dyDescent="0.4"/>
    <row r="291" spans="2:26" ht="15" thickBot="1" x14ac:dyDescent="0.4">
      <c r="B291" s="338" t="s">
        <v>315</v>
      </c>
      <c r="C291" s="339"/>
      <c r="D291" s="339"/>
      <c r="E291" s="339"/>
      <c r="F291" s="339"/>
      <c r="G291" s="339"/>
      <c r="H291" s="339"/>
      <c r="I291" s="339"/>
      <c r="J291" s="340"/>
      <c r="Y291" s="86" t="s">
        <v>404</v>
      </c>
    </row>
    <row r="292" spans="2:26" x14ac:dyDescent="0.35">
      <c r="B292" s="87" t="s">
        <v>290</v>
      </c>
      <c r="C292" s="108">
        <v>0</v>
      </c>
      <c r="D292" s="108">
        <v>0</v>
      </c>
      <c r="E292" s="108">
        <v>11</v>
      </c>
      <c r="F292" s="108">
        <v>11</v>
      </c>
      <c r="G292" s="108">
        <f>F292+24.5</f>
        <v>35.5</v>
      </c>
      <c r="H292" s="108">
        <f>G292</f>
        <v>35.5</v>
      </c>
      <c r="I292" s="108">
        <f>H292+24+23.5</f>
        <v>83</v>
      </c>
      <c r="J292" s="108">
        <f>I292</f>
        <v>83</v>
      </c>
      <c r="K292" s="108">
        <f>J292+23.5</f>
        <v>106.5</v>
      </c>
      <c r="L292" s="108">
        <f>K292</f>
        <v>106.5</v>
      </c>
      <c r="M292" s="108">
        <f>L292+24.5</f>
        <v>131</v>
      </c>
      <c r="N292" s="108">
        <f>M292</f>
        <v>131</v>
      </c>
      <c r="O292" s="108">
        <f>N292+33.5</f>
        <v>164.5</v>
      </c>
      <c r="P292" s="108">
        <f>O292</f>
        <v>164.5</v>
      </c>
      <c r="Q292" s="108">
        <f>P292+24</f>
        <v>188.5</v>
      </c>
      <c r="R292" s="108">
        <f>Q292</f>
        <v>188.5</v>
      </c>
      <c r="S292" s="108">
        <f>R292+38.5</f>
        <v>227</v>
      </c>
      <c r="T292" s="108">
        <f>S292</f>
        <v>227</v>
      </c>
      <c r="U292" s="108">
        <f>T292+72.5</f>
        <v>299.5</v>
      </c>
      <c r="V292" s="108">
        <f>U292</f>
        <v>299.5</v>
      </c>
      <c r="W292" s="108">
        <f>V292+49.5</f>
        <v>349</v>
      </c>
      <c r="X292" s="108">
        <f>W292</f>
        <v>349</v>
      </c>
      <c r="Y292" s="86">
        <v>0</v>
      </c>
    </row>
    <row r="293" spans="2:26" x14ac:dyDescent="0.35">
      <c r="B293" s="108">
        <v>0</v>
      </c>
      <c r="E293" s="86">
        <v>4.8000000000000001E-2</v>
      </c>
      <c r="F293" s="86">
        <v>4.8000000000000001E-2</v>
      </c>
      <c r="G293" s="86">
        <v>1.4999999999999999E-2</v>
      </c>
      <c r="H293" s="86">
        <f>G293</f>
        <v>1.4999999999999999E-2</v>
      </c>
      <c r="I293" s="86">
        <v>0.20799999999999999</v>
      </c>
      <c r="J293" s="86">
        <f t="shared" ref="J293:J298" si="544">I293</f>
        <v>0.20799999999999999</v>
      </c>
      <c r="K293" s="86">
        <v>0.28599999999999998</v>
      </c>
      <c r="L293" s="86">
        <f t="shared" ref="L293:L298" si="545">K293</f>
        <v>0.28599999999999998</v>
      </c>
      <c r="M293" s="86">
        <v>5.5E-2</v>
      </c>
      <c r="N293" s="86">
        <f t="shared" ref="N293:N298" si="546">M293</f>
        <v>5.5E-2</v>
      </c>
      <c r="O293" s="86">
        <v>0.13700000000000001</v>
      </c>
      <c r="P293" s="86">
        <f t="shared" ref="P293" si="547">O293</f>
        <v>0.13700000000000001</v>
      </c>
      <c r="Q293" s="86">
        <v>0.151</v>
      </c>
      <c r="R293" s="86">
        <f t="shared" ref="R293:R298" si="548">Q293</f>
        <v>0.151</v>
      </c>
      <c r="S293" s="86">
        <v>0.23499999999999999</v>
      </c>
      <c r="T293" s="86">
        <f t="shared" ref="T293:T298" si="549">S293</f>
        <v>0.23499999999999999</v>
      </c>
      <c r="U293" s="86">
        <v>0.122</v>
      </c>
      <c r="V293" s="86">
        <f t="shared" ref="V293:V298" si="550">U293</f>
        <v>0.122</v>
      </c>
      <c r="W293" s="86">
        <v>0.189</v>
      </c>
      <c r="X293" s="86">
        <f t="shared" ref="X293:X298" si="551">W293</f>
        <v>0.189</v>
      </c>
      <c r="Y293" s="86">
        <v>11</v>
      </c>
      <c r="Z293" s="86">
        <f>E307</f>
        <v>11.819444444444446</v>
      </c>
    </row>
    <row r="294" spans="2:26" x14ac:dyDescent="0.35">
      <c r="B294" s="108">
        <v>0.5</v>
      </c>
      <c r="E294" s="86">
        <v>9.4E-2</v>
      </c>
      <c r="F294" s="86">
        <v>9.4E-2</v>
      </c>
      <c r="G294" s="86">
        <v>4.8000000000000001E-2</v>
      </c>
      <c r="H294" s="86">
        <f t="shared" ref="H294:H298" si="552">G294</f>
        <v>4.8000000000000001E-2</v>
      </c>
      <c r="I294" s="86">
        <v>0.41399999999999998</v>
      </c>
      <c r="J294" s="86">
        <f t="shared" si="544"/>
        <v>0.41399999999999998</v>
      </c>
      <c r="K294" s="86">
        <v>0.57699999999999996</v>
      </c>
      <c r="L294" s="86">
        <f t="shared" si="545"/>
        <v>0.57699999999999996</v>
      </c>
      <c r="M294" s="86">
        <v>0.253</v>
      </c>
      <c r="N294" s="86">
        <f t="shared" si="546"/>
        <v>0.253</v>
      </c>
      <c r="O294" s="86">
        <v>0.34100000000000003</v>
      </c>
      <c r="P294" s="86">
        <f t="shared" ref="P294" si="553">O294</f>
        <v>0.34100000000000003</v>
      </c>
      <c r="Q294" s="86">
        <v>0.36799999999999999</v>
      </c>
      <c r="R294" s="86">
        <f t="shared" si="548"/>
        <v>0.36799999999999999</v>
      </c>
      <c r="S294" s="86">
        <v>0.45600000000000002</v>
      </c>
      <c r="T294" s="86">
        <f t="shared" si="549"/>
        <v>0.45600000000000002</v>
      </c>
      <c r="U294" s="86">
        <v>0.20399999999999999</v>
      </c>
      <c r="V294" s="86">
        <f t="shared" si="550"/>
        <v>0.20399999999999999</v>
      </c>
      <c r="W294" s="86">
        <v>0.22</v>
      </c>
      <c r="X294" s="86">
        <f t="shared" si="551"/>
        <v>0.22</v>
      </c>
      <c r="Y294" s="86">
        <v>35.5</v>
      </c>
      <c r="Z294" s="86">
        <f>G307</f>
        <v>37.274603174603172</v>
      </c>
    </row>
    <row r="295" spans="2:26" x14ac:dyDescent="0.35">
      <c r="B295" s="108">
        <v>1</v>
      </c>
      <c r="E295" s="86">
        <v>0.13</v>
      </c>
      <c r="F295" s="86">
        <v>0.13</v>
      </c>
      <c r="G295" s="86">
        <v>7.8E-2</v>
      </c>
      <c r="H295" s="86">
        <f t="shared" si="552"/>
        <v>7.8E-2</v>
      </c>
      <c r="I295" s="86">
        <v>0.59699999999999998</v>
      </c>
      <c r="J295" s="86">
        <f t="shared" si="544"/>
        <v>0.59699999999999998</v>
      </c>
      <c r="K295" s="86">
        <v>0.84699999999999998</v>
      </c>
      <c r="L295" s="86">
        <f t="shared" si="545"/>
        <v>0.84699999999999998</v>
      </c>
      <c r="M295" s="86">
        <v>0.433</v>
      </c>
      <c r="N295" s="86">
        <f t="shared" si="546"/>
        <v>0.433</v>
      </c>
      <c r="O295" s="86">
        <v>0.52800000000000002</v>
      </c>
      <c r="P295" s="86">
        <f t="shared" ref="P295" si="554">O295</f>
        <v>0.52800000000000002</v>
      </c>
      <c r="Q295" s="86">
        <v>0.56499999999999995</v>
      </c>
      <c r="R295" s="86">
        <f t="shared" si="548"/>
        <v>0.56499999999999995</v>
      </c>
      <c r="S295" s="86">
        <v>0.66500000000000004</v>
      </c>
      <c r="T295" s="86">
        <f t="shared" si="549"/>
        <v>0.66500000000000004</v>
      </c>
      <c r="U295" s="86">
        <v>0.27400000000000002</v>
      </c>
      <c r="V295" s="86">
        <f t="shared" si="550"/>
        <v>0.27400000000000002</v>
      </c>
      <c r="W295" s="86">
        <v>0.254</v>
      </c>
      <c r="X295" s="86">
        <f t="shared" si="551"/>
        <v>0.254</v>
      </c>
      <c r="Y295" s="86">
        <f>I292</f>
        <v>83</v>
      </c>
      <c r="Z295" s="86">
        <f>I307</f>
        <v>251.13809523809522</v>
      </c>
    </row>
    <row r="296" spans="2:26" x14ac:dyDescent="0.35">
      <c r="B296" s="108">
        <v>1.5</v>
      </c>
      <c r="E296" s="86">
        <v>0.16400000000000001</v>
      </c>
      <c r="F296" s="86">
        <v>0.16400000000000001</v>
      </c>
      <c r="G296" s="86">
        <v>0.108</v>
      </c>
      <c r="H296" s="86">
        <f t="shared" si="552"/>
        <v>0.108</v>
      </c>
      <c r="I296" s="86">
        <v>0.79300000000000004</v>
      </c>
      <c r="J296" s="86">
        <f t="shared" si="544"/>
        <v>0.79300000000000004</v>
      </c>
      <c r="K296" s="86">
        <v>1.121</v>
      </c>
      <c r="L296" s="86">
        <f t="shared" si="545"/>
        <v>1.121</v>
      </c>
      <c r="M296" s="86">
        <v>0.61099999999999999</v>
      </c>
      <c r="N296" s="86">
        <f t="shared" si="546"/>
        <v>0.61099999999999999</v>
      </c>
      <c r="O296" s="86">
        <v>0.71299999999999997</v>
      </c>
      <c r="P296" s="86">
        <f t="shared" ref="P296" si="555">O296</f>
        <v>0.71299999999999997</v>
      </c>
      <c r="Q296" s="86">
        <v>0.76600000000000001</v>
      </c>
      <c r="R296" s="86">
        <f t="shared" si="548"/>
        <v>0.76600000000000001</v>
      </c>
      <c r="S296" s="86">
        <v>0.86399999999999999</v>
      </c>
      <c r="T296" s="86">
        <f t="shared" si="549"/>
        <v>0.86399999999999999</v>
      </c>
      <c r="U296" s="86">
        <v>0.35199999999999998</v>
      </c>
      <c r="V296" s="86">
        <f t="shared" si="550"/>
        <v>0.35199999999999998</v>
      </c>
      <c r="W296" s="86">
        <v>0.30199999999999999</v>
      </c>
      <c r="X296" s="86">
        <f t="shared" si="551"/>
        <v>0.30199999999999999</v>
      </c>
      <c r="Y296" s="86">
        <f>K292</f>
        <v>106.5</v>
      </c>
      <c r="Z296" s="86">
        <f>K307</f>
        <v>432.39087301587301</v>
      </c>
    </row>
    <row r="297" spans="2:26" x14ac:dyDescent="0.35">
      <c r="B297" s="108">
        <v>2</v>
      </c>
      <c r="E297" s="86">
        <v>0.19800000000000001</v>
      </c>
      <c r="F297" s="86">
        <v>0.19800000000000001</v>
      </c>
      <c r="G297" s="86">
        <v>0.13500000000000001</v>
      </c>
      <c r="H297" s="86">
        <f t="shared" si="552"/>
        <v>0.13500000000000001</v>
      </c>
      <c r="I297" s="86">
        <v>0.995</v>
      </c>
      <c r="J297" s="86">
        <f t="shared" si="544"/>
        <v>0.995</v>
      </c>
      <c r="K297" s="86">
        <v>1.3839999999999999</v>
      </c>
      <c r="L297" s="86">
        <f t="shared" si="545"/>
        <v>1.3839999999999999</v>
      </c>
      <c r="M297" s="86">
        <v>0.78900000000000003</v>
      </c>
      <c r="N297" s="86">
        <f t="shared" si="546"/>
        <v>0.78900000000000003</v>
      </c>
      <c r="O297" s="86">
        <v>0.89500000000000002</v>
      </c>
      <c r="P297" s="86">
        <f t="shared" ref="P297" si="556">O297</f>
        <v>0.89500000000000002</v>
      </c>
      <c r="Q297" s="86">
        <v>0.96599999999999997</v>
      </c>
      <c r="R297" s="86">
        <f t="shared" si="548"/>
        <v>0.96599999999999997</v>
      </c>
      <c r="S297" s="86">
        <v>1.0489999999999999</v>
      </c>
      <c r="T297" s="86">
        <f t="shared" si="549"/>
        <v>1.0489999999999999</v>
      </c>
      <c r="U297" s="86">
        <v>0.42499999999999999</v>
      </c>
      <c r="V297" s="86">
        <f t="shared" si="550"/>
        <v>0.42499999999999999</v>
      </c>
      <c r="W297" s="86">
        <v>0.34300000000000003</v>
      </c>
      <c r="X297" s="86">
        <f t="shared" si="551"/>
        <v>0.34300000000000003</v>
      </c>
      <c r="Y297" s="86">
        <f>M292</f>
        <v>131</v>
      </c>
      <c r="Z297" s="86">
        <f>M307</f>
        <v>579.65476190476181</v>
      </c>
    </row>
    <row r="298" spans="2:26" x14ac:dyDescent="0.35">
      <c r="B298" s="108">
        <v>2.5</v>
      </c>
      <c r="G298" s="86">
        <v>0.161</v>
      </c>
      <c r="H298" s="86">
        <f t="shared" si="552"/>
        <v>0.161</v>
      </c>
      <c r="I298" s="86">
        <v>1.196</v>
      </c>
      <c r="J298" s="86">
        <f t="shared" si="544"/>
        <v>1.196</v>
      </c>
      <c r="K298" s="86">
        <v>1.6419999999999999</v>
      </c>
      <c r="L298" s="86">
        <f t="shared" si="545"/>
        <v>1.6419999999999999</v>
      </c>
      <c r="M298" s="86">
        <v>0.96799999999999997</v>
      </c>
      <c r="N298" s="86">
        <f t="shared" si="546"/>
        <v>0.96799999999999997</v>
      </c>
      <c r="O298" s="86">
        <v>1.077</v>
      </c>
      <c r="P298" s="86">
        <f t="shared" ref="P298" si="557">O298</f>
        <v>1.077</v>
      </c>
      <c r="Q298" s="86">
        <v>1.163</v>
      </c>
      <c r="R298" s="86">
        <f t="shared" si="548"/>
        <v>1.163</v>
      </c>
      <c r="S298" s="86">
        <v>1.2450000000000001</v>
      </c>
      <c r="T298" s="86">
        <f t="shared" si="549"/>
        <v>1.2450000000000001</v>
      </c>
      <c r="U298" s="86">
        <v>0.49199999999999999</v>
      </c>
      <c r="V298" s="86">
        <f t="shared" si="550"/>
        <v>0.49199999999999999</v>
      </c>
      <c r="W298" s="86">
        <v>0.38400000000000001</v>
      </c>
      <c r="X298" s="86">
        <f t="shared" si="551"/>
        <v>0.38400000000000001</v>
      </c>
      <c r="Y298" s="86">
        <f>O292</f>
        <v>164.5</v>
      </c>
      <c r="Z298" s="86">
        <f>O307</f>
        <v>597.54365079365061</v>
      </c>
    </row>
    <row r="299" spans="2:26" x14ac:dyDescent="0.35">
      <c r="B299" s="108">
        <v>3</v>
      </c>
      <c r="Y299" s="226">
        <f>Q292</f>
        <v>188.5</v>
      </c>
      <c r="Z299" s="226">
        <f>Q307</f>
        <v>643.90873015873024</v>
      </c>
    </row>
    <row r="300" spans="2:26" x14ac:dyDescent="0.35">
      <c r="B300" s="86" t="s">
        <v>297</v>
      </c>
      <c r="C300" s="86" t="e">
        <f t="shared" ref="C300" si="558">SLOPE(C293:C299,$B293:$B299)</f>
        <v>#DIV/0!</v>
      </c>
      <c r="D300" s="86" t="e">
        <f t="shared" ref="D300" si="559">SLOPE(D293:D299,$B293:$B299)</f>
        <v>#DIV/0!</v>
      </c>
      <c r="E300" s="86">
        <f>SLOPE(E293:E299,$B293:$B299)</f>
        <v>7.3999999999999996E-2</v>
      </c>
      <c r="F300" s="86">
        <f>SLOPE(F293:F299,$B293:$B299)</f>
        <v>7.3999999999999996E-2</v>
      </c>
      <c r="G300" s="86">
        <f>SLOPE(G293:G299,$B293:$B299)</f>
        <v>5.8342857142857148E-2</v>
      </c>
      <c r="H300" s="86">
        <f>SLOPE(H293:H299,$B293:$B299)</f>
        <v>5.8342857142857148E-2</v>
      </c>
      <c r="I300" s="86">
        <f t="shared" ref="I300" si="560">SLOPE(I293:I299,$B293:$B299)</f>
        <v>0.39308571428571426</v>
      </c>
      <c r="J300" s="86">
        <f t="shared" ref="J300:T300" si="561">SLOPE(J293:J299,$B293:$B299)</f>
        <v>0.39308571428571426</v>
      </c>
      <c r="K300" s="86">
        <f t="shared" si="561"/>
        <v>0.54142857142857137</v>
      </c>
      <c r="L300" s="86">
        <f t="shared" si="561"/>
        <v>0.54142857142857137</v>
      </c>
      <c r="M300" s="86">
        <f t="shared" si="561"/>
        <v>0.36291428571428569</v>
      </c>
      <c r="N300" s="86">
        <f t="shared" si="561"/>
        <v>0.36291428571428569</v>
      </c>
      <c r="O300" s="86">
        <f t="shared" si="561"/>
        <v>0.37411428571428562</v>
      </c>
      <c r="P300" s="86">
        <f t="shared" si="561"/>
        <v>0.37411428571428562</v>
      </c>
      <c r="Q300" s="86">
        <f t="shared" si="561"/>
        <v>0.40314285714285714</v>
      </c>
      <c r="R300" s="86">
        <f t="shared" si="561"/>
        <v>0.40314285714285714</v>
      </c>
      <c r="S300" s="86">
        <f t="shared" si="561"/>
        <v>0.40160000000000001</v>
      </c>
      <c r="T300" s="86">
        <f t="shared" si="561"/>
        <v>0.40160000000000001</v>
      </c>
      <c r="U300" s="86">
        <f>SLOPE(U293:U299,$B293:$B299)</f>
        <v>0.14805714285714286</v>
      </c>
      <c r="V300" s="86">
        <f>SLOPE(V293:V299,$B293:$B299)</f>
        <v>0.14805714285714286</v>
      </c>
      <c r="W300" s="86">
        <f>SLOPE(W293:W299,$B293:$B299)</f>
        <v>7.9542857142857165E-2</v>
      </c>
      <c r="X300" s="86">
        <f>SLOPE(X293:X299,$B293:$B299)</f>
        <v>7.9542857142857165E-2</v>
      </c>
      <c r="Y300" s="86">
        <f>S292</f>
        <v>227</v>
      </c>
      <c r="Z300" s="86">
        <f>S307</f>
        <v>641.44444444444446</v>
      </c>
    </row>
    <row r="301" spans="2:26" x14ac:dyDescent="0.35">
      <c r="B301" s="86" t="s">
        <v>298</v>
      </c>
      <c r="C301" s="202" t="e">
        <f t="shared" ref="C301:D301" si="562">RSQ(C293:C299,$B293:$B299)</f>
        <v>#DIV/0!</v>
      </c>
      <c r="D301" s="202" t="e">
        <f t="shared" si="562"/>
        <v>#DIV/0!</v>
      </c>
      <c r="E301" s="202">
        <f>RSQ(E293:E299,$B293:$B299)</f>
        <v>0.99572326312114479</v>
      </c>
      <c r="F301" s="202">
        <f>RSQ(F293:F299,$B293:$B299)</f>
        <v>0.99572326312114479</v>
      </c>
      <c r="G301" s="202">
        <f>RSQ(G293:G299,$B293:$B299)</f>
        <v>0.9982023361331398</v>
      </c>
      <c r="H301" s="202">
        <f>RSQ(H293:H299,$B293:$B299)</f>
        <v>0.9982023361331398</v>
      </c>
      <c r="I301" s="202">
        <f t="shared" ref="I301:T301" si="563">RSQ(I293:I299,$B293:$B299)</f>
        <v>0.99978060901913679</v>
      </c>
      <c r="J301" s="202">
        <f t="shared" si="563"/>
        <v>0.99978060901913679</v>
      </c>
      <c r="K301" s="202">
        <f t="shared" si="563"/>
        <v>0.99962750610568407</v>
      </c>
      <c r="L301" s="202">
        <f t="shared" si="563"/>
        <v>0.99962750610568407</v>
      </c>
      <c r="M301" s="202">
        <f t="shared" si="563"/>
        <v>0.99966746486279945</v>
      </c>
      <c r="N301" s="202">
        <f t="shared" si="563"/>
        <v>0.99966746486279945</v>
      </c>
      <c r="O301" s="202">
        <f t="shared" si="563"/>
        <v>0.99959959930390818</v>
      </c>
      <c r="P301" s="202">
        <f t="shared" si="563"/>
        <v>0.99959959930390818</v>
      </c>
      <c r="Q301" s="202">
        <f t="shared" si="563"/>
        <v>0.99979243398438211</v>
      </c>
      <c r="R301" s="202">
        <f t="shared" si="563"/>
        <v>0.99979243398438211</v>
      </c>
      <c r="S301" s="202">
        <f t="shared" si="563"/>
        <v>0.99905966794819412</v>
      </c>
      <c r="T301" s="202">
        <f t="shared" si="563"/>
        <v>0.99905966794819412</v>
      </c>
      <c r="U301" s="202">
        <f>RSQ(U293:U299,$B293:$B299)</f>
        <v>0.99925516705528272</v>
      </c>
      <c r="V301" s="202">
        <f>RSQ(V293:V299,$B293:$B299)</f>
        <v>0.99925516705528272</v>
      </c>
      <c r="W301" s="202">
        <f>RSQ(W293:W299,$B293:$B299)</f>
        <v>0.99564471209676608</v>
      </c>
      <c r="X301" s="202">
        <f>RSQ(X293:X299,$B293:$B299)</f>
        <v>0.99564471209676608</v>
      </c>
      <c r="Y301" s="86">
        <f>U292</f>
        <v>299.5</v>
      </c>
      <c r="Z301" s="86">
        <f>U307</f>
        <v>472.96031746031753</v>
      </c>
    </row>
    <row r="302" spans="2:26" x14ac:dyDescent="0.35">
      <c r="B302" s="86" t="s">
        <v>292</v>
      </c>
      <c r="C302" s="86">
        <v>36000</v>
      </c>
      <c r="D302" s="86">
        <v>36000</v>
      </c>
      <c r="E302" s="86">
        <v>36000</v>
      </c>
      <c r="F302" s="86">
        <v>36000</v>
      </c>
      <c r="G302" s="86">
        <v>36000</v>
      </c>
      <c r="H302" s="86">
        <v>36000</v>
      </c>
      <c r="I302" s="86">
        <v>36000</v>
      </c>
      <c r="J302" s="86">
        <v>36000</v>
      </c>
      <c r="K302" s="86">
        <v>36000</v>
      </c>
      <c r="L302" s="86">
        <v>36000</v>
      </c>
      <c r="M302" s="86">
        <v>36000</v>
      </c>
      <c r="N302" s="86">
        <v>36000</v>
      </c>
      <c r="O302" s="86">
        <v>36000</v>
      </c>
      <c r="P302" s="86">
        <v>36000</v>
      </c>
      <c r="Q302" s="86">
        <v>36000</v>
      </c>
      <c r="R302" s="86">
        <v>36000</v>
      </c>
      <c r="S302" s="86">
        <v>36000</v>
      </c>
      <c r="T302" s="86">
        <v>36000</v>
      </c>
      <c r="U302" s="86">
        <v>36000</v>
      </c>
      <c r="V302" s="86">
        <v>36000</v>
      </c>
      <c r="W302" s="86">
        <v>36000</v>
      </c>
      <c r="X302" s="86">
        <v>36000</v>
      </c>
      <c r="Y302" s="86">
        <f>W292</f>
        <v>349</v>
      </c>
      <c r="Z302" s="86">
        <f>W307</f>
        <v>254.09523809523819</v>
      </c>
    </row>
    <row r="303" spans="2:26" x14ac:dyDescent="0.35">
      <c r="B303" s="86" t="s">
        <v>296</v>
      </c>
      <c r="C303" s="86">
        <v>25</v>
      </c>
      <c r="D303" s="86">
        <v>25</v>
      </c>
      <c r="E303" s="86">
        <v>25</v>
      </c>
      <c r="F303" s="86">
        <v>25</v>
      </c>
      <c r="G303" s="86">
        <v>25</v>
      </c>
      <c r="H303" s="86">
        <v>25</v>
      </c>
      <c r="I303" s="86">
        <v>25</v>
      </c>
      <c r="J303" s="86">
        <v>25</v>
      </c>
      <c r="K303" s="86">
        <v>25</v>
      </c>
      <c r="L303" s="86">
        <v>25</v>
      </c>
      <c r="M303" s="86">
        <v>25</v>
      </c>
      <c r="N303" s="86">
        <v>25</v>
      </c>
      <c r="O303" s="86">
        <v>25</v>
      </c>
      <c r="P303" s="86">
        <v>25</v>
      </c>
      <c r="Q303" s="86">
        <v>25</v>
      </c>
      <c r="R303" s="86">
        <v>25</v>
      </c>
      <c r="S303" s="86">
        <v>25</v>
      </c>
      <c r="T303" s="86">
        <v>25</v>
      </c>
      <c r="U303" s="86">
        <v>25</v>
      </c>
      <c r="V303" s="86">
        <v>25</v>
      </c>
      <c r="W303" s="86">
        <v>25</v>
      </c>
      <c r="X303" s="86">
        <v>25</v>
      </c>
    </row>
    <row r="304" spans="2:26" x14ac:dyDescent="0.35">
      <c r="B304" s="86" t="s">
        <v>293</v>
      </c>
      <c r="C304" s="86">
        <v>2</v>
      </c>
      <c r="D304" s="86">
        <v>2</v>
      </c>
      <c r="E304" s="86">
        <v>10</v>
      </c>
      <c r="F304" s="86">
        <v>10</v>
      </c>
      <c r="G304" s="86">
        <v>40</v>
      </c>
      <c r="H304" s="86">
        <v>40</v>
      </c>
      <c r="I304" s="86">
        <v>40</v>
      </c>
      <c r="J304" s="86">
        <v>40</v>
      </c>
      <c r="K304" s="86">
        <v>50</v>
      </c>
      <c r="L304" s="86">
        <v>50</v>
      </c>
      <c r="M304" s="86">
        <v>100</v>
      </c>
      <c r="N304" s="86">
        <v>100</v>
      </c>
      <c r="O304" s="86">
        <v>100</v>
      </c>
      <c r="P304" s="86">
        <v>100</v>
      </c>
      <c r="Q304" s="86">
        <v>100</v>
      </c>
      <c r="R304" s="86">
        <v>100</v>
      </c>
      <c r="S304" s="86">
        <v>100</v>
      </c>
      <c r="T304" s="86">
        <v>100</v>
      </c>
      <c r="U304" s="86">
        <v>200</v>
      </c>
      <c r="V304" s="86">
        <v>200</v>
      </c>
      <c r="W304" s="86">
        <v>200</v>
      </c>
      <c r="X304" s="86">
        <v>200</v>
      </c>
    </row>
    <row r="305" spans="2:26" x14ac:dyDescent="0.35">
      <c r="B305" s="86" t="s">
        <v>294</v>
      </c>
      <c r="C305" s="86" t="e">
        <f t="shared" ref="C305:H305" si="564">(C300*C303*C304*10^6 / C302)/1000</f>
        <v>#DIV/0!</v>
      </c>
      <c r="D305" s="86" t="e">
        <f t="shared" si="564"/>
        <v>#DIV/0!</v>
      </c>
      <c r="E305" s="86">
        <f t="shared" si="564"/>
        <v>0.51388888888888895</v>
      </c>
      <c r="F305" s="86">
        <f t="shared" si="564"/>
        <v>0.51388888888888895</v>
      </c>
      <c r="G305" s="86">
        <f t="shared" si="564"/>
        <v>1.6206349206349207</v>
      </c>
      <c r="H305" s="86">
        <f t="shared" si="564"/>
        <v>1.6206349206349207</v>
      </c>
      <c r="I305" s="86">
        <f t="shared" ref="I305" si="565">(I300*I303*I304*10^6 / I302)/1000</f>
        <v>10.919047619047618</v>
      </c>
      <c r="J305" s="86">
        <f t="shared" ref="J305:T305" si="566">(J300*J303*J304*10^6 / J302)/1000</f>
        <v>10.919047619047618</v>
      </c>
      <c r="K305" s="86">
        <f t="shared" si="566"/>
        <v>18.799603174603174</v>
      </c>
      <c r="L305" s="86">
        <f t="shared" si="566"/>
        <v>18.799603174603174</v>
      </c>
      <c r="M305" s="86">
        <f t="shared" si="566"/>
        <v>25.202380952380949</v>
      </c>
      <c r="N305" s="86">
        <f t="shared" si="566"/>
        <v>25.202380952380949</v>
      </c>
      <c r="O305" s="86">
        <f t="shared" si="566"/>
        <v>25.980158730158724</v>
      </c>
      <c r="P305" s="86">
        <f t="shared" si="566"/>
        <v>25.980158730158724</v>
      </c>
      <c r="Q305" s="86">
        <f t="shared" si="566"/>
        <v>27.99603174603175</v>
      </c>
      <c r="R305" s="86">
        <f t="shared" si="566"/>
        <v>27.99603174603175</v>
      </c>
      <c r="S305" s="86">
        <f t="shared" si="566"/>
        <v>27.888888888888889</v>
      </c>
      <c r="T305" s="86">
        <f t="shared" si="566"/>
        <v>27.888888888888889</v>
      </c>
      <c r="U305" s="86">
        <f>(U300*U303*U304*10^6 / U302)/1000</f>
        <v>20.563492063492067</v>
      </c>
      <c r="V305" s="86">
        <f t="shared" ref="V305" si="567">(V300*V303*V304*10^6 / V302)/1000</f>
        <v>20.563492063492067</v>
      </c>
      <c r="W305" s="86">
        <f>(W300*W303*W304*10^6 / W302)/1000</f>
        <v>11.047619047619051</v>
      </c>
      <c r="X305" s="86">
        <f t="shared" ref="X305" si="568">(X300*X303*X304*10^6 / X302)/1000</f>
        <v>11.047619047619051</v>
      </c>
    </row>
    <row r="306" spans="2:26" x14ac:dyDescent="0.35">
      <c r="B306" s="86" t="s">
        <v>295</v>
      </c>
      <c r="C306" s="86" t="e">
        <f t="shared" ref="C306:H306" si="569">C305*23</f>
        <v>#DIV/0!</v>
      </c>
      <c r="D306" s="86" t="e">
        <f t="shared" si="569"/>
        <v>#DIV/0!</v>
      </c>
      <c r="E306" s="86">
        <f t="shared" si="569"/>
        <v>11.819444444444446</v>
      </c>
      <c r="F306" s="86">
        <f t="shared" si="569"/>
        <v>11.819444444444446</v>
      </c>
      <c r="G306" s="86">
        <f t="shared" si="569"/>
        <v>37.274603174603172</v>
      </c>
      <c r="H306" s="86">
        <f t="shared" si="569"/>
        <v>37.274603174603172</v>
      </c>
      <c r="I306" s="86">
        <f t="shared" ref="I306" si="570">I305*23</f>
        <v>251.13809523809522</v>
      </c>
      <c r="J306" s="86">
        <f t="shared" ref="J306:T306" si="571">J305*23</f>
        <v>251.13809523809522</v>
      </c>
      <c r="K306" s="86">
        <f t="shared" si="571"/>
        <v>432.39087301587301</v>
      </c>
      <c r="L306" s="86">
        <f t="shared" si="571"/>
        <v>432.39087301587301</v>
      </c>
      <c r="M306" s="86">
        <f t="shared" si="571"/>
        <v>579.65476190476181</v>
      </c>
      <c r="N306" s="86">
        <f t="shared" si="571"/>
        <v>579.65476190476181</v>
      </c>
      <c r="O306" s="86">
        <f t="shared" si="571"/>
        <v>597.54365079365061</v>
      </c>
      <c r="P306" s="86">
        <f t="shared" si="571"/>
        <v>597.54365079365061</v>
      </c>
      <c r="Q306" s="86">
        <f t="shared" si="571"/>
        <v>643.90873015873024</v>
      </c>
      <c r="R306" s="86">
        <f t="shared" si="571"/>
        <v>643.90873015873024</v>
      </c>
      <c r="S306" s="86">
        <f t="shared" si="571"/>
        <v>641.44444444444446</v>
      </c>
      <c r="T306" s="86">
        <f t="shared" si="571"/>
        <v>641.44444444444446</v>
      </c>
      <c r="U306" s="86">
        <f>U305*23</f>
        <v>472.96031746031753</v>
      </c>
      <c r="V306" s="86">
        <f t="shared" ref="V306" si="572">V305*23</f>
        <v>472.96031746031753</v>
      </c>
      <c r="W306" s="86">
        <f>W305*23</f>
        <v>254.09523809523819</v>
      </c>
      <c r="X306" s="86">
        <f t="shared" ref="X306" si="573">X305*23</f>
        <v>254.09523809523819</v>
      </c>
    </row>
    <row r="307" spans="2:26" s="108" customFormat="1" x14ac:dyDescent="0.35">
      <c r="B307" s="108" t="s">
        <v>299</v>
      </c>
      <c r="C307" s="330" t="e">
        <f>AVERAGE(C306:D306)</f>
        <v>#DIV/0!</v>
      </c>
      <c r="D307" s="330"/>
      <c r="E307" s="330">
        <f>AVERAGE(E306:F306)</f>
        <v>11.819444444444446</v>
      </c>
      <c r="F307" s="330"/>
      <c r="G307" s="330">
        <f>AVERAGE(G306:H306)</f>
        <v>37.274603174603172</v>
      </c>
      <c r="H307" s="330"/>
      <c r="I307" s="330">
        <f>AVERAGE(I306:J306)</f>
        <v>251.13809523809522</v>
      </c>
      <c r="J307" s="330"/>
      <c r="K307" s="330">
        <f>AVERAGE(K306:L306)</f>
        <v>432.39087301587301</v>
      </c>
      <c r="L307" s="330"/>
      <c r="M307" s="330">
        <f>AVERAGE(M306:N306)</f>
        <v>579.65476190476181</v>
      </c>
      <c r="N307" s="330"/>
      <c r="O307" s="330">
        <f>AVERAGE(O306:P306)</f>
        <v>597.54365079365061</v>
      </c>
      <c r="P307" s="330"/>
      <c r="Q307" s="330">
        <f>AVERAGE(Q306:R306)</f>
        <v>643.90873015873024</v>
      </c>
      <c r="R307" s="330"/>
      <c r="S307" s="330">
        <f>AVERAGE(S306:T306)</f>
        <v>641.44444444444446</v>
      </c>
      <c r="T307" s="330"/>
      <c r="U307" s="330">
        <f>AVERAGE(U306:V306)</f>
        <v>472.96031746031753</v>
      </c>
      <c r="V307" s="330"/>
      <c r="W307" s="330">
        <f>AVERAGE(W306:X306)</f>
        <v>254.09523809523819</v>
      </c>
      <c r="X307" s="330"/>
    </row>
    <row r="308" spans="2:26" ht="15" thickBot="1" x14ac:dyDescent="0.4"/>
    <row r="309" spans="2:26" ht="15" thickBot="1" x14ac:dyDescent="0.4">
      <c r="B309" s="338" t="s">
        <v>316</v>
      </c>
      <c r="C309" s="339"/>
      <c r="D309" s="339"/>
      <c r="E309" s="339"/>
      <c r="F309" s="339"/>
      <c r="G309" s="339"/>
      <c r="H309" s="339"/>
      <c r="I309" s="339"/>
      <c r="J309" s="340"/>
      <c r="Y309" s="86" t="s">
        <v>404</v>
      </c>
      <c r="Z309" s="86" t="s">
        <v>405</v>
      </c>
    </row>
    <row r="310" spans="2:26" x14ac:dyDescent="0.35">
      <c r="B310" s="87" t="s">
        <v>290</v>
      </c>
      <c r="C310" s="108">
        <v>0</v>
      </c>
      <c r="D310" s="108">
        <v>0</v>
      </c>
      <c r="E310" s="108">
        <v>17.5</v>
      </c>
      <c r="F310" s="108">
        <v>17.5</v>
      </c>
      <c r="G310" s="108">
        <f>F310+24</f>
        <v>41.5</v>
      </c>
      <c r="H310" s="108">
        <v>41.5</v>
      </c>
      <c r="I310" s="108">
        <f>H310+24.5</f>
        <v>66</v>
      </c>
      <c r="J310" s="108">
        <f>I310</f>
        <v>66</v>
      </c>
      <c r="K310" s="108">
        <f>J310+24</f>
        <v>90</v>
      </c>
      <c r="L310" s="108">
        <f>K310</f>
        <v>90</v>
      </c>
      <c r="M310" s="108">
        <f>L310+23.5</f>
        <v>113.5</v>
      </c>
      <c r="N310" s="108">
        <f>M310</f>
        <v>113.5</v>
      </c>
      <c r="O310" s="108">
        <f>N310+82</f>
        <v>195.5</v>
      </c>
      <c r="P310" s="108">
        <f>O310</f>
        <v>195.5</v>
      </c>
      <c r="Q310" s="108">
        <f>P310+24</f>
        <v>219.5</v>
      </c>
      <c r="R310" s="108">
        <f>Q310</f>
        <v>219.5</v>
      </c>
      <c r="S310" s="108">
        <f>R310+38.5</f>
        <v>258</v>
      </c>
      <c r="T310" s="108">
        <f>S310</f>
        <v>258</v>
      </c>
      <c r="U310" s="108">
        <f>T310+72.5</f>
        <v>330.5</v>
      </c>
      <c r="V310" s="108">
        <f>U310</f>
        <v>330.5</v>
      </c>
      <c r="W310" s="108">
        <f>V310+49.5</f>
        <v>380</v>
      </c>
      <c r="X310" s="108">
        <f>W310</f>
        <v>380</v>
      </c>
      <c r="Y310" s="86">
        <v>0</v>
      </c>
      <c r="Z310" s="86">
        <v>5</v>
      </c>
    </row>
    <row r="311" spans="2:26" x14ac:dyDescent="0.35">
      <c r="B311" s="108">
        <v>0</v>
      </c>
      <c r="E311" s="86">
        <v>4.3999999999999997E-2</v>
      </c>
      <c r="F311" s="86">
        <v>4.8000000000000001E-2</v>
      </c>
      <c r="G311" s="86">
        <v>0.14499999999999999</v>
      </c>
      <c r="H311" s="86">
        <v>0.14499999999999999</v>
      </c>
      <c r="I311" s="86">
        <v>0.14299999999999999</v>
      </c>
      <c r="J311" s="86">
        <f>I311</f>
        <v>0.14299999999999999</v>
      </c>
      <c r="K311" s="86">
        <v>2.8000000000000001E-2</v>
      </c>
      <c r="L311" s="86">
        <f t="shared" ref="L311:L316" si="574">K311</f>
        <v>2.8000000000000001E-2</v>
      </c>
      <c r="M311" s="86">
        <v>0.17</v>
      </c>
      <c r="N311" s="86">
        <f t="shared" ref="N311:N317" si="575">M311</f>
        <v>0.17</v>
      </c>
      <c r="O311" s="86">
        <v>0.156</v>
      </c>
      <c r="P311" s="86">
        <f t="shared" ref="P311:P316" si="576">O311</f>
        <v>0.156</v>
      </c>
      <c r="Q311" s="86">
        <v>0.14499999999999999</v>
      </c>
      <c r="R311" s="86">
        <f t="shared" ref="R311:R316" si="577">Q311</f>
        <v>0.14499999999999999</v>
      </c>
      <c r="S311" s="86">
        <v>0.27500000000000002</v>
      </c>
      <c r="T311" s="86">
        <f t="shared" ref="T311:T316" si="578">S311</f>
        <v>0.27500000000000002</v>
      </c>
      <c r="U311" s="86">
        <v>0.14799999999999999</v>
      </c>
      <c r="V311" s="86">
        <f t="shared" ref="V311:V316" si="579">U311</f>
        <v>0.14799999999999999</v>
      </c>
      <c r="W311" s="86">
        <v>0.22600000000000001</v>
      </c>
      <c r="X311" s="86">
        <f t="shared" ref="X311:X316" si="580">W311</f>
        <v>0.22600000000000001</v>
      </c>
      <c r="Y311" s="86">
        <v>17.5</v>
      </c>
      <c r="Z311" s="86">
        <f>E325</f>
        <v>17.062896825396827</v>
      </c>
    </row>
    <row r="312" spans="2:26" x14ac:dyDescent="0.35">
      <c r="B312" s="108">
        <v>0.5</v>
      </c>
      <c r="E312" s="86">
        <v>0.1</v>
      </c>
      <c r="F312" s="86">
        <v>0.108</v>
      </c>
      <c r="G312" s="86">
        <v>0.27500000000000002</v>
      </c>
      <c r="H312" s="86">
        <v>0.27500000000000002</v>
      </c>
      <c r="I312" s="86">
        <v>0.28399999999999997</v>
      </c>
      <c r="J312" s="86">
        <f t="shared" ref="J312:J316" si="581">I312</f>
        <v>0.28399999999999997</v>
      </c>
      <c r="K312" s="86">
        <v>0.30199999999999999</v>
      </c>
      <c r="L312" s="86">
        <f t="shared" si="574"/>
        <v>0.30199999999999999</v>
      </c>
      <c r="M312" s="86">
        <v>0.38800000000000001</v>
      </c>
      <c r="N312" s="86">
        <f t="shared" si="575"/>
        <v>0.38800000000000001</v>
      </c>
      <c r="O312" s="86">
        <v>0.38400000000000001</v>
      </c>
      <c r="P312" s="86">
        <f t="shared" si="576"/>
        <v>0.38400000000000001</v>
      </c>
      <c r="Q312" s="86">
        <v>0.37</v>
      </c>
      <c r="R312" s="86">
        <f t="shared" si="577"/>
        <v>0.37</v>
      </c>
      <c r="S312" s="86">
        <v>0.57699999999999996</v>
      </c>
      <c r="T312" s="86">
        <f t="shared" si="578"/>
        <v>0.57699999999999996</v>
      </c>
      <c r="U312" s="86">
        <v>0.27100000000000002</v>
      </c>
      <c r="V312" s="86">
        <f t="shared" si="579"/>
        <v>0.27100000000000002</v>
      </c>
      <c r="W312" s="86">
        <v>0.27600000000000002</v>
      </c>
      <c r="X312" s="86">
        <f t="shared" si="580"/>
        <v>0.27600000000000002</v>
      </c>
      <c r="Y312" s="86">
        <v>41.5</v>
      </c>
      <c r="Z312" s="86">
        <f>G325</f>
        <v>38.588888888888881</v>
      </c>
    </row>
    <row r="313" spans="2:26" x14ac:dyDescent="0.35">
      <c r="B313" s="108">
        <v>1</v>
      </c>
      <c r="E313" s="86">
        <v>0.152</v>
      </c>
      <c r="F313" s="86">
        <v>0.16300000000000001</v>
      </c>
      <c r="G313" s="86">
        <v>0.39700000000000002</v>
      </c>
      <c r="H313" s="86">
        <v>0.39700000000000002</v>
      </c>
      <c r="I313" s="86">
        <v>0.40200000000000002</v>
      </c>
      <c r="J313" s="86">
        <f t="shared" si="581"/>
        <v>0.40200000000000002</v>
      </c>
      <c r="K313" s="86">
        <v>0.55200000000000005</v>
      </c>
      <c r="L313" s="86">
        <f t="shared" si="574"/>
        <v>0.55200000000000005</v>
      </c>
      <c r="M313" s="86">
        <v>0.57699999999999996</v>
      </c>
      <c r="N313" s="86">
        <f t="shared" si="575"/>
        <v>0.57699999999999996</v>
      </c>
      <c r="O313" s="86">
        <v>0.6</v>
      </c>
      <c r="P313" s="86">
        <f t="shared" si="576"/>
        <v>0.6</v>
      </c>
      <c r="Q313" s="86">
        <v>0.57999999999999996</v>
      </c>
      <c r="R313" s="86">
        <f t="shared" si="577"/>
        <v>0.57999999999999996</v>
      </c>
      <c r="S313" s="86">
        <v>0.86899999999999999</v>
      </c>
      <c r="T313" s="86">
        <f t="shared" si="578"/>
        <v>0.86899999999999999</v>
      </c>
      <c r="U313" s="86">
        <v>0.38400000000000001</v>
      </c>
      <c r="V313" s="86">
        <f t="shared" si="579"/>
        <v>0.38400000000000001</v>
      </c>
      <c r="W313" s="86">
        <v>0.33500000000000002</v>
      </c>
      <c r="X313" s="86">
        <f t="shared" si="580"/>
        <v>0.33500000000000002</v>
      </c>
      <c r="Y313" s="86">
        <v>66</v>
      </c>
      <c r="Z313" s="86">
        <f>I325</f>
        <v>159.06507936507938</v>
      </c>
    </row>
    <row r="314" spans="2:26" x14ac:dyDescent="0.35">
      <c r="B314" s="108">
        <v>1.5</v>
      </c>
      <c r="E314" s="86">
        <v>0.20399999999999999</v>
      </c>
      <c r="F314" s="86">
        <v>0.217</v>
      </c>
      <c r="G314" s="86">
        <v>0.51500000000000001</v>
      </c>
      <c r="H314" s="86">
        <v>0.51500000000000001</v>
      </c>
      <c r="I314" s="86">
        <v>0.53300000000000003</v>
      </c>
      <c r="J314" s="86">
        <f t="shared" si="581"/>
        <v>0.53300000000000003</v>
      </c>
      <c r="K314" s="86">
        <v>0.79800000000000004</v>
      </c>
      <c r="L314" s="86">
        <f t="shared" si="574"/>
        <v>0.79800000000000004</v>
      </c>
      <c r="M314" s="86">
        <v>0.76300000000000001</v>
      </c>
      <c r="N314" s="86">
        <f t="shared" si="575"/>
        <v>0.76300000000000001</v>
      </c>
      <c r="O314" s="86">
        <v>0.82</v>
      </c>
      <c r="P314" s="86">
        <f t="shared" si="576"/>
        <v>0.82</v>
      </c>
      <c r="Q314" s="86">
        <v>0.79100000000000004</v>
      </c>
      <c r="R314" s="86">
        <f t="shared" si="577"/>
        <v>0.79100000000000004</v>
      </c>
      <c r="S314" s="86">
        <v>1.1399999999999999</v>
      </c>
      <c r="T314" s="86">
        <f t="shared" si="578"/>
        <v>1.1399999999999999</v>
      </c>
      <c r="U314" s="86">
        <v>0.497</v>
      </c>
      <c r="V314" s="86">
        <f t="shared" si="579"/>
        <v>0.497</v>
      </c>
      <c r="W314" s="86">
        <v>0.40300000000000002</v>
      </c>
      <c r="X314" s="86">
        <f t="shared" si="580"/>
        <v>0.40300000000000002</v>
      </c>
      <c r="Y314" s="86">
        <f>K310</f>
        <v>90</v>
      </c>
      <c r="Z314" s="86">
        <f>K325</f>
        <v>312.43492063492067</v>
      </c>
    </row>
    <row r="315" spans="2:26" x14ac:dyDescent="0.35">
      <c r="B315" s="108">
        <v>2</v>
      </c>
      <c r="E315" s="86">
        <v>0.253</v>
      </c>
      <c r="F315" s="86">
        <v>0.27100000000000002</v>
      </c>
      <c r="G315" s="86">
        <v>0.629</v>
      </c>
      <c r="H315" s="86">
        <v>0.629</v>
      </c>
      <c r="I315" s="86">
        <v>0.65100000000000002</v>
      </c>
      <c r="J315" s="86">
        <f t="shared" si="581"/>
        <v>0.65100000000000002</v>
      </c>
      <c r="K315" s="86">
        <v>1.0309999999999999</v>
      </c>
      <c r="L315" s="86">
        <f t="shared" si="574"/>
        <v>1.0309999999999999</v>
      </c>
      <c r="M315" s="86">
        <v>0.94</v>
      </c>
      <c r="N315" s="86">
        <f t="shared" si="575"/>
        <v>0.94</v>
      </c>
      <c r="O315" s="86">
        <v>1.042</v>
      </c>
      <c r="P315" s="86">
        <f t="shared" si="576"/>
        <v>1.042</v>
      </c>
      <c r="Q315" s="86">
        <v>0.99199999999999999</v>
      </c>
      <c r="R315" s="86">
        <f t="shared" si="577"/>
        <v>0.99199999999999999</v>
      </c>
      <c r="S315" s="86">
        <v>1.409</v>
      </c>
      <c r="T315" s="86">
        <f t="shared" si="578"/>
        <v>1.409</v>
      </c>
      <c r="U315" s="86">
        <v>0.61099999999999999</v>
      </c>
      <c r="V315" s="86">
        <f t="shared" si="579"/>
        <v>0.61099999999999999</v>
      </c>
      <c r="W315" s="86">
        <v>0.45700000000000002</v>
      </c>
      <c r="X315" s="86">
        <f t="shared" si="580"/>
        <v>0.45700000000000002</v>
      </c>
      <c r="Y315" s="86">
        <v>113.5</v>
      </c>
      <c r="Z315" s="86">
        <f>M325</f>
        <v>293.14732142857144</v>
      </c>
    </row>
    <row r="316" spans="2:26" x14ac:dyDescent="0.35">
      <c r="B316" s="108">
        <v>2.5</v>
      </c>
      <c r="E316" s="86">
        <v>0.30499999999999999</v>
      </c>
      <c r="F316" s="86">
        <v>0.32400000000000001</v>
      </c>
      <c r="I316" s="86">
        <v>0.76800000000000002</v>
      </c>
      <c r="J316" s="86">
        <f t="shared" si="581"/>
        <v>0.76800000000000002</v>
      </c>
      <c r="K316" s="86">
        <v>1.2529999999999999</v>
      </c>
      <c r="L316" s="86">
        <f t="shared" si="574"/>
        <v>1.2529999999999999</v>
      </c>
      <c r="M316" s="86">
        <v>1.111</v>
      </c>
      <c r="N316" s="86">
        <f t="shared" si="575"/>
        <v>1.111</v>
      </c>
      <c r="O316" s="86">
        <v>1.262</v>
      </c>
      <c r="P316" s="86">
        <f t="shared" si="576"/>
        <v>1.262</v>
      </c>
      <c r="Q316" s="86">
        <v>1.1950000000000001</v>
      </c>
      <c r="R316" s="86">
        <f t="shared" si="577"/>
        <v>1.1950000000000001</v>
      </c>
      <c r="S316" s="86">
        <v>1.675</v>
      </c>
      <c r="T316" s="86">
        <f t="shared" si="578"/>
        <v>1.675</v>
      </c>
      <c r="U316" s="86">
        <v>0.72199999999999998</v>
      </c>
      <c r="V316" s="86">
        <f t="shared" si="579"/>
        <v>0.72199999999999998</v>
      </c>
      <c r="W316" s="86">
        <v>0.51500000000000001</v>
      </c>
      <c r="X316" s="86">
        <f t="shared" si="580"/>
        <v>0.51500000000000001</v>
      </c>
      <c r="Y316" s="86">
        <f>O310</f>
        <v>195.5</v>
      </c>
      <c r="Z316" s="86">
        <f>O325</f>
        <v>704.96825396825386</v>
      </c>
    </row>
    <row r="317" spans="2:26" x14ac:dyDescent="0.35">
      <c r="B317" s="108">
        <v>3</v>
      </c>
      <c r="M317" s="86">
        <v>1.28</v>
      </c>
      <c r="N317" s="86">
        <f t="shared" si="575"/>
        <v>1.28</v>
      </c>
      <c r="Y317" s="86">
        <f>Q310</f>
        <v>219.5</v>
      </c>
      <c r="Z317" s="86">
        <f>Q325</f>
        <v>668.73412698412699</v>
      </c>
    </row>
    <row r="318" spans="2:26" x14ac:dyDescent="0.35">
      <c r="B318" s="86" t="s">
        <v>297</v>
      </c>
      <c r="C318" s="86" t="e">
        <f t="shared" ref="C318" si="582">SLOPE(C311:C317,$B311:$B317)</f>
        <v>#DIV/0!</v>
      </c>
      <c r="D318" s="86" t="e">
        <f t="shared" ref="D318" si="583">SLOPE(D311:D317,$B311:$B317)</f>
        <v>#DIV/0!</v>
      </c>
      <c r="E318" s="86">
        <f t="shared" ref="E318:L318" si="584">SLOPE(E311:E317,$B311:$B317)</f>
        <v>0.10377142857142857</v>
      </c>
      <c r="F318" s="86">
        <f t="shared" si="584"/>
        <v>0.10988571428571429</v>
      </c>
      <c r="G318" s="86">
        <f t="shared" si="584"/>
        <v>0.24159999999999998</v>
      </c>
      <c r="H318" s="86">
        <f t="shared" si="584"/>
        <v>0.24159999999999998</v>
      </c>
      <c r="I318" s="86">
        <f t="shared" si="584"/>
        <v>0.24897142857142859</v>
      </c>
      <c r="J318" s="86">
        <f t="shared" si="584"/>
        <v>0.24897142857142859</v>
      </c>
      <c r="K318" s="86">
        <f t="shared" si="584"/>
        <v>0.48902857142857142</v>
      </c>
      <c r="L318" s="86">
        <f t="shared" si="584"/>
        <v>0.48902857142857142</v>
      </c>
      <c r="M318" s="86">
        <f t="shared" ref="M318" si="585">SLOPE(M311:M317,$B311:$B317)</f>
        <v>0.3670714285714286</v>
      </c>
      <c r="N318" s="86">
        <f t="shared" ref="N318:T318" si="586">SLOPE(N311:N317,$B311:$B317)</f>
        <v>0.3670714285714286</v>
      </c>
      <c r="O318" s="86">
        <f t="shared" si="586"/>
        <v>0.44137142857142858</v>
      </c>
      <c r="P318" s="86">
        <f t="shared" si="586"/>
        <v>0.44137142857142858</v>
      </c>
      <c r="Q318" s="86">
        <f t="shared" si="586"/>
        <v>0.41868571428571433</v>
      </c>
      <c r="R318" s="86">
        <f t="shared" si="586"/>
        <v>0.41868571428571433</v>
      </c>
      <c r="S318" s="86">
        <f t="shared" si="586"/>
        <v>0.55811428571428567</v>
      </c>
      <c r="T318" s="86">
        <f t="shared" si="586"/>
        <v>0.55811428571428567</v>
      </c>
      <c r="U318" s="86">
        <f>SLOPE(U311:U317,$B311:$B317)</f>
        <v>0.22874285714285714</v>
      </c>
      <c r="V318" s="86">
        <f>SLOPE(V311:V317,$B311:$B317)</f>
        <v>0.22874285714285714</v>
      </c>
      <c r="W318" s="86">
        <f>SLOPE(W311:W317,$B311:$B317)</f>
        <v>0.11748571428571429</v>
      </c>
      <c r="X318" s="86">
        <f>SLOPE(X311:X317,$B311:$B317)</f>
        <v>0.11748571428571429</v>
      </c>
      <c r="Y318" s="226">
        <f>S310</f>
        <v>258</v>
      </c>
      <c r="Z318" s="226">
        <f>S325</f>
        <v>891.43253968253953</v>
      </c>
    </row>
    <row r="319" spans="2:26" x14ac:dyDescent="0.35">
      <c r="B319" s="86" t="s">
        <v>298</v>
      </c>
      <c r="C319" s="202" t="e">
        <f t="shared" ref="C319:D319" si="587">RSQ(C311:C317,$B311:$B317)</f>
        <v>#DIV/0!</v>
      </c>
      <c r="D319" s="202" t="e">
        <f t="shared" si="587"/>
        <v>#DIV/0!</v>
      </c>
      <c r="E319" s="202">
        <f t="shared" ref="E319:L319" si="588">RSQ(E311:E317,$B311:$B317)</f>
        <v>0.99963706760323179</v>
      </c>
      <c r="F319" s="202">
        <f t="shared" si="588"/>
        <v>0.99958480482988732</v>
      </c>
      <c r="G319" s="202">
        <f t="shared" si="588"/>
        <v>0.99935351675925588</v>
      </c>
      <c r="H319" s="202">
        <f t="shared" si="588"/>
        <v>0.99935351675925588</v>
      </c>
      <c r="I319" s="202">
        <f t="shared" si="588"/>
        <v>0.99912547667600093</v>
      </c>
      <c r="J319" s="202">
        <f t="shared" si="588"/>
        <v>0.99912547667600093</v>
      </c>
      <c r="K319" s="202">
        <f t="shared" si="588"/>
        <v>0.99875264838574063</v>
      </c>
      <c r="L319" s="202">
        <f t="shared" si="588"/>
        <v>0.99875264838574063</v>
      </c>
      <c r="M319" s="202">
        <f t="shared" ref="M319:T319" si="589">RSQ(M311:M317,$B311:$B317)</f>
        <v>0.99829597344865129</v>
      </c>
      <c r="N319" s="202">
        <f t="shared" si="589"/>
        <v>0.99829597344865129</v>
      </c>
      <c r="O319" s="202">
        <f t="shared" si="589"/>
        <v>0.99996585219991818</v>
      </c>
      <c r="P319" s="202">
        <f t="shared" si="589"/>
        <v>0.99996585219991818</v>
      </c>
      <c r="Q319" s="202">
        <f t="shared" si="589"/>
        <v>0.99963598318166391</v>
      </c>
      <c r="R319" s="202">
        <f t="shared" si="589"/>
        <v>0.99963598318166391</v>
      </c>
      <c r="S319" s="202">
        <f t="shared" si="589"/>
        <v>0.99930977152479994</v>
      </c>
      <c r="T319" s="202">
        <f t="shared" si="589"/>
        <v>0.99930977152479994</v>
      </c>
      <c r="U319" s="202">
        <f>RSQ(U311:U317,$B311:$B317)</f>
        <v>0.99977106270434035</v>
      </c>
      <c r="V319" s="202">
        <f>RSQ(V311:V317,$B311:$B317)</f>
        <v>0.99977106270434035</v>
      </c>
      <c r="W319" s="202">
        <f>RSQ(W311:W317,$B311:$B317)</f>
        <v>0.99864929566817029</v>
      </c>
      <c r="X319" s="202">
        <f>RSQ(X311:X317,$B311:$B317)</f>
        <v>0.99864929566817029</v>
      </c>
      <c r="Y319" s="86">
        <f>U310</f>
        <v>330.5</v>
      </c>
      <c r="Z319" s="86">
        <f>U325</f>
        <v>730.70634920634916</v>
      </c>
    </row>
    <row r="320" spans="2:26" x14ac:dyDescent="0.35">
      <c r="B320" s="86" t="s">
        <v>292</v>
      </c>
      <c r="C320" s="86">
        <v>36000</v>
      </c>
      <c r="D320" s="86">
        <v>36000</v>
      </c>
      <c r="E320" s="86">
        <v>36000</v>
      </c>
      <c r="F320" s="86">
        <v>36000</v>
      </c>
      <c r="G320" s="86">
        <v>36000</v>
      </c>
      <c r="H320" s="86">
        <v>36000</v>
      </c>
      <c r="I320" s="86">
        <v>36000</v>
      </c>
      <c r="J320" s="86">
        <v>36000</v>
      </c>
      <c r="K320" s="86">
        <v>36000</v>
      </c>
      <c r="L320" s="86">
        <v>36000</v>
      </c>
      <c r="M320" s="86">
        <v>36000</v>
      </c>
      <c r="N320" s="86">
        <v>36000</v>
      </c>
      <c r="O320" s="86">
        <v>36000</v>
      </c>
      <c r="P320" s="86">
        <v>36000</v>
      </c>
      <c r="Q320" s="86">
        <v>36000</v>
      </c>
      <c r="R320" s="86">
        <v>36000</v>
      </c>
      <c r="S320" s="86">
        <v>36000</v>
      </c>
      <c r="T320" s="86">
        <v>36000</v>
      </c>
      <c r="U320" s="86">
        <v>36000</v>
      </c>
      <c r="V320" s="86">
        <v>36000</v>
      </c>
      <c r="W320" s="86">
        <v>36000</v>
      </c>
      <c r="X320" s="86">
        <v>36000</v>
      </c>
      <c r="Y320" s="86">
        <f>W310</f>
        <v>380</v>
      </c>
      <c r="Z320" s="86">
        <f>W325</f>
        <v>375.30158730158729</v>
      </c>
    </row>
    <row r="321" spans="2:24" x14ac:dyDescent="0.35">
      <c r="B321" s="86" t="s">
        <v>296</v>
      </c>
      <c r="C321" s="86">
        <v>25</v>
      </c>
      <c r="D321" s="86">
        <v>25</v>
      </c>
      <c r="E321" s="86">
        <v>25</v>
      </c>
      <c r="F321" s="86">
        <v>25</v>
      </c>
      <c r="G321" s="86">
        <v>25</v>
      </c>
      <c r="H321" s="86">
        <v>25</v>
      </c>
      <c r="I321" s="86">
        <v>25</v>
      </c>
      <c r="J321" s="86">
        <v>25</v>
      </c>
      <c r="K321" s="86">
        <v>25</v>
      </c>
      <c r="L321" s="86">
        <v>25</v>
      </c>
      <c r="M321" s="86">
        <v>25</v>
      </c>
      <c r="N321" s="86">
        <v>25</v>
      </c>
      <c r="O321" s="86">
        <v>25</v>
      </c>
      <c r="P321" s="86">
        <v>25</v>
      </c>
      <c r="Q321" s="86">
        <v>25</v>
      </c>
      <c r="R321" s="86">
        <v>25</v>
      </c>
      <c r="S321" s="86">
        <v>25</v>
      </c>
      <c r="T321" s="86">
        <v>25</v>
      </c>
      <c r="U321" s="86">
        <v>25</v>
      </c>
      <c r="V321" s="86">
        <v>25</v>
      </c>
      <c r="W321" s="86">
        <v>25</v>
      </c>
      <c r="X321" s="86">
        <v>25</v>
      </c>
    </row>
    <row r="322" spans="2:24" x14ac:dyDescent="0.35">
      <c r="B322" s="86" t="s">
        <v>293</v>
      </c>
      <c r="C322" s="86">
        <v>2</v>
      </c>
      <c r="D322" s="86">
        <v>2</v>
      </c>
      <c r="E322" s="86">
        <v>10</v>
      </c>
      <c r="F322" s="86">
        <v>10</v>
      </c>
      <c r="G322" s="86">
        <v>10</v>
      </c>
      <c r="H322" s="86">
        <v>10</v>
      </c>
      <c r="I322" s="86">
        <v>40</v>
      </c>
      <c r="J322" s="86">
        <v>40</v>
      </c>
      <c r="K322" s="86">
        <v>40</v>
      </c>
      <c r="L322" s="86">
        <v>40</v>
      </c>
      <c r="M322" s="86">
        <v>50</v>
      </c>
      <c r="N322" s="86">
        <v>50</v>
      </c>
      <c r="O322" s="86">
        <v>100</v>
      </c>
      <c r="P322" s="86">
        <v>100</v>
      </c>
      <c r="Q322" s="86">
        <v>100</v>
      </c>
      <c r="R322" s="86">
        <v>100</v>
      </c>
      <c r="S322" s="86">
        <v>100</v>
      </c>
      <c r="T322" s="86">
        <v>100</v>
      </c>
      <c r="U322" s="86">
        <v>200</v>
      </c>
      <c r="V322" s="86">
        <v>200</v>
      </c>
      <c r="W322" s="86">
        <v>200</v>
      </c>
      <c r="X322" s="86">
        <v>200</v>
      </c>
    </row>
    <row r="323" spans="2:24" x14ac:dyDescent="0.35">
      <c r="B323" s="86" t="s">
        <v>294</v>
      </c>
      <c r="C323" s="86" t="e">
        <f t="shared" ref="C323:L323" si="590">(C318*C321*C322*10^6 / C320)/1000</f>
        <v>#DIV/0!</v>
      </c>
      <c r="D323" s="86" t="e">
        <f t="shared" si="590"/>
        <v>#DIV/0!</v>
      </c>
      <c r="E323" s="86">
        <f t="shared" si="590"/>
        <v>0.72063492063492063</v>
      </c>
      <c r="F323" s="86">
        <f t="shared" si="590"/>
        <v>0.76309523809523816</v>
      </c>
      <c r="G323" s="86">
        <f t="shared" si="590"/>
        <v>1.6777777777777776</v>
      </c>
      <c r="H323" s="86">
        <f t="shared" si="590"/>
        <v>1.6777777777777776</v>
      </c>
      <c r="I323" s="86">
        <f t="shared" si="590"/>
        <v>6.9158730158730171</v>
      </c>
      <c r="J323" s="86">
        <f t="shared" si="590"/>
        <v>6.9158730158730171</v>
      </c>
      <c r="K323" s="86">
        <f t="shared" si="590"/>
        <v>13.584126984126986</v>
      </c>
      <c r="L323" s="86">
        <f t="shared" si="590"/>
        <v>13.584126984126986</v>
      </c>
      <c r="M323" s="86">
        <f t="shared" ref="M323" si="591">(M318*M321*M322*10^6 / M320)/1000</f>
        <v>12.745535714285715</v>
      </c>
      <c r="N323" s="86">
        <f t="shared" ref="N323:T323" si="592">(N318*N321*N322*10^6 / N320)/1000</f>
        <v>12.745535714285715</v>
      </c>
      <c r="O323" s="86">
        <f t="shared" si="592"/>
        <v>30.650793650793645</v>
      </c>
      <c r="P323" s="86">
        <f t="shared" si="592"/>
        <v>30.650793650793645</v>
      </c>
      <c r="Q323" s="86">
        <f t="shared" si="592"/>
        <v>29.075396825396826</v>
      </c>
      <c r="R323" s="86">
        <f t="shared" si="592"/>
        <v>29.075396825396826</v>
      </c>
      <c r="S323" s="86">
        <f t="shared" si="592"/>
        <v>38.757936507936499</v>
      </c>
      <c r="T323" s="86">
        <f t="shared" si="592"/>
        <v>38.757936507936499</v>
      </c>
      <c r="U323" s="86">
        <f>(U318*U321*U322*10^6 / U320)/1000</f>
        <v>31.769841269841269</v>
      </c>
      <c r="V323" s="86">
        <f t="shared" ref="V323" si="593">(V318*V321*V322*10^6 / V320)/1000</f>
        <v>31.769841269841269</v>
      </c>
      <c r="W323" s="86">
        <f>(W318*W321*W322*10^6 / W320)/1000</f>
        <v>16.317460317460316</v>
      </c>
      <c r="X323" s="86">
        <f t="shared" ref="X323" si="594">(X318*X321*X322*10^6 / X320)/1000</f>
        <v>16.317460317460316</v>
      </c>
    </row>
    <row r="324" spans="2:24" x14ac:dyDescent="0.35">
      <c r="B324" s="86" t="s">
        <v>295</v>
      </c>
      <c r="C324" s="86" t="e">
        <f t="shared" ref="C324:L324" si="595">C323*23</f>
        <v>#DIV/0!</v>
      </c>
      <c r="D324" s="86" t="e">
        <f t="shared" si="595"/>
        <v>#DIV/0!</v>
      </c>
      <c r="E324" s="86">
        <f t="shared" si="595"/>
        <v>16.574603174603176</v>
      </c>
      <c r="F324" s="86">
        <f t="shared" si="595"/>
        <v>17.551190476190477</v>
      </c>
      <c r="G324" s="86">
        <f t="shared" si="595"/>
        <v>38.588888888888881</v>
      </c>
      <c r="H324" s="86">
        <f t="shared" si="595"/>
        <v>38.588888888888881</v>
      </c>
      <c r="I324" s="86">
        <f t="shared" si="595"/>
        <v>159.06507936507938</v>
      </c>
      <c r="J324" s="86">
        <f t="shared" si="595"/>
        <v>159.06507936507938</v>
      </c>
      <c r="K324" s="86">
        <f t="shared" si="595"/>
        <v>312.43492063492067</v>
      </c>
      <c r="L324" s="86">
        <f t="shared" si="595"/>
        <v>312.43492063492067</v>
      </c>
      <c r="M324" s="86">
        <f t="shared" ref="M324" si="596">M323*23</f>
        <v>293.14732142857144</v>
      </c>
      <c r="N324" s="86">
        <f t="shared" ref="N324:T324" si="597">N323*23</f>
        <v>293.14732142857144</v>
      </c>
      <c r="O324" s="86">
        <f t="shared" si="597"/>
        <v>704.96825396825386</v>
      </c>
      <c r="P324" s="86">
        <f t="shared" si="597"/>
        <v>704.96825396825386</v>
      </c>
      <c r="Q324" s="86">
        <f t="shared" si="597"/>
        <v>668.73412698412699</v>
      </c>
      <c r="R324" s="86">
        <f t="shared" si="597"/>
        <v>668.73412698412699</v>
      </c>
      <c r="S324" s="86">
        <f t="shared" si="597"/>
        <v>891.43253968253953</v>
      </c>
      <c r="T324" s="86">
        <f t="shared" si="597"/>
        <v>891.43253968253953</v>
      </c>
      <c r="U324" s="86">
        <f>U323*23</f>
        <v>730.70634920634916</v>
      </c>
      <c r="V324" s="86">
        <f t="shared" ref="V324" si="598">V323*23</f>
        <v>730.70634920634916</v>
      </c>
      <c r="W324" s="86">
        <f>W323*23</f>
        <v>375.30158730158729</v>
      </c>
      <c r="X324" s="86">
        <f t="shared" ref="X324" si="599">X323*23</f>
        <v>375.30158730158729</v>
      </c>
    </row>
    <row r="325" spans="2:24" s="108" customFormat="1" x14ac:dyDescent="0.35">
      <c r="B325" s="108" t="s">
        <v>299</v>
      </c>
      <c r="C325" s="330" t="e">
        <f>AVERAGE(C324:D324)</f>
        <v>#DIV/0!</v>
      </c>
      <c r="D325" s="330"/>
      <c r="E325" s="330">
        <f>AVERAGE(E324:F324)</f>
        <v>17.062896825396827</v>
      </c>
      <c r="F325" s="330"/>
      <c r="G325" s="330">
        <f>AVERAGE(G324:H324)</f>
        <v>38.588888888888881</v>
      </c>
      <c r="H325" s="330"/>
      <c r="I325" s="330">
        <f>AVERAGE(I324:J324)</f>
        <v>159.06507936507938</v>
      </c>
      <c r="J325" s="330"/>
      <c r="K325" s="330">
        <f>AVERAGE(K324:L324)</f>
        <v>312.43492063492067</v>
      </c>
      <c r="L325" s="330"/>
      <c r="M325" s="330">
        <f>AVERAGE(M324:N324)</f>
        <v>293.14732142857144</v>
      </c>
      <c r="N325" s="330"/>
      <c r="O325" s="330">
        <f>AVERAGE(O324:P324)</f>
        <v>704.96825396825386</v>
      </c>
      <c r="P325" s="330"/>
      <c r="Q325" s="330">
        <f>AVERAGE(Q324:R324)</f>
        <v>668.73412698412699</v>
      </c>
      <c r="R325" s="330"/>
      <c r="S325" s="330">
        <f>AVERAGE(S324:T324)</f>
        <v>891.43253968253953</v>
      </c>
      <c r="T325" s="330"/>
      <c r="U325" s="330">
        <f>AVERAGE(U324:V324)</f>
        <v>730.70634920634916</v>
      </c>
      <c r="V325" s="330"/>
      <c r="W325" s="330">
        <f>AVERAGE(W324:X324)</f>
        <v>375.30158730158729</v>
      </c>
      <c r="X325" s="330"/>
    </row>
  </sheetData>
  <mergeCells count="232">
    <mergeCell ref="AE127:AF127"/>
    <mergeCell ref="Y19:Z19"/>
    <mergeCell ref="Y37:Z37"/>
    <mergeCell ref="W55:X55"/>
    <mergeCell ref="Y73:Z73"/>
    <mergeCell ref="W91:X91"/>
    <mergeCell ref="Y109:Z109"/>
    <mergeCell ref="AC127:AD127"/>
    <mergeCell ref="Y145:Z145"/>
    <mergeCell ref="AA19:AB19"/>
    <mergeCell ref="Y91:Z91"/>
    <mergeCell ref="W73:X73"/>
    <mergeCell ref="W19:X19"/>
    <mergeCell ref="W37:X37"/>
    <mergeCell ref="Q109:R109"/>
    <mergeCell ref="U127:V127"/>
    <mergeCell ref="Q37:R37"/>
    <mergeCell ref="Q73:R73"/>
    <mergeCell ref="S37:T37"/>
    <mergeCell ref="Q55:R55"/>
    <mergeCell ref="S73:T73"/>
    <mergeCell ref="Q91:R91"/>
    <mergeCell ref="S109:T109"/>
    <mergeCell ref="U55:V55"/>
    <mergeCell ref="U91:V91"/>
    <mergeCell ref="M19:N19"/>
    <mergeCell ref="M109:N109"/>
    <mergeCell ref="O19:P19"/>
    <mergeCell ref="M55:N55"/>
    <mergeCell ref="M91:N91"/>
    <mergeCell ref="O109:P109"/>
    <mergeCell ref="M37:N37"/>
    <mergeCell ref="M73:N73"/>
    <mergeCell ref="E145:F145"/>
    <mergeCell ref="K145:L145"/>
    <mergeCell ref="K37:L37"/>
    <mergeCell ref="K19:L19"/>
    <mergeCell ref="O37:P37"/>
    <mergeCell ref="O73:P73"/>
    <mergeCell ref="M127:N127"/>
    <mergeCell ref="O55:P55"/>
    <mergeCell ref="O91:P91"/>
    <mergeCell ref="C307:D307"/>
    <mergeCell ref="E307:F307"/>
    <mergeCell ref="O289:P289"/>
    <mergeCell ref="I235:J235"/>
    <mergeCell ref="B183:J183"/>
    <mergeCell ref="C199:D199"/>
    <mergeCell ref="E199:F199"/>
    <mergeCell ref="B201:J201"/>
    <mergeCell ref="C217:D217"/>
    <mergeCell ref="E217:F217"/>
    <mergeCell ref="G217:H217"/>
    <mergeCell ref="B237:J237"/>
    <mergeCell ref="C253:D253"/>
    <mergeCell ref="E253:F253"/>
    <mergeCell ref="G253:H253"/>
    <mergeCell ref="I253:J253"/>
    <mergeCell ref="E235:F235"/>
    <mergeCell ref="G271:H271"/>
    <mergeCell ref="K289:L289"/>
    <mergeCell ref="G235:H235"/>
    <mergeCell ref="K199:L199"/>
    <mergeCell ref="O307:P307"/>
    <mergeCell ref="G199:H199"/>
    <mergeCell ref="I217:J217"/>
    <mergeCell ref="K163:L163"/>
    <mergeCell ref="B39:J39"/>
    <mergeCell ref="C55:D55"/>
    <mergeCell ref="E55:F55"/>
    <mergeCell ref="B57:J57"/>
    <mergeCell ref="C73:D73"/>
    <mergeCell ref="E73:F73"/>
    <mergeCell ref="G73:H73"/>
    <mergeCell ref="I73:J73"/>
    <mergeCell ref="B129:J129"/>
    <mergeCell ref="I55:J55"/>
    <mergeCell ref="I91:J91"/>
    <mergeCell ref="I127:J127"/>
    <mergeCell ref="C163:D163"/>
    <mergeCell ref="E163:F163"/>
    <mergeCell ref="B147:J147"/>
    <mergeCell ref="B3:J3"/>
    <mergeCell ref="C19:D19"/>
    <mergeCell ref="E19:F19"/>
    <mergeCell ref="B21:J21"/>
    <mergeCell ref="C37:D37"/>
    <mergeCell ref="E37:F37"/>
    <mergeCell ref="G37:H37"/>
    <mergeCell ref="G19:H19"/>
    <mergeCell ref="I37:J37"/>
    <mergeCell ref="I19:J19"/>
    <mergeCell ref="K181:L181"/>
    <mergeCell ref="B309:J309"/>
    <mergeCell ref="C325:D325"/>
    <mergeCell ref="E325:F325"/>
    <mergeCell ref="G325:H325"/>
    <mergeCell ref="I307:J307"/>
    <mergeCell ref="I145:J145"/>
    <mergeCell ref="I163:J163"/>
    <mergeCell ref="I181:J181"/>
    <mergeCell ref="I199:J199"/>
    <mergeCell ref="B291:J291"/>
    <mergeCell ref="B255:J255"/>
    <mergeCell ref="C271:D271"/>
    <mergeCell ref="E271:F271"/>
    <mergeCell ref="B273:J273"/>
    <mergeCell ref="C289:D289"/>
    <mergeCell ref="E289:F289"/>
    <mergeCell ref="G289:H289"/>
    <mergeCell ref="I289:J289"/>
    <mergeCell ref="B219:J219"/>
    <mergeCell ref="C235:D235"/>
    <mergeCell ref="G163:H163"/>
    <mergeCell ref="G181:H181"/>
    <mergeCell ref="G145:H145"/>
    <mergeCell ref="Q325:R325"/>
    <mergeCell ref="B165:J165"/>
    <mergeCell ref="C181:D181"/>
    <mergeCell ref="E181:F181"/>
    <mergeCell ref="G55:H55"/>
    <mergeCell ref="K73:L73"/>
    <mergeCell ref="G91:H91"/>
    <mergeCell ref="I109:J109"/>
    <mergeCell ref="K127:L127"/>
    <mergeCell ref="B111:J111"/>
    <mergeCell ref="C127:D127"/>
    <mergeCell ref="E127:F127"/>
    <mergeCell ref="B75:J75"/>
    <mergeCell ref="C91:D91"/>
    <mergeCell ref="E91:F91"/>
    <mergeCell ref="B93:J93"/>
    <mergeCell ref="C109:D109"/>
    <mergeCell ref="E109:F109"/>
    <mergeCell ref="G109:H109"/>
    <mergeCell ref="G127:H127"/>
    <mergeCell ref="K55:L55"/>
    <mergeCell ref="K91:L91"/>
    <mergeCell ref="C145:D145"/>
    <mergeCell ref="K109:L109"/>
    <mergeCell ref="G307:H307"/>
    <mergeCell ref="I325:J325"/>
    <mergeCell ref="I271:J271"/>
    <mergeCell ref="O325:P325"/>
    <mergeCell ref="M253:N253"/>
    <mergeCell ref="M289:N289"/>
    <mergeCell ref="K325:L325"/>
    <mergeCell ref="M325:N325"/>
    <mergeCell ref="M235:N235"/>
    <mergeCell ref="K271:L271"/>
    <mergeCell ref="K307:L307"/>
    <mergeCell ref="K235:L235"/>
    <mergeCell ref="K253:L253"/>
    <mergeCell ref="S127:T127"/>
    <mergeCell ref="M145:N145"/>
    <mergeCell ref="Q127:R127"/>
    <mergeCell ref="S145:T145"/>
    <mergeCell ref="S163:T163"/>
    <mergeCell ref="O217:P217"/>
    <mergeCell ref="O199:P199"/>
    <mergeCell ref="O127:P127"/>
    <mergeCell ref="Q253:R253"/>
    <mergeCell ref="O253:P253"/>
    <mergeCell ref="S235:T235"/>
    <mergeCell ref="Q217:R217"/>
    <mergeCell ref="K217:L217"/>
    <mergeCell ref="M271:N271"/>
    <mergeCell ref="M307:N307"/>
    <mergeCell ref="M217:N217"/>
    <mergeCell ref="S253:T253"/>
    <mergeCell ref="Q271:R271"/>
    <mergeCell ref="O235:P235"/>
    <mergeCell ref="Q235:R235"/>
    <mergeCell ref="Q289:R289"/>
    <mergeCell ref="O271:P271"/>
    <mergeCell ref="Q181:R181"/>
    <mergeCell ref="Q199:R199"/>
    <mergeCell ref="M163:N163"/>
    <mergeCell ref="M181:N181"/>
    <mergeCell ref="M199:N199"/>
    <mergeCell ref="O145:P145"/>
    <mergeCell ref="O163:P163"/>
    <mergeCell ref="O181:P181"/>
    <mergeCell ref="U199:V199"/>
    <mergeCell ref="U253:V253"/>
    <mergeCell ref="S271:T271"/>
    <mergeCell ref="U289:V289"/>
    <mergeCell ref="S307:T307"/>
    <mergeCell ref="S325:T325"/>
    <mergeCell ref="S181:T181"/>
    <mergeCell ref="S199:T199"/>
    <mergeCell ref="Q19:R19"/>
    <mergeCell ref="S19:T19"/>
    <mergeCell ref="S289:T289"/>
    <mergeCell ref="Q307:R307"/>
    <mergeCell ref="U19:V19"/>
    <mergeCell ref="U37:V37"/>
    <mergeCell ref="S55:T55"/>
    <mergeCell ref="U73:V73"/>
    <mergeCell ref="S91:T91"/>
    <mergeCell ref="U109:V109"/>
    <mergeCell ref="U145:V145"/>
    <mergeCell ref="U163:V163"/>
    <mergeCell ref="U181:V181"/>
    <mergeCell ref="U217:V217"/>
    <mergeCell ref="S217:T217"/>
    <mergeCell ref="Q145:R145"/>
    <mergeCell ref="Q163:R163"/>
    <mergeCell ref="W289:X289"/>
    <mergeCell ref="U307:V307"/>
    <mergeCell ref="U325:V325"/>
    <mergeCell ref="AA127:AB127"/>
    <mergeCell ref="W109:X109"/>
    <mergeCell ref="W145:X145"/>
    <mergeCell ref="W163:X163"/>
    <mergeCell ref="W181:X181"/>
    <mergeCell ref="W199:X199"/>
    <mergeCell ref="Y127:Z127"/>
    <mergeCell ref="Y181:Z181"/>
    <mergeCell ref="Y199:Z199"/>
    <mergeCell ref="Y235:Z235"/>
    <mergeCell ref="Y253:Z253"/>
    <mergeCell ref="W271:X271"/>
    <mergeCell ref="Y289:Z289"/>
    <mergeCell ref="W307:X307"/>
    <mergeCell ref="W325:X325"/>
    <mergeCell ref="Y163:Z163"/>
    <mergeCell ref="W235:X235"/>
    <mergeCell ref="W253:X253"/>
    <mergeCell ref="U271:V271"/>
    <mergeCell ref="W127:X127"/>
    <mergeCell ref="U235:V23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Flowsheet</vt:lpstr>
      <vt:lpstr>Equipment List &amp; Purchase Cost</vt:lpstr>
      <vt:lpstr>Scheduling</vt:lpstr>
      <vt:lpstr>Operating Costs</vt:lpstr>
      <vt:lpstr>TEA</vt:lpstr>
      <vt:lpstr>Figures and Tables</vt:lpstr>
      <vt:lpstr>Experimental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Rahic, Elmin</dc:creator>
  <cp:lastModifiedBy>Rahic, Elmin [BEI]</cp:lastModifiedBy>
  <dcterms:created xsi:type="dcterms:W3CDTF">2023-12-06T15:18:14Z</dcterms:created>
  <dcterms:modified xsi:type="dcterms:W3CDTF">2025-04-24T19:44:05Z</dcterms:modified>
</cp:coreProperties>
</file>