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6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9.xml" ContentType="application/vnd.openxmlformats-officedocument.drawing+xml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drawings/drawing10.xml" ContentType="application/vnd.openxmlformats-officedocument.drawing+xml"/>
  <Override PartName="/xl/embeddings/oleObject32.bin" ContentType="application/vnd.openxmlformats-officedocument.oleObject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f\AppData\Local\Temp\Rar$DIa242124.6220\"/>
    </mc:Choice>
  </mc:AlternateContent>
  <xr:revisionPtr revIDLastSave="0" documentId="13_ncr:1_{02A25F38-163B-4F12-AC76-D10A4EB5FC3B}" xr6:coauthVersionLast="47" xr6:coauthVersionMax="47" xr10:uidLastSave="{00000000-0000-0000-0000-000000000000}"/>
  <bookViews>
    <workbookView xWindow="-110" yWindow="-110" windowWidth="19420" windowHeight="10300" firstSheet="7" activeTab="9" xr2:uid="{8B36ABD9-4EBC-4EC3-BCFB-3185FBD744CD}"/>
  </bookViews>
  <sheets>
    <sheet name="Bioassay_Hybrids_raw" sheetId="1" r:id="rId1"/>
    <sheet name="Bioassay_Hybrids_summary" sheetId="11" r:id="rId2"/>
    <sheet name="Bioassay_FuMoz" sheetId="9" r:id="rId3"/>
    <sheet name="Bioassay_Nkolondom" sheetId="10" r:id="rId4"/>
    <sheet name="Bioassay_Mibellon_raw" sheetId="2" r:id="rId5"/>
    <sheet name="Bioassay_Mibellon_summary" sheetId="12" r:id="rId6"/>
    <sheet name="Genotype_Perm._Hybrids" sheetId="8" r:id="rId7"/>
    <sheet name="Genotype_1xDD_Hybrids" sheetId="3" r:id="rId8"/>
    <sheet name="Genotype_5xDD_Hybrids" sheetId="7" r:id="rId9"/>
    <sheet name="QRT_PCR-Hybrids" sheetId="4" r:id="rId10"/>
    <sheet name="QRT_PCR-Mibellon" sheetId="5" r:id="rId11"/>
  </sheets>
  <externalReferences>
    <externalReference r:id="rId12"/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3" l="1"/>
  <c r="U11" i="3"/>
  <c r="V11" i="3"/>
  <c r="W11" i="3"/>
  <c r="F16" i="12" l="1"/>
  <c r="I12" i="12"/>
  <c r="I11" i="12"/>
  <c r="I10" i="12"/>
  <c r="I9" i="12"/>
  <c r="I5" i="12"/>
  <c r="J12" i="12"/>
  <c r="J11" i="12"/>
  <c r="J10" i="12"/>
  <c r="J9" i="12"/>
  <c r="J8" i="12"/>
  <c r="J7" i="12"/>
  <c r="J5" i="12"/>
  <c r="J6" i="12"/>
  <c r="I7" i="12"/>
  <c r="I6" i="12"/>
  <c r="K6" i="12" s="1"/>
  <c r="I8" i="12"/>
  <c r="L33" i="10"/>
  <c r="M33" i="10"/>
  <c r="M26" i="10"/>
  <c r="M12" i="10"/>
  <c r="M19" i="10"/>
  <c r="L26" i="10"/>
  <c r="L19" i="10"/>
  <c r="L12" i="10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I49" i="11" s="1"/>
  <c r="J25" i="11"/>
  <c r="I48" i="11" s="1"/>
  <c r="J24" i="11"/>
  <c r="I47" i="11" s="1"/>
  <c r="I43" i="11"/>
  <c r="I42" i="11"/>
  <c r="K42" i="11" s="1"/>
  <c r="I41" i="11"/>
  <c r="K41" i="11" s="1"/>
  <c r="L41" i="11" s="1"/>
  <c r="I39" i="11"/>
  <c r="I38" i="11"/>
  <c r="I37" i="11"/>
  <c r="I35" i="11"/>
  <c r="I34" i="11"/>
  <c r="Q62" i="1"/>
  <c r="I33" i="11"/>
  <c r="I40" i="11"/>
  <c r="I36" i="11"/>
  <c r="K36" i="11" s="1"/>
  <c r="I32" i="11"/>
  <c r="K32" i="11" s="1"/>
  <c r="I31" i="11"/>
  <c r="I30" i="11"/>
  <c r="I29" i="11"/>
  <c r="K29" i="11" s="1"/>
  <c r="L29" i="11" s="1"/>
  <c r="I28" i="11"/>
  <c r="K28" i="11" s="1"/>
  <c r="I27" i="11"/>
  <c r="I26" i="11"/>
  <c r="I25" i="11"/>
  <c r="K25" i="11" s="1"/>
  <c r="L25" i="11" s="1"/>
  <c r="I24" i="11"/>
  <c r="H47" i="11" s="1"/>
  <c r="J12" i="11"/>
  <c r="J11" i="11"/>
  <c r="J10" i="11"/>
  <c r="J9" i="11"/>
  <c r="J8" i="11"/>
  <c r="J7" i="11"/>
  <c r="J6" i="11"/>
  <c r="I17" i="11" s="1"/>
  <c r="J5" i="11"/>
  <c r="I16" i="11" s="1"/>
  <c r="R11" i="1"/>
  <c r="Q11" i="1"/>
  <c r="I12" i="11"/>
  <c r="I11" i="11"/>
  <c r="I10" i="11"/>
  <c r="I9" i="11"/>
  <c r="I8" i="11"/>
  <c r="I7" i="11"/>
  <c r="H18" i="11" s="1"/>
  <c r="I6" i="11"/>
  <c r="H17" i="11" s="1"/>
  <c r="I5" i="11"/>
  <c r="H16" i="11" s="1"/>
  <c r="I50" i="11" l="1"/>
  <c r="K38" i="11"/>
  <c r="L38" i="11" s="1"/>
  <c r="H50" i="11"/>
  <c r="K34" i="11"/>
  <c r="L34" i="11" s="1"/>
  <c r="H49" i="11"/>
  <c r="K30" i="11"/>
  <c r="L30" i="11" s="1"/>
  <c r="K33" i="11"/>
  <c r="L33" i="11" s="1"/>
  <c r="M33" i="11" s="1"/>
  <c r="K37" i="11"/>
  <c r="L37" i="11" s="1"/>
  <c r="L28" i="11"/>
  <c r="M28" i="11" s="1"/>
  <c r="L32" i="11"/>
  <c r="M32" i="11" s="1"/>
  <c r="L36" i="11"/>
  <c r="M36" i="11" s="1"/>
  <c r="L42" i="11"/>
  <c r="K27" i="11"/>
  <c r="K31" i="11"/>
  <c r="L31" i="11" s="1"/>
  <c r="K35" i="11"/>
  <c r="L35" i="11" s="1"/>
  <c r="M35" i="11" s="1"/>
  <c r="K39" i="11"/>
  <c r="L39" i="11" s="1"/>
  <c r="K43" i="11"/>
  <c r="L43" i="11" s="1"/>
  <c r="K24" i="11"/>
  <c r="L24" i="11" s="1"/>
  <c r="K40" i="11"/>
  <c r="L40" i="11" s="1"/>
  <c r="M40" i="11" s="1"/>
  <c r="H48" i="11"/>
  <c r="L27" i="11"/>
  <c r="K26" i="11"/>
  <c r="L26" i="11" s="1"/>
  <c r="K8" i="12"/>
  <c r="L8" i="12" s="1"/>
  <c r="K10" i="12"/>
  <c r="L10" i="12" s="1"/>
  <c r="K7" i="12"/>
  <c r="L7" i="12" s="1"/>
  <c r="K11" i="12"/>
  <c r="L6" i="12"/>
  <c r="K9" i="12"/>
  <c r="L9" i="12" s="1"/>
  <c r="K12" i="12"/>
  <c r="L12" i="12" s="1"/>
  <c r="K5" i="12"/>
  <c r="L5" i="12" s="1"/>
  <c r="L11" i="12"/>
  <c r="K10" i="11"/>
  <c r="L10" i="11" s="1"/>
  <c r="K11" i="11"/>
  <c r="L11" i="11" s="1"/>
  <c r="K9" i="11"/>
  <c r="L9" i="11" s="1"/>
  <c r="K8" i="11"/>
  <c r="L8" i="11" s="1"/>
  <c r="K12" i="11"/>
  <c r="L12" i="11" s="1"/>
  <c r="H19" i="11"/>
  <c r="I19" i="11"/>
  <c r="I18" i="11"/>
  <c r="K6" i="11"/>
  <c r="L6" i="11" s="1"/>
  <c r="K5" i="11"/>
  <c r="L5" i="11" s="1"/>
  <c r="K7" i="11"/>
  <c r="L7" i="11" s="1"/>
  <c r="M7" i="12" l="1"/>
  <c r="M37" i="11"/>
  <c r="M31" i="11"/>
  <c r="M39" i="11"/>
  <c r="M43" i="11"/>
  <c r="G50" i="11" s="1"/>
  <c r="M29" i="11"/>
  <c r="M41" i="11"/>
  <c r="M42" i="11"/>
  <c r="M38" i="11"/>
  <c r="M34" i="11"/>
  <c r="G47" i="11"/>
  <c r="F47" i="11"/>
  <c r="M30" i="11"/>
  <c r="M6" i="12"/>
  <c r="F17" i="12" s="1"/>
  <c r="M8" i="12"/>
  <c r="F19" i="12"/>
  <c r="F18" i="12"/>
  <c r="M12" i="11"/>
  <c r="F19" i="11" s="1"/>
  <c r="M9" i="11"/>
  <c r="F16" i="11" s="1"/>
  <c r="M10" i="11"/>
  <c r="F17" i="11" s="1"/>
  <c r="M11" i="11"/>
  <c r="F18" i="11" s="1"/>
  <c r="F50" i="11" l="1"/>
  <c r="F48" i="11"/>
  <c r="G48" i="11"/>
  <c r="G49" i="11"/>
  <c r="F49" i="11"/>
  <c r="J28" i="9"/>
  <c r="L27" i="9" s="1"/>
  <c r="J27" i="9"/>
  <c r="J29" i="9"/>
  <c r="J24" i="9"/>
  <c r="J23" i="9"/>
  <c r="L22" i="9" s="1"/>
  <c r="J22" i="9"/>
  <c r="J19" i="9"/>
  <c r="J18" i="9"/>
  <c r="J17" i="9"/>
  <c r="J14" i="9"/>
  <c r="J13" i="9"/>
  <c r="J12" i="9"/>
  <c r="K35" i="10"/>
  <c r="K34" i="10"/>
  <c r="K33" i="10"/>
  <c r="K28" i="10"/>
  <c r="K27" i="10"/>
  <c r="K26" i="10"/>
  <c r="K21" i="10"/>
  <c r="K20" i="10"/>
  <c r="K19" i="10"/>
  <c r="K14" i="10"/>
  <c r="K13" i="10"/>
  <c r="K12" i="10"/>
  <c r="L17" i="9" l="1"/>
  <c r="K27" i="9"/>
  <c r="L12" i="9"/>
  <c r="K17" i="9"/>
  <c r="K22" i="9"/>
  <c r="K12" i="9"/>
  <c r="T60" i="5"/>
  <c r="S60" i="5"/>
  <c r="R60" i="5"/>
  <c r="Q60" i="5"/>
  <c r="P60" i="5"/>
  <c r="O60" i="5"/>
  <c r="N60" i="5"/>
  <c r="M60" i="5"/>
  <c r="T59" i="5"/>
  <c r="S59" i="5"/>
  <c r="R59" i="5"/>
  <c r="Q59" i="5"/>
  <c r="P59" i="5"/>
  <c r="O59" i="5"/>
  <c r="N59" i="5"/>
  <c r="M59" i="5"/>
  <c r="T58" i="5"/>
  <c r="S58" i="5"/>
  <c r="R58" i="5"/>
  <c r="AC26" i="5" s="1"/>
  <c r="Q58" i="5"/>
  <c r="P58" i="5"/>
  <c r="O58" i="5"/>
  <c r="N58" i="5"/>
  <c r="Y26" i="5" s="1"/>
  <c r="M58" i="5"/>
  <c r="X26" i="5" s="1"/>
  <c r="T57" i="5"/>
  <c r="S57" i="5"/>
  <c r="R57" i="5"/>
  <c r="Q57" i="5"/>
  <c r="P57" i="5"/>
  <c r="O57" i="5"/>
  <c r="N57" i="5"/>
  <c r="M57" i="5"/>
  <c r="T56" i="5"/>
  <c r="S56" i="5"/>
  <c r="R56" i="5"/>
  <c r="Q56" i="5"/>
  <c r="P56" i="5"/>
  <c r="O56" i="5"/>
  <c r="N56" i="5"/>
  <c r="Y25" i="5" s="1"/>
  <c r="M56" i="5"/>
  <c r="T55" i="5"/>
  <c r="S55" i="5"/>
  <c r="R55" i="5"/>
  <c r="Q55" i="5"/>
  <c r="AB25" i="5" s="1"/>
  <c r="P55" i="5"/>
  <c r="O55" i="5"/>
  <c r="N55" i="5"/>
  <c r="M55" i="5"/>
  <c r="X25" i="5" s="1"/>
  <c r="T54" i="5"/>
  <c r="S54" i="5"/>
  <c r="R54" i="5"/>
  <c r="Q54" i="5"/>
  <c r="P54" i="5"/>
  <c r="O54" i="5"/>
  <c r="N54" i="5"/>
  <c r="M54" i="5"/>
  <c r="T53" i="5"/>
  <c r="S53" i="5"/>
  <c r="R53" i="5"/>
  <c r="Q53" i="5"/>
  <c r="P53" i="5"/>
  <c r="O53" i="5"/>
  <c r="N53" i="5"/>
  <c r="M53" i="5"/>
  <c r="T52" i="5"/>
  <c r="AE24" i="5" s="1"/>
  <c r="S52" i="5"/>
  <c r="R52" i="5"/>
  <c r="Q52" i="5"/>
  <c r="AB24" i="5" s="1"/>
  <c r="P52" i="5"/>
  <c r="AA24" i="5" s="1"/>
  <c r="O52" i="5"/>
  <c r="N52" i="5"/>
  <c r="Y24" i="5" s="1"/>
  <c r="M52" i="5"/>
  <c r="X24" i="5" s="1"/>
  <c r="T51" i="5"/>
  <c r="S51" i="5"/>
  <c r="R51" i="5"/>
  <c r="Q51" i="5"/>
  <c r="P51" i="5"/>
  <c r="O51" i="5"/>
  <c r="N51" i="5"/>
  <c r="M51" i="5"/>
  <c r="T50" i="5"/>
  <c r="S50" i="5"/>
  <c r="R50" i="5"/>
  <c r="Q50" i="5"/>
  <c r="P50" i="5"/>
  <c r="O50" i="5"/>
  <c r="N50" i="5"/>
  <c r="Y23" i="5" s="1"/>
  <c r="M50" i="5"/>
  <c r="T49" i="5"/>
  <c r="AE23" i="5" s="1"/>
  <c r="S49" i="5"/>
  <c r="R49" i="5"/>
  <c r="AC23" i="5" s="1"/>
  <c r="Q49" i="5"/>
  <c r="AB23" i="5" s="1"/>
  <c r="P49" i="5"/>
  <c r="AA23" i="5" s="1"/>
  <c r="O49" i="5"/>
  <c r="N49" i="5"/>
  <c r="M49" i="5"/>
  <c r="X23" i="5" s="1"/>
  <c r="T48" i="5"/>
  <c r="S48" i="5"/>
  <c r="R48" i="5"/>
  <c r="Q48" i="5"/>
  <c r="P48" i="5"/>
  <c r="O48" i="5"/>
  <c r="N48" i="5"/>
  <c r="M48" i="5"/>
  <c r="T47" i="5"/>
  <c r="S47" i="5"/>
  <c r="R47" i="5"/>
  <c r="Q47" i="5"/>
  <c r="P47" i="5"/>
  <c r="O47" i="5"/>
  <c r="N47" i="5"/>
  <c r="M47" i="5"/>
  <c r="T46" i="5"/>
  <c r="AE22" i="5" s="1"/>
  <c r="S46" i="5"/>
  <c r="R46" i="5"/>
  <c r="AC22" i="5" s="1"/>
  <c r="Q46" i="5"/>
  <c r="AB22" i="5" s="1"/>
  <c r="P46" i="5"/>
  <c r="AA22" i="5" s="1"/>
  <c r="O46" i="5"/>
  <c r="N46" i="5"/>
  <c r="M46" i="5"/>
  <c r="X22" i="5" s="1"/>
  <c r="T45" i="5"/>
  <c r="S45" i="5"/>
  <c r="R45" i="5"/>
  <c r="Q45" i="5"/>
  <c r="P45" i="5"/>
  <c r="O45" i="5"/>
  <c r="N45" i="5"/>
  <c r="M45" i="5"/>
  <c r="T44" i="5"/>
  <c r="S44" i="5"/>
  <c r="R44" i="5"/>
  <c r="Q44" i="5"/>
  <c r="P44" i="5"/>
  <c r="O44" i="5"/>
  <c r="N44" i="5"/>
  <c r="M44" i="5"/>
  <c r="T43" i="5"/>
  <c r="AE21" i="5" s="1"/>
  <c r="S43" i="5"/>
  <c r="AD21" i="5" s="1"/>
  <c r="R43" i="5"/>
  <c r="Q43" i="5"/>
  <c r="AB21" i="5" s="1"/>
  <c r="P43" i="5"/>
  <c r="AA21" i="5" s="1"/>
  <c r="O43" i="5"/>
  <c r="Z21" i="5" s="1"/>
  <c r="N43" i="5"/>
  <c r="M43" i="5"/>
  <c r="X21" i="5" s="1"/>
  <c r="T42" i="5"/>
  <c r="S42" i="5"/>
  <c r="R42" i="5"/>
  <c r="Q42" i="5"/>
  <c r="P42" i="5"/>
  <c r="O42" i="5"/>
  <c r="N42" i="5"/>
  <c r="M42" i="5"/>
  <c r="T41" i="5"/>
  <c r="S41" i="5"/>
  <c r="R41" i="5"/>
  <c r="Q41" i="5"/>
  <c r="P41" i="5"/>
  <c r="O41" i="5"/>
  <c r="N41" i="5"/>
  <c r="M41" i="5"/>
  <c r="T40" i="5"/>
  <c r="S40" i="5"/>
  <c r="AD20" i="5" s="1"/>
  <c r="R40" i="5"/>
  <c r="Q40" i="5"/>
  <c r="AB20" i="5" s="1"/>
  <c r="P40" i="5"/>
  <c r="O40" i="5"/>
  <c r="Z20" i="5" s="1"/>
  <c r="N40" i="5"/>
  <c r="M40" i="5"/>
  <c r="T39" i="5"/>
  <c r="S39" i="5"/>
  <c r="R39" i="5"/>
  <c r="Q39" i="5"/>
  <c r="P39" i="5"/>
  <c r="O39" i="5"/>
  <c r="N39" i="5"/>
  <c r="M39" i="5"/>
  <c r="T38" i="5"/>
  <c r="S38" i="5"/>
  <c r="R38" i="5"/>
  <c r="Q38" i="5"/>
  <c r="P38" i="5"/>
  <c r="O38" i="5"/>
  <c r="N38" i="5"/>
  <c r="M38" i="5"/>
  <c r="T37" i="5"/>
  <c r="S37" i="5"/>
  <c r="R37" i="5"/>
  <c r="AC19" i="5" s="1"/>
  <c r="Q37" i="5"/>
  <c r="AB19" i="5" s="1"/>
  <c r="P37" i="5"/>
  <c r="O37" i="5"/>
  <c r="N37" i="5"/>
  <c r="Y19" i="5" s="1"/>
  <c r="M37" i="5"/>
  <c r="X19" i="5" s="1"/>
  <c r="T36" i="5"/>
  <c r="S36" i="5"/>
  <c r="R36" i="5"/>
  <c r="Q36" i="5"/>
  <c r="P36" i="5"/>
  <c r="O36" i="5"/>
  <c r="N36" i="5"/>
  <c r="M36" i="5"/>
  <c r="T35" i="5"/>
  <c r="S35" i="5"/>
  <c r="R35" i="5"/>
  <c r="Q35" i="5"/>
  <c r="P35" i="5"/>
  <c r="O35" i="5"/>
  <c r="N35" i="5"/>
  <c r="M35" i="5"/>
  <c r="T34" i="5"/>
  <c r="AE18" i="5" s="1"/>
  <c r="S34" i="5"/>
  <c r="R34" i="5"/>
  <c r="Q34" i="5"/>
  <c r="P34" i="5"/>
  <c r="AA18" i="5" s="1"/>
  <c r="O34" i="5"/>
  <c r="N34" i="5"/>
  <c r="M34" i="5"/>
  <c r="T33" i="5"/>
  <c r="S33" i="5"/>
  <c r="R33" i="5"/>
  <c r="Q33" i="5"/>
  <c r="P33" i="5"/>
  <c r="O33" i="5"/>
  <c r="N33" i="5"/>
  <c r="M33" i="5"/>
  <c r="T32" i="5"/>
  <c r="S32" i="5"/>
  <c r="R32" i="5"/>
  <c r="Q32" i="5"/>
  <c r="P32" i="5"/>
  <c r="O32" i="5"/>
  <c r="N32" i="5"/>
  <c r="Y17" i="5" s="1"/>
  <c r="M32" i="5"/>
  <c r="T31" i="5"/>
  <c r="AE17" i="5" s="1"/>
  <c r="S31" i="5"/>
  <c r="R31" i="5"/>
  <c r="AC17" i="5" s="1"/>
  <c r="Q31" i="5"/>
  <c r="AB17" i="5" s="1"/>
  <c r="P31" i="5"/>
  <c r="AA17" i="5" s="1"/>
  <c r="O31" i="5"/>
  <c r="N31" i="5"/>
  <c r="M31" i="5"/>
  <c r="X17" i="5" s="1"/>
  <c r="T30" i="5"/>
  <c r="S30" i="5"/>
  <c r="R30" i="5"/>
  <c r="Q30" i="5"/>
  <c r="P30" i="5"/>
  <c r="O30" i="5"/>
  <c r="N30" i="5"/>
  <c r="M30" i="5"/>
  <c r="T29" i="5"/>
  <c r="S29" i="5"/>
  <c r="R29" i="5"/>
  <c r="Q29" i="5"/>
  <c r="P29" i="5"/>
  <c r="O29" i="5"/>
  <c r="N29" i="5"/>
  <c r="Y16" i="5" s="1"/>
  <c r="AI16" i="5" s="1"/>
  <c r="AR16" i="5" s="1"/>
  <c r="M29" i="5"/>
  <c r="T28" i="5"/>
  <c r="S28" i="5"/>
  <c r="AD16" i="5" s="1"/>
  <c r="R28" i="5"/>
  <c r="AC16" i="5" s="1"/>
  <c r="AL16" i="5" s="1"/>
  <c r="AU16" i="5" s="1"/>
  <c r="Q28" i="5"/>
  <c r="AB16" i="5" s="1"/>
  <c r="P28" i="5"/>
  <c r="AA16" i="5" s="1"/>
  <c r="O28" i="5"/>
  <c r="Z16" i="5" s="1"/>
  <c r="N28" i="5"/>
  <c r="M28" i="5"/>
  <c r="X16" i="5" s="1"/>
  <c r="T27" i="5"/>
  <c r="S27" i="5"/>
  <c r="R27" i="5"/>
  <c r="Q27" i="5"/>
  <c r="P27" i="5"/>
  <c r="O27" i="5"/>
  <c r="N27" i="5"/>
  <c r="M27" i="5"/>
  <c r="AA26" i="5"/>
  <c r="T26" i="5"/>
  <c r="S26" i="5"/>
  <c r="R26" i="5"/>
  <c r="Q26" i="5"/>
  <c r="P26" i="5"/>
  <c r="O26" i="5"/>
  <c r="Z15" i="5" s="1"/>
  <c r="N26" i="5"/>
  <c r="M26" i="5"/>
  <c r="AD25" i="5"/>
  <c r="AC25" i="5"/>
  <c r="Z25" i="5"/>
  <c r="T25" i="5"/>
  <c r="S25" i="5"/>
  <c r="R25" i="5"/>
  <c r="Q25" i="5"/>
  <c r="P25" i="5"/>
  <c r="O25" i="5"/>
  <c r="N25" i="5"/>
  <c r="M25" i="5"/>
  <c r="AD24" i="5"/>
  <c r="AC24" i="5"/>
  <c r="Z24" i="5"/>
  <c r="T24" i="5"/>
  <c r="S24" i="5"/>
  <c r="R24" i="5"/>
  <c r="Q24" i="5"/>
  <c r="P24" i="5"/>
  <c r="O24" i="5"/>
  <c r="N24" i="5"/>
  <c r="M24" i="5"/>
  <c r="AD23" i="5"/>
  <c r="Z23" i="5"/>
  <c r="T23" i="5"/>
  <c r="S23" i="5"/>
  <c r="R23" i="5"/>
  <c r="Q23" i="5"/>
  <c r="P23" i="5"/>
  <c r="O23" i="5"/>
  <c r="N23" i="5"/>
  <c r="M23" i="5"/>
  <c r="AD22" i="5"/>
  <c r="Z22" i="5"/>
  <c r="T22" i="5"/>
  <c r="AE14" i="5" s="1"/>
  <c r="AN32" i="5" s="1"/>
  <c r="AW32" i="5" s="1"/>
  <c r="S22" i="5"/>
  <c r="R22" i="5"/>
  <c r="Q22" i="5"/>
  <c r="P22" i="5"/>
  <c r="O22" i="5"/>
  <c r="N22" i="5"/>
  <c r="M22" i="5"/>
  <c r="Y21" i="5"/>
  <c r="T21" i="5"/>
  <c r="S21" i="5"/>
  <c r="R21" i="5"/>
  <c r="Q21" i="5"/>
  <c r="P21" i="5"/>
  <c r="O21" i="5"/>
  <c r="N21" i="5"/>
  <c r="M21" i="5"/>
  <c r="T20" i="5"/>
  <c r="S20" i="5"/>
  <c r="R20" i="5"/>
  <c r="AC13" i="5" s="1"/>
  <c r="Q20" i="5"/>
  <c r="P20" i="5"/>
  <c r="O20" i="5"/>
  <c r="N20" i="5"/>
  <c r="Y13" i="5" s="1"/>
  <c r="M20" i="5"/>
  <c r="T19" i="5"/>
  <c r="S19" i="5"/>
  <c r="R19" i="5"/>
  <c r="Q19" i="5"/>
  <c r="P19" i="5"/>
  <c r="O19" i="5"/>
  <c r="Z13" i="5" s="1"/>
  <c r="N19" i="5"/>
  <c r="M19" i="5"/>
  <c r="T18" i="5"/>
  <c r="S18" i="5"/>
  <c r="R18" i="5"/>
  <c r="Q18" i="5"/>
  <c r="P18" i="5"/>
  <c r="O18" i="5"/>
  <c r="N18" i="5"/>
  <c r="M18" i="5"/>
  <c r="T17" i="5"/>
  <c r="S17" i="5"/>
  <c r="R17" i="5"/>
  <c r="Q17" i="5"/>
  <c r="P17" i="5"/>
  <c r="O17" i="5"/>
  <c r="N17" i="5"/>
  <c r="M17" i="5"/>
  <c r="T16" i="5"/>
  <c r="S16" i="5"/>
  <c r="R16" i="5"/>
  <c r="Q16" i="5"/>
  <c r="P16" i="5"/>
  <c r="AA12" i="5" s="1"/>
  <c r="O16" i="5"/>
  <c r="N16" i="5"/>
  <c r="M16" i="5"/>
  <c r="X14" i="5"/>
  <c r="AB26" i="5" l="1"/>
  <c r="AE26" i="5"/>
  <c r="AL40" i="5"/>
  <c r="AU40" i="5" s="1"/>
  <c r="AK16" i="5"/>
  <c r="AT16" i="5" s="1"/>
  <c r="AK40" i="5"/>
  <c r="AT40" i="5" s="1"/>
  <c r="AJ41" i="5"/>
  <c r="AS41" i="5" s="1"/>
  <c r="AK23" i="5"/>
  <c r="AT23" i="5" s="1"/>
  <c r="AJ42" i="5"/>
  <c r="AS42" i="5" s="1"/>
  <c r="AS63" i="5" s="1"/>
  <c r="Y14" i="5"/>
  <c r="AC14" i="5"/>
  <c r="AI24" i="5"/>
  <c r="AR24" i="5" s="1"/>
  <c r="Z12" i="5"/>
  <c r="AI12" i="5" s="1"/>
  <c r="AR12" i="5" s="1"/>
  <c r="BA12" i="5" s="1"/>
  <c r="AD12" i="5"/>
  <c r="Z14" i="5"/>
  <c r="AI14" i="5" s="1"/>
  <c r="AR14" i="5" s="1"/>
  <c r="AD14" i="5"/>
  <c r="AM14" i="5" s="1"/>
  <c r="AV14" i="5" s="1"/>
  <c r="AD13" i="5"/>
  <c r="AM13" i="5" s="1"/>
  <c r="AV13" i="5" s="1"/>
  <c r="AA14" i="5"/>
  <c r="AJ14" i="5" s="1"/>
  <c r="AS14" i="5" s="1"/>
  <c r="AC18" i="5"/>
  <c r="AK37" i="5"/>
  <c r="AT37" i="5" s="1"/>
  <c r="X20" i="5"/>
  <c r="AN38" i="5" s="1"/>
  <c r="AW38" i="5" s="1"/>
  <c r="AE12" i="5"/>
  <c r="Y18" i="5"/>
  <c r="Y22" i="5"/>
  <c r="AL22" i="5" s="1"/>
  <c r="AU22" i="5" s="1"/>
  <c r="AU61" i="5" s="1"/>
  <c r="X12" i="5"/>
  <c r="AI30" i="5" s="1"/>
  <c r="AR30" i="5" s="1"/>
  <c r="AB12" i="5"/>
  <c r="AJ44" i="5"/>
  <c r="AS44" i="5" s="1"/>
  <c r="AN24" i="5"/>
  <c r="AW24" i="5" s="1"/>
  <c r="AE15" i="5"/>
  <c r="AN15" i="5" s="1"/>
  <c r="AW15" i="5" s="1"/>
  <c r="AA20" i="5"/>
  <c r="AE20" i="5"/>
  <c r="AN21" i="5"/>
  <c r="AW21" i="5" s="1"/>
  <c r="AM23" i="5"/>
  <c r="AV23" i="5" s="1"/>
  <c r="AN23" i="5"/>
  <c r="AW23" i="5" s="1"/>
  <c r="AJ23" i="5"/>
  <c r="AS23" i="5" s="1"/>
  <c r="AI25" i="5"/>
  <c r="AR25" i="5" s="1"/>
  <c r="AM25" i="5"/>
  <c r="AV25" i="5" s="1"/>
  <c r="AL25" i="5"/>
  <c r="AU25" i="5" s="1"/>
  <c r="AK44" i="5"/>
  <c r="AT44" i="5" s="1"/>
  <c r="AL35" i="5"/>
  <c r="AU35" i="5" s="1"/>
  <c r="AL17" i="5"/>
  <c r="AU17" i="5" s="1"/>
  <c r="AU56" i="5" s="1"/>
  <c r="AM24" i="5"/>
  <c r="AV24" i="5" s="1"/>
  <c r="AA15" i="5"/>
  <c r="X18" i="5"/>
  <c r="AN36" i="5" s="1"/>
  <c r="AW36" i="5" s="1"/>
  <c r="Y12" i="5"/>
  <c r="AC12" i="5"/>
  <c r="AJ24" i="5"/>
  <c r="AS24" i="5" s="1"/>
  <c r="AN42" i="5"/>
  <c r="AW42" i="5" s="1"/>
  <c r="AW63" i="5" s="1"/>
  <c r="X15" i="5"/>
  <c r="AN33" i="5" s="1"/>
  <c r="AW33" i="5" s="1"/>
  <c r="AB15" i="5"/>
  <c r="Y15" i="5"/>
  <c r="AC15" i="5"/>
  <c r="AN44" i="5"/>
  <c r="AW44" i="5" s="1"/>
  <c r="AD15" i="5"/>
  <c r="Z17" i="5"/>
  <c r="AI35" i="5" s="1"/>
  <c r="AR35" i="5" s="1"/>
  <c r="AD17" i="5"/>
  <c r="AC21" i="5"/>
  <c r="AL21" i="5" s="1"/>
  <c r="AU21" i="5" s="1"/>
  <c r="Z26" i="5"/>
  <c r="AI26" i="5" s="1"/>
  <c r="AR26" i="5" s="1"/>
  <c r="AD26" i="5"/>
  <c r="AM26" i="5" s="1"/>
  <c r="AV26" i="5" s="1"/>
  <c r="AI17" i="5"/>
  <c r="AR17" i="5" s="1"/>
  <c r="AR56" i="5" s="1"/>
  <c r="AL34" i="5"/>
  <c r="AU34" i="5" s="1"/>
  <c r="AU55" i="5" s="1"/>
  <c r="AM40" i="5"/>
  <c r="AV40" i="5" s="1"/>
  <c r="AM43" i="5"/>
  <c r="AV43" i="5" s="1"/>
  <c r="AB18" i="5"/>
  <c r="AK18" i="5" s="1"/>
  <c r="AT18" i="5" s="1"/>
  <c r="AA19" i="5"/>
  <c r="AJ37" i="5" s="1"/>
  <c r="AS37" i="5" s="1"/>
  <c r="AJ34" i="5"/>
  <c r="AS34" i="5" s="1"/>
  <c r="AA13" i="5"/>
  <c r="AJ13" i="5" s="1"/>
  <c r="AS13" i="5" s="1"/>
  <c r="AE13" i="5"/>
  <c r="X13" i="5"/>
  <c r="AM31" i="5" s="1"/>
  <c r="AV31" i="5" s="1"/>
  <c r="AI40" i="5"/>
  <c r="AR40" i="5" s="1"/>
  <c r="AB14" i="5"/>
  <c r="AK14" i="5" s="1"/>
  <c r="AT14" i="5" s="1"/>
  <c r="AI43" i="5"/>
  <c r="AR43" i="5" s="1"/>
  <c r="AN26" i="5"/>
  <c r="AW26" i="5" s="1"/>
  <c r="AW65" i="5" s="1"/>
  <c r="AE16" i="5"/>
  <c r="AN34" i="5" s="1"/>
  <c r="AW34" i="5" s="1"/>
  <c r="AJ35" i="5"/>
  <c r="AS35" i="5" s="1"/>
  <c r="Y20" i="5"/>
  <c r="AC20" i="5"/>
  <c r="AL38" i="5" s="1"/>
  <c r="AU38" i="5" s="1"/>
  <c r="AJ40" i="5"/>
  <c r="AS40" i="5" s="1"/>
  <c r="AA25" i="5"/>
  <c r="AJ25" i="5" s="1"/>
  <c r="AS25" i="5" s="1"/>
  <c r="AE25" i="5"/>
  <c r="AN25" i="5" s="1"/>
  <c r="AW25" i="5" s="1"/>
  <c r="AJ15" i="5"/>
  <c r="AS15" i="5" s="1"/>
  <c r="AL15" i="5"/>
  <c r="AU15" i="5" s="1"/>
  <c r="AJ19" i="5"/>
  <c r="AS19" i="5" s="1"/>
  <c r="AN17" i="5"/>
  <c r="AW17" i="5" s="1"/>
  <c r="AN35" i="5"/>
  <c r="AW35" i="5" s="1"/>
  <c r="AJ16" i="5"/>
  <c r="AS16" i="5" s="1"/>
  <c r="AK35" i="5"/>
  <c r="AT35" i="5" s="1"/>
  <c r="AK17" i="5"/>
  <c r="AT17" i="5" s="1"/>
  <c r="AT56" i="5" s="1"/>
  <c r="AL13" i="5"/>
  <c r="AU13" i="5" s="1"/>
  <c r="AN14" i="5"/>
  <c r="AW14" i="5" s="1"/>
  <c r="AW53" i="5" s="1"/>
  <c r="AB13" i="5"/>
  <c r="AJ22" i="5"/>
  <c r="AS22" i="5" s="1"/>
  <c r="AL42" i="5"/>
  <c r="AU42" i="5" s="1"/>
  <c r="AM39" i="5"/>
  <c r="AV39" i="5" s="1"/>
  <c r="AN41" i="5"/>
  <c r="AW41" i="5" s="1"/>
  <c r="AI13" i="5"/>
  <c r="AR13" i="5" s="1"/>
  <c r="AL32" i="5"/>
  <c r="AU32" i="5" s="1"/>
  <c r="AM21" i="5"/>
  <c r="AV21" i="5" s="1"/>
  <c r="AJ26" i="5"/>
  <c r="AS26" i="5" s="1"/>
  <c r="AS65" i="5" s="1"/>
  <c r="AK41" i="5"/>
  <c r="AT41" i="5" s="1"/>
  <c r="AK22" i="5"/>
  <c r="AT22" i="5" s="1"/>
  <c r="AT61" i="5" s="1"/>
  <c r="AK24" i="5"/>
  <c r="AT24" i="5" s="1"/>
  <c r="AK42" i="5"/>
  <c r="AT42" i="5" s="1"/>
  <c r="AL37" i="5"/>
  <c r="AU37" i="5" s="1"/>
  <c r="AL19" i="5"/>
  <c r="AU19" i="5" s="1"/>
  <c r="AI15" i="5"/>
  <c r="AR15" i="5" s="1"/>
  <c r="AI33" i="5"/>
  <c r="AR33" i="5" s="1"/>
  <c r="AN18" i="5"/>
  <c r="AW18" i="5" s="1"/>
  <c r="AI22" i="5"/>
  <c r="AR22" i="5" s="1"/>
  <c r="AM22" i="5"/>
  <c r="AV22" i="5" s="1"/>
  <c r="AL41" i="5"/>
  <c r="AU41" i="5" s="1"/>
  <c r="AL23" i="5"/>
  <c r="AU23" i="5" s="1"/>
  <c r="AI39" i="5"/>
  <c r="AR39" i="5" s="1"/>
  <c r="AI21" i="5"/>
  <c r="AR21" i="5" s="1"/>
  <c r="AN22" i="5"/>
  <c r="AW22" i="5" s="1"/>
  <c r="BF15" i="5" s="1"/>
  <c r="AN40" i="5"/>
  <c r="AW40" i="5" s="1"/>
  <c r="AK34" i="5"/>
  <c r="AT34" i="5" s="1"/>
  <c r="AN39" i="5"/>
  <c r="AW39" i="5" s="1"/>
  <c r="AW60" i="5" s="1"/>
  <c r="AJ21" i="5"/>
  <c r="AS21" i="5" s="1"/>
  <c r="AJ39" i="5"/>
  <c r="AS39" i="5" s="1"/>
  <c r="AK25" i="5"/>
  <c r="AT25" i="5" s="1"/>
  <c r="AK43" i="5"/>
  <c r="AT43" i="5" s="1"/>
  <c r="AL14" i="5"/>
  <c r="AU14" i="5" s="1"/>
  <c r="AU53" i="5" s="1"/>
  <c r="AJ17" i="5"/>
  <c r="AS17" i="5" s="1"/>
  <c r="AS56" i="5" s="1"/>
  <c r="AJ18" i="5"/>
  <c r="AS18" i="5" s="1"/>
  <c r="AK19" i="5"/>
  <c r="AT19" i="5" s="1"/>
  <c r="AT58" i="5" s="1"/>
  <c r="AI23" i="5"/>
  <c r="AR23" i="5" s="1"/>
  <c r="AI34" i="5"/>
  <c r="AR34" i="5" s="1"/>
  <c r="AR55" i="5" s="1"/>
  <c r="AM34" i="5"/>
  <c r="AV34" i="5" s="1"/>
  <c r="AM16" i="5"/>
  <c r="AV16" i="5" s="1"/>
  <c r="AE19" i="5"/>
  <c r="AI38" i="5"/>
  <c r="AR38" i="5" s="1"/>
  <c r="AI32" i="5"/>
  <c r="AR32" i="5" s="1"/>
  <c r="AM32" i="5"/>
  <c r="AV32" i="5" s="1"/>
  <c r="AI41" i="5"/>
  <c r="AR41" i="5" s="1"/>
  <c r="AM41" i="5"/>
  <c r="AV41" i="5" s="1"/>
  <c r="AK26" i="5"/>
  <c r="AT26" i="5" s="1"/>
  <c r="AT65" i="5" s="1"/>
  <c r="Z18" i="5"/>
  <c r="AD18" i="5"/>
  <c r="Z19" i="5"/>
  <c r="AD19" i="5"/>
  <c r="AM44" i="5"/>
  <c r="AV44" i="5" s="1"/>
  <c r="AK21" i="5"/>
  <c r="AT21" i="5" s="1"/>
  <c r="AI42" i="5"/>
  <c r="AR42" i="5" s="1"/>
  <c r="AR63" i="5" s="1"/>
  <c r="AM42" i="5"/>
  <c r="AV42" i="5" s="1"/>
  <c r="AL24" i="5"/>
  <c r="AU24" i="5" s="1"/>
  <c r="AL43" i="5"/>
  <c r="AU43" i="5" s="1"/>
  <c r="AL44" i="5"/>
  <c r="AU44" i="5" s="1"/>
  <c r="AL26" i="5"/>
  <c r="AU26" i="5" s="1"/>
  <c r="AK39" i="5"/>
  <c r="AT39" i="5" s="1"/>
  <c r="AS58" i="5" l="1"/>
  <c r="AM38" i="5"/>
  <c r="AV38" i="5" s="1"/>
  <c r="AT55" i="5"/>
  <c r="AL18" i="5"/>
  <c r="AU18" i="5" s="1"/>
  <c r="AM15" i="5"/>
  <c r="AV15" i="5" s="1"/>
  <c r="AK33" i="5"/>
  <c r="AT33" i="5" s="1"/>
  <c r="BC31" i="5" s="1"/>
  <c r="AL30" i="5"/>
  <c r="AU30" i="5" s="1"/>
  <c r="AJ38" i="5"/>
  <c r="AS38" i="5" s="1"/>
  <c r="AS59" i="5" s="1"/>
  <c r="AK30" i="5"/>
  <c r="AT30" i="5" s="1"/>
  <c r="AN30" i="5"/>
  <c r="AW30" i="5" s="1"/>
  <c r="AV53" i="5"/>
  <c r="AV61" i="5"/>
  <c r="BC33" i="5"/>
  <c r="AJ30" i="5"/>
  <c r="AS30" i="5" s="1"/>
  <c r="AK38" i="5"/>
  <c r="AT38" i="5" s="1"/>
  <c r="AI31" i="5"/>
  <c r="AR31" i="5" s="1"/>
  <c r="AR52" i="5" s="1"/>
  <c r="AS61" i="5"/>
  <c r="AS55" i="5"/>
  <c r="AJ20" i="5"/>
  <c r="AS20" i="5" s="1"/>
  <c r="AN31" i="5"/>
  <c r="AW31" i="5" s="1"/>
  <c r="BF30" i="5" s="1"/>
  <c r="AL33" i="5"/>
  <c r="AU33" i="5" s="1"/>
  <c r="BD31" i="5" s="1"/>
  <c r="AR53" i="5"/>
  <c r="AT62" i="5"/>
  <c r="AV62" i="5"/>
  <c r="AM30" i="5"/>
  <c r="AV30" i="5" s="1"/>
  <c r="AR61" i="5"/>
  <c r="AV63" i="5"/>
  <c r="AI44" i="5"/>
  <c r="AR44" i="5" s="1"/>
  <c r="AR65" i="5" s="1"/>
  <c r="AN16" i="5"/>
  <c r="AW16" i="5" s="1"/>
  <c r="AW55" i="5" s="1"/>
  <c r="AW62" i="5"/>
  <c r="AJ32" i="5"/>
  <c r="AS32" i="5" s="1"/>
  <c r="AS53" i="5" s="1"/>
  <c r="AJ31" i="5"/>
  <c r="AS31" i="5" s="1"/>
  <c r="AS52" i="5" s="1"/>
  <c r="AV64" i="5"/>
  <c r="BE16" i="5"/>
  <c r="AK15" i="5"/>
  <c r="AT15" i="5" s="1"/>
  <c r="AT54" i="5" s="1"/>
  <c r="AS62" i="5"/>
  <c r="AK36" i="5"/>
  <c r="AT36" i="5" s="1"/>
  <c r="BC32" i="5" s="1"/>
  <c r="AJ36" i="5"/>
  <c r="AS36" i="5" s="1"/>
  <c r="AN43" i="5"/>
  <c r="AW43" i="5" s="1"/>
  <c r="BF34" i="5" s="1"/>
  <c r="AL20" i="5"/>
  <c r="AU20" i="5" s="1"/>
  <c r="AU59" i="5" s="1"/>
  <c r="AR64" i="5"/>
  <c r="AK32" i="5"/>
  <c r="AT32" i="5" s="1"/>
  <c r="AT53" i="5" s="1"/>
  <c r="BF31" i="5"/>
  <c r="AN12" i="5"/>
  <c r="AW12" i="5" s="1"/>
  <c r="AW51" i="5" s="1"/>
  <c r="AL31" i="5"/>
  <c r="AU31" i="5" s="1"/>
  <c r="AU52" i="5" s="1"/>
  <c r="BD51" i="5" s="1"/>
  <c r="AV65" i="5"/>
  <c r="AN13" i="5"/>
  <c r="AW13" i="5" s="1"/>
  <c r="AJ12" i="5"/>
  <c r="AS12" i="5" s="1"/>
  <c r="BS12" i="5" s="1"/>
  <c r="AT64" i="5"/>
  <c r="BC55" i="5" s="1"/>
  <c r="AL36" i="5"/>
  <c r="AU36" i="5" s="1"/>
  <c r="BD32" i="5" s="1"/>
  <c r="AK20" i="5"/>
  <c r="AT20" i="5" s="1"/>
  <c r="AT59" i="5" s="1"/>
  <c r="AJ43" i="5"/>
  <c r="AS43" i="5" s="1"/>
  <c r="AL39" i="5"/>
  <c r="AU39" i="5" s="1"/>
  <c r="AU60" i="5" s="1"/>
  <c r="AL12" i="5"/>
  <c r="AU12" i="5" s="1"/>
  <c r="AU51" i="5" s="1"/>
  <c r="AK12" i="5"/>
  <c r="AT12" i="5" s="1"/>
  <c r="AT51" i="5" s="1"/>
  <c r="AN20" i="5"/>
  <c r="AW20" i="5" s="1"/>
  <c r="AW59" i="5" s="1"/>
  <c r="AI20" i="5"/>
  <c r="AR20" i="5" s="1"/>
  <c r="AR59" i="5" s="1"/>
  <c r="BJ16" i="5"/>
  <c r="AM12" i="5"/>
  <c r="AV12" i="5" s="1"/>
  <c r="AV51" i="5" s="1"/>
  <c r="AM35" i="5"/>
  <c r="AV35" i="5" s="1"/>
  <c r="AM17" i="5"/>
  <c r="AV17" i="5" s="1"/>
  <c r="BE13" i="5" s="1"/>
  <c r="AU64" i="5"/>
  <c r="AM20" i="5"/>
  <c r="AV20" i="5" s="1"/>
  <c r="AV59" i="5" s="1"/>
  <c r="AV52" i="5"/>
  <c r="BJ67" i="5" s="1"/>
  <c r="AW56" i="5"/>
  <c r="AJ33" i="5"/>
  <c r="AS33" i="5" s="1"/>
  <c r="AS54" i="5" s="1"/>
  <c r="AM33" i="5"/>
  <c r="AV33" i="5" s="1"/>
  <c r="BC15" i="5"/>
  <c r="AT60" i="5"/>
  <c r="AI37" i="5"/>
  <c r="AR37" i="5" s="1"/>
  <c r="AI19" i="5"/>
  <c r="AR19" i="5" s="1"/>
  <c r="AN37" i="5"/>
  <c r="AW37" i="5" s="1"/>
  <c r="BF32" i="5" s="1"/>
  <c r="AN19" i="5"/>
  <c r="AW19" i="5" s="1"/>
  <c r="BB14" i="5"/>
  <c r="BS14" i="5"/>
  <c r="BS33" i="5"/>
  <c r="BB33" i="5"/>
  <c r="BE55" i="5"/>
  <c r="BE75" i="5" s="1"/>
  <c r="AT63" i="5"/>
  <c r="BC16" i="5"/>
  <c r="BD34" i="5"/>
  <c r="BD15" i="5"/>
  <c r="BS13" i="5"/>
  <c r="BB13" i="5"/>
  <c r="AM36" i="5"/>
  <c r="AV36" i="5" s="1"/>
  <c r="AM18" i="5"/>
  <c r="AV18" i="5" s="1"/>
  <c r="AV54" i="5"/>
  <c r="AS60" i="5"/>
  <c r="BS15" i="5"/>
  <c r="BB15" i="5"/>
  <c r="AW61" i="5"/>
  <c r="BS71" i="5" s="1"/>
  <c r="AU57" i="5"/>
  <c r="AU65" i="5"/>
  <c r="BE34" i="5"/>
  <c r="AI36" i="5"/>
  <c r="AR36" i="5" s="1"/>
  <c r="AI18" i="5"/>
  <c r="AR18" i="5" s="1"/>
  <c r="BE30" i="5"/>
  <c r="AV55" i="5"/>
  <c r="AR62" i="5"/>
  <c r="BF33" i="5"/>
  <c r="AR60" i="5"/>
  <c r="BJ15" i="5"/>
  <c r="BA15" i="5"/>
  <c r="BA31" i="5"/>
  <c r="BJ31" i="5"/>
  <c r="AU58" i="5"/>
  <c r="AV60" i="5"/>
  <c r="BE15" i="5"/>
  <c r="BF16" i="5"/>
  <c r="AW54" i="5"/>
  <c r="BF13" i="5"/>
  <c r="AU54" i="5"/>
  <c r="BD13" i="5"/>
  <c r="BJ12" i="5"/>
  <c r="AR51" i="5"/>
  <c r="AU63" i="5"/>
  <c r="BD16" i="5"/>
  <c r="BJ71" i="5"/>
  <c r="BA34" i="5"/>
  <c r="AM37" i="5"/>
  <c r="AV37" i="5" s="1"/>
  <c r="AM19" i="5"/>
  <c r="AV19" i="5" s="1"/>
  <c r="BA30" i="5"/>
  <c r="BA33" i="5"/>
  <c r="BJ33" i="5"/>
  <c r="AU62" i="5"/>
  <c r="AW57" i="5"/>
  <c r="AR54" i="5"/>
  <c r="BA13" i="5"/>
  <c r="BJ13" i="5"/>
  <c r="BC34" i="5"/>
  <c r="BE33" i="5"/>
  <c r="AK31" i="5"/>
  <c r="AT31" i="5" s="1"/>
  <c r="BC30" i="5" s="1"/>
  <c r="AK13" i="5"/>
  <c r="AT13" i="5" s="1"/>
  <c r="BA16" i="5"/>
  <c r="BS16" i="5"/>
  <c r="BB16" i="5"/>
  <c r="BJ30" i="5" l="1"/>
  <c r="BJ34" i="5"/>
  <c r="BS32" i="5"/>
  <c r="BJ55" i="5"/>
  <c r="BB32" i="5"/>
  <c r="BD12" i="5"/>
  <c r="BS30" i="5"/>
  <c r="BB31" i="5"/>
  <c r="BU31" i="5" s="1"/>
  <c r="BX31" i="5" s="1"/>
  <c r="BS31" i="5"/>
  <c r="BS64" i="5"/>
  <c r="AR58" i="5"/>
  <c r="BC13" i="5"/>
  <c r="BF54" i="5"/>
  <c r="BT71" i="5" s="1"/>
  <c r="BW71" i="5" s="1"/>
  <c r="BD33" i="5"/>
  <c r="BJ63" i="5"/>
  <c r="BL63" i="5" s="1"/>
  <c r="BO63" i="5" s="1"/>
  <c r="BA55" i="5"/>
  <c r="BA77" i="5" s="1"/>
  <c r="BB30" i="5"/>
  <c r="BU30" i="5" s="1"/>
  <c r="BX30" i="5" s="1"/>
  <c r="AT57" i="5"/>
  <c r="BC53" i="5" s="1"/>
  <c r="BM61" i="5" s="1"/>
  <c r="BF12" i="5"/>
  <c r="BD14" i="5"/>
  <c r="BE78" i="5"/>
  <c r="AS57" i="5"/>
  <c r="BB53" i="5" s="1"/>
  <c r="BE69" i="5"/>
  <c r="BD30" i="5"/>
  <c r="BC69" i="5"/>
  <c r="AS51" i="5"/>
  <c r="BS51" i="5" s="1"/>
  <c r="AW64" i="5"/>
  <c r="BF55" i="5" s="1"/>
  <c r="BF71" i="5" s="1"/>
  <c r="BF14" i="5"/>
  <c r="BE71" i="5"/>
  <c r="BC74" i="5"/>
  <c r="BE68" i="5"/>
  <c r="BE31" i="5"/>
  <c r="BE12" i="5"/>
  <c r="BC78" i="5"/>
  <c r="AW52" i="5"/>
  <c r="BC72" i="5"/>
  <c r="BC14" i="5"/>
  <c r="BS34" i="5"/>
  <c r="BB34" i="5"/>
  <c r="BV33" i="5" s="1"/>
  <c r="BB12" i="5"/>
  <c r="BV12" i="5" s="1"/>
  <c r="AS64" i="5"/>
  <c r="BB55" i="5" s="1"/>
  <c r="BB77" i="5" s="1"/>
  <c r="BA75" i="5"/>
  <c r="AV56" i="5"/>
  <c r="BE72" i="5" s="1"/>
  <c r="BL33" i="5"/>
  <c r="BO33" i="5" s="1"/>
  <c r="BM33" i="5"/>
  <c r="BK33" i="5"/>
  <c r="BN33" i="5" s="1"/>
  <c r="BL30" i="5"/>
  <c r="BO30" i="5" s="1"/>
  <c r="BK30" i="5"/>
  <c r="BN30" i="5" s="1"/>
  <c r="BM30" i="5"/>
  <c r="BM34" i="5"/>
  <c r="BK34" i="5"/>
  <c r="BN34" i="5" s="1"/>
  <c r="BL34" i="5"/>
  <c r="BO34" i="5" s="1"/>
  <c r="BA51" i="5"/>
  <c r="BJ51" i="5"/>
  <c r="BS61" i="5"/>
  <c r="BD52" i="5"/>
  <c r="BF52" i="5"/>
  <c r="BS69" i="5"/>
  <c r="BF70" i="5"/>
  <c r="BV15" i="5"/>
  <c r="BU15" i="5"/>
  <c r="BX15" i="5" s="1"/>
  <c r="BT15" i="5"/>
  <c r="BW15" i="5" s="1"/>
  <c r="BU32" i="5"/>
  <c r="BX32" i="5" s="1"/>
  <c r="BT32" i="5"/>
  <c r="BW32" i="5" s="1"/>
  <c r="BE32" i="5"/>
  <c r="BC76" i="5"/>
  <c r="BJ62" i="5"/>
  <c r="BC54" i="5"/>
  <c r="BM62" i="5" s="1"/>
  <c r="BB67" i="5"/>
  <c r="BB51" i="5"/>
  <c r="BB75" i="5"/>
  <c r="BK63" i="5"/>
  <c r="BN63" i="5" s="1"/>
  <c r="BM63" i="5"/>
  <c r="BE67" i="5"/>
  <c r="BE51" i="5"/>
  <c r="BC75" i="5"/>
  <c r="BS60" i="5"/>
  <c r="BT60" i="5" s="1"/>
  <c r="BW60" i="5" s="1"/>
  <c r="BE76" i="5"/>
  <c r="BJ70" i="5"/>
  <c r="BE54" i="5"/>
  <c r="BL15" i="5"/>
  <c r="BO15" i="5" s="1"/>
  <c r="BK15" i="5"/>
  <c r="BN15" i="5" s="1"/>
  <c r="BM15" i="5"/>
  <c r="BB72" i="5"/>
  <c r="BS62" i="5"/>
  <c r="BD53" i="5"/>
  <c r="BC71" i="5"/>
  <c r="BU13" i="5"/>
  <c r="BX13" i="5" s="1"/>
  <c r="BV13" i="5"/>
  <c r="BT13" i="5"/>
  <c r="BW13" i="5" s="1"/>
  <c r="BD54" i="5"/>
  <c r="BS63" i="5"/>
  <c r="BC73" i="5"/>
  <c r="BJ61" i="5"/>
  <c r="BM71" i="5"/>
  <c r="BL71" i="5"/>
  <c r="BO71" i="5" s="1"/>
  <c r="BK71" i="5"/>
  <c r="BN71" i="5" s="1"/>
  <c r="BU14" i="5"/>
  <c r="BX14" i="5" s="1"/>
  <c r="BV14" i="5"/>
  <c r="BT14" i="5"/>
  <c r="BW14" i="5" s="1"/>
  <c r="BM55" i="5"/>
  <c r="BD55" i="5"/>
  <c r="BD73" i="5" s="1"/>
  <c r="AT52" i="5"/>
  <c r="BC68" i="5" s="1"/>
  <c r="BL13" i="5"/>
  <c r="BO13" i="5" s="1"/>
  <c r="BM13" i="5"/>
  <c r="BK13" i="5"/>
  <c r="BN13" i="5" s="1"/>
  <c r="BA72" i="5"/>
  <c r="AV58" i="5"/>
  <c r="BE74" i="5" s="1"/>
  <c r="BL12" i="5"/>
  <c r="BO12" i="5" s="1"/>
  <c r="BM12" i="5"/>
  <c r="BK12" i="5"/>
  <c r="BN12" i="5" s="1"/>
  <c r="BC77" i="5"/>
  <c r="BC70" i="5"/>
  <c r="BJ60" i="5"/>
  <c r="BC52" i="5"/>
  <c r="BT30" i="5"/>
  <c r="BW30" i="5" s="1"/>
  <c r="BA78" i="5"/>
  <c r="AR57" i="5"/>
  <c r="BA14" i="5"/>
  <c r="BJ14" i="5"/>
  <c r="BC12" i="5"/>
  <c r="BE77" i="5"/>
  <c r="BB76" i="5"/>
  <c r="BB54" i="5"/>
  <c r="BS54" i="5"/>
  <c r="BJ68" i="5"/>
  <c r="BE70" i="5"/>
  <c r="BU33" i="5"/>
  <c r="BX33" i="5" s="1"/>
  <c r="BT33" i="5"/>
  <c r="BW33" i="5" s="1"/>
  <c r="BB73" i="5"/>
  <c r="BU16" i="5"/>
  <c r="BX16" i="5" s="1"/>
  <c r="BT16" i="5"/>
  <c r="BW16" i="5" s="1"/>
  <c r="BV16" i="5"/>
  <c r="BL16" i="5"/>
  <c r="BO16" i="5" s="1"/>
  <c r="BM16" i="5"/>
  <c r="BK16" i="5"/>
  <c r="BN16" i="5" s="1"/>
  <c r="BJ52" i="5"/>
  <c r="BA52" i="5"/>
  <c r="BU12" i="5"/>
  <c r="BX12" i="5" s="1"/>
  <c r="BU71" i="5"/>
  <c r="BX71" i="5" s="1"/>
  <c r="BK31" i="5"/>
  <c r="BN31" i="5" s="1"/>
  <c r="BM31" i="5"/>
  <c r="BL31" i="5"/>
  <c r="BO31" i="5" s="1"/>
  <c r="BA54" i="5"/>
  <c r="BJ54" i="5"/>
  <c r="BJ32" i="5"/>
  <c r="BA32" i="5"/>
  <c r="BC67" i="5"/>
  <c r="BJ59" i="5"/>
  <c r="BL59" i="5" s="1"/>
  <c r="BC51" i="5"/>
  <c r="BV72" i="5"/>
  <c r="AV57" i="5"/>
  <c r="BE14" i="5"/>
  <c r="BS52" i="5"/>
  <c r="BB52" i="5"/>
  <c r="AW58" i="5"/>
  <c r="BA69" i="5"/>
  <c r="BT31" i="5" l="1"/>
  <c r="BW31" i="5" s="1"/>
  <c r="BA70" i="5"/>
  <c r="BA74" i="5"/>
  <c r="BK55" i="5"/>
  <c r="BN55" i="5" s="1"/>
  <c r="BF78" i="5"/>
  <c r="BA71" i="5"/>
  <c r="BA76" i="5"/>
  <c r="BL55" i="5"/>
  <c r="BO55" i="5" s="1"/>
  <c r="BA67" i="5"/>
  <c r="BA68" i="5"/>
  <c r="BL62" i="5" s="1"/>
  <c r="BF74" i="5"/>
  <c r="BT12" i="5"/>
  <c r="BW12" i="5" s="1"/>
  <c r="BF73" i="5"/>
  <c r="BF77" i="5"/>
  <c r="BV71" i="5"/>
  <c r="BS53" i="5"/>
  <c r="BF68" i="5"/>
  <c r="BS72" i="5"/>
  <c r="BU72" i="5" s="1"/>
  <c r="BX72" i="5" s="1"/>
  <c r="BF67" i="5"/>
  <c r="BE52" i="5"/>
  <c r="BL68" i="5" s="1"/>
  <c r="BO68" i="5" s="1"/>
  <c r="BF72" i="5"/>
  <c r="BV32" i="5"/>
  <c r="BV30" i="5"/>
  <c r="BF69" i="5"/>
  <c r="BF76" i="5"/>
  <c r="BO62" i="5"/>
  <c r="BF75" i="5"/>
  <c r="BV34" i="5"/>
  <c r="BT34" i="5"/>
  <c r="BW34" i="5" s="1"/>
  <c r="BU34" i="5"/>
  <c r="BX34" i="5" s="1"/>
  <c r="BB70" i="5"/>
  <c r="BV31" i="5"/>
  <c r="BB68" i="5"/>
  <c r="BB78" i="5"/>
  <c r="BD70" i="5"/>
  <c r="BS68" i="5"/>
  <c r="BS70" i="5"/>
  <c r="BF51" i="5"/>
  <c r="BV68" i="5" s="1"/>
  <c r="BB69" i="5"/>
  <c r="BB74" i="5"/>
  <c r="BB71" i="5"/>
  <c r="BS55" i="5"/>
  <c r="BT55" i="5" s="1"/>
  <c r="BW55" i="5" s="1"/>
  <c r="BV55" i="5"/>
  <c r="BT52" i="5"/>
  <c r="BW52" i="5" s="1"/>
  <c r="BU52" i="5"/>
  <c r="BX52" i="5" s="1"/>
  <c r="BV52" i="5"/>
  <c r="BM59" i="5"/>
  <c r="BK59" i="5"/>
  <c r="BN59" i="5" s="1"/>
  <c r="BK68" i="5"/>
  <c r="BN68" i="5" s="1"/>
  <c r="BK14" i="5"/>
  <c r="BN14" i="5" s="1"/>
  <c r="BM14" i="5"/>
  <c r="BL14" i="5"/>
  <c r="BO14" i="5" s="1"/>
  <c r="BV63" i="5"/>
  <c r="BU63" i="5"/>
  <c r="BX63" i="5" s="1"/>
  <c r="BT63" i="5"/>
  <c r="BW63" i="5" s="1"/>
  <c r="BO59" i="5"/>
  <c r="BA53" i="5"/>
  <c r="BA73" i="5"/>
  <c r="BJ53" i="5"/>
  <c r="BV64" i="5"/>
  <c r="BU64" i="5"/>
  <c r="BX64" i="5" s="1"/>
  <c r="BT64" i="5"/>
  <c r="BW64" i="5" s="1"/>
  <c r="BD77" i="5"/>
  <c r="BD72" i="5"/>
  <c r="BD75" i="5"/>
  <c r="BD71" i="5"/>
  <c r="BD68" i="5"/>
  <c r="BD69" i="5"/>
  <c r="BD76" i="5"/>
  <c r="BD74" i="5"/>
  <c r="BT69" i="5"/>
  <c r="BW69" i="5" s="1"/>
  <c r="BU69" i="5"/>
  <c r="BX69" i="5" s="1"/>
  <c r="BV69" i="5"/>
  <c r="BM54" i="5"/>
  <c r="BL54" i="5"/>
  <c r="BO54" i="5" s="1"/>
  <c r="BK54" i="5"/>
  <c r="BN54" i="5" s="1"/>
  <c r="BM52" i="5"/>
  <c r="BL52" i="5"/>
  <c r="BO52" i="5" s="1"/>
  <c r="BK52" i="5"/>
  <c r="BN52" i="5" s="1"/>
  <c r="BT53" i="5"/>
  <c r="BW53" i="5" s="1"/>
  <c r="BU53" i="5"/>
  <c r="BX53" i="5" s="1"/>
  <c r="BV53" i="5"/>
  <c r="BM60" i="5"/>
  <c r="BL60" i="5"/>
  <c r="BO60" i="5" s="1"/>
  <c r="BK60" i="5"/>
  <c r="BN60" i="5" s="1"/>
  <c r="BD78" i="5"/>
  <c r="BT62" i="5"/>
  <c r="BW62" i="5" s="1"/>
  <c r="BV62" i="5"/>
  <c r="BU62" i="5"/>
  <c r="BK70" i="5"/>
  <c r="BN70" i="5" s="1"/>
  <c r="BM70" i="5"/>
  <c r="BL70" i="5"/>
  <c r="BO70" i="5" s="1"/>
  <c r="BF53" i="5"/>
  <c r="BV51" i="5"/>
  <c r="BU51" i="5"/>
  <c r="BX51" i="5" s="1"/>
  <c r="BT51" i="5"/>
  <c r="BW51" i="5" s="1"/>
  <c r="BV61" i="5"/>
  <c r="BU61" i="5"/>
  <c r="BX61" i="5" s="1"/>
  <c r="BT61" i="5"/>
  <c r="BW61" i="5" s="1"/>
  <c r="BU60" i="5"/>
  <c r="BX60" i="5" s="1"/>
  <c r="BE53" i="5"/>
  <c r="BJ69" i="5"/>
  <c r="BE73" i="5"/>
  <c r="BK61" i="5"/>
  <c r="BN61" i="5" s="1"/>
  <c r="BL61" i="5"/>
  <c r="BO61" i="5" s="1"/>
  <c r="BV60" i="5"/>
  <c r="BM32" i="5"/>
  <c r="BL32" i="5"/>
  <c r="BO32" i="5" s="1"/>
  <c r="BK32" i="5"/>
  <c r="BN32" i="5" s="1"/>
  <c r="BT54" i="5"/>
  <c r="BW54" i="5" s="1"/>
  <c r="BU54" i="5"/>
  <c r="BX54" i="5" s="1"/>
  <c r="BV54" i="5"/>
  <c r="BD67" i="5"/>
  <c r="BK67" i="5"/>
  <c r="BN67" i="5" s="1"/>
  <c r="BM67" i="5"/>
  <c r="BL67" i="5"/>
  <c r="BO67" i="5" s="1"/>
  <c r="BL51" i="5"/>
  <c r="BO51" i="5" s="1"/>
  <c r="BK51" i="5"/>
  <c r="BN51" i="5" s="1"/>
  <c r="BM51" i="5"/>
  <c r="BK62" i="5" l="1"/>
  <c r="BN62" i="5" s="1"/>
  <c r="BU55" i="5"/>
  <c r="BX55" i="5" s="1"/>
  <c r="BT68" i="5"/>
  <c r="BW68" i="5" s="1"/>
  <c r="BU68" i="5"/>
  <c r="BX68" i="5" s="1"/>
  <c r="BT72" i="5"/>
  <c r="BW72" i="5" s="1"/>
  <c r="BM68" i="5"/>
  <c r="BX62" i="5"/>
  <c r="BM69" i="5"/>
  <c r="BL69" i="5"/>
  <c r="BO69" i="5" s="1"/>
  <c r="BK69" i="5"/>
  <c r="BN69" i="5" s="1"/>
  <c r="BV70" i="5"/>
  <c r="BU70" i="5"/>
  <c r="BX70" i="5" s="1"/>
  <c r="BT70" i="5"/>
  <c r="BW70" i="5" s="1"/>
  <c r="BM53" i="5"/>
  <c r="BL53" i="5"/>
  <c r="BO53" i="5" s="1"/>
  <c r="BK53" i="5"/>
  <c r="BN53" i="5" s="1"/>
  <c r="K70" i="2" l="1"/>
  <c r="L70" i="2" s="1"/>
  <c r="M70" i="2" s="1"/>
  <c r="K69" i="2"/>
  <c r="L69" i="2" s="1"/>
  <c r="M69" i="2" s="1"/>
  <c r="K68" i="2"/>
  <c r="L68" i="2" s="1"/>
  <c r="M68" i="2" s="1"/>
  <c r="K67" i="2"/>
  <c r="L67" i="2" s="1"/>
  <c r="K66" i="2"/>
  <c r="L66" i="2" s="1"/>
  <c r="M66" i="2" s="1"/>
  <c r="K65" i="2"/>
  <c r="L65" i="2" s="1"/>
  <c r="M65" i="2" s="1"/>
  <c r="K64" i="2"/>
  <c r="L64" i="2" s="1"/>
  <c r="K63" i="2"/>
  <c r="L63" i="2" s="1"/>
  <c r="M63" i="2" s="1"/>
  <c r="K62" i="2"/>
  <c r="L62" i="2" s="1"/>
  <c r="K61" i="2"/>
  <c r="L61" i="2" s="1"/>
  <c r="M61" i="2" s="1"/>
  <c r="K60" i="2"/>
  <c r="L60" i="2" s="1"/>
  <c r="K59" i="2"/>
  <c r="L59" i="2" s="1"/>
  <c r="M59" i="2" s="1"/>
  <c r="K58" i="2"/>
  <c r="L58" i="2" s="1"/>
  <c r="M58" i="2" s="1"/>
  <c r="K57" i="2"/>
  <c r="L57" i="2" s="1"/>
  <c r="K56" i="2"/>
  <c r="L56" i="2" s="1"/>
  <c r="M56" i="2" s="1"/>
  <c r="K55" i="2"/>
  <c r="L55" i="2" s="1"/>
  <c r="K54" i="2"/>
  <c r="L54" i="2" s="1"/>
  <c r="M54" i="2" s="1"/>
  <c r="K53" i="2"/>
  <c r="L53" i="2" s="1"/>
  <c r="K52" i="2"/>
  <c r="L52" i="2" s="1"/>
  <c r="M52" i="2" s="1"/>
  <c r="K51" i="2"/>
  <c r="L51" i="2" s="1"/>
  <c r="M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M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M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L58" i="4"/>
  <c r="K58" i="4"/>
  <c r="J58" i="4"/>
  <c r="I58" i="4"/>
  <c r="L57" i="4"/>
  <c r="K57" i="4"/>
  <c r="J57" i="4"/>
  <c r="I57" i="4"/>
  <c r="L56" i="4"/>
  <c r="K56" i="4"/>
  <c r="S23" i="4" s="1"/>
  <c r="J56" i="4"/>
  <c r="R23" i="4" s="1"/>
  <c r="I56" i="4"/>
  <c r="Q23" i="4" s="1"/>
  <c r="L55" i="4"/>
  <c r="K55" i="4"/>
  <c r="J55" i="4"/>
  <c r="I55" i="4"/>
  <c r="L54" i="4"/>
  <c r="K54" i="4"/>
  <c r="J54" i="4"/>
  <c r="I54" i="4"/>
  <c r="L53" i="4"/>
  <c r="T22" i="4" s="1"/>
  <c r="K53" i="4"/>
  <c r="J53" i="4"/>
  <c r="I53" i="4"/>
  <c r="Q22" i="4" s="1"/>
  <c r="W41" i="4" s="1"/>
  <c r="AB42" i="4" s="1"/>
  <c r="L52" i="4"/>
  <c r="K52" i="4"/>
  <c r="J52" i="4"/>
  <c r="I52" i="4"/>
  <c r="L51" i="4"/>
  <c r="K51" i="4"/>
  <c r="J51" i="4"/>
  <c r="I51" i="4"/>
  <c r="L50" i="4"/>
  <c r="K50" i="4"/>
  <c r="J50" i="4"/>
  <c r="R21" i="4" s="1"/>
  <c r="I50" i="4"/>
  <c r="Q21" i="4" s="1"/>
  <c r="L49" i="4"/>
  <c r="K49" i="4"/>
  <c r="J49" i="4"/>
  <c r="I49" i="4"/>
  <c r="L48" i="4"/>
  <c r="K48" i="4"/>
  <c r="J48" i="4"/>
  <c r="I48" i="4"/>
  <c r="L47" i="4"/>
  <c r="K47" i="4"/>
  <c r="J47" i="4"/>
  <c r="R20" i="4" s="1"/>
  <c r="X21" i="4" s="1"/>
  <c r="AC20" i="4" s="1"/>
  <c r="I47" i="4"/>
  <c r="Q20" i="4" s="1"/>
  <c r="L46" i="4"/>
  <c r="K46" i="4"/>
  <c r="J46" i="4"/>
  <c r="I46" i="4"/>
  <c r="L45" i="4"/>
  <c r="K45" i="4"/>
  <c r="J45" i="4"/>
  <c r="I45" i="4"/>
  <c r="L44" i="4"/>
  <c r="K44" i="4"/>
  <c r="J44" i="4"/>
  <c r="I44" i="4"/>
  <c r="Q19" i="4" s="1"/>
  <c r="L43" i="4"/>
  <c r="K43" i="4"/>
  <c r="J43" i="4"/>
  <c r="I43" i="4"/>
  <c r="L42" i="4"/>
  <c r="K42" i="4"/>
  <c r="J42" i="4"/>
  <c r="I42" i="4"/>
  <c r="L41" i="4"/>
  <c r="K41" i="4"/>
  <c r="S18" i="4" s="1"/>
  <c r="J41" i="4"/>
  <c r="R18" i="4" s="1"/>
  <c r="I41" i="4"/>
  <c r="Q18" i="4" s="1"/>
  <c r="L40" i="4"/>
  <c r="K40" i="4"/>
  <c r="J40" i="4"/>
  <c r="I40" i="4"/>
  <c r="L39" i="4"/>
  <c r="K39" i="4"/>
  <c r="J39" i="4"/>
  <c r="I39" i="4"/>
  <c r="L38" i="4"/>
  <c r="K38" i="4"/>
  <c r="J38" i="4"/>
  <c r="R17" i="4" s="1"/>
  <c r="I38" i="4"/>
  <c r="L37" i="4"/>
  <c r="K37" i="4"/>
  <c r="J37" i="4"/>
  <c r="I37" i="4"/>
  <c r="L36" i="4"/>
  <c r="K36" i="4"/>
  <c r="J36" i="4"/>
  <c r="I36" i="4"/>
  <c r="L35" i="4"/>
  <c r="K35" i="4"/>
  <c r="S16" i="4" s="1"/>
  <c r="J35" i="4"/>
  <c r="R16" i="4" s="1"/>
  <c r="I35" i="4"/>
  <c r="Q16" i="4" s="1"/>
  <c r="L34" i="4"/>
  <c r="K34" i="4"/>
  <c r="J34" i="4"/>
  <c r="I34" i="4"/>
  <c r="L33" i="4"/>
  <c r="K33" i="4"/>
  <c r="J33" i="4"/>
  <c r="I33" i="4"/>
  <c r="L32" i="4"/>
  <c r="K32" i="4"/>
  <c r="J32" i="4"/>
  <c r="R15" i="4" s="1"/>
  <c r="I32" i="4"/>
  <c r="L31" i="4"/>
  <c r="K31" i="4"/>
  <c r="J31" i="4"/>
  <c r="I31" i="4"/>
  <c r="L30" i="4"/>
  <c r="K30" i="4"/>
  <c r="J30" i="4"/>
  <c r="I30" i="4"/>
  <c r="L29" i="4"/>
  <c r="K29" i="4"/>
  <c r="S14" i="4" s="1"/>
  <c r="J29" i="4"/>
  <c r="R14" i="4" s="1"/>
  <c r="I29" i="4"/>
  <c r="Q14" i="4" s="1"/>
  <c r="L28" i="4"/>
  <c r="K28" i="4"/>
  <c r="J28" i="4"/>
  <c r="I28" i="4"/>
  <c r="L27" i="4"/>
  <c r="K27" i="4"/>
  <c r="J27" i="4"/>
  <c r="I27" i="4"/>
  <c r="L26" i="4"/>
  <c r="K26" i="4"/>
  <c r="S13" i="4" s="1"/>
  <c r="J26" i="4"/>
  <c r="I26" i="4"/>
  <c r="L25" i="4"/>
  <c r="K25" i="4"/>
  <c r="J25" i="4"/>
  <c r="I25" i="4"/>
  <c r="L24" i="4"/>
  <c r="K24" i="4"/>
  <c r="J24" i="4"/>
  <c r="I24" i="4"/>
  <c r="L23" i="4"/>
  <c r="T12" i="4" s="1"/>
  <c r="K23" i="4"/>
  <c r="J23" i="4"/>
  <c r="R12" i="4" s="1"/>
  <c r="I23" i="4"/>
  <c r="S22" i="4"/>
  <c r="R22" i="4"/>
  <c r="X23" i="4" s="1"/>
  <c r="AC22" i="4" s="1"/>
  <c r="L22" i="4"/>
  <c r="K22" i="4"/>
  <c r="J22" i="4"/>
  <c r="I22" i="4"/>
  <c r="S21" i="4"/>
  <c r="L21" i="4"/>
  <c r="T11" i="4" s="1"/>
  <c r="K21" i="4"/>
  <c r="J21" i="4"/>
  <c r="I21" i="4"/>
  <c r="T20" i="4"/>
  <c r="S20" i="4"/>
  <c r="L20" i="4"/>
  <c r="K20" i="4"/>
  <c r="J20" i="4"/>
  <c r="R11" i="4" s="1"/>
  <c r="I20" i="4"/>
  <c r="T19" i="4"/>
  <c r="S19" i="4"/>
  <c r="R19" i="4"/>
  <c r="L19" i="4"/>
  <c r="K19" i="4"/>
  <c r="J19" i="4"/>
  <c r="R10" i="4" s="1"/>
  <c r="I19" i="4"/>
  <c r="L18" i="4"/>
  <c r="K18" i="4"/>
  <c r="J18" i="4"/>
  <c r="I18" i="4"/>
  <c r="S17" i="4"/>
  <c r="L17" i="4"/>
  <c r="T10" i="4" s="1"/>
  <c r="K17" i="4"/>
  <c r="J17" i="4"/>
  <c r="I17" i="4"/>
  <c r="T16" i="4"/>
  <c r="L16" i="4"/>
  <c r="K16" i="4"/>
  <c r="J16" i="4"/>
  <c r="I16" i="4"/>
  <c r="T15" i="4"/>
  <c r="S15" i="4"/>
  <c r="L15" i="4"/>
  <c r="K15" i="4"/>
  <c r="J15" i="4"/>
  <c r="I15" i="4"/>
  <c r="T14" i="4"/>
  <c r="L14" i="4"/>
  <c r="K14" i="4"/>
  <c r="J14" i="4"/>
  <c r="I14" i="4"/>
  <c r="T13" i="4"/>
  <c r="R13" i="4"/>
  <c r="R9" i="4"/>
  <c r="M6" i="2" l="1"/>
  <c r="M10" i="2"/>
  <c r="M62" i="2"/>
  <c r="M55" i="2"/>
  <c r="Q17" i="4"/>
  <c r="W36" i="4" s="1"/>
  <c r="AB37" i="4" s="1"/>
  <c r="T9" i="4"/>
  <c r="S9" i="4"/>
  <c r="W10" i="4" s="1"/>
  <c r="AB9" i="4" s="1"/>
  <c r="Q9" i="4"/>
  <c r="W28" i="4" s="1"/>
  <c r="AB29" i="4" s="1"/>
  <c r="X20" i="4"/>
  <c r="AC19" i="4" s="1"/>
  <c r="Q11" i="4"/>
  <c r="S10" i="4"/>
  <c r="Q12" i="4"/>
  <c r="X31" i="4" s="1"/>
  <c r="AC32" i="4" s="1"/>
  <c r="M64" i="2"/>
  <c r="M67" i="2"/>
  <c r="M57" i="2"/>
  <c r="M60" i="2"/>
  <c r="M50" i="2"/>
  <c r="M53" i="2"/>
  <c r="W42" i="4"/>
  <c r="AB43" i="4" s="1"/>
  <c r="W15" i="4"/>
  <c r="AB14" i="4" s="1"/>
  <c r="Q10" i="4"/>
  <c r="X29" i="4" s="1"/>
  <c r="AC30" i="4" s="1"/>
  <c r="W19" i="4"/>
  <c r="AB18" i="4" s="1"/>
  <c r="W20" i="4"/>
  <c r="AB19" i="4" s="1"/>
  <c r="AF12" i="4" s="1"/>
  <c r="W21" i="4"/>
  <c r="AB20" i="4" s="1"/>
  <c r="W23" i="4"/>
  <c r="AB22" i="4" s="1"/>
  <c r="AB62" i="4" s="1"/>
  <c r="S12" i="4"/>
  <c r="W13" i="4" s="1"/>
  <c r="AB12" i="4" s="1"/>
  <c r="X39" i="4"/>
  <c r="AC40" i="4" s="1"/>
  <c r="AC60" i="4" s="1"/>
  <c r="S11" i="4"/>
  <c r="W30" i="4" s="1"/>
  <c r="AB31" i="4" s="1"/>
  <c r="W22" i="4"/>
  <c r="AB21" i="4" s="1"/>
  <c r="AB61" i="4" s="1"/>
  <c r="Q13" i="4"/>
  <c r="W32" i="4" s="1"/>
  <c r="AB33" i="4" s="1"/>
  <c r="T17" i="4"/>
  <c r="X18" i="4" s="1"/>
  <c r="AC17" i="4" s="1"/>
  <c r="AC57" i="4" s="1"/>
  <c r="W17" i="4"/>
  <c r="AB16" i="4" s="1"/>
  <c r="W33" i="4"/>
  <c r="AB34" i="4" s="1"/>
  <c r="Q15" i="4"/>
  <c r="X34" i="4" s="1"/>
  <c r="AC35" i="4" s="1"/>
  <c r="W35" i="4"/>
  <c r="AB36" i="4" s="1"/>
  <c r="W39" i="4"/>
  <c r="AB40" i="4" s="1"/>
  <c r="T21" i="4"/>
  <c r="T23" i="4"/>
  <c r="X24" i="4" s="1"/>
  <c r="AC23" i="4" s="1"/>
  <c r="X12" i="4"/>
  <c r="AC11" i="4" s="1"/>
  <c r="AJ12" i="4"/>
  <c r="X28" i="4"/>
  <c r="AC29" i="4" s="1"/>
  <c r="X10" i="4"/>
  <c r="AC9" i="4" s="1"/>
  <c r="X11" i="4"/>
  <c r="AC10" i="4" s="1"/>
  <c r="W11" i="4"/>
  <c r="AB10" i="4" s="1"/>
  <c r="X13" i="4"/>
  <c r="AC12" i="4" s="1"/>
  <c r="X33" i="4"/>
  <c r="AC34" i="4" s="1"/>
  <c r="W24" i="4"/>
  <c r="AB23" i="4" s="1"/>
  <c r="W37" i="4"/>
  <c r="AB38" i="4" s="1"/>
  <c r="AB58" i="4" s="1"/>
  <c r="W14" i="4"/>
  <c r="AB13" i="4" s="1"/>
  <c r="W16" i="4"/>
  <c r="AB15" i="4" s="1"/>
  <c r="W18" i="4"/>
  <c r="AB17" i="4" s="1"/>
  <c r="X30" i="4"/>
  <c r="AC31" i="4" s="1"/>
  <c r="X36" i="4"/>
  <c r="AC37" i="4" s="1"/>
  <c r="X41" i="4"/>
  <c r="AC42" i="4" s="1"/>
  <c r="X35" i="4"/>
  <c r="AC36" i="4" s="1"/>
  <c r="X16" i="4"/>
  <c r="AC15" i="4" s="1"/>
  <c r="W38" i="4"/>
  <c r="AB39" i="4" s="1"/>
  <c r="W40" i="4"/>
  <c r="AB41" i="4" s="1"/>
  <c r="X17" i="4"/>
  <c r="AC16" i="4" s="1"/>
  <c r="X14" i="4"/>
  <c r="AC13" i="4" s="1"/>
  <c r="X15" i="4"/>
  <c r="AC14" i="4" s="1"/>
  <c r="X38" i="4"/>
  <c r="AC39" i="4" s="1"/>
  <c r="AC59" i="4" s="1"/>
  <c r="T18" i="4"/>
  <c r="O57" i="2" l="1"/>
  <c r="O50" i="2"/>
  <c r="O64" i="2"/>
  <c r="AB49" i="4"/>
  <c r="AC63" i="4"/>
  <c r="W34" i="4"/>
  <c r="AB35" i="4" s="1"/>
  <c r="AF28" i="4" s="1"/>
  <c r="AK28" i="4" s="1"/>
  <c r="AN28" i="4" s="1"/>
  <c r="X42" i="4"/>
  <c r="AC43" i="4" s="1"/>
  <c r="AB59" i="4"/>
  <c r="AB57" i="4"/>
  <c r="AB63" i="4"/>
  <c r="W31" i="4"/>
  <c r="AB32" i="4" s="1"/>
  <c r="X32" i="4"/>
  <c r="AC33" i="4" s="1"/>
  <c r="AG27" i="4" s="1"/>
  <c r="AB56" i="4"/>
  <c r="W12" i="4"/>
  <c r="AB11" i="4" s="1"/>
  <c r="AJ9" i="4" s="1"/>
  <c r="AJ28" i="4"/>
  <c r="AB60" i="4"/>
  <c r="AB54" i="4"/>
  <c r="AC54" i="4"/>
  <c r="AB53" i="4"/>
  <c r="AC50" i="4"/>
  <c r="X40" i="4"/>
  <c r="AC41" i="4" s="1"/>
  <c r="AG30" i="4" s="1"/>
  <c r="X22" i="4"/>
  <c r="AC21" i="4" s="1"/>
  <c r="W29" i="4"/>
  <c r="AB30" i="4" s="1"/>
  <c r="X37" i="4"/>
  <c r="AC38" i="4" s="1"/>
  <c r="X19" i="4"/>
  <c r="AC18" i="4" s="1"/>
  <c r="AU30" i="4"/>
  <c r="AG26" i="4"/>
  <c r="AR26" i="4"/>
  <c r="AF52" i="4"/>
  <c r="AJ52" i="4"/>
  <c r="AR27" i="4"/>
  <c r="AS27" i="4" s="1"/>
  <c r="AC56" i="4"/>
  <c r="AC62" i="4"/>
  <c r="AR28" i="4"/>
  <c r="AG28" i="4"/>
  <c r="AF29" i="4"/>
  <c r="AJ29" i="4"/>
  <c r="AF27" i="4"/>
  <c r="AJ27" i="4"/>
  <c r="AR10" i="4"/>
  <c r="AG10" i="4"/>
  <c r="AC52" i="4"/>
  <c r="AJ13" i="4"/>
  <c r="AB52" i="4"/>
  <c r="AF10" i="4"/>
  <c r="AM10" i="4" s="1"/>
  <c r="AJ10" i="4"/>
  <c r="AC51" i="4"/>
  <c r="AJ53" i="4"/>
  <c r="AF53" i="4"/>
  <c r="AG75" i="4" s="1"/>
  <c r="AF30" i="4"/>
  <c r="AJ30" i="4"/>
  <c r="AF11" i="4"/>
  <c r="AJ11" i="4"/>
  <c r="AC55" i="4"/>
  <c r="AR11" i="4"/>
  <c r="AG11" i="4"/>
  <c r="AF51" i="4"/>
  <c r="AF13" i="4"/>
  <c r="AR9" i="4"/>
  <c r="AC49" i="4"/>
  <c r="AG9" i="4"/>
  <c r="AL12" i="4"/>
  <c r="AO12" i="4" s="1"/>
  <c r="AK12" i="4"/>
  <c r="AN12" i="4" s="1"/>
  <c r="AM12" i="4"/>
  <c r="AF50" i="4" l="1"/>
  <c r="AB55" i="4"/>
  <c r="AC53" i="4"/>
  <c r="AG50" i="4" s="1"/>
  <c r="AL28" i="4"/>
  <c r="AO28" i="4" s="1"/>
  <c r="AU27" i="4"/>
  <c r="AF9" i="4"/>
  <c r="AM9" i="4" s="1"/>
  <c r="AG13" i="4"/>
  <c r="AU9" i="4" s="1"/>
  <c r="AR13" i="4"/>
  <c r="AC61" i="4"/>
  <c r="AB51" i="4"/>
  <c r="AG68" i="4" s="1"/>
  <c r="AR30" i="4"/>
  <c r="AS30" i="4" s="1"/>
  <c r="AV30" i="4" s="1"/>
  <c r="AF26" i="4"/>
  <c r="AJ26" i="4"/>
  <c r="AB50" i="4"/>
  <c r="AT9" i="4"/>
  <c r="AS9" i="4"/>
  <c r="AR51" i="4"/>
  <c r="AG49" i="4"/>
  <c r="AR49" i="4"/>
  <c r="AL10" i="4"/>
  <c r="AO10" i="4" s="1"/>
  <c r="AK10" i="4"/>
  <c r="AN10" i="4" s="1"/>
  <c r="AR50" i="4"/>
  <c r="AU28" i="4"/>
  <c r="AT28" i="4"/>
  <c r="AS28" i="4"/>
  <c r="AM50" i="4"/>
  <c r="AK53" i="4"/>
  <c r="AN53" i="4" s="1"/>
  <c r="AL53" i="4"/>
  <c r="AO53" i="4" s="1"/>
  <c r="AM53" i="4"/>
  <c r="AG71" i="4"/>
  <c r="AG73" i="4"/>
  <c r="AG77" i="4"/>
  <c r="AL76" i="4" s="1"/>
  <c r="AG67" i="4"/>
  <c r="AG29" i="4"/>
  <c r="AR29" i="4"/>
  <c r="AL9" i="4"/>
  <c r="AO9" i="4" s="1"/>
  <c r="AK9" i="4"/>
  <c r="AN9" i="4" s="1"/>
  <c r="AT10" i="4"/>
  <c r="AS10" i="4"/>
  <c r="AT27" i="4"/>
  <c r="AW27" i="4" s="1"/>
  <c r="AM51" i="4"/>
  <c r="AJ51" i="4"/>
  <c r="AK51" i="4" s="1"/>
  <c r="AN51" i="4" s="1"/>
  <c r="AG72" i="4"/>
  <c r="AM27" i="4"/>
  <c r="AK27" i="4"/>
  <c r="AN27" i="4" s="1"/>
  <c r="AL27" i="4"/>
  <c r="AO27" i="4" s="1"/>
  <c r="AG74" i="4"/>
  <c r="AG51" i="4"/>
  <c r="AT11" i="4"/>
  <c r="AS11" i="4"/>
  <c r="AU11" i="4"/>
  <c r="AG69" i="4"/>
  <c r="AJ50" i="4"/>
  <c r="AL50" i="4" s="1"/>
  <c r="AO50" i="4" s="1"/>
  <c r="AG66" i="4"/>
  <c r="AM13" i="4"/>
  <c r="AK13" i="4"/>
  <c r="AN13" i="4" s="1"/>
  <c r="AL13" i="4"/>
  <c r="AO13" i="4" s="1"/>
  <c r="AG70" i="4"/>
  <c r="AM11" i="4"/>
  <c r="AL11" i="4"/>
  <c r="AO11" i="4" s="1"/>
  <c r="AK11" i="4"/>
  <c r="AN11" i="4" s="1"/>
  <c r="AM30" i="4"/>
  <c r="AK30" i="4"/>
  <c r="AN30" i="4" s="1"/>
  <c r="AL30" i="4"/>
  <c r="AO30" i="4" s="1"/>
  <c r="AM28" i="4"/>
  <c r="AK29" i="4"/>
  <c r="AN29" i="4" s="1"/>
  <c r="AL29" i="4"/>
  <c r="AO29" i="4" s="1"/>
  <c r="AM29" i="4"/>
  <c r="AM52" i="4"/>
  <c r="AL52" i="4"/>
  <c r="AO52" i="4" s="1"/>
  <c r="AK52" i="4"/>
  <c r="AN52" i="4" s="1"/>
  <c r="AU26" i="4"/>
  <c r="AS26" i="4"/>
  <c r="AT26" i="4"/>
  <c r="AW26" i="4" s="1"/>
  <c r="AC58" i="4"/>
  <c r="AR12" i="4"/>
  <c r="AG12" i="4"/>
  <c r="AG76" i="4"/>
  <c r="AU10" i="4" l="1"/>
  <c r="AT30" i="4"/>
  <c r="AW30" i="4" s="1"/>
  <c r="AG53" i="4"/>
  <c r="AU49" i="4" s="1"/>
  <c r="AR53" i="4"/>
  <c r="AK50" i="4"/>
  <c r="AN50" i="4" s="1"/>
  <c r="AF49" i="4"/>
  <c r="AJ49" i="4"/>
  <c r="AS13" i="4"/>
  <c r="AV13" i="4" s="1"/>
  <c r="AU13" i="4"/>
  <c r="AT13" i="4"/>
  <c r="AW13" i="4" s="1"/>
  <c r="AM26" i="4"/>
  <c r="AK26" i="4"/>
  <c r="AN26" i="4" s="1"/>
  <c r="AL26" i="4"/>
  <c r="AO26" i="4" s="1"/>
  <c r="AU12" i="4"/>
  <c r="AT12" i="4"/>
  <c r="AW12" i="4" s="1"/>
  <c r="AS12" i="4"/>
  <c r="AV12" i="4" s="1"/>
  <c r="AV26" i="4"/>
  <c r="AV10" i="4"/>
  <c r="AL70" i="4"/>
  <c r="AU51" i="4"/>
  <c r="AT51" i="4"/>
  <c r="AS51" i="4"/>
  <c r="AU29" i="4"/>
  <c r="AT29" i="4"/>
  <c r="AW29" i="4" s="1"/>
  <c r="AS29" i="4"/>
  <c r="AV29" i="4" s="1"/>
  <c r="AL74" i="4"/>
  <c r="AL68" i="4"/>
  <c r="AL73" i="4"/>
  <c r="AL67" i="4"/>
  <c r="AV11" i="4"/>
  <c r="AL51" i="4"/>
  <c r="AO51" i="4" s="1"/>
  <c r="AW10" i="4"/>
  <c r="AV28" i="4"/>
  <c r="AS50" i="4"/>
  <c r="AT50" i="4"/>
  <c r="AU50" i="4"/>
  <c r="AS49" i="4"/>
  <c r="AT49" i="4"/>
  <c r="AV9" i="4"/>
  <c r="AH75" i="4"/>
  <c r="AG52" i="4"/>
  <c r="AR52" i="4"/>
  <c r="AW11" i="4"/>
  <c r="AL75" i="4"/>
  <c r="AL69" i="4"/>
  <c r="AW28" i="4"/>
  <c r="AW9" i="4"/>
  <c r="AV27" i="4"/>
  <c r="AK49" i="4" l="1"/>
  <c r="AN49" i="4" s="1"/>
  <c r="AM49" i="4"/>
  <c r="AL49" i="4"/>
  <c r="AO49" i="4" s="1"/>
  <c r="AH71" i="4"/>
  <c r="AU53" i="4"/>
  <c r="AH69" i="4"/>
  <c r="AH67" i="4"/>
  <c r="AT53" i="4"/>
  <c r="AW53" i="4" s="1"/>
  <c r="AH76" i="4"/>
  <c r="AH68" i="4"/>
  <c r="AH72" i="4"/>
  <c r="AS53" i="4"/>
  <c r="AV53" i="4" s="1"/>
  <c r="AH70" i="4"/>
  <c r="AH73" i="4"/>
  <c r="AH66" i="4"/>
  <c r="AH77" i="4"/>
  <c r="AM76" i="4" s="1"/>
  <c r="AH74" i="4"/>
  <c r="AW50" i="4"/>
  <c r="AW51" i="4"/>
  <c r="AW49" i="4"/>
  <c r="AV50" i="4"/>
  <c r="AS52" i="4"/>
  <c r="AV52" i="4" s="1"/>
  <c r="AT52" i="4"/>
  <c r="AW52" i="4" s="1"/>
  <c r="AU52" i="4"/>
  <c r="AV49" i="4"/>
  <c r="AV51" i="4"/>
  <c r="AQ12" i="7"/>
  <c r="AP12" i="7"/>
  <c r="AO12" i="7"/>
  <c r="AN12" i="7"/>
  <c r="AM12" i="7"/>
  <c r="AL12" i="7"/>
  <c r="AG12" i="7"/>
  <c r="AF12" i="7"/>
  <c r="AE12" i="7"/>
  <c r="Y12" i="7"/>
  <c r="X12" i="7"/>
  <c r="W12" i="7"/>
  <c r="Q12" i="7"/>
  <c r="P12" i="7"/>
  <c r="O12" i="7"/>
  <c r="AQ11" i="7"/>
  <c r="AP11" i="7"/>
  <c r="AO11" i="7"/>
  <c r="AN11" i="7"/>
  <c r="AM11" i="7"/>
  <c r="AL11" i="7"/>
  <c r="AG11" i="7"/>
  <c r="AF11" i="7"/>
  <c r="AE11" i="7"/>
  <c r="Y11" i="7"/>
  <c r="X11" i="7"/>
  <c r="W11" i="7"/>
  <c r="Q11" i="7"/>
  <c r="P11" i="7"/>
  <c r="O11" i="7"/>
  <c r="AU18" i="3"/>
  <c r="AU22" i="3" s="1"/>
  <c r="AT18" i="3"/>
  <c r="AT21" i="3" s="1"/>
  <c r="AS18" i="3"/>
  <c r="AS22" i="3" s="1"/>
  <c r="AR18" i="3"/>
  <c r="AR22" i="3" s="1"/>
  <c r="AQ18" i="3"/>
  <c r="AQ22" i="3" s="1"/>
  <c r="AM12" i="3"/>
  <c r="AL12" i="3"/>
  <c r="AK12" i="3"/>
  <c r="AJ12" i="3"/>
  <c r="AI12" i="3"/>
  <c r="AH12" i="3"/>
  <c r="AC12" i="3"/>
  <c r="AB12" i="3"/>
  <c r="AA12" i="3"/>
  <c r="V12" i="3"/>
  <c r="U12" i="3"/>
  <c r="T12" i="3"/>
  <c r="P12" i="3"/>
  <c r="O12" i="3"/>
  <c r="N12" i="3"/>
  <c r="Q12" i="3" s="1"/>
  <c r="P17" i="3" s="1"/>
  <c r="AM11" i="3"/>
  <c r="AM13" i="3" s="1"/>
  <c r="AL11" i="3"/>
  <c r="AK11" i="3"/>
  <c r="AJ11" i="3"/>
  <c r="AJ13" i="3" s="1"/>
  <c r="AJ17" i="3" s="1"/>
  <c r="AI11" i="3"/>
  <c r="AI13" i="3" s="1"/>
  <c r="AH11" i="3"/>
  <c r="AC11" i="3"/>
  <c r="AB11" i="3"/>
  <c r="AB13" i="3" s="1"/>
  <c r="AB20" i="3" s="1"/>
  <c r="AA11" i="3"/>
  <c r="T13" i="3"/>
  <c r="T20" i="3" s="1"/>
  <c r="P11" i="3"/>
  <c r="O11" i="3"/>
  <c r="N11" i="3"/>
  <c r="U13" i="3" l="1"/>
  <c r="O13" i="3"/>
  <c r="O20" i="3" s="1"/>
  <c r="AD12" i="3"/>
  <c r="AB17" i="3" s="1"/>
  <c r="W12" i="3"/>
  <c r="V17" i="3" s="1"/>
  <c r="N13" i="3"/>
  <c r="O21" i="3"/>
  <c r="AQ21" i="3"/>
  <c r="O39" i="3"/>
  <c r="W13" i="7"/>
  <c r="AM73" i="4"/>
  <c r="AM67" i="4"/>
  <c r="AM70" i="4"/>
  <c r="AM69" i="4"/>
  <c r="AM75" i="4"/>
  <c r="AM74" i="4"/>
  <c r="AM68" i="4"/>
  <c r="AM13" i="7"/>
  <c r="AM17" i="7" s="1"/>
  <c r="AQ13" i="7"/>
  <c r="AQ17" i="7" s="1"/>
  <c r="AE13" i="7"/>
  <c r="AR12" i="7"/>
  <c r="AL13" i="7"/>
  <c r="AL16" i="7" s="1"/>
  <c r="AP13" i="7"/>
  <c r="AP16" i="7" s="1"/>
  <c r="Z11" i="7"/>
  <c r="X16" i="7" s="1"/>
  <c r="AP17" i="7"/>
  <c r="AR11" i="7"/>
  <c r="R12" i="7"/>
  <c r="O17" i="7" s="1"/>
  <c r="Z12" i="7"/>
  <c r="Y17" i="7" s="1"/>
  <c r="AH12" i="7"/>
  <c r="AO13" i="7"/>
  <c r="AO17" i="7" s="1"/>
  <c r="AN13" i="7"/>
  <c r="AN16" i="7" s="1"/>
  <c r="O13" i="7"/>
  <c r="X13" i="7"/>
  <c r="AG13" i="7"/>
  <c r="AQ16" i="7"/>
  <c r="W16" i="7"/>
  <c r="R11" i="7"/>
  <c r="Q16" i="7" s="1"/>
  <c r="AH11" i="7"/>
  <c r="AE16" i="7" s="1"/>
  <c r="P13" i="7"/>
  <c r="Y13" i="7"/>
  <c r="O16" i="7"/>
  <c r="AF13" i="7"/>
  <c r="Q13" i="7"/>
  <c r="AR21" i="3"/>
  <c r="AU21" i="3"/>
  <c r="AA39" i="3"/>
  <c r="U21" i="3"/>
  <c r="N21" i="3"/>
  <c r="O17" i="3"/>
  <c r="AM16" i="3"/>
  <c r="AM17" i="3"/>
  <c r="AI16" i="3"/>
  <c r="AI17" i="3"/>
  <c r="AB21" i="3"/>
  <c r="AN11" i="3"/>
  <c r="AC13" i="3"/>
  <c r="AC21" i="3" s="1"/>
  <c r="AK13" i="3"/>
  <c r="AK17" i="3" s="1"/>
  <c r="AA17" i="3"/>
  <c r="AT22" i="3"/>
  <c r="Q11" i="3"/>
  <c r="O16" i="3" s="1"/>
  <c r="T38" i="3"/>
  <c r="AD11" i="3"/>
  <c r="AA16" i="3" s="1"/>
  <c r="V13" i="3"/>
  <c r="V21" i="3" s="1"/>
  <c r="AL13" i="3"/>
  <c r="AL16" i="3" s="1"/>
  <c r="P13" i="3"/>
  <c r="P21" i="3" s="1"/>
  <c r="AA13" i="3"/>
  <c r="AA20" i="3" s="1"/>
  <c r="AJ16" i="3"/>
  <c r="N17" i="3"/>
  <c r="AC17" i="3"/>
  <c r="N20" i="3"/>
  <c r="U20" i="3"/>
  <c r="T21" i="3"/>
  <c r="AS21" i="3"/>
  <c r="T39" i="3"/>
  <c r="AH13" i="3"/>
  <c r="AH16" i="3" s="1"/>
  <c r="N39" i="3"/>
  <c r="AN12" i="3"/>
  <c r="T17" i="3" l="1"/>
  <c r="U39" i="3"/>
  <c r="U17" i="3"/>
  <c r="AB39" i="3"/>
  <c r="AC39" i="3" s="1"/>
  <c r="U38" i="3"/>
  <c r="V39" i="3"/>
  <c r="P39" i="3"/>
  <c r="AM16" i="7"/>
  <c r="X35" i="7"/>
  <c r="Y16" i="7"/>
  <c r="AL17" i="7"/>
  <c r="AN17" i="7"/>
  <c r="W35" i="7"/>
  <c r="Y35" i="7" s="1"/>
  <c r="AF16" i="7"/>
  <c r="AF35" i="7"/>
  <c r="AE35" i="7"/>
  <c r="AG35" i="7" s="1"/>
  <c r="W36" i="7"/>
  <c r="X36" i="7"/>
  <c r="AF17" i="7"/>
  <c r="AE36" i="7"/>
  <c r="AE17" i="7"/>
  <c r="P17" i="7"/>
  <c r="O35" i="7"/>
  <c r="P36" i="7"/>
  <c r="P16" i="7"/>
  <c r="AG17" i="7"/>
  <c r="W17" i="7"/>
  <c r="X17" i="7"/>
  <c r="P35" i="7"/>
  <c r="Q17" i="7"/>
  <c r="AO16" i="7"/>
  <c r="AF36" i="7"/>
  <c r="AG16" i="7"/>
  <c r="O36" i="7"/>
  <c r="AL17" i="3"/>
  <c r="AC20" i="3"/>
  <c r="AA21" i="3"/>
  <c r="AB38" i="3"/>
  <c r="V16" i="3"/>
  <c r="T16" i="3"/>
  <c r="N16" i="3"/>
  <c r="P16" i="3"/>
  <c r="N38" i="3"/>
  <c r="AK16" i="3"/>
  <c r="V38" i="3"/>
  <c r="P20" i="3"/>
  <c r="AC16" i="3"/>
  <c r="AH17" i="3"/>
  <c r="AB16" i="3"/>
  <c r="U16" i="3"/>
  <c r="O38" i="3"/>
  <c r="P38" i="3" s="1"/>
  <c r="AA38" i="3"/>
  <c r="V20" i="3"/>
  <c r="Y36" i="7" l="1"/>
  <c r="Q35" i="7"/>
  <c r="AG36" i="7"/>
  <c r="Q36" i="7"/>
  <c r="AC38" i="3"/>
  <c r="AO12" i="8" l="1"/>
  <c r="AD12" i="8"/>
  <c r="AC12" i="8"/>
  <c r="AB12" i="8"/>
  <c r="W12" i="8"/>
  <c r="V12" i="8"/>
  <c r="U12" i="8"/>
  <c r="P12" i="8"/>
  <c r="O12" i="8"/>
  <c r="N12" i="8"/>
  <c r="AO11" i="8"/>
  <c r="AO13" i="8" s="1"/>
  <c r="AM13" i="8"/>
  <c r="AL13" i="8"/>
  <c r="AK13" i="8"/>
  <c r="AI13" i="8"/>
  <c r="AD11" i="8"/>
  <c r="AC11" i="8"/>
  <c r="AB11" i="8"/>
  <c r="W11" i="8"/>
  <c r="V11" i="8"/>
  <c r="U11" i="8"/>
  <c r="P11" i="8"/>
  <c r="O11" i="8"/>
  <c r="N11" i="8"/>
  <c r="AL17" i="8" l="1"/>
  <c r="AI17" i="8"/>
  <c r="AM17" i="8"/>
  <c r="AK17" i="8"/>
  <c r="AO17" i="8"/>
  <c r="P13" i="8"/>
  <c r="P21" i="8" s="1"/>
  <c r="AB13" i="8"/>
  <c r="AB21" i="8" s="1"/>
  <c r="AJ13" i="8"/>
  <c r="AJ16" i="8" s="1"/>
  <c r="AN13" i="8"/>
  <c r="AN16" i="8" s="1"/>
  <c r="AK16" i="8"/>
  <c r="AO16" i="8"/>
  <c r="Q11" i="8"/>
  <c r="N16" i="8" s="1"/>
  <c r="X11" i="8"/>
  <c r="U40" i="8" s="1"/>
  <c r="AE11" i="8"/>
  <c r="AB40" i="8" s="1"/>
  <c r="AP11" i="8"/>
  <c r="Q12" i="8"/>
  <c r="P17" i="8" s="1"/>
  <c r="X12" i="8"/>
  <c r="U17" i="8" s="1"/>
  <c r="AE12" i="8"/>
  <c r="AC17" i="8" s="1"/>
  <c r="AP12" i="8"/>
  <c r="U13" i="8"/>
  <c r="U21" i="8" s="1"/>
  <c r="AC13" i="8"/>
  <c r="AC21" i="8" s="1"/>
  <c r="AL16" i="8"/>
  <c r="AC40" i="8"/>
  <c r="N13" i="8"/>
  <c r="N21" i="8" s="1"/>
  <c r="V13" i="8"/>
  <c r="V21" i="8" s="1"/>
  <c r="AD13" i="8"/>
  <c r="AD21" i="8" s="1"/>
  <c r="AI16" i="8"/>
  <c r="AM16" i="8"/>
  <c r="O13" i="8"/>
  <c r="O20" i="8" s="1"/>
  <c r="W13" i="8"/>
  <c r="W21" i="8" s="1"/>
  <c r="O17" i="8" l="1"/>
  <c r="P16" i="8"/>
  <c r="O16" i="8"/>
  <c r="N40" i="8"/>
  <c r="N17" i="8"/>
  <c r="N20" i="8"/>
  <c r="N22" i="8" s="1"/>
  <c r="AB20" i="8"/>
  <c r="AB22" i="8" s="1"/>
  <c r="W16" i="8"/>
  <c r="U20" i="8"/>
  <c r="U22" i="8" s="1"/>
  <c r="AD16" i="8"/>
  <c r="AJ17" i="8"/>
  <c r="AC16" i="8"/>
  <c r="AD40" i="8"/>
  <c r="AB17" i="8"/>
  <c r="AB41" i="8"/>
  <c r="AD17" i="8"/>
  <c r="AD20" i="8"/>
  <c r="AD22" i="8" s="1"/>
  <c r="AC20" i="8"/>
  <c r="AC22" i="8" s="1"/>
  <c r="AB16" i="8"/>
  <c r="V20" i="8"/>
  <c r="V22" i="8" s="1"/>
  <c r="O21" i="8"/>
  <c r="O22" i="8" s="1"/>
  <c r="AC41" i="8"/>
  <c r="U41" i="8"/>
  <c r="V41" i="8"/>
  <c r="V16" i="8"/>
  <c r="V40" i="8"/>
  <c r="W40" i="8" s="1"/>
  <c r="W17" i="8"/>
  <c r="V17" i="8"/>
  <c r="O41" i="8"/>
  <c r="P20" i="8"/>
  <c r="P22" i="8" s="1"/>
  <c r="U16" i="8"/>
  <c r="O40" i="8"/>
  <c r="P40" i="8" s="1"/>
  <c r="W20" i="8"/>
  <c r="W22" i="8" s="1"/>
  <c r="N41" i="8"/>
  <c r="AN17" i="8"/>
  <c r="AD41" i="8" l="1"/>
  <c r="P41" i="8"/>
  <c r="W41" i="8"/>
  <c r="J130" i="1"/>
  <c r="K130" i="1" s="1"/>
  <c r="J129" i="1"/>
  <c r="K129" i="1" s="1"/>
  <c r="K128" i="1"/>
  <c r="J128" i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K74" i="1"/>
  <c r="J74" i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M49" i="1" s="1"/>
  <c r="N49" i="1" s="1"/>
  <c r="J48" i="1"/>
  <c r="K48" i="1" s="1"/>
  <c r="J47" i="1"/>
  <c r="K47" i="1" s="1"/>
  <c r="J46" i="1"/>
  <c r="K46" i="1" s="1"/>
  <c r="R63" i="1"/>
  <c r="Q63" i="1"/>
  <c r="J45" i="1"/>
  <c r="K45" i="1" s="1"/>
  <c r="R62" i="1"/>
  <c r="J44" i="1"/>
  <c r="K44" i="1" s="1"/>
  <c r="R61" i="1"/>
  <c r="Q61" i="1"/>
  <c r="J43" i="1"/>
  <c r="K43" i="1" s="1"/>
  <c r="R60" i="1"/>
  <c r="Q60" i="1"/>
  <c r="J42" i="1"/>
  <c r="K42" i="1" s="1"/>
  <c r="J41" i="1"/>
  <c r="K41" i="1" s="1"/>
  <c r="J40" i="1"/>
  <c r="K40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R12" i="1"/>
  <c r="Q12" i="1"/>
  <c r="J12" i="1"/>
  <c r="K12" i="1" s="1"/>
  <c r="J11" i="1"/>
  <c r="K11" i="1" s="1"/>
  <c r="R10" i="1"/>
  <c r="Q10" i="1"/>
  <c r="J10" i="1"/>
  <c r="K10" i="1" s="1"/>
  <c r="R9" i="1"/>
  <c r="Q9" i="1"/>
  <c r="J9" i="1"/>
  <c r="K9" i="1" s="1"/>
  <c r="J8" i="1"/>
  <c r="K8" i="1" s="1"/>
  <c r="J7" i="1"/>
  <c r="K7" i="1" s="1"/>
  <c r="M7" i="1" s="1"/>
  <c r="N7" i="1" s="1"/>
  <c r="J6" i="1"/>
  <c r="K6" i="1" s="1"/>
  <c r="J5" i="1"/>
  <c r="K5" i="1" s="1"/>
  <c r="M47" i="1" l="1"/>
  <c r="N47" i="1" s="1"/>
  <c r="M44" i="1"/>
  <c r="M70" i="1"/>
  <c r="N70" i="1" s="1"/>
  <c r="V12" i="1"/>
  <c r="V9" i="1"/>
  <c r="M124" i="1"/>
  <c r="N124" i="1" s="1"/>
  <c r="V10" i="1"/>
  <c r="M13" i="1"/>
  <c r="N13" i="1" s="1"/>
  <c r="M31" i="1"/>
  <c r="N31" i="1" s="1"/>
  <c r="M83" i="1"/>
  <c r="N83" i="1" s="1"/>
  <c r="M42" i="1"/>
  <c r="M56" i="1"/>
  <c r="N56" i="1" s="1"/>
  <c r="M89" i="1"/>
  <c r="N89" i="1" s="1"/>
  <c r="V60" i="1"/>
  <c r="T61" i="1"/>
  <c r="V61" i="1"/>
  <c r="M50" i="1"/>
  <c r="M77" i="1"/>
  <c r="V62" i="1"/>
  <c r="T62" i="1"/>
  <c r="T63" i="1"/>
  <c r="M104" i="1"/>
  <c r="V63" i="1"/>
  <c r="M75" i="1"/>
  <c r="N75" i="1" s="1"/>
  <c r="M102" i="1"/>
  <c r="N102" i="1" s="1"/>
  <c r="M110" i="1"/>
  <c r="N110" i="1" s="1"/>
  <c r="M62" i="1"/>
  <c r="N62" i="1" s="1"/>
  <c r="M97" i="1"/>
  <c r="N97" i="1" s="1"/>
  <c r="M116" i="1"/>
  <c r="M40" i="1"/>
  <c r="T60" i="1"/>
  <c r="U60" i="1" s="1"/>
  <c r="M9" i="1"/>
  <c r="T10" i="1"/>
  <c r="M27" i="1"/>
  <c r="T12" i="1"/>
  <c r="M22" i="1"/>
  <c r="N22" i="1" s="1"/>
  <c r="M18" i="1"/>
  <c r="V11" i="1"/>
  <c r="T11" i="1"/>
  <c r="T9" i="1"/>
  <c r="U9" i="1" s="1"/>
  <c r="M5" i="1"/>
  <c r="U10" i="1" l="1"/>
  <c r="U11" i="1"/>
  <c r="U12" i="1"/>
  <c r="U63" i="1"/>
  <c r="U61" i="1"/>
  <c r="N116" i="1"/>
  <c r="U62" i="1"/>
  <c r="L26" i="1"/>
  <c r="L28" i="1"/>
  <c r="L27" i="1"/>
  <c r="L16" i="1"/>
  <c r="L31" i="1"/>
  <c r="L35" i="1"/>
  <c r="L21" i="1"/>
  <c r="L30" i="1"/>
  <c r="L22" i="1"/>
  <c r="L12" i="1"/>
  <c r="L13" i="1"/>
  <c r="L32" i="1"/>
  <c r="L15" i="1"/>
  <c r="L19" i="1"/>
  <c r="L20" i="1"/>
  <c r="L14" i="1"/>
  <c r="L11" i="1"/>
  <c r="L25" i="1"/>
  <c r="L23" i="1"/>
  <c r="L29" i="1"/>
  <c r="L18" i="1"/>
  <c r="L33" i="1"/>
  <c r="L34" i="1"/>
  <c r="L17" i="1"/>
  <c r="L24" i="1"/>
  <c r="L10" i="1"/>
  <c r="L9" i="1"/>
  <c r="M129" i="1"/>
  <c r="N129" i="1"/>
</calcChain>
</file>

<file path=xl/sharedStrings.xml><?xml version="1.0" encoding="utf-8"?>
<sst xmlns="http://schemas.openxmlformats.org/spreadsheetml/2006/main" count="3739" uniqueCount="500">
  <si>
    <t>Species</t>
  </si>
  <si>
    <t>Date</t>
  </si>
  <si>
    <t>Net</t>
  </si>
  <si>
    <t>Sex</t>
  </si>
  <si>
    <t>Expo.</t>
  </si>
  <si>
    <t>1H Knockdown</t>
  </si>
  <si>
    <t>24H Dead</t>
  </si>
  <si>
    <t>24H Alive</t>
  </si>
  <si>
    <t>Total</t>
  </si>
  <si>
    <t>%Mortality</t>
  </si>
  <si>
    <t>corrected</t>
  </si>
  <si>
    <t>Average</t>
  </si>
  <si>
    <t>F7</t>
  </si>
  <si>
    <t>15.09.21</t>
  </si>
  <si>
    <t>Negative control</t>
  </si>
  <si>
    <t>Female</t>
  </si>
  <si>
    <t>F4</t>
  </si>
  <si>
    <t>7.10.21</t>
  </si>
  <si>
    <t>Alive</t>
  </si>
  <si>
    <t>Dead</t>
  </si>
  <si>
    <t>% Knockdown</t>
  </si>
  <si>
    <t>Corrected</t>
  </si>
  <si>
    <t>Error</t>
  </si>
  <si>
    <t>Permethrin control</t>
  </si>
  <si>
    <t xml:space="preserve">ɏ </t>
  </si>
  <si>
    <t>ɏ  - 1</t>
  </si>
  <si>
    <t>ɏ  - 2</t>
  </si>
  <si>
    <t>ɏ -4</t>
  </si>
  <si>
    <t>ɏ -3</t>
  </si>
  <si>
    <t>ɏ -2</t>
  </si>
  <si>
    <t xml:space="preserve">1x DD Sherlock </t>
  </si>
  <si>
    <t>f7</t>
  </si>
  <si>
    <t>5x DD Sherlock</t>
  </si>
  <si>
    <t>11.09.21</t>
  </si>
  <si>
    <t>% Knockdown (1h)</t>
  </si>
  <si>
    <t>SD</t>
  </si>
  <si>
    <t>19.09.21</t>
  </si>
  <si>
    <t>24.09.21</t>
  </si>
  <si>
    <t>27.09.21</t>
  </si>
  <si>
    <t>ɏ -1</t>
  </si>
  <si>
    <t>24.0.9.21</t>
  </si>
  <si>
    <t>60 minutes</t>
  </si>
  <si>
    <t>30 minutes</t>
  </si>
  <si>
    <t>Exposure</t>
  </si>
  <si>
    <t>corrected (Abbott's)</t>
  </si>
  <si>
    <t>Alive samples</t>
  </si>
  <si>
    <t>Dead samples</t>
  </si>
  <si>
    <t>ID</t>
  </si>
  <si>
    <t>6.5kb SV</t>
  </si>
  <si>
    <t>6p9a</t>
  </si>
  <si>
    <t>6p9b</t>
  </si>
  <si>
    <t>6.5kb</t>
  </si>
  <si>
    <t>RR</t>
  </si>
  <si>
    <t>RS</t>
  </si>
  <si>
    <t>Summary</t>
  </si>
  <si>
    <t>SS</t>
  </si>
  <si>
    <t>6P9a</t>
  </si>
  <si>
    <t>6P9b</t>
  </si>
  <si>
    <t>RR/RR/RR</t>
  </si>
  <si>
    <t>RR/RR/RS</t>
  </si>
  <si>
    <t>RR/RS/RS</t>
  </si>
  <si>
    <t>RS/RS/RR</t>
  </si>
  <si>
    <t>RS/RS/RS</t>
  </si>
  <si>
    <t>SS/RS/SS</t>
  </si>
  <si>
    <t>SS/SS/SS</t>
  </si>
  <si>
    <t>Totals</t>
  </si>
  <si>
    <t>%</t>
  </si>
  <si>
    <t>STAT</t>
  </si>
  <si>
    <t>CI</t>
  </si>
  <si>
    <t>Stats</t>
  </si>
  <si>
    <t>RR/RR/RR vs SS/SS/SS</t>
  </si>
  <si>
    <t>17.05 to 79.72</t>
  </si>
  <si>
    <t>&lt;0.0001</t>
  </si>
  <si>
    <t>RR vs RS</t>
  </si>
  <si>
    <t>10.13 to 53.74</t>
  </si>
  <si>
    <t>9.941 to 47.87</t>
  </si>
  <si>
    <t>5.715 to 23.66</t>
  </si>
  <si>
    <t>RR/RR/RR vs SS/RS/SS</t>
  </si>
  <si>
    <t>Infinity</t>
  </si>
  <si>
    <t>145.8 to Infinity</t>
  </si>
  <si>
    <t>RR vs SS</t>
  </si>
  <si>
    <t>9.025 to 100.7</t>
  </si>
  <si>
    <t>11.20 to 149.0</t>
  </si>
  <si>
    <t>6.307 to 78.28</t>
  </si>
  <si>
    <t>RR/RR/RR vs RS/RS/RS</t>
  </si>
  <si>
    <t>16.84 to 78.85</t>
  </si>
  <si>
    <t>RS vs SS</t>
  </si>
  <si>
    <t>0.3429 to 4.856</t>
  </si>
  <si>
    <t>&gt;0.9999</t>
  </si>
  <si>
    <t>0.6080 to 6.983</t>
  </si>
  <si>
    <t>0.5881 to 6.938</t>
  </si>
  <si>
    <t>RR/RR/RR vs RR/RS/RS</t>
  </si>
  <si>
    <t>5.84 to 22.91</t>
  </si>
  <si>
    <t>RR/RR/RR vs RR/RR/RS</t>
  </si>
  <si>
    <t>0 to 0.23</t>
  </si>
  <si>
    <t>RR/RR/RS vs SS/SS/SS</t>
  </si>
  <si>
    <t>169.6 to Infinity</t>
  </si>
  <si>
    <t>RR/RR/RS vs SS/RS/SS</t>
  </si>
  <si>
    <t>1980 to Infinity</t>
  </si>
  <si>
    <t>RR/RR/RS vs RS/RS/RS</t>
  </si>
  <si>
    <t>167.6 to Infinity</t>
  </si>
  <si>
    <t>RR/RR/RS vs RR/RS/RS</t>
  </si>
  <si>
    <t>57.58 to infinity</t>
  </si>
  <si>
    <t>RR//RS/RS vs SS/SS/SS</t>
  </si>
  <si>
    <t>1.596 to 6.56</t>
  </si>
  <si>
    <t>RR/RS/RS vs SS/RS/SS</t>
  </si>
  <si>
    <t>14.07 to Infinity</t>
  </si>
  <si>
    <t>RR/RS/RS vs RS/RS/RS</t>
  </si>
  <si>
    <t>1.58 to 6.48</t>
  </si>
  <si>
    <t>RS/RS/RS vs SS/SS/SS</t>
  </si>
  <si>
    <t>0.44 to 2.32</t>
  </si>
  <si>
    <t>RS/RS/RS vs SS/RS/SS</t>
  </si>
  <si>
    <t>3.73 to Infinity</t>
  </si>
  <si>
    <t>SS/RS/SS vs Ss/SS/SS</t>
  </si>
  <si>
    <t>0 to 0.27</t>
  </si>
  <si>
    <t>R</t>
  </si>
  <si>
    <t>S</t>
  </si>
  <si>
    <t>total</t>
  </si>
  <si>
    <t>R vs S</t>
  </si>
  <si>
    <t>5.834 to 34.32</t>
  </si>
  <si>
    <t>4.359 to 18.04</t>
  </si>
  <si>
    <t>3.427 to 14.15</t>
  </si>
  <si>
    <t>%%%</t>
  </si>
  <si>
    <t>3.907 to 16.00</t>
  </si>
  <si>
    <t>15.34 to Infinity</t>
  </si>
  <si>
    <t>2.199 to 7.807</t>
  </si>
  <si>
    <t>3.949 to 14.90</t>
  </si>
  <si>
    <t>120.8 to Infinity</t>
  </si>
  <si>
    <t>1.721 to Infinity</t>
  </si>
  <si>
    <t>17.25 to Infinity</t>
  </si>
  <si>
    <t>19.72 to Infinity</t>
  </si>
  <si>
    <t>9.93 to 41.25</t>
  </si>
  <si>
    <t>4.127 to Infinity</t>
  </si>
  <si>
    <t>2.767 to Infinity</t>
  </si>
  <si>
    <t>3.13 to 11.6</t>
  </si>
  <si>
    <t>1.6 to 5.83</t>
  </si>
  <si>
    <t>43.06 to Infinity</t>
  </si>
  <si>
    <t>3.53 to 13.2</t>
  </si>
  <si>
    <t>1.13 to 3.44</t>
  </si>
  <si>
    <t>RR/RS/RS vs SS/SS/SS</t>
  </si>
  <si>
    <t>21.79 to Infinity</t>
  </si>
  <si>
    <t>1.77 to 6.58</t>
  </si>
  <si>
    <t>5.87 to Infinity</t>
  </si>
  <si>
    <t>-</t>
  </si>
  <si>
    <t>4.352 to 20.81</t>
  </si>
  <si>
    <t>2.647 to 9.814</t>
  </si>
  <si>
    <t>2.869 to 10.64</t>
  </si>
  <si>
    <t>119.2 to Infinity</t>
  </si>
  <si>
    <t>8.222 to 36.77</t>
  </si>
  <si>
    <t>9.731 to 46.61</t>
  </si>
  <si>
    <t>13.44 to 86.07</t>
  </si>
  <si>
    <t>31.85 to Infinity</t>
  </si>
  <si>
    <t>45.00 to Infinity</t>
  </si>
  <si>
    <t>86.16 to Infinity</t>
  </si>
  <si>
    <t>1.934 to Infinity</t>
  </si>
  <si>
    <t>2.012 to Infinity</t>
  </si>
  <si>
    <t>2.725 to Infinity</t>
  </si>
  <si>
    <t>0 to 0.17</t>
  </si>
  <si>
    <t>5.94 to Infinity</t>
  </si>
  <si>
    <t>SS/RS/SS vs SS/SS/SS</t>
  </si>
  <si>
    <t>5.031 to 22.38</t>
  </si>
  <si>
    <t>7.785 to 46.37</t>
  </si>
  <si>
    <t>5.539 to 23.26</t>
  </si>
  <si>
    <t>1) Input raw Ct values from the real-time PCR machine</t>
  </si>
  <si>
    <t>RAW Ct (SAMPLES)</t>
  </si>
  <si>
    <t>actin</t>
  </si>
  <si>
    <t>SP7</t>
  </si>
  <si>
    <t>CYP6P9a</t>
  </si>
  <si>
    <t>CYP6P9b</t>
  </si>
  <si>
    <t>2) Input PCR Efficiencies from Standard Curves</t>
  </si>
  <si>
    <t>RSP7</t>
  </si>
  <si>
    <t>Neg. control_1</t>
  </si>
  <si>
    <t>6P5</t>
  </si>
  <si>
    <t>4) Average the technical replicates</t>
  </si>
  <si>
    <t>5) Calculate the Delta Ct value (Ct Target - Ct Control)</t>
  </si>
  <si>
    <t>Average(RSP7)</t>
  </si>
  <si>
    <t xml:space="preserve">samples </t>
  </si>
  <si>
    <t>2-dCt SD</t>
  </si>
  <si>
    <t>2-dCt LCI</t>
  </si>
  <si>
    <t>2-dCt UCI</t>
  </si>
  <si>
    <t>2-ddCt (Fold-change)</t>
  </si>
  <si>
    <t>2-ddCt LCI</t>
  </si>
  <si>
    <t>2-ddCt Ucl</t>
  </si>
  <si>
    <t>BIOLOGICAL REPLICATES</t>
  </si>
  <si>
    <t>Actin</t>
  </si>
  <si>
    <t>dCt SP7</t>
  </si>
  <si>
    <t>Permethrin_1</t>
  </si>
  <si>
    <t>Neg. control_2</t>
  </si>
  <si>
    <t>Neg. control_3</t>
  </si>
  <si>
    <t>3) Calculate Ct values according to PCR efficiency correction; CtE = Ct*((log(E+1)/(log(2))</t>
  </si>
  <si>
    <t>Fang_1</t>
  </si>
  <si>
    <t>Permethrin_2</t>
  </si>
  <si>
    <t>Permethrin_3</t>
  </si>
  <si>
    <t>No Ct</t>
  </si>
  <si>
    <t>Fang_2</t>
  </si>
  <si>
    <t>Fang_3</t>
  </si>
  <si>
    <t>dCt ACTIN</t>
  </si>
  <si>
    <t>Fold changes</t>
  </si>
  <si>
    <t>RSP7/Actin</t>
  </si>
  <si>
    <t>CYP6)P9a</t>
  </si>
  <si>
    <t>Negative</t>
  </si>
  <si>
    <t>sdev</t>
  </si>
  <si>
    <t>stats  (a))</t>
  </si>
  <si>
    <t>t</t>
  </si>
  <si>
    <t>p</t>
  </si>
  <si>
    <t>5x vs neg</t>
  </si>
  <si>
    <t>25.66 to 42.34</t>
  </si>
  <si>
    <t>p=0.001</t>
  </si>
  <si>
    <t>1x vs neg</t>
  </si>
  <si>
    <t>8.33 to 17.67</t>
  </si>
  <si>
    <t>p=0.003</t>
  </si>
  <si>
    <t>perm vs neg</t>
  </si>
  <si>
    <t>15.26 to 30.74</t>
  </si>
  <si>
    <t>p=0.0025</t>
  </si>
  <si>
    <t>5x vs 1x</t>
  </si>
  <si>
    <t>min6.128</t>
  </si>
  <si>
    <t>min35.75 to min6.25</t>
  </si>
  <si>
    <t>p=0.0256</t>
  </si>
  <si>
    <t>5x vs perm</t>
  </si>
  <si>
    <t>minus2.555</t>
  </si>
  <si>
    <t>min29.52 to 7.52</t>
  </si>
  <si>
    <t>p=0.125</t>
  </si>
  <si>
    <t>mean</t>
  </si>
  <si>
    <t>perm vs 1x</t>
  </si>
  <si>
    <t>minus3.63 to 23.62</t>
  </si>
  <si>
    <t>p=0.0873</t>
  </si>
  <si>
    <t>stats  (b))</t>
  </si>
  <si>
    <t>18.87 to 131.14</t>
  </si>
  <si>
    <t>p=0.0238</t>
  </si>
  <si>
    <t>23.43 to 30.57</t>
  </si>
  <si>
    <t>37.99 to 52.01</t>
  </si>
  <si>
    <t>p=0.0003</t>
  </si>
  <si>
    <t>min53.62 to 149.62</t>
  </si>
  <si>
    <t>p=0.1792</t>
  </si>
  <si>
    <t>min1.263</t>
  </si>
  <si>
    <t>min132.21 to 72.21</t>
  </si>
  <si>
    <t>p=0.3339</t>
  </si>
  <si>
    <t>7.03 to 28.97</t>
  </si>
  <si>
    <t>p=0.0195</t>
  </si>
  <si>
    <t>QRT-PCR with live hybrid samples generated from bottle bioassays</t>
  </si>
  <si>
    <t>An. funestus</t>
  </si>
  <si>
    <t>16.02.22</t>
  </si>
  <si>
    <t>Mibellon F1</t>
  </si>
  <si>
    <t>Neg. control</t>
  </si>
  <si>
    <t>ɏ -6</t>
  </si>
  <si>
    <t>04.02.22</t>
  </si>
  <si>
    <t>ɏ -5</t>
  </si>
  <si>
    <t>CYP9K1</t>
  </si>
  <si>
    <t>CYP325A</t>
  </si>
  <si>
    <t>GSTe2</t>
  </si>
  <si>
    <t>Carboxylesterase E2</t>
  </si>
  <si>
    <t>9K1</t>
  </si>
  <si>
    <t>325A</t>
  </si>
  <si>
    <t>Carb.E2</t>
  </si>
  <si>
    <t>CY325A</t>
  </si>
  <si>
    <t>CarboxyesteraseE2</t>
  </si>
  <si>
    <t>Dunnett's multiple comparisons test</t>
  </si>
  <si>
    <t>Mean Diff.</t>
  </si>
  <si>
    <t>95.00% CI of diff.</t>
  </si>
  <si>
    <t>Significant?</t>
  </si>
  <si>
    <t>Adjusted P Value</t>
  </si>
  <si>
    <t>Permethrin</t>
  </si>
  <si>
    <t>Negative control vs. Permethrin</t>
  </si>
  <si>
    <t>-30.78 to -3.740</t>
  </si>
  <si>
    <t>Yes</t>
  </si>
  <si>
    <t>**</t>
  </si>
  <si>
    <t>Negative control vs. 1xDD Sherlock</t>
  </si>
  <si>
    <t>-7.423 to 19.62</t>
  </si>
  <si>
    <t>No</t>
  </si>
  <si>
    <t>ns</t>
  </si>
  <si>
    <t>Negative control vs. 5xDD Sherlock</t>
  </si>
  <si>
    <t>-7.432 to 19.61</t>
  </si>
  <si>
    <t>-31.94 to -4.902</t>
  </si>
  <si>
    <t>-13.71 to 13.33</t>
  </si>
  <si>
    <t>-13.60 to 13.44</t>
  </si>
  <si>
    <t>-18.41 to 15.02</t>
  </si>
  <si>
    <t>-14.18 to 19.25</t>
  </si>
  <si>
    <t>-13.48 to 19.95</t>
  </si>
  <si>
    <t>-23.40 to 1.097</t>
  </si>
  <si>
    <t>-16.17 to 8.327</t>
  </si>
  <si>
    <t>-14.80 to 12.59</t>
  </si>
  <si>
    <t>-12.91 to 14.13</t>
  </si>
  <si>
    <t>-10.87 to 16.17</t>
  </si>
  <si>
    <t>-11.38 to 15.66</t>
  </si>
  <si>
    <t>Carboxylesterase 2514</t>
  </si>
  <si>
    <t>-13.37 to 11.06</t>
  </si>
  <si>
    <t>-12.85 to 11.58</t>
  </si>
  <si>
    <t>-14.10 to 10.34</t>
  </si>
  <si>
    <t>Species:</t>
  </si>
  <si>
    <t>Strain:</t>
  </si>
  <si>
    <t>field (ss)</t>
  </si>
  <si>
    <t>Location:</t>
  </si>
  <si>
    <t>Nkolondom, Cameroon</t>
  </si>
  <si>
    <t>Treatment</t>
  </si>
  <si>
    <t>Replicate number</t>
  </si>
  <si>
    <t>Number of mosquitoes knocked down at 1h</t>
  </si>
  <si>
    <t>Number dead at hours after introduction</t>
  </si>
  <si>
    <t>24 h</t>
  </si>
  <si>
    <t>total number of mosquitoes in bottle</t>
  </si>
  <si>
    <t>24h % Mortality</t>
  </si>
  <si>
    <t>%mortality</t>
  </si>
  <si>
    <t>Replicate</t>
  </si>
  <si>
    <t>IVC-5743, 1xDD</t>
  </si>
  <si>
    <t>IVC-5743, 5xDD</t>
  </si>
  <si>
    <t>An fun</t>
  </si>
  <si>
    <t>Fumoz</t>
  </si>
  <si>
    <t>%Mortality 24h (60 mins expo.)</t>
  </si>
  <si>
    <t>% Mortality 24 h (30 mins expo.)</t>
  </si>
  <si>
    <t xml:space="preserve">1x DC Sherlock </t>
  </si>
  <si>
    <t>5x DC Sherlock</t>
  </si>
  <si>
    <t>IVC-5743 5x DC</t>
  </si>
  <si>
    <t xml:space="preserve">IVC-5743 1x DC </t>
  </si>
  <si>
    <t>SEM</t>
  </si>
  <si>
    <t>Avg. 24h %Mortality</t>
  </si>
  <si>
    <t>Avg. 24h % Mortality</t>
  </si>
  <si>
    <t>Fz/Fg F4</t>
  </si>
  <si>
    <t>Date of Bioassay</t>
  </si>
  <si>
    <t>Bioassay #</t>
  </si>
  <si>
    <t>Insecticide</t>
  </si>
  <si>
    <t># of Replicates</t>
  </si>
  <si>
    <t>Time expo.</t>
  </si>
  <si>
    <t>Alive after 24 H</t>
  </si>
  <si>
    <t>Dead after 24H</t>
  </si>
  <si>
    <t>%Mortality 24H</t>
  </si>
  <si>
    <t>Fz/Fg F7</t>
  </si>
  <si>
    <t>SUMMARY</t>
  </si>
  <si>
    <t>% Mortality</t>
  </si>
  <si>
    <t>Dead after 24 H</t>
  </si>
  <si>
    <t>Corrected (Abbott's)</t>
  </si>
  <si>
    <t>30 mins</t>
  </si>
  <si>
    <t>Sherlock 1xDC</t>
  </si>
  <si>
    <t>Sherlock 5xDC</t>
  </si>
  <si>
    <t>60 mins</t>
  </si>
  <si>
    <t>An gambiae</t>
  </si>
  <si>
    <t>06.02.22</t>
  </si>
  <si>
    <r>
      <t>An. funestus</t>
    </r>
    <r>
      <rPr>
        <b/>
        <sz val="11"/>
        <color theme="1"/>
        <rFont val="Calibri"/>
        <family val="2"/>
        <scheme val="minor"/>
      </rPr>
      <t xml:space="preserve"> (Mibellon F1)</t>
    </r>
  </si>
  <si>
    <r>
      <t xml:space="preserve">An. funestus </t>
    </r>
    <r>
      <rPr>
        <b/>
        <sz val="11"/>
        <color theme="1"/>
        <rFont val="Calibri"/>
        <family val="2"/>
        <scheme val="minor"/>
      </rPr>
      <t>(Mibellon F1)</t>
    </r>
  </si>
  <si>
    <t>IVCC CDC Bottle assay with FUMOZ/FANG hybrids (30 minutes exposure)</t>
  </si>
  <si>
    <t>IVCC CDC Bottle assay with FUMOZ/FANG hybrids (60 minutes exposure)</t>
  </si>
  <si>
    <r>
      <t>IVCC CDC Bottle Bioassay results Spreadsheet (</t>
    </r>
    <r>
      <rPr>
        <b/>
        <i/>
        <u/>
        <sz val="15"/>
        <rFont val="Arial"/>
        <family val="2"/>
      </rPr>
      <t>An. gambiae -</t>
    </r>
    <r>
      <rPr>
        <b/>
        <u/>
        <sz val="15"/>
        <rFont val="Arial"/>
        <family val="2"/>
      </rPr>
      <t xml:space="preserve"> Nkolondom)</t>
    </r>
  </si>
  <si>
    <r>
      <t>IVCC CDC Bottle Bioassay results Spreadsheet (</t>
    </r>
    <r>
      <rPr>
        <b/>
        <i/>
        <u/>
        <sz val="15"/>
        <rFont val="Arial"/>
        <family val="2"/>
      </rPr>
      <t>An. funestus</t>
    </r>
    <r>
      <rPr>
        <b/>
        <u/>
        <sz val="15"/>
        <rFont val="Arial"/>
        <family val="2"/>
      </rPr>
      <t xml:space="preserve"> - FUMOZ lab strain)</t>
    </r>
  </si>
  <si>
    <r>
      <t>IVCC CDC bottle bioassays - raw data (</t>
    </r>
    <r>
      <rPr>
        <b/>
        <i/>
        <u/>
        <sz val="18"/>
        <color theme="1"/>
        <rFont val="Calibri"/>
        <family val="2"/>
        <scheme val="minor"/>
      </rPr>
      <t xml:space="preserve">An. funestus </t>
    </r>
    <r>
      <rPr>
        <b/>
        <u/>
        <sz val="18"/>
        <color theme="1"/>
        <rFont val="Calibri"/>
        <family val="2"/>
        <scheme val="minor"/>
      </rPr>
      <t>- Mibellon field strain)</t>
    </r>
  </si>
  <si>
    <t>60 minutes of exposure to insecticide impregnated bottles</t>
  </si>
  <si>
    <r>
      <t>IVCC CDC Bottle Bioassay results Spreadsheet (</t>
    </r>
    <r>
      <rPr>
        <b/>
        <i/>
        <u/>
        <sz val="15"/>
        <rFont val="Arial"/>
        <family val="2"/>
      </rPr>
      <t>An. funestus -</t>
    </r>
    <r>
      <rPr>
        <b/>
        <u/>
        <sz val="15"/>
        <rFont val="Arial"/>
        <family val="2"/>
      </rPr>
      <t xml:space="preserve"> Mibellon)</t>
    </r>
  </si>
  <si>
    <t>Associated statistics of significance computed in GraphPad Prism v8.0.2</t>
  </si>
  <si>
    <r>
      <t xml:space="preserve">Permethrin bottles - Genotype and allele frequencies of the 6.5 kb insertion, </t>
    </r>
    <r>
      <rPr>
        <b/>
        <i/>
        <u/>
        <sz val="18"/>
        <color theme="1"/>
        <rFont val="Calibri"/>
        <family val="2"/>
        <scheme val="minor"/>
      </rPr>
      <t xml:space="preserve">CYP6P9a </t>
    </r>
    <r>
      <rPr>
        <b/>
        <u/>
        <sz val="18"/>
        <color theme="1"/>
        <rFont val="Calibri"/>
        <family val="2"/>
        <scheme val="minor"/>
      </rPr>
      <t>and</t>
    </r>
    <r>
      <rPr>
        <b/>
        <i/>
        <u/>
        <sz val="18"/>
        <color theme="1"/>
        <rFont val="Calibri"/>
        <family val="2"/>
        <scheme val="minor"/>
      </rPr>
      <t xml:space="preserve"> CYP6P9b </t>
    </r>
    <r>
      <rPr>
        <b/>
        <u/>
        <sz val="18"/>
        <color theme="1"/>
        <rFont val="Calibri"/>
        <family val="2"/>
        <scheme val="minor"/>
      </rPr>
      <t>in FUMOZ/FANG hybrid mosquitoes exposed to Permethrin bottles</t>
    </r>
  </si>
  <si>
    <t>Raw data</t>
  </si>
  <si>
    <t>Summary (6.5 kb SV)</t>
  </si>
  <si>
    <t>Frequency of the 6.5 kb SV in the dead and alive hybryids</t>
  </si>
  <si>
    <t>% Genotype frequency (6.5 kb SV)</t>
  </si>
  <si>
    <t>%Allele frequency (6.5 kb SV)</t>
  </si>
  <si>
    <t>ODDS RATIOS</t>
  </si>
  <si>
    <r>
      <t>p</t>
    </r>
    <r>
      <rPr>
        <b/>
        <sz val="11"/>
        <color theme="1"/>
        <rFont val="Calibri"/>
        <family val="2"/>
        <scheme val="minor"/>
      </rPr>
      <t>-value</t>
    </r>
    <r>
      <rPr>
        <b/>
        <i/>
        <sz val="11"/>
        <color theme="1"/>
        <rFont val="Calibri"/>
        <family val="2"/>
        <scheme val="minor"/>
      </rPr>
      <t xml:space="preserve"> (Fisher's exact test)</t>
    </r>
  </si>
  <si>
    <r>
      <t>p</t>
    </r>
    <r>
      <rPr>
        <b/>
        <sz val="11"/>
        <color theme="1"/>
        <rFont val="Calibri"/>
        <family val="2"/>
        <scheme val="minor"/>
      </rPr>
      <t>-value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(Fisher's exact test)</t>
    </r>
  </si>
  <si>
    <t>Computed statistics (6.5 kb SV)</t>
  </si>
  <si>
    <r>
      <t>Summary (</t>
    </r>
    <r>
      <rPr>
        <b/>
        <i/>
        <sz val="11"/>
        <color theme="1"/>
        <rFont val="Calibri"/>
        <family val="2"/>
        <scheme val="minor"/>
      </rPr>
      <t>CYP6P9a_R rflp</t>
    </r>
    <r>
      <rPr>
        <b/>
        <sz val="11"/>
        <color theme="1"/>
        <rFont val="Calibri"/>
        <family val="2"/>
        <scheme val="minor"/>
      </rPr>
      <t>)</t>
    </r>
  </si>
  <si>
    <t>Frequency of th CYP6P9a in the dead and alive hybrids</t>
  </si>
  <si>
    <t>%Genotype frequency (CYP6P9a_R )</t>
  </si>
  <si>
    <t>%Allele frequency (CYP6P9a_R)</t>
  </si>
  <si>
    <t>Computed statistics (CYP6P9a_R)</t>
  </si>
  <si>
    <r>
      <t>Summary (</t>
    </r>
    <r>
      <rPr>
        <b/>
        <i/>
        <sz val="11"/>
        <color theme="1"/>
        <rFont val="Calibri"/>
        <family val="2"/>
        <scheme val="minor"/>
      </rPr>
      <t>CYP6P9b_R rflp</t>
    </r>
    <r>
      <rPr>
        <b/>
        <sz val="11"/>
        <color theme="1"/>
        <rFont val="Calibri"/>
        <family val="2"/>
        <scheme val="minor"/>
      </rPr>
      <t>)</t>
    </r>
  </si>
  <si>
    <t>Frequency of the CYP6P9b in the dead and alive hybrids</t>
  </si>
  <si>
    <t>%Genotype frequency (CYP6P9b_R)</t>
  </si>
  <si>
    <r>
      <t xml:space="preserve">Summary (6.5kb + </t>
    </r>
    <r>
      <rPr>
        <i/>
        <sz val="11"/>
        <color theme="1"/>
        <rFont val="Calibri"/>
        <family val="2"/>
        <scheme val="minor"/>
      </rPr>
      <t xml:space="preserve">CYP6P9a </t>
    </r>
    <r>
      <rPr>
        <sz val="11"/>
        <color theme="1"/>
        <rFont val="Calibri"/>
        <family val="2"/>
        <scheme val="minor"/>
      </rPr>
      <t xml:space="preserve">+ </t>
    </r>
    <r>
      <rPr>
        <i/>
        <sz val="11"/>
        <color theme="1"/>
        <rFont val="Calibri"/>
        <family val="2"/>
        <scheme val="minor"/>
      </rPr>
      <t>CYP6P9b)</t>
    </r>
  </si>
  <si>
    <t>Frequency of the genotype combinations</t>
  </si>
  <si>
    <t>% Genotype ferquency (6.5kb SV + CYP6P9a + CYP6P9b)</t>
  </si>
  <si>
    <t>%Allele frequency (CYP6P9b_R)</t>
  </si>
  <si>
    <t>Computed statistics (CYP6P9b_R)</t>
  </si>
  <si>
    <t>ODDS RATIO</t>
  </si>
  <si>
    <t>Computed statistics (6.5kb SV + CYP6P9a + CYP6P9b)</t>
  </si>
  <si>
    <t>p value (Fisher's exact test)</t>
  </si>
  <si>
    <t>P value and statistical significance</t>
  </si>
  <si>
    <t>Test</t>
  </si>
  <si>
    <t>Chi-square</t>
  </si>
  <si>
    <t>Chi-square, df</t>
  </si>
  <si>
    <t>129.0, 2</t>
  </si>
  <si>
    <t>P value</t>
  </si>
  <si>
    <t>P value summary</t>
  </si>
  <si>
    <t>****</t>
  </si>
  <si>
    <t>138.7, 2</t>
  </si>
  <si>
    <t>106.5, 2</t>
  </si>
  <si>
    <r>
      <t xml:space="preserve">1xDC-IVC5347 bottles - Genotype and allele frequencies of the 6.5 kb insertion, </t>
    </r>
    <r>
      <rPr>
        <b/>
        <i/>
        <u/>
        <sz val="18"/>
        <color theme="1"/>
        <rFont val="Calibri"/>
        <family val="2"/>
        <scheme val="minor"/>
      </rPr>
      <t xml:space="preserve">CYP6P9a </t>
    </r>
    <r>
      <rPr>
        <b/>
        <u/>
        <sz val="18"/>
        <color theme="1"/>
        <rFont val="Calibri"/>
        <family val="2"/>
        <scheme val="minor"/>
      </rPr>
      <t>and</t>
    </r>
    <r>
      <rPr>
        <b/>
        <i/>
        <u/>
        <sz val="18"/>
        <color theme="1"/>
        <rFont val="Calibri"/>
        <family val="2"/>
        <scheme val="minor"/>
      </rPr>
      <t xml:space="preserve"> CYP6P9b </t>
    </r>
    <r>
      <rPr>
        <b/>
        <u/>
        <sz val="18"/>
        <color theme="1"/>
        <rFont val="Calibri"/>
        <family val="2"/>
        <scheme val="minor"/>
      </rPr>
      <t>in FUMOZ/FANG hybrid mosquitoes exposed to 1xDC Sherlock bottles</t>
    </r>
  </si>
  <si>
    <t>DE_1</t>
  </si>
  <si>
    <t>DE_2</t>
  </si>
  <si>
    <t>DE_3</t>
  </si>
  <si>
    <t>DE_4</t>
  </si>
  <si>
    <t>DE_5</t>
  </si>
  <si>
    <t>DE_6</t>
  </si>
  <si>
    <t>DE_7</t>
  </si>
  <si>
    <t>DE_8</t>
  </si>
  <si>
    <t>DE_9</t>
  </si>
  <si>
    <t>DE_10</t>
  </si>
  <si>
    <t>DE_11</t>
  </si>
  <si>
    <t>DE_12</t>
  </si>
  <si>
    <t>DE_13</t>
  </si>
  <si>
    <t>DE_14</t>
  </si>
  <si>
    <t>DE_15</t>
  </si>
  <si>
    <t>DE_16</t>
  </si>
  <si>
    <t>DE_17</t>
  </si>
  <si>
    <t>DE_18</t>
  </si>
  <si>
    <t>DE_19</t>
  </si>
  <si>
    <t>DE_20</t>
  </si>
  <si>
    <t>DE_21</t>
  </si>
  <si>
    <t>DE_22</t>
  </si>
  <si>
    <t>DE_23</t>
  </si>
  <si>
    <t>DE_24</t>
  </si>
  <si>
    <t>DE_25</t>
  </si>
  <si>
    <t>DE_26</t>
  </si>
  <si>
    <t>DE_27</t>
  </si>
  <si>
    <t>DE_28</t>
  </si>
  <si>
    <t>DE_29</t>
  </si>
  <si>
    <t>DE_30</t>
  </si>
  <si>
    <t>DE_31</t>
  </si>
  <si>
    <t>DE_32</t>
  </si>
  <si>
    <t>DE_33</t>
  </si>
  <si>
    <t>DE_34</t>
  </si>
  <si>
    <t>DE_35</t>
  </si>
  <si>
    <t>DE_36</t>
  </si>
  <si>
    <t>DE_37</t>
  </si>
  <si>
    <t>DE_38</t>
  </si>
  <si>
    <t>DE_39</t>
  </si>
  <si>
    <t>DE_40</t>
  </si>
  <si>
    <t>DE_41</t>
  </si>
  <si>
    <t>DE_42</t>
  </si>
  <si>
    <t>DE_43</t>
  </si>
  <si>
    <t>DE_44</t>
  </si>
  <si>
    <t>DE_45</t>
  </si>
  <si>
    <t>DE_46</t>
  </si>
  <si>
    <t>DE_47</t>
  </si>
  <si>
    <t>DE_48</t>
  </si>
  <si>
    <t>DE_49</t>
  </si>
  <si>
    <t>DE_50</t>
  </si>
  <si>
    <t>DE_51</t>
  </si>
  <si>
    <t>DE_52</t>
  </si>
  <si>
    <t>DE_53</t>
  </si>
  <si>
    <t>AL_1</t>
  </si>
  <si>
    <t>AL_2</t>
  </si>
  <si>
    <t>AL_3</t>
  </si>
  <si>
    <t>AL_4</t>
  </si>
  <si>
    <t>AL_5</t>
  </si>
  <si>
    <t>AL_6</t>
  </si>
  <si>
    <t>AL_7</t>
  </si>
  <si>
    <t>AL_8</t>
  </si>
  <si>
    <t>AL_9</t>
  </si>
  <si>
    <t>AL_10</t>
  </si>
  <si>
    <t>AL_11</t>
  </si>
  <si>
    <t>AL_12</t>
  </si>
  <si>
    <t>AL_13</t>
  </si>
  <si>
    <t>AL_14</t>
  </si>
  <si>
    <t>AL_15</t>
  </si>
  <si>
    <t>AL_16</t>
  </si>
  <si>
    <t>AL_17</t>
  </si>
  <si>
    <t>AL_18</t>
  </si>
  <si>
    <t>AL_19</t>
  </si>
  <si>
    <t>AL_20</t>
  </si>
  <si>
    <t>AL_21</t>
  </si>
  <si>
    <t>AL_22</t>
  </si>
  <si>
    <t>AL_23</t>
  </si>
  <si>
    <t>AL_24</t>
  </si>
  <si>
    <t>AL_25</t>
  </si>
  <si>
    <t>AL_26</t>
  </si>
  <si>
    <t>AL_27</t>
  </si>
  <si>
    <t>AL_28</t>
  </si>
  <si>
    <t>AL_29</t>
  </si>
  <si>
    <t>AL_30</t>
  </si>
  <si>
    <t>AL_31</t>
  </si>
  <si>
    <t>AL_32</t>
  </si>
  <si>
    <t>AL_33</t>
  </si>
  <si>
    <t>AL_34</t>
  </si>
  <si>
    <t>AL_35</t>
  </si>
  <si>
    <t>AL_36</t>
  </si>
  <si>
    <t>AL_37</t>
  </si>
  <si>
    <t>AL_38</t>
  </si>
  <si>
    <t>DE_54</t>
  </si>
  <si>
    <t>DE_55</t>
  </si>
  <si>
    <r>
      <t xml:space="preserve">Summary (6.5kb + </t>
    </r>
    <r>
      <rPr>
        <b/>
        <i/>
        <sz val="11"/>
        <color theme="1"/>
        <rFont val="Calibri"/>
        <family val="2"/>
        <scheme val="minor"/>
      </rPr>
      <t xml:space="preserve">CYP6P9a </t>
    </r>
    <r>
      <rPr>
        <b/>
        <sz val="11"/>
        <color theme="1"/>
        <rFont val="Calibri"/>
        <family val="2"/>
        <scheme val="minor"/>
      </rPr>
      <t xml:space="preserve">+ </t>
    </r>
    <r>
      <rPr>
        <b/>
        <i/>
        <sz val="11"/>
        <color theme="1"/>
        <rFont val="Calibri"/>
        <family val="2"/>
        <scheme val="minor"/>
      </rPr>
      <t>CYP6P9b)</t>
    </r>
  </si>
  <si>
    <r>
      <t xml:space="preserve">5xDC-IVC5347 bottles - Genotype and allele frequencies of the 6.5 kb insertion, </t>
    </r>
    <r>
      <rPr>
        <b/>
        <i/>
        <u/>
        <sz val="18"/>
        <color theme="1"/>
        <rFont val="Calibri"/>
        <family val="2"/>
        <scheme val="minor"/>
      </rPr>
      <t xml:space="preserve">CYP6P9a </t>
    </r>
    <r>
      <rPr>
        <b/>
        <u/>
        <sz val="18"/>
        <color theme="1"/>
        <rFont val="Calibri"/>
        <family val="2"/>
        <scheme val="minor"/>
      </rPr>
      <t>and</t>
    </r>
    <r>
      <rPr>
        <b/>
        <i/>
        <u/>
        <sz val="18"/>
        <color theme="1"/>
        <rFont val="Calibri"/>
        <family val="2"/>
        <scheme val="minor"/>
      </rPr>
      <t xml:space="preserve"> CYP6P9b </t>
    </r>
    <r>
      <rPr>
        <b/>
        <u/>
        <sz val="18"/>
        <color theme="1"/>
        <rFont val="Calibri"/>
        <family val="2"/>
        <scheme val="minor"/>
      </rPr>
      <t>in FUMOZ/FANG hybrid mosquitoes exposed to 5xDC Sherlock bottles</t>
    </r>
  </si>
  <si>
    <t>6a) Computing the 2^-(SP7)</t>
  </si>
  <si>
    <t>6b) Computing the 2^-(actin)</t>
  </si>
  <si>
    <t>7c) Average (Combined)</t>
  </si>
  <si>
    <t>Computed statistics</t>
  </si>
  <si>
    <t>t-statistic</t>
  </si>
  <si>
    <t>Mean Fold changes</t>
  </si>
  <si>
    <t>Standard Deviation</t>
  </si>
  <si>
    <r>
      <t xml:space="preserve">QRT-PCR with live </t>
    </r>
    <r>
      <rPr>
        <b/>
        <i/>
        <u/>
        <sz val="18"/>
        <color theme="1"/>
        <rFont val="Calibri"/>
        <family val="2"/>
        <scheme val="minor"/>
      </rPr>
      <t>An. funestus</t>
    </r>
    <r>
      <rPr>
        <b/>
        <u/>
        <sz val="18"/>
        <color theme="1"/>
        <rFont val="Calibri"/>
        <family val="2"/>
        <scheme val="minor"/>
      </rPr>
      <t xml:space="preserve"> Mibellon samples generated from bottle bioassays</t>
    </r>
  </si>
  <si>
    <t>7a) Average of 2^-(SP7)</t>
  </si>
  <si>
    <t>6c) Computing the 2^-(SP7+2^-dCt ACTIN)/2)</t>
  </si>
  <si>
    <t>7a) Average of 2^-(Actin)</t>
  </si>
  <si>
    <t>7a) Average of 2^-(Actin+RSP7)</t>
  </si>
  <si>
    <t>8) compute 2^ddCT(Actin+RSP7)</t>
  </si>
  <si>
    <t>8) compute 2^ddCT(Actin)</t>
  </si>
  <si>
    <t>8) compute 2^ddCT (RSP7)</t>
  </si>
  <si>
    <t>1xDCSherlock_1</t>
  </si>
  <si>
    <t>1xDCSherlock_2</t>
  </si>
  <si>
    <t>1xDCSherlock_3</t>
  </si>
  <si>
    <t>5xDCSherlock_1</t>
  </si>
  <si>
    <t>5xDCSherlock_2</t>
  </si>
  <si>
    <t>5xDCSherlock_3</t>
  </si>
  <si>
    <t>1xDCSherlock</t>
  </si>
  <si>
    <t>5xDCSherlock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</si>
</sst>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5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double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1" fillId="3" borderId="0" xfId="0" applyFont="1" applyFill="1"/>
    <xf numFmtId="164" fontId="0" fillId="0" borderId="0" xfId="0" applyNumberFormat="1"/>
    <xf numFmtId="0" fontId="1" fillId="4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0" fontId="1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1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164" fontId="0" fillId="6" borderId="0" xfId="0" applyNumberFormat="1" applyFill="1"/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11" borderId="0" xfId="0" applyFont="1" applyFill="1"/>
    <xf numFmtId="0" fontId="0" fillId="11" borderId="0" xfId="0" applyFill="1"/>
    <xf numFmtId="0" fontId="1" fillId="10" borderId="0" xfId="0" applyFont="1" applyFill="1" applyAlignment="1">
      <alignment horizontal="center"/>
    </xf>
    <xf numFmtId="0" fontId="0" fillId="12" borderId="0" xfId="0" applyFill="1"/>
    <xf numFmtId="0" fontId="1" fillId="13" borderId="0" xfId="0" applyFont="1" applyFill="1"/>
    <xf numFmtId="0" fontId="0" fillId="13" borderId="0" xfId="0" applyFill="1"/>
    <xf numFmtId="0" fontId="1" fillId="14" borderId="0" xfId="0" applyFont="1" applyFill="1"/>
    <xf numFmtId="0" fontId="0" fillId="14" borderId="0" xfId="0" applyFill="1"/>
    <xf numFmtId="0" fontId="1" fillId="15" borderId="0" xfId="0" applyFont="1" applyFill="1"/>
    <xf numFmtId="0" fontId="0" fillId="15" borderId="0" xfId="0" applyFill="1"/>
    <xf numFmtId="0" fontId="1" fillId="16" borderId="0" xfId="0" applyFont="1" applyFill="1"/>
    <xf numFmtId="0" fontId="0" fillId="16" borderId="0" xfId="0" applyFill="1"/>
    <xf numFmtId="0" fontId="7" fillId="13" borderId="0" xfId="0" applyFont="1" applyFill="1"/>
    <xf numFmtId="0" fontId="0" fillId="10" borderId="0" xfId="0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0" fontId="8" fillId="17" borderId="2" xfId="0" applyFont="1" applyFill="1" applyBorder="1" applyProtection="1">
      <protection locked="0"/>
    </xf>
    <xf numFmtId="0" fontId="6" fillId="17" borderId="3" xfId="0" applyFont="1" applyFill="1" applyBorder="1" applyProtection="1">
      <protection locked="0"/>
    </xf>
    <xf numFmtId="0" fontId="0" fillId="17" borderId="0" xfId="0" applyFill="1"/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15" fontId="0" fillId="17" borderId="12" xfId="0" applyNumberFormat="1" applyFill="1" applyBorder="1" applyProtection="1">
      <protection locked="0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17" borderId="14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17" borderId="15" xfId="0" applyFill="1" applyBorder="1" applyAlignment="1" applyProtection="1">
      <alignment horizontal="center"/>
      <protection locked="0"/>
    </xf>
    <xf numFmtId="15" fontId="0" fillId="17" borderId="2" xfId="0" applyNumberFormat="1" applyFill="1" applyBorder="1" applyProtection="1">
      <protection locked="0"/>
    </xf>
    <xf numFmtId="0" fontId="0" fillId="0" borderId="16" xfId="0" applyBorder="1" applyAlignment="1">
      <alignment horizontal="center" vertical="center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15" fontId="0" fillId="17" borderId="19" xfId="0" applyNumberFormat="1" applyFill="1" applyBorder="1" applyProtection="1"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17" borderId="22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11" borderId="23" xfId="0" applyFill="1" applyBorder="1"/>
    <xf numFmtId="0" fontId="0" fillId="11" borderId="22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24" xfId="0" applyFill="1" applyBorder="1"/>
    <xf numFmtId="0" fontId="0" fillId="11" borderId="25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25" xfId="0" applyFill="1" applyBorder="1"/>
    <xf numFmtId="0" fontId="0" fillId="17" borderId="27" xfId="0" applyFill="1" applyBorder="1" applyAlignment="1" applyProtection="1">
      <alignment horizontal="center"/>
      <protection locked="0"/>
    </xf>
    <xf numFmtId="0" fontId="0" fillId="17" borderId="21" xfId="0" applyFill="1" applyBorder="1" applyAlignment="1" applyProtection="1">
      <alignment horizontal="center"/>
      <protection locked="0"/>
    </xf>
    <xf numFmtId="0" fontId="0" fillId="17" borderId="2" xfId="0" applyFill="1" applyBorder="1" applyProtection="1">
      <protection locked="0"/>
    </xf>
    <xf numFmtId="0" fontId="0" fillId="0" borderId="0" xfId="0" applyAlignment="1">
      <alignment wrapText="1"/>
    </xf>
    <xf numFmtId="0" fontId="9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5" fillId="0" borderId="0" xfId="0" applyFont="1"/>
    <xf numFmtId="0" fontId="12" fillId="0" borderId="0" xfId="0" applyFont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ill="1"/>
    <xf numFmtId="0" fontId="4" fillId="0" borderId="0" xfId="0" applyFont="1" applyFill="1" applyAlignment="1"/>
    <xf numFmtId="0" fontId="13" fillId="0" borderId="0" xfId="0" applyFont="1" applyFill="1" applyAlignment="1"/>
    <xf numFmtId="0" fontId="18" fillId="0" borderId="0" xfId="0" applyFont="1" applyAlignment="1">
      <alignment horizontal="center"/>
    </xf>
    <xf numFmtId="0" fontId="1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1" fontId="0" fillId="18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1" fontId="0" fillId="19" borderId="0" xfId="0" applyNumberForma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6" fillId="21" borderId="0" xfId="0" applyFont="1" applyFill="1" applyAlignment="1">
      <alignment horizontal="center"/>
    </xf>
    <xf numFmtId="0" fontId="1" fillId="0" borderId="0" xfId="0" applyFont="1" applyFill="1" applyAlignment="1"/>
    <xf numFmtId="0" fontId="1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1" fontId="0" fillId="14" borderId="0" xfId="0" applyNumberFormat="1" applyFill="1" applyAlignment="1">
      <alignment horizontal="center"/>
    </xf>
    <xf numFmtId="0" fontId="0" fillId="21" borderId="0" xfId="0" applyFill="1" applyAlignment="1">
      <alignment horizontal="center"/>
    </xf>
    <xf numFmtId="0" fontId="0" fillId="10" borderId="0" xfId="0" applyFill="1"/>
    <xf numFmtId="0" fontId="0" fillId="11" borderId="0" xfId="0" applyFill="1" applyAlignment="1">
      <alignment horizontal="center"/>
    </xf>
    <xf numFmtId="0" fontId="1" fillId="0" borderId="0" xfId="0" applyFont="1" applyFill="1"/>
    <xf numFmtId="0" fontId="1" fillId="16" borderId="0" xfId="0" applyFon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164" fontId="0" fillId="15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1" fontId="0" fillId="13" borderId="0" xfId="0" applyNumberFormat="1" applyFill="1" applyAlignment="1">
      <alignment horizontal="center"/>
    </xf>
    <xf numFmtId="1" fontId="0" fillId="15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2" fillId="11" borderId="0" xfId="0" applyFont="1" applyFill="1"/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CDC bottle test against Sherlock insecticide (after</a:t>
            </a:r>
            <a:r>
              <a:rPr lang="en-US" b="1" baseline="0"/>
              <a:t> 60 minutes exposition)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[1]Sheet2!$I$28</c:f>
              <c:strCache>
                <c:ptCount val="1"/>
                <c:pt idx="0">
                  <c:v>% Knockdown (1h)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[1]Sheet2!$F$29:$F$32</c:f>
              <c:strCache>
                <c:ptCount val="4"/>
                <c:pt idx="0">
                  <c:v>Negative control</c:v>
                </c:pt>
                <c:pt idx="1">
                  <c:v>Permethrin control</c:v>
                </c:pt>
                <c:pt idx="2">
                  <c:v>1x DD Sherlock </c:v>
                </c:pt>
                <c:pt idx="3">
                  <c:v>5x DD Sherlock</c:v>
                </c:pt>
              </c:strCache>
            </c:strRef>
          </c:cat>
          <c:val>
            <c:numRef>
              <c:f>[1]Sheet2!$I$29:$I$32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8-4E28-B4E3-B43FAC8D6CD4}"/>
            </c:ext>
          </c:extLst>
        </c:ser>
        <c:ser>
          <c:idx val="1"/>
          <c:order val="1"/>
          <c:tx>
            <c:strRef>
              <c:f>[1]Sheet2!$J$28</c:f>
              <c:strCache>
                <c:ptCount val="1"/>
                <c:pt idx="0">
                  <c:v>%Mortality 24h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D8-4E28-B4E3-B43FAC8D6CD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D8-4E28-B4E3-B43FAC8D6CD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ED8-4E28-B4E3-B43FAC8D6CD4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[1]Sheet2!$K$29:$K$32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11.034857625137004</c:v>
                  </c:pt>
                  <c:pt idx="2">
                    <c:v>6.4917693834494141</c:v>
                  </c:pt>
                  <c:pt idx="3">
                    <c:v>3.4020690871988624</c:v>
                  </c:pt>
                </c:numCache>
              </c:numRef>
            </c:plus>
            <c:minus>
              <c:numRef>
                <c:f>[1]Sheet2!$K$29:$K$32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11.034857625137004</c:v>
                  </c:pt>
                  <c:pt idx="2">
                    <c:v>6.4917693834494141</c:v>
                  </c:pt>
                  <c:pt idx="3">
                    <c:v>3.4020690871988624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[1]Sheet2!$F$29:$F$32</c:f>
              <c:strCache>
                <c:ptCount val="4"/>
                <c:pt idx="0">
                  <c:v>Negative control</c:v>
                </c:pt>
                <c:pt idx="1">
                  <c:v>Permethrin control</c:v>
                </c:pt>
                <c:pt idx="2">
                  <c:v>1x DD Sherlock </c:v>
                </c:pt>
                <c:pt idx="3">
                  <c:v>5x DD Sherlock</c:v>
                </c:pt>
              </c:strCache>
            </c:strRef>
          </c:cat>
          <c:val>
            <c:numRef>
              <c:f>[1]Sheet2!$J$29:$J$32</c:f>
              <c:numCache>
                <c:formatCode>General</c:formatCode>
                <c:ptCount val="4"/>
                <c:pt idx="0">
                  <c:v>0</c:v>
                </c:pt>
                <c:pt idx="1">
                  <c:v>93.867243867243872</c:v>
                </c:pt>
                <c:pt idx="2">
                  <c:v>94.577380952380963</c:v>
                </c:pt>
                <c:pt idx="3">
                  <c:v>98.6111111111111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D8-4E28-B4E3-B43FAC8D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258592"/>
        <c:axId val="430254984"/>
      </c:barChart>
      <c:catAx>
        <c:axId val="430258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Insecticide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54984"/>
        <c:crosses val="autoZero"/>
        <c:auto val="1"/>
        <c:lblAlgn val="ctr"/>
        <c:lblOffset val="100"/>
        <c:noMultiLvlLbl val="0"/>
      </c:catAx>
      <c:valAx>
        <c:axId val="4302549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%Mortality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6.5 kb SV allele between the dead and alive Fumoz/Fang hybrids exposed to the 1xDD sherlock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[3]Sheet1!$N$44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[3]Sheet1!$O$43:$P$43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[3]Sheet1!$O$44:$P$44</c:f>
              <c:numCache>
                <c:formatCode>General</c:formatCode>
                <c:ptCount val="2"/>
                <c:pt idx="0">
                  <c:v>54.081632653061227</c:v>
                </c:pt>
                <c:pt idx="1">
                  <c:v>45.91836734693878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1-4870-A8B3-C45EF522CBCC}"/>
            </c:ext>
          </c:extLst>
        </c:ser>
        <c:ser>
          <c:idx val="1"/>
          <c:order val="1"/>
          <c:tx>
            <c:strRef>
              <c:f>[3]Sheet1!$N$45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[3]Sheet1!$O$43:$P$43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[3]Sheet1!$O$45:$P$45</c:f>
              <c:numCache>
                <c:formatCode>General</c:formatCode>
                <c:ptCount val="2"/>
                <c:pt idx="0">
                  <c:v>91.935483870967744</c:v>
                </c:pt>
                <c:pt idx="1">
                  <c:v>8.064516129032258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870-A8B3-C45EF522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95448"/>
        <c:axId val="568992168"/>
      </c:lineChart>
      <c:catAx>
        <c:axId val="568995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2168"/>
        <c:crosses val="autoZero"/>
        <c:auto val="1"/>
        <c:lblAlgn val="ctr"/>
        <c:lblOffset val="100"/>
        <c:noMultiLvlLbl val="0"/>
      </c:catAx>
      <c:valAx>
        <c:axId val="56899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</a:t>
            </a:r>
            <a:r>
              <a:rPr lang="en-US" b="1" i="1"/>
              <a:t> CYP6P9b</a:t>
            </a:r>
            <a:r>
              <a:rPr lang="en-US" b="1" baseline="0"/>
              <a:t> between the dead and alive Fumoz/Fang hybrids exposed to 1xDD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[3]Sheet1!$AE$8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[3]Sheet1!$AF$7:$AH$7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[3]Sheet1!$AF$8:$AH$8</c:f>
              <c:numCache>
                <c:formatCode>General</c:formatCode>
                <c:ptCount val="3"/>
                <c:pt idx="0">
                  <c:v>9</c:v>
                </c:pt>
                <c:pt idx="1">
                  <c:v>32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3-487A-B485-83CE2AB117C0}"/>
            </c:ext>
          </c:extLst>
        </c:ser>
        <c:ser>
          <c:idx val="1"/>
          <c:order val="1"/>
          <c:tx>
            <c:strRef>
              <c:f>[3]Sheet1!$AE$9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[3]Sheet1!$AF$7:$AH$7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[3]Sheet1!$AF$9:$AH$9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3-487A-B485-83CE2AB1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884448"/>
        <c:axId val="559883136"/>
      </c:barChart>
      <c:catAx>
        <c:axId val="55988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 baseline="0"/>
                  <a:t> genotypes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83136"/>
        <c:crosses val="autoZero"/>
        <c:auto val="1"/>
        <c:lblAlgn val="ctr"/>
        <c:lblOffset val="100"/>
        <c:noMultiLvlLbl val="0"/>
      </c:catAx>
      <c:valAx>
        <c:axId val="5598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8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/>
              <a:t> between th dead and alive Fumoz/Fang</a:t>
            </a:r>
            <a:r>
              <a:rPr lang="en-US" b="1" baseline="0"/>
              <a:t> hybrids exposed to 1xDD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[3]Sheet1!$V$8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[3]Sheet1!$W$7:$Y$7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[3]Sheet1!$W$8:$Y$8</c:f>
              <c:numCache>
                <c:formatCode>General</c:formatCode>
                <c:ptCount val="3"/>
                <c:pt idx="0">
                  <c:v>13</c:v>
                </c:pt>
                <c:pt idx="1">
                  <c:v>26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8-46C8-A050-961D66DE5D41}"/>
            </c:ext>
          </c:extLst>
        </c:ser>
        <c:ser>
          <c:idx val="1"/>
          <c:order val="1"/>
          <c:tx>
            <c:strRef>
              <c:f>[3]Sheet1!$V$9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[3]Sheet1!$W$7:$Y$7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[3]Sheet1!$W$9:$Y$9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8-46C8-A050-961D66DE5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891008"/>
        <c:axId val="559889696"/>
      </c:barChart>
      <c:catAx>
        <c:axId val="55989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/>
                  <a:t>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89696"/>
        <c:crosses val="autoZero"/>
        <c:auto val="1"/>
        <c:lblAlgn val="ctr"/>
        <c:lblOffset val="100"/>
        <c:noMultiLvlLbl val="0"/>
      </c:catAx>
      <c:valAx>
        <c:axId val="55988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/>
              <a:t> allele between the dead and alive Fumoz/Fang</a:t>
            </a:r>
            <a:r>
              <a:rPr lang="en-US" b="1" baseline="0"/>
              <a:t> hybrids exposed to the 1xDD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[3]Sheet1!$X$45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[3]Sheet1!$Y$44:$Z$44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[3]Sheet1!$Y$45:$Z$45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B-4CFA-AA97-75ECCDF273B3}"/>
            </c:ext>
          </c:extLst>
        </c:ser>
        <c:ser>
          <c:idx val="1"/>
          <c:order val="1"/>
          <c:tx>
            <c:strRef>
              <c:f>[3]Sheet1!$X$46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[3]Sheet1!$Y$44:$Z$44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[3]Sheet1!$Y$46:$Z$46</c:f>
              <c:numCache>
                <c:formatCode>General</c:formatCode>
                <c:ptCount val="2"/>
                <c:pt idx="0">
                  <c:v>83.870967741935488</c:v>
                </c:pt>
                <c:pt idx="1">
                  <c:v>16.129032258064516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B-4CFA-AA97-75ECCDF2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67512"/>
        <c:axId val="568986608"/>
      </c:lineChart>
      <c:catAx>
        <c:axId val="582167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86608"/>
        <c:crosses val="autoZero"/>
        <c:auto val="1"/>
        <c:lblAlgn val="ctr"/>
        <c:lblOffset val="100"/>
        <c:noMultiLvlLbl val="0"/>
      </c:catAx>
      <c:valAx>
        <c:axId val="56898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67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CYP6P9b</a:t>
            </a:r>
            <a:r>
              <a:rPr lang="en-US" b="1"/>
              <a:t> allele between the dead and alive</a:t>
            </a:r>
            <a:r>
              <a:rPr lang="en-US" b="1" baseline="0"/>
              <a:t> Fumoz/Fang hybrids exposed to 1xDD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[3]Sheet1!$AH$45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[3]Sheet1!$AI$44:$AJ$44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[3]Sheet1!$AI$45:$AJ$45</c:f>
              <c:numCache>
                <c:formatCode>General</c:formatCode>
                <c:ptCount val="2"/>
                <c:pt idx="0">
                  <c:v>48.07692307692308</c:v>
                </c:pt>
                <c:pt idx="1">
                  <c:v>51.923076923076927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7-41CC-AEAE-9A37C9E4EB7A}"/>
            </c:ext>
          </c:extLst>
        </c:ser>
        <c:ser>
          <c:idx val="1"/>
          <c:order val="1"/>
          <c:tx>
            <c:strRef>
              <c:f>[3]Sheet1!$AH$46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[3]Sheet1!$AI$44:$AJ$44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[3]Sheet1!$AI$46:$AJ$46</c:f>
              <c:numCache>
                <c:formatCode>General</c:formatCode>
                <c:ptCount val="2"/>
                <c:pt idx="0">
                  <c:v>83.870967741935488</c:v>
                </c:pt>
                <c:pt idx="1">
                  <c:v>16.129032258064516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7-41CC-AEAE-9A37C9E4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98600"/>
        <c:axId val="518099584"/>
      </c:lineChart>
      <c:catAx>
        <c:axId val="518098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 baseline="0"/>
                  <a:t> allele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99584"/>
        <c:crosses val="autoZero"/>
        <c:auto val="1"/>
        <c:lblAlgn val="ctr"/>
        <c:lblOffset val="100"/>
        <c:noMultiLvlLbl val="0"/>
      </c:catAx>
      <c:valAx>
        <c:axId val="5180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98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Combined effect of the three markers on the survival of Fumoz/Fang to 1xDD sherlock insecticide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[3]Sheet1!$AN$8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[3]Sheet1!$AO$7:$AT$7</c:f>
              <c:strCache>
                <c:ptCount val="6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RS/RS/RR</c:v>
                </c:pt>
                <c:pt idx="4">
                  <c:v>RS/RS/RS</c:v>
                </c:pt>
                <c:pt idx="5">
                  <c:v>SS/SS/SS</c:v>
                </c:pt>
              </c:strCache>
            </c:strRef>
          </c:cat>
          <c:val>
            <c:numRef>
              <c:f>[3]Sheet1!$AO$8:$AT$8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0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0-413A-A739-97F6E1BD75B5}"/>
            </c:ext>
          </c:extLst>
        </c:ser>
        <c:ser>
          <c:idx val="1"/>
          <c:order val="1"/>
          <c:tx>
            <c:strRef>
              <c:f>[3]Sheet1!$AN$9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[3]Sheet1!$AO$7:$AT$7</c:f>
              <c:strCache>
                <c:ptCount val="6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RS/RS/RR</c:v>
                </c:pt>
                <c:pt idx="4">
                  <c:v>RS/RS/RS</c:v>
                </c:pt>
                <c:pt idx="5">
                  <c:v>SS/SS/SS</c:v>
                </c:pt>
              </c:strCache>
            </c:strRef>
          </c:cat>
          <c:val>
            <c:numRef>
              <c:f>[3]Sheet1!$AO$9:$AT$9</c:f>
              <c:numCache>
                <c:formatCode>General</c:formatCode>
                <c:ptCount val="6"/>
                <c:pt idx="0">
                  <c:v>18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0-413A-A739-97F6E1BD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194416"/>
        <c:axId val="506195072"/>
      </c:barChart>
      <c:catAx>
        <c:axId val="506194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6.5kb/6P9a/6P9b</a:t>
                </a:r>
                <a:r>
                  <a:rPr lang="en-US" b="1" baseline="0"/>
                  <a:t> genotype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195072"/>
        <c:crosses val="autoZero"/>
        <c:auto val="1"/>
        <c:lblAlgn val="ctr"/>
        <c:lblOffset val="100"/>
        <c:noMultiLvlLbl val="0"/>
      </c:catAx>
      <c:valAx>
        <c:axId val="50619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19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</a:t>
            </a:r>
            <a:r>
              <a:rPr lang="en-US" b="1" baseline="0"/>
              <a:t> of the 6.5 kb between the  dead and alive Fumoz/Fang hybrids exposed to 5xDD sherlock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[4]Sheet1!$N$8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[4]Sheet1!$O$8:$Q$8</c:f>
              <c:numCache>
                <c:formatCode>General</c:formatCode>
                <c:ptCount val="3"/>
                <c:pt idx="0">
                  <c:v>7</c:v>
                </c:pt>
                <c:pt idx="1">
                  <c:v>30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C-4585-889E-E53E11AF1B6B}"/>
            </c:ext>
          </c:extLst>
        </c:ser>
        <c:ser>
          <c:idx val="1"/>
          <c:order val="1"/>
          <c:tx>
            <c:strRef>
              <c:f>[4]Sheet1!$N$9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[4]Sheet1!$O$9:$Q$9</c:f>
              <c:numCache>
                <c:formatCode>General</c:formatCode>
                <c:ptCount val="3"/>
                <c:pt idx="0">
                  <c:v>16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C-4585-889E-E53E11AF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978720"/>
        <c:axId val="568982656"/>
      </c:barChart>
      <c:catAx>
        <c:axId val="56897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82656"/>
        <c:crosses val="autoZero"/>
        <c:auto val="1"/>
        <c:lblAlgn val="ctr"/>
        <c:lblOffset val="100"/>
        <c:noMultiLvlLbl val="0"/>
      </c:catAx>
      <c:valAx>
        <c:axId val="5689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  <a:r>
                  <a:rPr lang="en-US" b="1" baseline="0"/>
                  <a:t> Frequencies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7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6.5 kb SV allele between the dead and alive Fumoz/Fang</a:t>
            </a:r>
            <a:r>
              <a:rPr lang="en-US" b="1" baseline="0"/>
              <a:t> </a:t>
            </a:r>
            <a:r>
              <a:rPr lang="en-US" b="1"/>
              <a:t>hybrids exposed to the 5xDD sherlock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[4]Sheet1!$N$40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[4]Sheet1!$O$39:$P$39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[4]Sheet1!$O$40:$P$40</c:f>
              <c:numCache>
                <c:formatCode>General</c:formatCode>
                <c:ptCount val="2"/>
                <c:pt idx="0">
                  <c:v>44.897959183673471</c:v>
                </c:pt>
                <c:pt idx="1">
                  <c:v>55.102040816326522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F-494D-BF08-709ABA7937B0}"/>
            </c:ext>
          </c:extLst>
        </c:ser>
        <c:ser>
          <c:idx val="1"/>
          <c:order val="1"/>
          <c:tx>
            <c:strRef>
              <c:f>[4]Sheet1!$N$41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[4]Sheet1!$O$39:$P$39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[4]Sheet1!$O$41:$P$41</c:f>
              <c:numCache>
                <c:formatCode>General</c:formatCode>
                <c:ptCount val="2"/>
                <c:pt idx="0">
                  <c:v>90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494D-BF08-709ABA793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95448"/>
        <c:axId val="568992168"/>
      </c:lineChart>
      <c:catAx>
        <c:axId val="568995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2168"/>
        <c:crosses val="autoZero"/>
        <c:auto val="1"/>
        <c:lblAlgn val="ctr"/>
        <c:lblOffset val="100"/>
        <c:noMultiLvlLbl val="0"/>
      </c:catAx>
      <c:valAx>
        <c:axId val="56899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/>
              <a:t> between the dead and alive Fumoz/Fang</a:t>
            </a:r>
            <a:r>
              <a:rPr lang="en-US" b="1" baseline="0"/>
              <a:t> </a:t>
            </a:r>
            <a:r>
              <a:rPr lang="en-US" b="1"/>
              <a:t>hybrids exposed to 5xDD Sherlock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[4]Sheet1!$W$8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[4]Sheet1!$X$7:$Z$7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[4]Sheet1!$X$8:$Z$8</c:f>
              <c:numCache>
                <c:formatCode>General</c:formatCode>
                <c:ptCount val="3"/>
                <c:pt idx="0">
                  <c:v>6</c:v>
                </c:pt>
                <c:pt idx="1">
                  <c:v>28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1-49BA-B1DF-89A836F3F210}"/>
            </c:ext>
          </c:extLst>
        </c:ser>
        <c:ser>
          <c:idx val="1"/>
          <c:order val="1"/>
          <c:tx>
            <c:strRef>
              <c:f>[4]Sheet1!$W$9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[4]Sheet1!$X$7:$Z$7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[4]Sheet1!$X$9:$Z$9</c:f>
              <c:numCache>
                <c:formatCode>General</c:formatCode>
                <c:ptCount val="3"/>
                <c:pt idx="0">
                  <c:v>17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1-49BA-B1DF-89A836F3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100568"/>
        <c:axId val="518103192"/>
      </c:barChart>
      <c:catAx>
        <c:axId val="518100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/>
                  <a:t>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103192"/>
        <c:crosses val="autoZero"/>
        <c:auto val="1"/>
        <c:lblAlgn val="ctr"/>
        <c:lblOffset val="100"/>
        <c:noMultiLvlLbl val="0"/>
      </c:catAx>
      <c:valAx>
        <c:axId val="51810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10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/>
              <a:t> allele between the dead and alive Fumoz/Fang hybrids exposed to the 5xDD sherlock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[4]Sheet1!$W$40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[4]Sheet1!$X$39:$Y$39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[4]Sheet1!$X$40:$Y$40</c:f>
              <c:numCache>
                <c:formatCode>General</c:formatCode>
                <c:ptCount val="2"/>
                <c:pt idx="0">
                  <c:v>42.553191489361701</c:v>
                </c:pt>
                <c:pt idx="1">
                  <c:v>57.446808510638306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5-4EB2-A0FA-9861EA0DA87C}"/>
            </c:ext>
          </c:extLst>
        </c:ser>
        <c:ser>
          <c:idx val="1"/>
          <c:order val="1"/>
          <c:tx>
            <c:strRef>
              <c:f>[4]Sheet1!$W$41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[4]Sheet1!$X$39:$Y$39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[4]Sheet1!$X$41:$Y$41</c:f>
              <c:numCache>
                <c:formatCode>General</c:formatCode>
                <c:ptCount val="2"/>
                <c:pt idx="0">
                  <c:v>92.5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5-4EB2-A0FA-9861EA0DA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22456"/>
        <c:axId val="506725408"/>
      </c:lineChart>
      <c:catAx>
        <c:axId val="506722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25408"/>
        <c:crosses val="autoZero"/>
        <c:auto val="1"/>
        <c:lblAlgn val="ctr"/>
        <c:lblOffset val="100"/>
        <c:noMultiLvlLbl val="0"/>
      </c:catAx>
      <c:valAx>
        <c:axId val="5067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2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</a:t>
            </a:r>
            <a:r>
              <a:rPr lang="en-US" b="1" baseline="0"/>
              <a:t> of the 6.5 kb between the  dead and alive F4 hybrids exposed to permethrin bottles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[2]Sheet1!$N$8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[2]Sheet1!$O$8:$Q$8</c:f>
              <c:numCache>
                <c:formatCode>General</c:formatCode>
                <c:ptCount val="3"/>
                <c:pt idx="0">
                  <c:v>13</c:v>
                </c:pt>
                <c:pt idx="1">
                  <c:v>28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36-A540-B24F51D770FE}"/>
            </c:ext>
          </c:extLst>
        </c:ser>
        <c:ser>
          <c:idx val="1"/>
          <c:order val="1"/>
          <c:tx>
            <c:strRef>
              <c:f>[2]Sheet1!$N$9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[2]Sheet1!$O$9:$Q$9</c:f>
              <c:numCache>
                <c:formatCode>General</c:formatCode>
                <c:ptCount val="3"/>
                <c:pt idx="0">
                  <c:v>34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F-4336-A540-B24F51D7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978720"/>
        <c:axId val="568982656"/>
      </c:barChart>
      <c:catAx>
        <c:axId val="56897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82656"/>
        <c:crosses val="autoZero"/>
        <c:auto val="1"/>
        <c:lblAlgn val="ctr"/>
        <c:lblOffset val="100"/>
        <c:noMultiLvlLbl val="0"/>
      </c:catAx>
      <c:valAx>
        <c:axId val="5689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  <a:r>
                  <a:rPr lang="en-US" b="1" baseline="0"/>
                  <a:t> Frequencies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7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CYP6P9b</a:t>
            </a:r>
            <a:r>
              <a:rPr lang="en-US" b="1"/>
              <a:t> between  the dead and alive Fumoz/Fang</a:t>
            </a:r>
            <a:r>
              <a:rPr lang="en-US" b="1" baseline="0"/>
              <a:t> hybrids exposed to 5xDD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[4]Sheet1!$AG$8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[4]Sheet1!$AH$7:$AJ$7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[4]Sheet1!$AH$8:$AJ$8</c:f>
              <c:numCache>
                <c:formatCode>General</c:formatCode>
                <c:ptCount val="3"/>
                <c:pt idx="0">
                  <c:v>2</c:v>
                </c:pt>
                <c:pt idx="1">
                  <c:v>28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5-4647-BAB8-055DE5ECB679}"/>
            </c:ext>
          </c:extLst>
        </c:ser>
        <c:ser>
          <c:idx val="1"/>
          <c:order val="1"/>
          <c:tx>
            <c:strRef>
              <c:f>[4]Sheet1!$AG$9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[4]Sheet1!$AH$7:$AJ$7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[4]Sheet1!$AH$9:$AJ$9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5-4647-BAB8-055DE5EC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868376"/>
        <c:axId val="559865752"/>
      </c:barChart>
      <c:catAx>
        <c:axId val="55986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/>
                  <a:t>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65752"/>
        <c:crosses val="autoZero"/>
        <c:auto val="1"/>
        <c:lblAlgn val="ctr"/>
        <c:lblOffset val="100"/>
        <c:noMultiLvlLbl val="0"/>
      </c:catAx>
      <c:valAx>
        <c:axId val="55986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6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CYP6P9b</a:t>
            </a:r>
            <a:r>
              <a:rPr lang="en-US" b="1" baseline="0"/>
              <a:t> allele between the dead and alive Fumoz/Fang hybrids exposed to the 5xDD sherlock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[4]Sheet1!$AH$40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[4]Sheet1!$AI$39:$AJ$39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[4]Sheet1!$AI$40:$AJ$40</c:f>
              <c:numCache>
                <c:formatCode>General</c:formatCode>
                <c:ptCount val="2"/>
                <c:pt idx="0">
                  <c:v>40</c:v>
                </c:pt>
                <c:pt idx="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AF3-BB3F-33C69A37D6AD}"/>
            </c:ext>
          </c:extLst>
        </c:ser>
        <c:ser>
          <c:idx val="1"/>
          <c:order val="1"/>
          <c:tx>
            <c:strRef>
              <c:f>[4]Sheet1!$AH$41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[4]Sheet1!$AI$39:$AJ$39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[4]Sheet1!$AI$41:$AJ$41</c:f>
              <c:numCache>
                <c:formatCode>General</c:formatCode>
                <c:ptCount val="2"/>
                <c:pt idx="0">
                  <c:v>88.095238095238088</c:v>
                </c:pt>
                <c:pt idx="1">
                  <c:v>11.904761904761903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AF3-BB3F-33C69A37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875592"/>
        <c:axId val="559877232"/>
      </c:lineChart>
      <c:catAx>
        <c:axId val="559875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 baseline="0"/>
                  <a:t> allele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77232"/>
        <c:crosses val="autoZero"/>
        <c:auto val="1"/>
        <c:lblAlgn val="ctr"/>
        <c:lblOffset val="100"/>
        <c:noMultiLvlLbl val="0"/>
      </c:catAx>
      <c:valAx>
        <c:axId val="55987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87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Combined</a:t>
            </a:r>
            <a:r>
              <a:rPr lang="en-US" b="1" baseline="0"/>
              <a:t> effect of the three markers on the survival of Fumoz/Fang hybrids to 5xDD sherlock insecticide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[4]Sheet1!$AQ$8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[4]Sheet1!$AR$7:$AW$7</c:f>
              <c:strCache>
                <c:ptCount val="6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RS/RS/RS</c:v>
                </c:pt>
                <c:pt idx="4">
                  <c:v>SS/RS/SS</c:v>
                </c:pt>
                <c:pt idx="5">
                  <c:v>SS/SS/SS</c:v>
                </c:pt>
              </c:strCache>
            </c:strRef>
          </c:cat>
          <c:val>
            <c:numRef>
              <c:f>[4]Sheet1!$AR$8:$AW$8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4-4201-919F-50F6CF90B0B6}"/>
            </c:ext>
          </c:extLst>
        </c:ser>
        <c:ser>
          <c:idx val="1"/>
          <c:order val="1"/>
          <c:tx>
            <c:strRef>
              <c:f>[4]Sheet1!$AQ$9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[4]Sheet1!$AR$7:$AW$7</c:f>
              <c:strCache>
                <c:ptCount val="6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RS/RS/RS</c:v>
                </c:pt>
                <c:pt idx="4">
                  <c:v>SS/RS/SS</c:v>
                </c:pt>
                <c:pt idx="5">
                  <c:v>SS/SS/SS</c:v>
                </c:pt>
              </c:strCache>
            </c:strRef>
          </c:cat>
          <c:val>
            <c:numRef>
              <c:f>[4]Sheet1!$AR$9:$AW$9</c:f>
              <c:numCache>
                <c:formatCode>General</c:formatCode>
                <c:ptCount val="6"/>
                <c:pt idx="0">
                  <c:v>14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4-4201-919F-50F6CF90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033784"/>
        <c:axId val="551038048"/>
      </c:barChart>
      <c:catAx>
        <c:axId val="551033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6.5kb/6P9a/6P9b</a:t>
                </a:r>
                <a:r>
                  <a:rPr lang="en-US" b="1" baseline="0"/>
                  <a:t> gneotype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38048"/>
        <c:crosses val="autoZero"/>
        <c:auto val="1"/>
        <c:lblAlgn val="ctr"/>
        <c:lblOffset val="100"/>
        <c:noMultiLvlLbl val="0"/>
      </c:catAx>
      <c:valAx>
        <c:axId val="5510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  <a:r>
                  <a:rPr lang="en-US" b="1" baseline="0"/>
                  <a:t> Frequency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03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[5]Feuil1!$CA$38</c:f>
              <c:strCache>
                <c:ptCount val="1"/>
                <c:pt idx="0">
                  <c:v>Neg. 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[5]Feuil1!$CB$37:$CG$37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[5]Feuil1!$CB$38:$CG$38</c:f>
              <c:numCache>
                <c:formatCode>General</c:formatCode>
                <c:ptCount val="6"/>
                <c:pt idx="0">
                  <c:v>7.5871297597045189</c:v>
                </c:pt>
                <c:pt idx="1">
                  <c:v>3.7952367698229161</c:v>
                </c:pt>
                <c:pt idx="2">
                  <c:v>9.5540593665789508</c:v>
                </c:pt>
                <c:pt idx="3">
                  <c:v>7.2092335564162839</c:v>
                </c:pt>
                <c:pt idx="4">
                  <c:v>4.8721584450884965</c:v>
                </c:pt>
                <c:pt idx="5">
                  <c:v>0.59955423812817488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C-4BF0-9D8E-2EE170507A59}"/>
            </c:ext>
          </c:extLst>
        </c:ser>
        <c:ser>
          <c:idx val="1"/>
          <c:order val="1"/>
          <c:tx>
            <c:strRef>
              <c:f>[5]Feuil1!$CA$39</c:f>
              <c:strCache>
                <c:ptCount val="1"/>
                <c:pt idx="0">
                  <c:v>Permethrin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[5]Feuil1!$CB$37:$CG$37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[5]Feuil1!$CB$39:$CG$39</c:f>
              <c:numCache>
                <c:formatCode>General</c:formatCode>
                <c:ptCount val="6"/>
                <c:pt idx="0">
                  <c:v>28.31961182747121</c:v>
                </c:pt>
                <c:pt idx="1">
                  <c:v>22.217718941638321</c:v>
                </c:pt>
                <c:pt idx="2">
                  <c:v>11.250369520001552</c:v>
                </c:pt>
                <c:pt idx="3">
                  <c:v>20.249929494794884</c:v>
                </c:pt>
                <c:pt idx="4">
                  <c:v>4.2649950671614247</c:v>
                </c:pt>
                <c:pt idx="5">
                  <c:v>2.6405523689416897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C-4BF0-9D8E-2EE170507A59}"/>
            </c:ext>
          </c:extLst>
        </c:ser>
        <c:ser>
          <c:idx val="2"/>
          <c:order val="2"/>
          <c:tx>
            <c:strRef>
              <c:f>[5]Feuil1!$CA$40</c:f>
              <c:strCache>
                <c:ptCount val="1"/>
                <c:pt idx="0">
                  <c:v>1xDDSherlock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[5]Feuil1!$CB$37:$CG$37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[5]Feuil1!$CB$40:$CG$40</c:f>
              <c:numCache>
                <c:formatCode>General</c:formatCode>
                <c:ptCount val="6"/>
                <c:pt idx="0">
                  <c:v>5.1197875213048363</c:v>
                </c:pt>
                <c:pt idx="1">
                  <c:v>4.1208894930171169</c:v>
                </c:pt>
                <c:pt idx="2">
                  <c:v>7.2379470769432954</c:v>
                </c:pt>
                <c:pt idx="3">
                  <c:v>13.917145670040165</c:v>
                </c:pt>
                <c:pt idx="4">
                  <c:v>2.3576138181307038</c:v>
                </c:pt>
                <c:pt idx="5">
                  <c:v>2.0887204311307075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C-4BF0-9D8E-2EE170507A59}"/>
            </c:ext>
          </c:extLst>
        </c:ser>
        <c:ser>
          <c:idx val="3"/>
          <c:order val="3"/>
          <c:tx>
            <c:strRef>
              <c:f>[5]Feuil1!$CA$41</c:f>
              <c:strCache>
                <c:ptCount val="1"/>
                <c:pt idx="0">
                  <c:v>5xDDSherlock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[5]Feuil1!$CB$37:$CG$37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[5]Feuil1!$CB$41:$CG$41</c:f>
              <c:numCache>
                <c:formatCode>General</c:formatCode>
                <c:ptCount val="6"/>
                <c:pt idx="0">
                  <c:v>5.8749665686305672</c:v>
                </c:pt>
                <c:pt idx="1">
                  <c:v>4.6487517039718824</c:v>
                </c:pt>
                <c:pt idx="2">
                  <c:v>7.7854880783400517</c:v>
                </c:pt>
                <c:pt idx="3">
                  <c:v>7.3569524973065201</c:v>
                </c:pt>
                <c:pt idx="4">
                  <c:v>2.7304878953484835</c:v>
                </c:pt>
                <c:pt idx="5">
                  <c:v>3.363494415290027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AC-4BF0-9D8E-2EE170507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418448"/>
        <c:axId val="662419104"/>
      </c:barChart>
      <c:catAx>
        <c:axId val="66241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19104"/>
        <c:crosses val="autoZero"/>
        <c:auto val="1"/>
        <c:lblAlgn val="ctr"/>
        <c:lblOffset val="100"/>
        <c:noMultiLvlLbl val="0"/>
      </c:catAx>
      <c:valAx>
        <c:axId val="6624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expression</a:t>
                </a:r>
                <a:r>
                  <a:rPr lang="en-US" baseline="0"/>
                  <a:t> to RSP7/Actin5C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1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6.5 kb SV allele between the dead and alive F4 hybrids exposed to Permethrin bottles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[2]Sheet1!$N$44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[2]Sheet1!$O$43:$P$43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[2]Sheet1!$O$44:$P$44</c:f>
              <c:numCache>
                <c:formatCode>General</c:formatCode>
                <c:ptCount val="2"/>
                <c:pt idx="0">
                  <c:v>49.090909090909093</c:v>
                </c:pt>
                <c:pt idx="1">
                  <c:v>50.909090909090907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3-4997-B421-A417E7774118}"/>
            </c:ext>
          </c:extLst>
        </c:ser>
        <c:ser>
          <c:idx val="1"/>
          <c:order val="1"/>
          <c:tx>
            <c:strRef>
              <c:f>[2]Sheet1!$N$45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[2]Sheet1!$O$43:$P$43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[2]Sheet1!$O$45:$P$45</c:f>
              <c:numCache>
                <c:formatCode>General</c:formatCode>
                <c:ptCount val="2"/>
                <c:pt idx="0">
                  <c:v>93.421052631578945</c:v>
                </c:pt>
                <c:pt idx="1">
                  <c:v>6.5789473684210522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3-4997-B421-A417E777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995448"/>
        <c:axId val="568992168"/>
      </c:lineChart>
      <c:catAx>
        <c:axId val="568995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2168"/>
        <c:crosses val="autoZero"/>
        <c:auto val="1"/>
        <c:lblAlgn val="ctr"/>
        <c:lblOffset val="100"/>
        <c:noMultiLvlLbl val="0"/>
      </c:catAx>
      <c:valAx>
        <c:axId val="56899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9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 i="0" baseline="0"/>
              <a:t> allele between the dead and alive hybrids exposed to Permethrin bottles</a:t>
            </a:r>
            <a:endParaRPr lang="en-US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[2]Sheet1!$W$44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[2]Sheet1!$X$43:$Y$43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[2]Sheet1!$X$44:$Y$44</c:f>
              <c:numCache>
                <c:formatCode>General</c:formatCode>
                <c:ptCount val="2"/>
                <c:pt idx="0">
                  <c:v>45.370370370370374</c:v>
                </c:pt>
                <c:pt idx="1">
                  <c:v>54.629629629629626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A-4BC6-942E-79637CDBAA15}"/>
            </c:ext>
          </c:extLst>
        </c:ser>
        <c:ser>
          <c:idx val="1"/>
          <c:order val="1"/>
          <c:tx>
            <c:strRef>
              <c:f>[2]Sheet1!$W$45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[2]Sheet1!$X$43:$Y$43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[2]Sheet1!$X$45:$Y$45</c:f>
              <c:numCache>
                <c:formatCode>General</c:formatCode>
                <c:ptCount val="2"/>
                <c:pt idx="0">
                  <c:v>88.157894736842096</c:v>
                </c:pt>
                <c:pt idx="1">
                  <c:v>11.842105263157894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A-4BC6-942E-79637CDBA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321640"/>
        <c:axId val="505324264"/>
      </c:lineChart>
      <c:catAx>
        <c:axId val="505321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324264"/>
        <c:crosses val="autoZero"/>
        <c:auto val="1"/>
        <c:lblAlgn val="ctr"/>
        <c:lblOffset val="100"/>
        <c:noMultiLvlLbl val="0"/>
      </c:catAx>
      <c:valAx>
        <c:axId val="50532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32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CYP6P9a</a:t>
            </a:r>
            <a:r>
              <a:rPr lang="en-US" b="1" baseline="0"/>
              <a:t> between the dead and alive F4 hybrids exposed to permethrin bottles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[2]Sheet1!$V$8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[2]Sheet1!$W$7:$Y$7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[2]Sheet1!$W$8:$Y$8</c:f>
              <c:numCache>
                <c:formatCode>General</c:formatCode>
                <c:ptCount val="3"/>
                <c:pt idx="0">
                  <c:v>7</c:v>
                </c:pt>
                <c:pt idx="1">
                  <c:v>35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6E6-B868-9F0EF9CA98D3}"/>
            </c:ext>
          </c:extLst>
        </c:ser>
        <c:ser>
          <c:idx val="1"/>
          <c:order val="1"/>
          <c:tx>
            <c:strRef>
              <c:f>[2]Sheet1!$V$9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[2]Sheet1!$W$7:$Y$7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[2]Sheet1!$W$9:$Y$9</c:f>
              <c:numCache>
                <c:formatCode>General</c:formatCode>
                <c:ptCount val="3"/>
                <c:pt idx="0">
                  <c:v>30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6E6-B868-9F0EF9CA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890224"/>
        <c:axId val="576898752"/>
      </c:barChart>
      <c:catAx>
        <c:axId val="57689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 baseline="0"/>
                  <a:t> genotypes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898752"/>
        <c:crosses val="autoZero"/>
        <c:auto val="1"/>
        <c:lblAlgn val="ctr"/>
        <c:lblOffset val="100"/>
        <c:noMultiLvlLbl val="0"/>
      </c:catAx>
      <c:valAx>
        <c:axId val="5768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89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</a:t>
            </a:r>
            <a:r>
              <a:rPr lang="en-US" b="1" i="1"/>
              <a:t>CYP6P9b</a:t>
            </a:r>
            <a:r>
              <a:rPr lang="en-US" b="1"/>
              <a:t> between the dead and alive F4 hybrids exposed to permethrin bottles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[2]Sheet1!$AE$8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[2]Sheet1!$AF$7:$AH$7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[2]Sheet1!$AF$8:$AH$8</c:f>
              <c:numCache>
                <c:formatCode>General</c:formatCode>
                <c:ptCount val="3"/>
                <c:pt idx="0">
                  <c:v>10</c:v>
                </c:pt>
                <c:pt idx="1">
                  <c:v>29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0-4AE6-8A7F-49F5D31FBF77}"/>
            </c:ext>
          </c:extLst>
        </c:ser>
        <c:ser>
          <c:idx val="1"/>
          <c:order val="1"/>
          <c:tx>
            <c:strRef>
              <c:f>[2]Sheet1!$AE$9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[2]Sheet1!$AF$7:$AH$7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[2]Sheet1!$AF$9:$AH$9</c:f>
              <c:numCache>
                <c:formatCode>General</c:formatCode>
                <c:ptCount val="3"/>
                <c:pt idx="0">
                  <c:v>29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0-4AE6-8A7F-49F5D31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712080"/>
        <c:axId val="565715360"/>
      </c:barChart>
      <c:catAx>
        <c:axId val="565712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</a:t>
                </a:r>
                <a:r>
                  <a:rPr lang="en-US" b="1" i="1" baseline="0"/>
                  <a:t>b</a:t>
                </a:r>
                <a:r>
                  <a:rPr lang="en-US" b="1" baseline="0"/>
                  <a:t> genotypes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15360"/>
        <c:crosses val="autoZero"/>
        <c:auto val="1"/>
        <c:lblAlgn val="ctr"/>
        <c:lblOffset val="100"/>
        <c:noMultiLvlLbl val="0"/>
      </c:catAx>
      <c:valAx>
        <c:axId val="56571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71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 of the CYP6P9b allele between the dead and</a:t>
            </a:r>
            <a:r>
              <a:rPr lang="en-US" b="1" baseline="0"/>
              <a:t> alive hybrids exposed to Permethrin bottles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[2]Sheet1!$AF$44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[2]Sheet1!$AG$43:$AH$43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[2]Sheet1!$AG$44:$AH$44</c:f>
              <c:numCache>
                <c:formatCode>General</c:formatCode>
                <c:ptCount val="2"/>
                <c:pt idx="0">
                  <c:v>51.041666666666664</c:v>
                </c:pt>
                <c:pt idx="1">
                  <c:v>48.958333333333329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A-4CA5-8261-56D1F5786658}"/>
            </c:ext>
          </c:extLst>
        </c:ser>
        <c:ser>
          <c:idx val="1"/>
          <c:order val="1"/>
          <c:tx>
            <c:strRef>
              <c:f>[2]Sheet1!$AF$45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[2]Sheet1!$AG$43:$AH$43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[2]Sheet1!$AG$45:$AH$45</c:f>
              <c:numCache>
                <c:formatCode>General</c:formatCode>
                <c:ptCount val="2"/>
                <c:pt idx="0">
                  <c:v>87.837837837837839</c:v>
                </c:pt>
                <c:pt idx="1">
                  <c:v>12.162162162162163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A-4CA5-8261-56D1F578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162960"/>
        <c:axId val="561163616"/>
      </c:lineChart>
      <c:catAx>
        <c:axId val="56116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/>
                  <a:t> allele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163616"/>
        <c:crosses val="autoZero"/>
        <c:auto val="1"/>
        <c:lblAlgn val="ctr"/>
        <c:lblOffset val="100"/>
        <c:noMultiLvlLbl val="0"/>
      </c:catAx>
      <c:valAx>
        <c:axId val="5611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1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Combined</a:t>
            </a:r>
            <a:r>
              <a:rPr lang="en-US" b="1" baseline="0"/>
              <a:t> effect of the three markers on the survival of Fumoz/Fang hybrids to permethrin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[2]Sheet1!$AO$8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[2]Sheet1!$AP$7:$AV$7</c:f>
              <c:strCache>
                <c:ptCount val="7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RS/RS/RR</c:v>
                </c:pt>
                <c:pt idx="4">
                  <c:v>RS/RS/RS</c:v>
                </c:pt>
                <c:pt idx="5">
                  <c:v>SS/RS/SS</c:v>
                </c:pt>
                <c:pt idx="6">
                  <c:v>SS/SS/SS</c:v>
                </c:pt>
              </c:strCache>
            </c:strRef>
          </c:cat>
          <c:val>
            <c:numRef>
              <c:f>[2]Sheet1!$AP$8:$AV$8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20</c:v>
                </c:pt>
                <c:pt idx="5">
                  <c:v>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B-4CFC-9797-D706A7D3725D}"/>
            </c:ext>
          </c:extLst>
        </c:ser>
        <c:ser>
          <c:idx val="1"/>
          <c:order val="1"/>
          <c:tx>
            <c:strRef>
              <c:f>[2]Sheet1!$AO$9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[2]Sheet1!$AP$7:$AV$7</c:f>
              <c:strCache>
                <c:ptCount val="7"/>
                <c:pt idx="0">
                  <c:v>RR/RR/RR</c:v>
                </c:pt>
                <c:pt idx="1">
                  <c:v>RR/RR/RS</c:v>
                </c:pt>
                <c:pt idx="2">
                  <c:v>RR/RS/RS</c:v>
                </c:pt>
                <c:pt idx="3">
                  <c:v>RS/RS/RR</c:v>
                </c:pt>
                <c:pt idx="4">
                  <c:v>RS/RS/RS</c:v>
                </c:pt>
                <c:pt idx="5">
                  <c:v>SS/RS/SS</c:v>
                </c:pt>
                <c:pt idx="6">
                  <c:v>SS/SS/SS</c:v>
                </c:pt>
              </c:strCache>
            </c:strRef>
          </c:cat>
          <c:val>
            <c:numRef>
              <c:f>[2]Sheet1!$AP$9:$AV$9</c:f>
              <c:numCache>
                <c:formatCode>General</c:formatCode>
                <c:ptCount val="7"/>
                <c:pt idx="0">
                  <c:v>28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B-4CFC-9797-D706A7D3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5380408"/>
        <c:axId val="506655328"/>
      </c:barChart>
      <c:catAx>
        <c:axId val="605380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6.5kb/6P9a/6P9b</a:t>
                </a:r>
                <a:r>
                  <a:rPr lang="en-US" b="1" baseline="0"/>
                  <a:t> genotype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655328"/>
        <c:crosses val="autoZero"/>
        <c:auto val="1"/>
        <c:lblAlgn val="ctr"/>
        <c:lblOffset val="100"/>
        <c:noMultiLvlLbl val="0"/>
      </c:catAx>
      <c:valAx>
        <c:axId val="5066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38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Distribution</a:t>
            </a:r>
            <a:r>
              <a:rPr lang="en-US" b="1" baseline="0"/>
              <a:t> of the 6.5 kb between the  dead and alive Fumoz/Fang hybrids exposed to 1xDD sherlock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[3]Sheet1!$N$8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[3]Sheet1!$O$8:$Q$8</c:f>
              <c:numCache>
                <c:formatCode>General</c:formatCode>
                <c:ptCount val="3"/>
                <c:pt idx="0">
                  <c:v>15</c:v>
                </c:pt>
                <c:pt idx="1">
                  <c:v>23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E-4336-B8A3-5FFECB71D89B}"/>
            </c:ext>
          </c:extLst>
        </c:ser>
        <c:ser>
          <c:idx val="1"/>
          <c:order val="1"/>
          <c:tx>
            <c:strRef>
              <c:f>[3]Sheet1!$N$9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[3]Sheet1!$O$7:$Q$7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[3]Sheet1!$O$9:$Q$9</c:f>
              <c:numCache>
                <c:formatCode>General</c:formatCode>
                <c:ptCount val="3"/>
                <c:pt idx="0">
                  <c:v>26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E-4336-B8A3-5FFECB71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978720"/>
        <c:axId val="568982656"/>
      </c:barChart>
      <c:catAx>
        <c:axId val="56897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6.5 kb Genotypes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82656"/>
        <c:crosses val="autoZero"/>
        <c:auto val="1"/>
        <c:lblAlgn val="ctr"/>
        <c:lblOffset val="100"/>
        <c:noMultiLvlLbl val="0"/>
      </c:catAx>
      <c:valAx>
        <c:axId val="5689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  <a:r>
                  <a:rPr lang="en-US" b="1" baseline="0"/>
                  <a:t> Frequencies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7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14</xdr:row>
          <xdr:rowOff>69850</xdr:rowOff>
        </xdr:from>
        <xdr:to>
          <xdr:col>19</xdr:col>
          <xdr:colOff>1435100</xdr:colOff>
          <xdr:row>33</xdr:row>
          <xdr:rowOff>165100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15</xdr:col>
      <xdr:colOff>302077</xdr:colOff>
      <xdr:row>64</xdr:row>
      <xdr:rowOff>189818</xdr:rowOff>
    </xdr:from>
    <xdr:to>
      <xdr:col>22</xdr:col>
      <xdr:colOff>13606</xdr:colOff>
      <xdr:row>83</xdr:row>
      <xdr:rowOff>99331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93</xdr:row>
          <xdr:rowOff>95250</xdr:rowOff>
        </xdr:from>
        <xdr:to>
          <xdr:col>19</xdr:col>
          <xdr:colOff>501650</xdr:colOff>
          <xdr:row>105</xdr:row>
          <xdr:rowOff>114300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729839</xdr:colOff>
      <xdr:row>48</xdr:row>
      <xdr:rowOff>123701</xdr:rowOff>
    </xdr:from>
    <xdr:to>
      <xdr:col>85</xdr:col>
      <xdr:colOff>1187533</xdr:colOff>
      <xdr:row>66</xdr:row>
      <xdr:rowOff>86591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298450</xdr:colOff>
          <xdr:row>55</xdr:row>
          <xdr:rowOff>28575</xdr:rowOff>
        </xdr:from>
        <xdr:to>
          <xdr:col>93</xdr:col>
          <xdr:colOff>1384300</xdr:colOff>
          <xdr:row>77</xdr:row>
          <xdr:rowOff>142875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A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24</xdr:row>
          <xdr:rowOff>146050</xdr:rowOff>
        </xdr:from>
        <xdr:to>
          <xdr:col>21</xdr:col>
          <xdr:colOff>400050</xdr:colOff>
          <xdr:row>39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14</xdr:row>
          <xdr:rowOff>0</xdr:rowOff>
        </xdr:from>
        <xdr:to>
          <xdr:col>20</xdr:col>
          <xdr:colOff>419100</xdr:colOff>
          <xdr:row>26</xdr:row>
          <xdr:rowOff>12700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16</xdr:row>
          <xdr:rowOff>6350</xdr:rowOff>
        </xdr:from>
        <xdr:to>
          <xdr:col>21</xdr:col>
          <xdr:colOff>88900</xdr:colOff>
          <xdr:row>28</xdr:row>
          <xdr:rowOff>25400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30</xdr:row>
          <xdr:rowOff>146050</xdr:rowOff>
        </xdr:from>
        <xdr:to>
          <xdr:col>24</xdr:col>
          <xdr:colOff>361950</xdr:colOff>
          <xdr:row>45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114300</xdr:rowOff>
        </xdr:from>
        <xdr:to>
          <xdr:col>18</xdr:col>
          <xdr:colOff>736600</xdr:colOff>
          <xdr:row>44</xdr:row>
          <xdr:rowOff>177800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119947</xdr:colOff>
      <xdr:row>22</xdr:row>
      <xdr:rowOff>109833</xdr:rowOff>
    </xdr:from>
    <xdr:to>
      <xdr:col>15</xdr:col>
      <xdr:colOff>1357255</xdr:colOff>
      <xdr:row>35</xdr:row>
      <xdr:rowOff>119357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483306</xdr:colOff>
      <xdr:row>41</xdr:row>
      <xdr:rowOff>82316</xdr:rowOff>
    </xdr:from>
    <xdr:to>
      <xdr:col>15</xdr:col>
      <xdr:colOff>826206</xdr:colOff>
      <xdr:row>54</xdr:row>
      <xdr:rowOff>64440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364536</xdr:colOff>
      <xdr:row>42</xdr:row>
      <xdr:rowOff>-1</xdr:rowOff>
    </xdr:from>
    <xdr:to>
      <xdr:col>22</xdr:col>
      <xdr:colOff>1354784</xdr:colOff>
      <xdr:row>52</xdr:row>
      <xdr:rowOff>134409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540926</xdr:colOff>
      <xdr:row>22</xdr:row>
      <xdr:rowOff>181151</xdr:rowOff>
    </xdr:from>
    <xdr:to>
      <xdr:col>22</xdr:col>
      <xdr:colOff>1577034</xdr:colOff>
      <xdr:row>36</xdr:row>
      <xdr:rowOff>45391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469430</xdr:colOff>
      <xdr:row>22</xdr:row>
      <xdr:rowOff>42861</xdr:rowOff>
    </xdr:from>
    <xdr:to>
      <xdr:col>29</xdr:col>
      <xdr:colOff>650405</xdr:colOff>
      <xdr:row>34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385468</xdr:colOff>
      <xdr:row>41</xdr:row>
      <xdr:rowOff>59410</xdr:rowOff>
    </xdr:from>
    <xdr:to>
      <xdr:col>29</xdr:col>
      <xdr:colOff>861718</xdr:colOff>
      <xdr:row>54</xdr:row>
      <xdr:rowOff>146551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1333516</xdr:colOff>
      <xdr:row>18</xdr:row>
      <xdr:rowOff>135052</xdr:rowOff>
    </xdr:from>
    <xdr:to>
      <xdr:col>36</xdr:col>
      <xdr:colOff>1185350</xdr:colOff>
      <xdr:row>33</xdr:row>
      <xdr:rowOff>14402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22</xdr:row>
          <xdr:rowOff>190500</xdr:rowOff>
        </xdr:from>
        <xdr:to>
          <xdr:col>15</xdr:col>
          <xdr:colOff>469900</xdr:colOff>
          <xdr:row>36</xdr:row>
          <xdr:rowOff>19050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368300</xdr:colOff>
          <xdr:row>23</xdr:row>
          <xdr:rowOff>0</xdr:rowOff>
        </xdr:from>
        <xdr:to>
          <xdr:col>22</xdr:col>
          <xdr:colOff>908050</xdr:colOff>
          <xdr:row>35</xdr:row>
          <xdr:rowOff>146050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628650</xdr:colOff>
          <xdr:row>22</xdr:row>
          <xdr:rowOff>69850</xdr:rowOff>
        </xdr:from>
        <xdr:to>
          <xdr:col>29</xdr:col>
          <xdr:colOff>444500</xdr:colOff>
          <xdr:row>35</xdr:row>
          <xdr:rowOff>127000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1377950</xdr:colOff>
          <xdr:row>17</xdr:row>
          <xdr:rowOff>133350</xdr:rowOff>
        </xdr:from>
        <xdr:to>
          <xdr:col>36</xdr:col>
          <xdr:colOff>1847850</xdr:colOff>
          <xdr:row>33</xdr:row>
          <xdr:rowOff>82550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406400</xdr:colOff>
          <xdr:row>41</xdr:row>
          <xdr:rowOff>133350</xdr:rowOff>
        </xdr:from>
        <xdr:to>
          <xdr:col>29</xdr:col>
          <xdr:colOff>44450</xdr:colOff>
          <xdr:row>53</xdr:row>
          <xdr:rowOff>127000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222250</xdr:colOff>
          <xdr:row>41</xdr:row>
          <xdr:rowOff>95250</xdr:rowOff>
        </xdr:from>
        <xdr:to>
          <xdr:col>22</xdr:col>
          <xdr:colOff>717550</xdr:colOff>
          <xdr:row>53</xdr:row>
          <xdr:rowOff>127000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527050</xdr:colOff>
          <xdr:row>41</xdr:row>
          <xdr:rowOff>139700</xdr:rowOff>
        </xdr:from>
        <xdr:to>
          <xdr:col>14</xdr:col>
          <xdr:colOff>755650</xdr:colOff>
          <xdr:row>53</xdr:row>
          <xdr:rowOff>63500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283370</xdr:colOff>
      <xdr:row>21</xdr:row>
      <xdr:rowOff>59135</xdr:rowOff>
    </xdr:from>
    <xdr:to>
      <xdr:col>15</xdr:col>
      <xdr:colOff>892969</xdr:colOff>
      <xdr:row>33</xdr:row>
      <xdr:rowOff>13494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412354</xdr:colOff>
      <xdr:row>39</xdr:row>
      <xdr:rowOff>134143</xdr:rowOff>
    </xdr:from>
    <xdr:to>
      <xdr:col>15</xdr:col>
      <xdr:colOff>717154</xdr:colOff>
      <xdr:row>51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327423</xdr:colOff>
      <xdr:row>21</xdr:row>
      <xdr:rowOff>65881</xdr:rowOff>
    </xdr:from>
    <xdr:to>
      <xdr:col>28</xdr:col>
      <xdr:colOff>644922</xdr:colOff>
      <xdr:row>34</xdr:row>
      <xdr:rowOff>37306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491331</xdr:colOff>
      <xdr:row>21</xdr:row>
      <xdr:rowOff>134143</xdr:rowOff>
    </xdr:from>
    <xdr:to>
      <xdr:col>21</xdr:col>
      <xdr:colOff>496094</xdr:colOff>
      <xdr:row>34</xdr:row>
      <xdr:rowOff>29368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389333</xdr:colOff>
      <xdr:row>39</xdr:row>
      <xdr:rowOff>65086</xdr:rowOff>
    </xdr:from>
    <xdr:to>
      <xdr:col>21</xdr:col>
      <xdr:colOff>674688</xdr:colOff>
      <xdr:row>51</xdr:row>
      <xdr:rowOff>29765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425451</xdr:colOff>
      <xdr:row>39</xdr:row>
      <xdr:rowOff>76993</xdr:rowOff>
    </xdr:from>
    <xdr:to>
      <xdr:col>28</xdr:col>
      <xdr:colOff>1160859</xdr:colOff>
      <xdr:row>51</xdr:row>
      <xdr:rowOff>178594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585391</xdr:colOff>
      <xdr:row>19</xdr:row>
      <xdr:rowOff>171450</xdr:rowOff>
    </xdr:from>
    <xdr:to>
      <xdr:col>38</xdr:col>
      <xdr:colOff>409575</xdr:colOff>
      <xdr:row>33</xdr:row>
      <xdr:rowOff>119062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349250</xdr:colOff>
          <xdr:row>21</xdr:row>
          <xdr:rowOff>101600</xdr:rowOff>
        </xdr:from>
        <xdr:to>
          <xdr:col>21</xdr:col>
          <xdr:colOff>393700</xdr:colOff>
          <xdr:row>34</xdr:row>
          <xdr:rowOff>50800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431800</xdr:colOff>
          <xdr:row>21</xdr:row>
          <xdr:rowOff>44450</xdr:rowOff>
        </xdr:from>
        <xdr:to>
          <xdr:col>28</xdr:col>
          <xdr:colOff>615950</xdr:colOff>
          <xdr:row>34</xdr:row>
          <xdr:rowOff>101600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330200</xdr:colOff>
          <xdr:row>21</xdr:row>
          <xdr:rowOff>107950</xdr:rowOff>
        </xdr:from>
        <xdr:to>
          <xdr:col>15</xdr:col>
          <xdr:colOff>527050</xdr:colOff>
          <xdr:row>34</xdr:row>
          <xdr:rowOff>76200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39</xdr:row>
          <xdr:rowOff>120650</xdr:rowOff>
        </xdr:from>
        <xdr:to>
          <xdr:col>15</xdr:col>
          <xdr:colOff>603250</xdr:colOff>
          <xdr:row>51</xdr:row>
          <xdr:rowOff>127000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393700</xdr:colOff>
          <xdr:row>39</xdr:row>
          <xdr:rowOff>88900</xdr:rowOff>
        </xdr:from>
        <xdr:to>
          <xdr:col>21</xdr:col>
          <xdr:colOff>463550</xdr:colOff>
          <xdr:row>52</xdr:row>
          <xdr:rowOff>12700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457200</xdr:colOff>
          <xdr:row>40</xdr:row>
          <xdr:rowOff>38100</xdr:rowOff>
        </xdr:from>
        <xdr:to>
          <xdr:col>28</xdr:col>
          <xdr:colOff>641350</xdr:colOff>
          <xdr:row>52</xdr:row>
          <xdr:rowOff>50800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222250</xdr:colOff>
          <xdr:row>18</xdr:row>
          <xdr:rowOff>165100</xdr:rowOff>
        </xdr:from>
        <xdr:to>
          <xdr:col>38</xdr:col>
          <xdr:colOff>400050</xdr:colOff>
          <xdr:row>35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2082800</xdr:colOff>
          <xdr:row>22</xdr:row>
          <xdr:rowOff>82550</xdr:rowOff>
        </xdr:from>
        <xdr:to>
          <xdr:col>44</xdr:col>
          <xdr:colOff>996950</xdr:colOff>
          <xdr:row>34</xdr:row>
          <xdr:rowOff>158750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1043217</xdr:colOff>
      <xdr:row>17</xdr:row>
      <xdr:rowOff>164194</xdr:rowOff>
    </xdr:from>
    <xdr:to>
      <xdr:col>16</xdr:col>
      <xdr:colOff>208646</xdr:colOff>
      <xdr:row>30</xdr:row>
      <xdr:rowOff>36286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861784</xdr:colOff>
      <xdr:row>37</xdr:row>
      <xdr:rowOff>8165</xdr:rowOff>
    </xdr:from>
    <xdr:to>
      <xdr:col>16</xdr:col>
      <xdr:colOff>371928</xdr:colOff>
      <xdr:row>49</xdr:row>
      <xdr:rowOff>56243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676729</xdr:colOff>
      <xdr:row>17</xdr:row>
      <xdr:rowOff>48304</xdr:rowOff>
    </xdr:from>
    <xdr:to>
      <xdr:col>24</xdr:col>
      <xdr:colOff>281215</xdr:colOff>
      <xdr:row>28</xdr:row>
      <xdr:rowOff>108858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616857</xdr:colOff>
      <xdr:row>36</xdr:row>
      <xdr:rowOff>100012</xdr:rowOff>
    </xdr:from>
    <xdr:to>
      <xdr:col>24</xdr:col>
      <xdr:colOff>444500</xdr:colOff>
      <xdr:row>49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857250</xdr:colOff>
      <xdr:row>17</xdr:row>
      <xdr:rowOff>119515</xdr:rowOff>
    </xdr:from>
    <xdr:to>
      <xdr:col>32</xdr:col>
      <xdr:colOff>408214</xdr:colOff>
      <xdr:row>28</xdr:row>
      <xdr:rowOff>152854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751566</xdr:colOff>
      <xdr:row>36</xdr:row>
      <xdr:rowOff>98197</xdr:rowOff>
    </xdr:from>
    <xdr:to>
      <xdr:col>32</xdr:col>
      <xdr:colOff>1161143</xdr:colOff>
      <xdr:row>49</xdr:row>
      <xdr:rowOff>64860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152401</xdr:colOff>
      <xdr:row>17</xdr:row>
      <xdr:rowOff>114300</xdr:rowOff>
    </xdr:from>
    <xdr:to>
      <xdr:col>39</xdr:col>
      <xdr:colOff>1161143</xdr:colOff>
      <xdr:row>29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774700</xdr:colOff>
          <xdr:row>37</xdr:row>
          <xdr:rowOff>82550</xdr:rowOff>
        </xdr:from>
        <xdr:to>
          <xdr:col>16</xdr:col>
          <xdr:colOff>438150</xdr:colOff>
          <xdr:row>48</xdr:row>
          <xdr:rowOff>177800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774700</xdr:colOff>
          <xdr:row>37</xdr:row>
          <xdr:rowOff>38100</xdr:rowOff>
        </xdr:from>
        <xdr:to>
          <xdr:col>24</xdr:col>
          <xdr:colOff>361950</xdr:colOff>
          <xdr:row>48</xdr:row>
          <xdr:rowOff>76200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844550</xdr:colOff>
          <xdr:row>36</xdr:row>
          <xdr:rowOff>146050</xdr:rowOff>
        </xdr:from>
        <xdr:to>
          <xdr:col>32</xdr:col>
          <xdr:colOff>781050</xdr:colOff>
          <xdr:row>48</xdr:row>
          <xdr:rowOff>19050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298450</xdr:colOff>
          <xdr:row>17</xdr:row>
          <xdr:rowOff>88900</xdr:rowOff>
        </xdr:from>
        <xdr:to>
          <xdr:col>39</xdr:col>
          <xdr:colOff>1289050</xdr:colOff>
          <xdr:row>31</xdr:row>
          <xdr:rowOff>165100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768350</xdr:colOff>
          <xdr:row>17</xdr:row>
          <xdr:rowOff>133350</xdr:rowOff>
        </xdr:from>
        <xdr:to>
          <xdr:col>32</xdr:col>
          <xdr:colOff>850900</xdr:colOff>
          <xdr:row>30</xdr:row>
          <xdr:rowOff>63500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685800</xdr:colOff>
          <xdr:row>17</xdr:row>
          <xdr:rowOff>95250</xdr:rowOff>
        </xdr:from>
        <xdr:to>
          <xdr:col>24</xdr:col>
          <xdr:colOff>476250</xdr:colOff>
          <xdr:row>30</xdr:row>
          <xdr:rowOff>69850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1054100</xdr:colOff>
          <xdr:row>17</xdr:row>
          <xdr:rowOff>88900</xdr:rowOff>
        </xdr:from>
        <xdr:to>
          <xdr:col>16</xdr:col>
          <xdr:colOff>482600</xdr:colOff>
          <xdr:row>30</xdr:row>
          <xdr:rowOff>82550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203200</xdr:colOff>
          <xdr:row>62</xdr:row>
          <xdr:rowOff>158750</xdr:rowOff>
        </xdr:from>
        <xdr:to>
          <xdr:col>42</xdr:col>
          <xdr:colOff>660400</xdr:colOff>
          <xdr:row>79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184150</xdr:colOff>
          <xdr:row>80</xdr:row>
          <xdr:rowOff>127000</xdr:rowOff>
        </xdr:from>
        <xdr:to>
          <xdr:col>42</xdr:col>
          <xdr:colOff>647700</xdr:colOff>
          <xdr:row>97</xdr:row>
          <xdr:rowOff>133350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9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manucript%20writing\2-CDC%20bottle%20bioassays\Bottle%20assays%20-%20%20IVCC%20(Sherlock)%20project.xlsx" TargetMode="External"/><Relationship Id="rId1" Type="http://schemas.openxmlformats.org/officeDocument/2006/relationships/externalLinkPath" Target="/Users/Owner/Desktop/2022_2023-2024/My%20project/4-IVCC%20Project/manucript%20writing/2-CDC%20bottle%20bioassays/Bottle%20assays%20-%20%20IVCC%20(Sherlock)%20proje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2-Bottle%20assays\3-Permethrin\1-Permethrin%20(bottle%20assays)-Genotyping%20results%20(6.5kbins,6p9a%20&amp;%206p9b).xlsx" TargetMode="External"/><Relationship Id="rId1" Type="http://schemas.openxmlformats.org/officeDocument/2006/relationships/externalLinkPath" Target="/Users/Owner/Desktop/2022_2023-2024/My%20project/4-IVCC%20Project/Genotyping%20results/2-Bottle%20assays/3-Permethrin/1-Permethrin%20(bottle%20assays)-Genotyping%20results%20(6.5kbins,6p9a%20&amp;%206p9b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2-Bottle%20assays\1-1xDD%20Sherlock\1-1xDDSherlock%20(bottle%20assays)-Genotyping%20results%20(6.5kbins).xlsx" TargetMode="External"/><Relationship Id="rId1" Type="http://schemas.openxmlformats.org/officeDocument/2006/relationships/externalLinkPath" Target="/Users/Owner/Desktop/2022_2023-2024/My%20project/4-IVCC%20Project/Genotyping%20results/2-Bottle%20assays/1-1xDD%20Sherlock/1-1xDDSherlock%20(bottle%20assays)-Genotyping%20results%20(6.5kbins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2-Bottle%20assays\2-5xDD%20Sherlock\1-5xDDSherlock%20(bottle%20assays)-Genotyping%20results%20(6.5kbins).xlsx" TargetMode="External"/><Relationship Id="rId1" Type="http://schemas.openxmlformats.org/officeDocument/2006/relationships/externalLinkPath" Target="/Users/Owner/Desktop/2022_2023-2024/My%20project/4-IVCC%20Project/Genotyping%20results/2-Bottle%20assays/2-5xDD%20Sherlock/1-5xDDSherlock%20(bottle%20assays)-Genotyping%20results%20(6.5kbins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qPCR%20results\Mibellon\2-bottle%20assay\17.03.22.%20qPCR_field%20strain_bottle%20assays__spreadsheet%20results.xlsx" TargetMode="External"/><Relationship Id="rId1" Type="http://schemas.openxmlformats.org/officeDocument/2006/relationships/externalLinkPath" Target="/Users/Owner/Desktop/2022_2023-2024/My%20project/4-IVCC%20Project/qPCR%20results/Mibellon/2-bottle%20assay/17.03.22.%20qPCR_field%20strain_bottle%20assays__spreadsheet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60 mins. Summary"/>
      <sheetName val="30 mins. Summary"/>
    </sheetNames>
    <sheetDataSet>
      <sheetData sheetId="0" refreshError="1"/>
      <sheetData sheetId="1">
        <row r="28">
          <cell r="I28" t="str">
            <v>% Knockdown (1h)</v>
          </cell>
          <cell r="J28" t="str">
            <v>%Mortality 24h</v>
          </cell>
        </row>
        <row r="29">
          <cell r="F29" t="str">
            <v>Negative control</v>
          </cell>
          <cell r="I29">
            <v>0</v>
          </cell>
          <cell r="J29">
            <v>0</v>
          </cell>
          <cell r="K29">
            <v>0</v>
          </cell>
        </row>
        <row r="30">
          <cell r="F30" t="str">
            <v>Permethrin control</v>
          </cell>
          <cell r="I30">
            <v>100</v>
          </cell>
          <cell r="J30">
            <v>93.867243867243872</v>
          </cell>
          <cell r="K30">
            <v>11.034857625137004</v>
          </cell>
        </row>
        <row r="31">
          <cell r="F31" t="str">
            <v xml:space="preserve">1x DD Sherlock </v>
          </cell>
          <cell r="I31">
            <v>100</v>
          </cell>
          <cell r="J31">
            <v>94.577380952380963</v>
          </cell>
          <cell r="K31">
            <v>6.4917693834494141</v>
          </cell>
        </row>
        <row r="32">
          <cell r="F32" t="str">
            <v>5x DD Sherlock</v>
          </cell>
          <cell r="I32">
            <v>100</v>
          </cell>
          <cell r="J32">
            <v>98.6111111111111</v>
          </cell>
          <cell r="K32">
            <v>3.4020690871988624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O7" t="str">
            <v>RR</v>
          </cell>
          <cell r="P7" t="str">
            <v>RS</v>
          </cell>
          <cell r="Q7" t="str">
            <v>SS</v>
          </cell>
          <cell r="W7" t="str">
            <v>RR</v>
          </cell>
          <cell r="X7" t="str">
            <v>RS</v>
          </cell>
          <cell r="Y7" t="str">
            <v>SS</v>
          </cell>
          <cell r="AF7" t="str">
            <v>RR</v>
          </cell>
          <cell r="AG7" t="str">
            <v>RS</v>
          </cell>
          <cell r="AH7" t="str">
            <v>SS</v>
          </cell>
          <cell r="AP7" t="str">
            <v>RR/RR/RR</v>
          </cell>
          <cell r="AQ7" t="str">
            <v>RR/RR/RS</v>
          </cell>
          <cell r="AR7" t="str">
            <v>RR/RS/RS</v>
          </cell>
          <cell r="AS7" t="str">
            <v>RS/RS/RR</v>
          </cell>
          <cell r="AT7" t="str">
            <v>RS/RS/RS</v>
          </cell>
          <cell r="AU7" t="str">
            <v>SS/RS/SS</v>
          </cell>
          <cell r="AV7" t="str">
            <v>SS/SS/SS</v>
          </cell>
        </row>
        <row r="8">
          <cell r="N8" t="str">
            <v>Dead</v>
          </cell>
          <cell r="O8">
            <v>13</v>
          </cell>
          <cell r="P8">
            <v>28</v>
          </cell>
          <cell r="Q8">
            <v>14</v>
          </cell>
          <cell r="V8" t="str">
            <v>Dead</v>
          </cell>
          <cell r="W8">
            <v>7</v>
          </cell>
          <cell r="X8">
            <v>35</v>
          </cell>
          <cell r="Y8">
            <v>12</v>
          </cell>
          <cell r="AE8" t="str">
            <v>Dead</v>
          </cell>
          <cell r="AF8">
            <v>10</v>
          </cell>
          <cell r="AG8">
            <v>29</v>
          </cell>
          <cell r="AH8">
            <v>9</v>
          </cell>
          <cell r="AO8" t="str">
            <v>Dead</v>
          </cell>
          <cell r="AP8">
            <v>5</v>
          </cell>
          <cell r="AQ8">
            <v>0</v>
          </cell>
          <cell r="AR8">
            <v>5</v>
          </cell>
          <cell r="AS8">
            <v>1</v>
          </cell>
          <cell r="AT8">
            <v>20</v>
          </cell>
          <cell r="AU8">
            <v>2</v>
          </cell>
          <cell r="AV8">
            <v>7</v>
          </cell>
        </row>
        <row r="9">
          <cell r="N9" t="str">
            <v>Alive</v>
          </cell>
          <cell r="O9">
            <v>34</v>
          </cell>
          <cell r="P9">
            <v>3</v>
          </cell>
          <cell r="Q9">
            <v>1</v>
          </cell>
          <cell r="V9" t="str">
            <v>Alive</v>
          </cell>
          <cell r="W9">
            <v>30</v>
          </cell>
          <cell r="X9">
            <v>7</v>
          </cell>
          <cell r="Y9">
            <v>1</v>
          </cell>
          <cell r="AE9" t="str">
            <v>Alive</v>
          </cell>
          <cell r="AF9">
            <v>29</v>
          </cell>
          <cell r="AG9">
            <v>7</v>
          </cell>
          <cell r="AH9">
            <v>1</v>
          </cell>
          <cell r="AO9" t="str">
            <v>Alive</v>
          </cell>
          <cell r="AP9">
            <v>28</v>
          </cell>
          <cell r="AQ9">
            <v>1</v>
          </cell>
          <cell r="AR9">
            <v>3</v>
          </cell>
          <cell r="AS9">
            <v>0</v>
          </cell>
          <cell r="AT9">
            <v>3</v>
          </cell>
          <cell r="AU9">
            <v>0</v>
          </cell>
          <cell r="AV9">
            <v>1</v>
          </cell>
        </row>
        <row r="43">
          <cell r="O43" t="str">
            <v>R</v>
          </cell>
          <cell r="P43" t="str">
            <v>S</v>
          </cell>
          <cell r="X43" t="str">
            <v>R</v>
          </cell>
          <cell r="Y43" t="str">
            <v>S</v>
          </cell>
          <cell r="AG43" t="str">
            <v>R</v>
          </cell>
          <cell r="AH43" t="str">
            <v>S</v>
          </cell>
        </row>
        <row r="44">
          <cell r="N44" t="str">
            <v>Dead</v>
          </cell>
          <cell r="O44">
            <v>49.090909090909093</v>
          </cell>
          <cell r="P44">
            <v>50.909090909090907</v>
          </cell>
          <cell r="W44" t="str">
            <v>Dead</v>
          </cell>
          <cell r="X44">
            <v>45.370370370370374</v>
          </cell>
          <cell r="Y44">
            <v>54.629629629629626</v>
          </cell>
          <cell r="AF44" t="str">
            <v>Dead</v>
          </cell>
          <cell r="AG44">
            <v>51.041666666666664</v>
          </cell>
          <cell r="AH44">
            <v>48.958333333333329</v>
          </cell>
        </row>
        <row r="45">
          <cell r="N45" t="str">
            <v>Alive</v>
          </cell>
          <cell r="O45">
            <v>93.421052631578945</v>
          </cell>
          <cell r="P45">
            <v>6.5789473684210522</v>
          </cell>
          <cell r="W45" t="str">
            <v>Alive</v>
          </cell>
          <cell r="X45">
            <v>88.157894736842096</v>
          </cell>
          <cell r="Y45">
            <v>11.842105263157894</v>
          </cell>
          <cell r="AF45" t="str">
            <v>Alive</v>
          </cell>
          <cell r="AG45">
            <v>87.837837837837839</v>
          </cell>
          <cell r="AH45">
            <v>12.162162162162163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O7" t="str">
            <v>RR</v>
          </cell>
          <cell r="P7" t="str">
            <v>RS</v>
          </cell>
          <cell r="Q7" t="str">
            <v>SS</v>
          </cell>
          <cell r="W7" t="str">
            <v>RR</v>
          </cell>
          <cell r="X7" t="str">
            <v>RS</v>
          </cell>
          <cell r="Y7" t="str">
            <v>SS</v>
          </cell>
          <cell r="AF7" t="str">
            <v>RR</v>
          </cell>
          <cell r="AG7" t="str">
            <v>RS</v>
          </cell>
          <cell r="AH7" t="str">
            <v>SS</v>
          </cell>
          <cell r="AO7" t="str">
            <v>RR/RR/RR</v>
          </cell>
          <cell r="AP7" t="str">
            <v>RR/RR/RS</v>
          </cell>
          <cell r="AQ7" t="str">
            <v>RR/RS/RS</v>
          </cell>
          <cell r="AR7" t="str">
            <v>RS/RS/RR</v>
          </cell>
          <cell r="AS7" t="str">
            <v>RS/RS/RS</v>
          </cell>
          <cell r="AT7" t="str">
            <v>SS/SS/SS</v>
          </cell>
        </row>
        <row r="8">
          <cell r="N8" t="str">
            <v>Dead</v>
          </cell>
          <cell r="O8">
            <v>15</v>
          </cell>
          <cell r="P8">
            <v>23</v>
          </cell>
          <cell r="Q8">
            <v>11</v>
          </cell>
          <cell r="V8" t="str">
            <v>Dead</v>
          </cell>
          <cell r="W8">
            <v>13</v>
          </cell>
          <cell r="X8">
            <v>26</v>
          </cell>
          <cell r="Y8">
            <v>13</v>
          </cell>
          <cell r="AE8" t="str">
            <v>Dead</v>
          </cell>
          <cell r="AF8">
            <v>9</v>
          </cell>
          <cell r="AG8">
            <v>32</v>
          </cell>
          <cell r="AH8">
            <v>11</v>
          </cell>
          <cell r="AN8" t="str">
            <v>Dead</v>
          </cell>
          <cell r="AO8">
            <v>4</v>
          </cell>
          <cell r="AP8">
            <v>2</v>
          </cell>
          <cell r="AQ8">
            <v>8</v>
          </cell>
          <cell r="AR8">
            <v>0</v>
          </cell>
          <cell r="AS8">
            <v>14</v>
          </cell>
          <cell r="AT8">
            <v>8</v>
          </cell>
        </row>
        <row r="9">
          <cell r="N9" t="str">
            <v>Alive</v>
          </cell>
          <cell r="O9">
            <v>26</v>
          </cell>
          <cell r="P9">
            <v>5</v>
          </cell>
          <cell r="Q9">
            <v>0</v>
          </cell>
          <cell r="V9" t="str">
            <v>Alive</v>
          </cell>
          <cell r="W9">
            <v>21</v>
          </cell>
          <cell r="X9">
            <v>10</v>
          </cell>
          <cell r="Y9">
            <v>0</v>
          </cell>
          <cell r="AE9" t="str">
            <v>Alive</v>
          </cell>
          <cell r="AF9">
            <v>21</v>
          </cell>
          <cell r="AG9">
            <v>10</v>
          </cell>
          <cell r="AH9">
            <v>0</v>
          </cell>
          <cell r="AN9" t="str">
            <v>Alive</v>
          </cell>
          <cell r="AO9">
            <v>18</v>
          </cell>
          <cell r="AP9">
            <v>3</v>
          </cell>
          <cell r="AQ9">
            <v>4</v>
          </cell>
          <cell r="AR9">
            <v>2</v>
          </cell>
          <cell r="AS9">
            <v>3</v>
          </cell>
          <cell r="AT9">
            <v>0</v>
          </cell>
        </row>
        <row r="43">
          <cell r="O43" t="str">
            <v>R</v>
          </cell>
          <cell r="P43" t="str">
            <v>S</v>
          </cell>
        </row>
        <row r="44">
          <cell r="N44" t="str">
            <v>Dead</v>
          </cell>
          <cell r="O44">
            <v>54.081632653061227</v>
          </cell>
          <cell r="P44">
            <v>45.91836734693878</v>
          </cell>
          <cell r="Y44" t="str">
            <v>R</v>
          </cell>
          <cell r="Z44" t="str">
            <v>S</v>
          </cell>
          <cell r="AI44" t="str">
            <v>R</v>
          </cell>
          <cell r="AJ44" t="str">
            <v>S</v>
          </cell>
        </row>
        <row r="45">
          <cell r="N45" t="str">
            <v>Alive</v>
          </cell>
          <cell r="O45">
            <v>91.935483870967744</v>
          </cell>
          <cell r="P45">
            <v>8.064516129032258</v>
          </cell>
          <cell r="X45" t="str">
            <v>Dead</v>
          </cell>
          <cell r="Y45">
            <v>50</v>
          </cell>
          <cell r="Z45">
            <v>50</v>
          </cell>
          <cell r="AH45" t="str">
            <v>Dead</v>
          </cell>
          <cell r="AI45">
            <v>48.07692307692308</v>
          </cell>
          <cell r="AJ45">
            <v>51.923076923076927</v>
          </cell>
        </row>
        <row r="46">
          <cell r="X46" t="str">
            <v>Alive</v>
          </cell>
          <cell r="Y46">
            <v>83.870967741935488</v>
          </cell>
          <cell r="Z46">
            <v>16.129032258064516</v>
          </cell>
          <cell r="AH46" t="str">
            <v>Alive</v>
          </cell>
          <cell r="AI46">
            <v>83.870967741935488</v>
          </cell>
          <cell r="AJ46">
            <v>16.129032258064516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O7" t="str">
            <v>RR</v>
          </cell>
          <cell r="P7" t="str">
            <v>RS</v>
          </cell>
          <cell r="Q7" t="str">
            <v>SS</v>
          </cell>
          <cell r="X7" t="str">
            <v>RR</v>
          </cell>
          <cell r="Y7" t="str">
            <v>RS</v>
          </cell>
          <cell r="Z7" t="str">
            <v>SS</v>
          </cell>
          <cell r="AH7" t="str">
            <v>RR</v>
          </cell>
          <cell r="AI7" t="str">
            <v>RS</v>
          </cell>
          <cell r="AJ7" t="str">
            <v>SS</v>
          </cell>
          <cell r="AR7" t="str">
            <v>RR/RR/RR</v>
          </cell>
          <cell r="AS7" t="str">
            <v>RR/RR/RS</v>
          </cell>
          <cell r="AT7" t="str">
            <v>RR/RS/RS</v>
          </cell>
          <cell r="AU7" t="str">
            <v>RS/RS/RS</v>
          </cell>
          <cell r="AV7" t="str">
            <v>SS/RS/SS</v>
          </cell>
          <cell r="AW7" t="str">
            <v>SS/SS/SS</v>
          </cell>
        </row>
        <row r="8">
          <cell r="N8" t="str">
            <v>Dead</v>
          </cell>
          <cell r="O8">
            <v>7</v>
          </cell>
          <cell r="P8">
            <v>30</v>
          </cell>
          <cell r="Q8">
            <v>12</v>
          </cell>
          <cell r="W8" t="str">
            <v>Dead</v>
          </cell>
          <cell r="X8">
            <v>6</v>
          </cell>
          <cell r="Y8">
            <v>28</v>
          </cell>
          <cell r="Z8">
            <v>13</v>
          </cell>
          <cell r="AG8" t="str">
            <v>Dead</v>
          </cell>
          <cell r="AH8">
            <v>2</v>
          </cell>
          <cell r="AI8">
            <v>28</v>
          </cell>
          <cell r="AJ8">
            <v>10</v>
          </cell>
          <cell r="AQ8" t="str">
            <v>Dead</v>
          </cell>
          <cell r="AR8">
            <v>0</v>
          </cell>
          <cell r="AS8">
            <v>0</v>
          </cell>
          <cell r="AT8">
            <v>2</v>
          </cell>
          <cell r="AU8">
            <v>13</v>
          </cell>
          <cell r="AV8">
            <v>7</v>
          </cell>
          <cell r="AW8">
            <v>1</v>
          </cell>
        </row>
        <row r="9">
          <cell r="N9" t="str">
            <v>Alive</v>
          </cell>
          <cell r="O9">
            <v>16</v>
          </cell>
          <cell r="P9">
            <v>4</v>
          </cell>
          <cell r="Q9">
            <v>0</v>
          </cell>
          <cell r="W9" t="str">
            <v>Alive</v>
          </cell>
          <cell r="X9">
            <v>17</v>
          </cell>
          <cell r="Y9">
            <v>3</v>
          </cell>
          <cell r="Z9">
            <v>0</v>
          </cell>
          <cell r="AG9" t="str">
            <v>Alive</v>
          </cell>
          <cell r="AH9">
            <v>16</v>
          </cell>
          <cell r="AI9">
            <v>5</v>
          </cell>
          <cell r="AJ9">
            <v>0</v>
          </cell>
          <cell r="AQ9" t="str">
            <v>Alive</v>
          </cell>
          <cell r="AR9">
            <v>14</v>
          </cell>
          <cell r="AS9">
            <v>1</v>
          </cell>
          <cell r="AT9">
            <v>0</v>
          </cell>
          <cell r="AU9">
            <v>3</v>
          </cell>
          <cell r="AV9">
            <v>0</v>
          </cell>
          <cell r="AW9">
            <v>0</v>
          </cell>
        </row>
        <row r="39">
          <cell r="O39" t="str">
            <v>R</v>
          </cell>
          <cell r="P39" t="str">
            <v>S</v>
          </cell>
          <cell r="X39" t="str">
            <v>R</v>
          </cell>
          <cell r="Y39" t="str">
            <v>S</v>
          </cell>
          <cell r="AI39" t="str">
            <v>R</v>
          </cell>
          <cell r="AJ39" t="str">
            <v>S</v>
          </cell>
        </row>
        <row r="40">
          <cell r="N40" t="str">
            <v>Dead</v>
          </cell>
          <cell r="O40">
            <v>44.897959183673471</v>
          </cell>
          <cell r="P40">
            <v>55.102040816326522</v>
          </cell>
          <cell r="W40" t="str">
            <v>Dead</v>
          </cell>
          <cell r="X40">
            <v>42.553191489361701</v>
          </cell>
          <cell r="Y40">
            <v>57.446808510638306</v>
          </cell>
          <cell r="AH40" t="str">
            <v>Dead</v>
          </cell>
          <cell r="AI40">
            <v>40</v>
          </cell>
          <cell r="AJ40">
            <v>60</v>
          </cell>
        </row>
        <row r="41">
          <cell r="N41" t="str">
            <v>Alive</v>
          </cell>
          <cell r="O41">
            <v>90</v>
          </cell>
          <cell r="P41">
            <v>10</v>
          </cell>
          <cell r="W41" t="str">
            <v>Alive</v>
          </cell>
          <cell r="X41">
            <v>92.5</v>
          </cell>
          <cell r="Y41">
            <v>7.5</v>
          </cell>
          <cell r="AH41" t="str">
            <v>Alive</v>
          </cell>
          <cell r="AI41">
            <v>88.095238095238088</v>
          </cell>
          <cell r="AJ41">
            <v>11.904761904761903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37">
          <cell r="CB37" t="str">
            <v>CYP6P9a</v>
          </cell>
          <cell r="CC37" t="str">
            <v>CYP6P9b</v>
          </cell>
          <cell r="CD37" t="str">
            <v>CYP9K1</v>
          </cell>
          <cell r="CE37" t="str">
            <v>CY325A</v>
          </cell>
          <cell r="CF37" t="str">
            <v>GSTe2</v>
          </cell>
          <cell r="CG37" t="str">
            <v>CarboxyesteraseE2</v>
          </cell>
        </row>
        <row r="38">
          <cell r="CA38" t="str">
            <v>Neg. control</v>
          </cell>
          <cell r="CB38">
            <v>7.5871297597045189</v>
          </cell>
          <cell r="CC38">
            <v>3.7952367698229161</v>
          </cell>
          <cell r="CD38">
            <v>9.5540593665789508</v>
          </cell>
          <cell r="CE38">
            <v>7.2092335564162839</v>
          </cell>
          <cell r="CF38">
            <v>4.8721584450884965</v>
          </cell>
          <cell r="CG38">
            <v>0.59955423812817488</v>
          </cell>
        </row>
        <row r="39">
          <cell r="CA39" t="str">
            <v>Permethrin</v>
          </cell>
          <cell r="CB39">
            <v>28.31961182747121</v>
          </cell>
          <cell r="CC39">
            <v>22.217718941638321</v>
          </cell>
          <cell r="CD39">
            <v>11.250369520001552</v>
          </cell>
          <cell r="CE39">
            <v>20.249929494794884</v>
          </cell>
          <cell r="CF39">
            <v>4.2649950671614247</v>
          </cell>
          <cell r="CG39">
            <v>2.6405523689416897</v>
          </cell>
        </row>
        <row r="40">
          <cell r="CA40" t="str">
            <v>1xDDSherlock</v>
          </cell>
          <cell r="CB40">
            <v>5.1197875213048363</v>
          </cell>
          <cell r="CC40">
            <v>4.1208894930171169</v>
          </cell>
          <cell r="CD40">
            <v>7.2379470769432954</v>
          </cell>
          <cell r="CE40">
            <v>13.917145670040165</v>
          </cell>
          <cell r="CF40">
            <v>2.3576138181307038</v>
          </cell>
          <cell r="CG40">
            <v>2.0887204311307075</v>
          </cell>
        </row>
        <row r="41">
          <cell r="CA41" t="str">
            <v>5xDDSherlock</v>
          </cell>
          <cell r="CB41">
            <v>5.8749665686305672</v>
          </cell>
          <cell r="CC41">
            <v>4.6487517039718824</v>
          </cell>
          <cell r="CD41">
            <v>7.7854880783400517</v>
          </cell>
          <cell r="CE41">
            <v>7.3569524973065201</v>
          </cell>
          <cell r="CF41">
            <v>2.7304878953484835</v>
          </cell>
          <cell r="CG41">
            <v>3.363494415290027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30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31.bin"/><Relationship Id="rId5" Type="http://schemas.openxmlformats.org/officeDocument/2006/relationships/image" Target="../media/image29.emf"/><Relationship Id="rId4" Type="http://schemas.openxmlformats.org/officeDocument/2006/relationships/oleObject" Target="../embeddings/oleObject3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1.emf"/><Relationship Id="rId4" Type="http://schemas.openxmlformats.org/officeDocument/2006/relationships/oleObject" Target="../embeddings/oleObject3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6.emf"/><Relationship Id="rId5" Type="http://schemas.openxmlformats.org/officeDocument/2006/relationships/oleObject" Target="../embeddings/oleObject7.bin"/><Relationship Id="rId4" Type="http://schemas.openxmlformats.org/officeDocument/2006/relationships/image" Target="../media/image5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13" Type="http://schemas.openxmlformats.org/officeDocument/2006/relationships/image" Target="../media/image11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8.emf"/><Relationship Id="rId12" Type="http://schemas.openxmlformats.org/officeDocument/2006/relationships/oleObject" Target="../embeddings/oleObject12.bin"/><Relationship Id="rId17" Type="http://schemas.openxmlformats.org/officeDocument/2006/relationships/image" Target="../media/image13.emf"/><Relationship Id="rId2" Type="http://schemas.openxmlformats.org/officeDocument/2006/relationships/drawing" Target="../drawings/drawing6.x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9.bin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5" Type="http://schemas.openxmlformats.org/officeDocument/2006/relationships/image" Target="../media/image12.emf"/><Relationship Id="rId10" Type="http://schemas.openxmlformats.org/officeDocument/2006/relationships/oleObject" Target="../embeddings/oleObject11.bin"/><Relationship Id="rId4" Type="http://schemas.openxmlformats.org/officeDocument/2006/relationships/oleObject" Target="../embeddings/oleObject8.bin"/><Relationship Id="rId9" Type="http://schemas.openxmlformats.org/officeDocument/2006/relationships/image" Target="../media/image9.emf"/><Relationship Id="rId14" Type="http://schemas.openxmlformats.org/officeDocument/2006/relationships/oleObject" Target="../embeddings/oleObject1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13" Type="http://schemas.openxmlformats.org/officeDocument/2006/relationships/image" Target="../media/image18.emf"/><Relationship Id="rId18" Type="http://schemas.openxmlformats.org/officeDocument/2006/relationships/oleObject" Target="../embeddings/oleObject22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15.emf"/><Relationship Id="rId12" Type="http://schemas.openxmlformats.org/officeDocument/2006/relationships/oleObject" Target="../embeddings/oleObject19.bin"/><Relationship Id="rId17" Type="http://schemas.openxmlformats.org/officeDocument/2006/relationships/image" Target="../media/image20.emf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21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5" Type="http://schemas.openxmlformats.org/officeDocument/2006/relationships/image" Target="../media/image19.emf"/><Relationship Id="rId10" Type="http://schemas.openxmlformats.org/officeDocument/2006/relationships/oleObject" Target="../embeddings/oleObject18.bin"/><Relationship Id="rId19" Type="http://schemas.openxmlformats.org/officeDocument/2006/relationships/image" Target="../media/image21.emf"/><Relationship Id="rId4" Type="http://schemas.openxmlformats.org/officeDocument/2006/relationships/oleObject" Target="../embeddings/oleObject15.bin"/><Relationship Id="rId9" Type="http://schemas.openxmlformats.org/officeDocument/2006/relationships/image" Target="../media/image16.emf"/><Relationship Id="rId14" Type="http://schemas.openxmlformats.org/officeDocument/2006/relationships/oleObject" Target="../embeddings/oleObject2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.bin"/><Relationship Id="rId13" Type="http://schemas.openxmlformats.org/officeDocument/2006/relationships/image" Target="../media/image26.emf"/><Relationship Id="rId3" Type="http://schemas.openxmlformats.org/officeDocument/2006/relationships/vmlDrawing" Target="../drawings/vmlDrawing8.vml"/><Relationship Id="rId7" Type="http://schemas.openxmlformats.org/officeDocument/2006/relationships/image" Target="../media/image23.emf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28.emf"/><Relationship Id="rId2" Type="http://schemas.openxmlformats.org/officeDocument/2006/relationships/drawing" Target="../drawings/drawing8.xml"/><Relationship Id="rId16" Type="http://schemas.openxmlformats.org/officeDocument/2006/relationships/oleObject" Target="../embeddings/oleObject29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4.bin"/><Relationship Id="rId11" Type="http://schemas.openxmlformats.org/officeDocument/2006/relationships/image" Target="../media/image25.emf"/><Relationship Id="rId5" Type="http://schemas.openxmlformats.org/officeDocument/2006/relationships/image" Target="../media/image22.emf"/><Relationship Id="rId15" Type="http://schemas.openxmlformats.org/officeDocument/2006/relationships/image" Target="../media/image27.emf"/><Relationship Id="rId10" Type="http://schemas.openxmlformats.org/officeDocument/2006/relationships/oleObject" Target="../embeddings/oleObject26.bin"/><Relationship Id="rId4" Type="http://schemas.openxmlformats.org/officeDocument/2006/relationships/oleObject" Target="../embeddings/oleObject23.bin"/><Relationship Id="rId9" Type="http://schemas.openxmlformats.org/officeDocument/2006/relationships/image" Target="../media/image24.emf"/><Relationship Id="rId14" Type="http://schemas.openxmlformats.org/officeDocument/2006/relationships/oleObject" Target="../embeddings/oleObject2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FEF3-B086-40E2-8490-1DA24AC0F338}">
  <dimension ref="B2:X130"/>
  <sheetViews>
    <sheetView topLeftCell="A12" zoomScale="10" zoomScaleNormal="10" workbookViewId="0">
      <selection activeCell="B2" sqref="B2"/>
    </sheetView>
  </sheetViews>
  <sheetFormatPr defaultRowHeight="14.5" x14ac:dyDescent="0.35"/>
  <cols>
    <col min="3" max="3" width="13.26953125" customWidth="1"/>
    <col min="4" max="4" width="24.54296875" customWidth="1"/>
    <col min="5" max="5" width="13.54296875" customWidth="1"/>
    <col min="6" max="6" width="12.453125" customWidth="1"/>
    <col min="7" max="7" width="17.7265625" customWidth="1"/>
    <col min="8" max="8" width="13.54296875" customWidth="1"/>
    <col min="9" max="9" width="11.453125" customWidth="1"/>
    <col min="11" max="11" width="13" customWidth="1"/>
    <col min="12" max="12" width="25" customWidth="1"/>
    <col min="16" max="16" width="22.81640625" customWidth="1"/>
    <col min="19" max="19" width="16.6328125" customWidth="1"/>
    <col min="20" max="20" width="37.1796875" bestFit="1" customWidth="1"/>
    <col min="21" max="21" width="14.453125" customWidth="1"/>
  </cols>
  <sheetData>
    <row r="2" spans="2:24" ht="21" x14ac:dyDescent="0.5">
      <c r="B2" s="105" t="s">
        <v>337</v>
      </c>
    </row>
    <row r="3" spans="2:24" ht="26" x14ac:dyDescent="0.6">
      <c r="B3" s="103"/>
    </row>
    <row r="4" spans="2:24" x14ac:dyDescent="0.35">
      <c r="B4" s="1" t="s">
        <v>0</v>
      </c>
      <c r="C4" s="1" t="s">
        <v>1</v>
      </c>
      <c r="D4" s="1" t="s">
        <v>2</v>
      </c>
      <c r="E4" s="1" t="s">
        <v>3</v>
      </c>
      <c r="F4" s="1" t="s">
        <v>43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44</v>
      </c>
      <c r="M4" s="1" t="s">
        <v>11</v>
      </c>
    </row>
    <row r="5" spans="2:24" x14ac:dyDescent="0.35">
      <c r="B5" s="1" t="s">
        <v>12</v>
      </c>
      <c r="C5" s="1" t="s">
        <v>13</v>
      </c>
      <c r="D5" s="1" t="s">
        <v>14</v>
      </c>
      <c r="E5" s="1" t="s">
        <v>15</v>
      </c>
      <c r="F5" s="146" t="s">
        <v>42</v>
      </c>
      <c r="G5" s="2">
        <v>0</v>
      </c>
      <c r="H5">
        <v>0</v>
      </c>
      <c r="I5">
        <v>23</v>
      </c>
      <c r="J5">
        <f t="shared" ref="J5:J8" si="0">SUM(H5:I5)</f>
        <v>23</v>
      </c>
      <c r="K5" s="3">
        <f t="shared" ref="K5:K8" si="1">(H5/J5)*100</f>
        <v>0</v>
      </c>
      <c r="M5" s="3">
        <f>AVERAGE(K5:K6)</f>
        <v>0</v>
      </c>
    </row>
    <row r="6" spans="2:24" x14ac:dyDescent="0.35">
      <c r="B6" s="1" t="s">
        <v>12</v>
      </c>
      <c r="C6" s="1" t="s">
        <v>13</v>
      </c>
      <c r="D6" s="1" t="s">
        <v>14</v>
      </c>
      <c r="E6" s="1" t="s">
        <v>15</v>
      </c>
      <c r="F6" s="146"/>
      <c r="G6" s="2">
        <v>0</v>
      </c>
      <c r="H6">
        <v>0</v>
      </c>
      <c r="I6">
        <v>18</v>
      </c>
      <c r="J6">
        <f t="shared" si="0"/>
        <v>18</v>
      </c>
      <c r="K6" s="3">
        <f t="shared" si="1"/>
        <v>0</v>
      </c>
    </row>
    <row r="7" spans="2:24" x14ac:dyDescent="0.35">
      <c r="B7" s="1" t="s">
        <v>16</v>
      </c>
      <c r="C7" s="1" t="s">
        <v>17</v>
      </c>
      <c r="D7" s="1" t="s">
        <v>14</v>
      </c>
      <c r="E7" s="1" t="s">
        <v>15</v>
      </c>
      <c r="F7" s="146"/>
      <c r="G7" s="2">
        <v>0</v>
      </c>
      <c r="H7">
        <v>2</v>
      </c>
      <c r="I7">
        <v>22</v>
      </c>
      <c r="J7">
        <f t="shared" si="0"/>
        <v>24</v>
      </c>
      <c r="K7" s="3">
        <f t="shared" si="1"/>
        <v>8.3333333333333321</v>
      </c>
      <c r="M7" s="3">
        <f>AVERAGE(K7:K8)</f>
        <v>8.1666666666666661</v>
      </c>
      <c r="N7">
        <f>(M7-M7)/(100-M7)*100</f>
        <v>0</v>
      </c>
    </row>
    <row r="8" spans="2:24" x14ac:dyDescent="0.35">
      <c r="B8" s="1" t="s">
        <v>16</v>
      </c>
      <c r="C8" s="1" t="s">
        <v>17</v>
      </c>
      <c r="D8" s="1" t="s">
        <v>14</v>
      </c>
      <c r="E8" s="1" t="s">
        <v>15</v>
      </c>
      <c r="F8" s="146"/>
      <c r="G8" s="2">
        <v>0</v>
      </c>
      <c r="H8">
        <v>2</v>
      </c>
      <c r="I8">
        <v>23</v>
      </c>
      <c r="J8">
        <f t="shared" si="0"/>
        <v>25</v>
      </c>
      <c r="K8" s="3">
        <f t="shared" si="1"/>
        <v>8</v>
      </c>
      <c r="Q8" s="1" t="s">
        <v>18</v>
      </c>
      <c r="R8" s="1" t="s">
        <v>19</v>
      </c>
      <c r="S8" s="1" t="s">
        <v>20</v>
      </c>
      <c r="T8" s="1" t="s">
        <v>307</v>
      </c>
      <c r="U8" s="1" t="s">
        <v>21</v>
      </c>
      <c r="V8" s="1" t="s">
        <v>22</v>
      </c>
      <c r="X8" s="1"/>
    </row>
    <row r="9" spans="2:24" x14ac:dyDescent="0.35">
      <c r="B9" s="1" t="s">
        <v>12</v>
      </c>
      <c r="C9" s="1" t="s">
        <v>13</v>
      </c>
      <c r="D9" s="4" t="s">
        <v>23</v>
      </c>
      <c r="E9" s="4" t="s">
        <v>15</v>
      </c>
      <c r="F9" s="146"/>
      <c r="G9" s="6" t="s">
        <v>24</v>
      </c>
      <c r="H9" s="5">
        <v>19</v>
      </c>
      <c r="I9" s="5">
        <v>2</v>
      </c>
      <c r="J9" s="5">
        <f t="shared" ref="J9:J35" si="2">SUM(H9:I9)</f>
        <v>21</v>
      </c>
      <c r="K9" s="5">
        <f>(H9/J9)*100</f>
        <v>90.476190476190482</v>
      </c>
      <c r="L9">
        <f>(K9-$T$9)/(100-$T$9)*100</f>
        <v>90.070745935211633</v>
      </c>
      <c r="M9" s="7">
        <f>AVERAGE(K9:K12)</f>
        <v>89.00595238095238</v>
      </c>
      <c r="P9" s="1" t="s">
        <v>14</v>
      </c>
      <c r="Q9">
        <f>SUM(I5:I8)</f>
        <v>86</v>
      </c>
      <c r="R9">
        <f>SUM(H5:H8)</f>
        <v>4</v>
      </c>
      <c r="S9">
        <v>2</v>
      </c>
      <c r="T9" s="3">
        <f>AVERAGE(K5:K8)</f>
        <v>4.083333333333333</v>
      </c>
      <c r="U9">
        <f>(T9-T9)/(100-T9)*100</f>
        <v>0</v>
      </c>
      <c r="V9">
        <f>STDEV(K5:K8)/SQRT(COUNT(K5:K8))</f>
        <v>2.3584952830141508</v>
      </c>
    </row>
    <row r="10" spans="2:24" x14ac:dyDescent="0.35">
      <c r="B10" s="1" t="s">
        <v>12</v>
      </c>
      <c r="C10" s="1" t="s">
        <v>13</v>
      </c>
      <c r="D10" s="4" t="s">
        <v>23</v>
      </c>
      <c r="E10" s="4" t="s">
        <v>15</v>
      </c>
      <c r="F10" s="146"/>
      <c r="G10" s="6" t="s">
        <v>25</v>
      </c>
      <c r="H10" s="5">
        <v>18</v>
      </c>
      <c r="I10" s="5">
        <v>3</v>
      </c>
      <c r="J10" s="5">
        <f t="shared" si="2"/>
        <v>21</v>
      </c>
      <c r="K10" s="5">
        <f>(H10/J10)*100</f>
        <v>85.714285714285708</v>
      </c>
      <c r="L10">
        <f t="shared" ref="L10:L17" si="3">(K10-$T$9)/(100-$T$9)*100</f>
        <v>85.106118902817414</v>
      </c>
      <c r="M10" s="5"/>
      <c r="P10" s="4" t="s">
        <v>23</v>
      </c>
      <c r="Q10">
        <f>SUM(I9:I17)</f>
        <v>51</v>
      </c>
      <c r="R10">
        <f>SUM(H9:H17)</f>
        <v>146</v>
      </c>
      <c r="S10">
        <v>90.4</v>
      </c>
      <c r="T10">
        <f>AVERAGE(K9:K17)</f>
        <v>73.830455769052264</v>
      </c>
      <c r="U10">
        <f>(T10-T9)/(100-T9)*100</f>
        <v>72.716374389976295</v>
      </c>
      <c r="V10">
        <f>STDEV(K9:K17)/SQRT(COUNT(K9:K17))</f>
        <v>6.2112153398790113</v>
      </c>
    </row>
    <row r="11" spans="2:24" x14ac:dyDescent="0.35">
      <c r="B11" s="1" t="s">
        <v>12</v>
      </c>
      <c r="C11" s="1" t="s">
        <v>13</v>
      </c>
      <c r="D11" s="4" t="s">
        <v>23</v>
      </c>
      <c r="E11" s="4" t="s">
        <v>15</v>
      </c>
      <c r="F11" s="146"/>
      <c r="G11" s="6" t="s">
        <v>25</v>
      </c>
      <c r="H11" s="5">
        <v>21</v>
      </c>
      <c r="I11" s="5">
        <v>4</v>
      </c>
      <c r="J11" s="5">
        <f t="shared" si="2"/>
        <v>25</v>
      </c>
      <c r="K11" s="5">
        <f t="shared" ref="K11" si="4">(H11/J11)*100</f>
        <v>84</v>
      </c>
      <c r="L11">
        <f t="shared" si="3"/>
        <v>83.31885317115551</v>
      </c>
      <c r="M11" s="5"/>
      <c r="P11" s="8" t="s">
        <v>330</v>
      </c>
      <c r="Q11">
        <f>SUM(I18:I26)</f>
        <v>61</v>
      </c>
      <c r="R11">
        <f>SUM(H18:H26)</f>
        <v>132</v>
      </c>
      <c r="S11">
        <v>100</v>
      </c>
      <c r="T11" s="9">
        <f>AVERAGE(K18:K26)</f>
        <v>67.959865940860084</v>
      </c>
      <c r="U11">
        <f>(T11-T9)/(100-T9)*100</f>
        <v>66.595863708976623</v>
      </c>
      <c r="V11">
        <f>STDEV(K18:K26)/SQRT(COUNT(K18:K26))</f>
        <v>4.5805716797385516</v>
      </c>
    </row>
    <row r="12" spans="2:24" x14ac:dyDescent="0.35">
      <c r="B12" s="1" t="s">
        <v>12</v>
      </c>
      <c r="C12" s="1" t="s">
        <v>13</v>
      </c>
      <c r="D12" s="4" t="s">
        <v>23</v>
      </c>
      <c r="E12" s="4" t="s">
        <v>15</v>
      </c>
      <c r="F12" s="146"/>
      <c r="G12" s="6" t="s">
        <v>26</v>
      </c>
      <c r="H12" s="5">
        <v>23</v>
      </c>
      <c r="I12" s="5">
        <v>1</v>
      </c>
      <c r="J12" s="5">
        <f t="shared" si="2"/>
        <v>24</v>
      </c>
      <c r="K12" s="5">
        <f>(H12/J12)*100</f>
        <v>95.833333333333343</v>
      </c>
      <c r="L12">
        <f t="shared" si="3"/>
        <v>95.655951346655087</v>
      </c>
      <c r="M12" s="5"/>
      <c r="P12" s="10" t="s">
        <v>331</v>
      </c>
      <c r="Q12">
        <f>SUM(I27:I35)</f>
        <v>42</v>
      </c>
      <c r="R12">
        <f>SUM(H27:H35)</f>
        <v>175</v>
      </c>
      <c r="S12">
        <v>100</v>
      </c>
      <c r="T12">
        <f>AVERAGE(K27:K35)</f>
        <v>80.23863495602626</v>
      </c>
      <c r="U12">
        <f>(T12-T9)/(100-T9)*100</f>
        <v>79.397360510192456</v>
      </c>
      <c r="V12">
        <f>STDEV(K27:K35)/SQRT(COUNT(K27:K35))</f>
        <v>5.0673952994673668</v>
      </c>
    </row>
    <row r="13" spans="2:24" x14ac:dyDescent="0.35">
      <c r="B13" s="1" t="s">
        <v>16</v>
      </c>
      <c r="C13" s="1" t="s">
        <v>17</v>
      </c>
      <c r="D13" s="4" t="s">
        <v>23</v>
      </c>
      <c r="E13" s="4" t="s">
        <v>15</v>
      </c>
      <c r="F13" s="146"/>
      <c r="G13" s="6" t="s">
        <v>27</v>
      </c>
      <c r="H13" s="5">
        <v>8</v>
      </c>
      <c r="I13" s="5">
        <v>12</v>
      </c>
      <c r="J13" s="5">
        <f t="shared" si="2"/>
        <v>20</v>
      </c>
      <c r="K13" s="5">
        <f>(H13/J13)*100</f>
        <v>40</v>
      </c>
      <c r="L13">
        <f t="shared" si="3"/>
        <v>37.44569939183318</v>
      </c>
      <c r="M13" s="7">
        <f>AVERAGE(K13:K17)</f>
        <v>61.690058479532162</v>
      </c>
      <c r="N13">
        <f>(M13-M7)/(100-M7)*100</f>
        <v>58.283185277167519</v>
      </c>
    </row>
    <row r="14" spans="2:24" x14ac:dyDescent="0.35">
      <c r="B14" s="1" t="s">
        <v>16</v>
      </c>
      <c r="C14" s="1" t="s">
        <v>17</v>
      </c>
      <c r="D14" s="4" t="s">
        <v>23</v>
      </c>
      <c r="E14" s="4" t="s">
        <v>15</v>
      </c>
      <c r="F14" s="146"/>
      <c r="G14" s="6" t="s">
        <v>28</v>
      </c>
      <c r="H14" s="5">
        <v>15</v>
      </c>
      <c r="I14" s="5">
        <v>12</v>
      </c>
      <c r="J14" s="5">
        <f t="shared" si="2"/>
        <v>27</v>
      </c>
      <c r="K14" s="5">
        <f>(H14/J14)*100</f>
        <v>55.555555555555557</v>
      </c>
      <c r="L14">
        <f t="shared" si="3"/>
        <v>53.663481030987548</v>
      </c>
      <c r="M14" s="5"/>
    </row>
    <row r="15" spans="2:24" x14ac:dyDescent="0.35">
      <c r="B15" s="1" t="s">
        <v>16</v>
      </c>
      <c r="C15" s="1" t="s">
        <v>17</v>
      </c>
      <c r="D15" s="4" t="s">
        <v>23</v>
      </c>
      <c r="E15" s="4" t="s">
        <v>15</v>
      </c>
      <c r="F15" s="146"/>
      <c r="G15" s="6" t="s">
        <v>29</v>
      </c>
      <c r="H15" s="5">
        <v>15</v>
      </c>
      <c r="I15" s="5">
        <v>5</v>
      </c>
      <c r="J15" s="5">
        <f t="shared" si="2"/>
        <v>20</v>
      </c>
      <c r="K15" s="5">
        <f t="shared" ref="K15:K26" si="5">(H15/J15)*100</f>
        <v>75</v>
      </c>
      <c r="L15">
        <f>(K15-$T$9)/(100-$T$9)*100</f>
        <v>73.935708079930492</v>
      </c>
      <c r="M15" s="5"/>
    </row>
    <row r="16" spans="2:24" x14ac:dyDescent="0.35">
      <c r="B16" s="1" t="s">
        <v>16</v>
      </c>
      <c r="C16" s="1" t="s">
        <v>17</v>
      </c>
      <c r="D16" s="4" t="s">
        <v>23</v>
      </c>
      <c r="E16" s="4" t="s">
        <v>15</v>
      </c>
      <c r="F16" s="146"/>
      <c r="G16" s="6" t="s">
        <v>28</v>
      </c>
      <c r="H16" s="5">
        <v>16</v>
      </c>
      <c r="I16" s="5">
        <v>4</v>
      </c>
      <c r="J16" s="5">
        <f t="shared" si="2"/>
        <v>20</v>
      </c>
      <c r="K16" s="5">
        <f t="shared" si="5"/>
        <v>80</v>
      </c>
      <c r="L16">
        <f>(K16-$T$9)/(100-$T$9)*100</f>
        <v>79.148566463944391</v>
      </c>
      <c r="M16" s="5"/>
    </row>
    <row r="17" spans="2:14" x14ac:dyDescent="0.35">
      <c r="B17" s="1" t="s">
        <v>16</v>
      </c>
      <c r="C17" s="1" t="s">
        <v>17</v>
      </c>
      <c r="D17" s="4" t="s">
        <v>23</v>
      </c>
      <c r="E17" s="4" t="s">
        <v>15</v>
      </c>
      <c r="F17" s="146"/>
      <c r="G17" s="6" t="s">
        <v>28</v>
      </c>
      <c r="H17" s="5">
        <v>11</v>
      </c>
      <c r="I17" s="5">
        <v>8</v>
      </c>
      <c r="J17" s="5">
        <f t="shared" si="2"/>
        <v>19</v>
      </c>
      <c r="K17" s="5">
        <f t="shared" si="5"/>
        <v>57.894736842105267</v>
      </c>
      <c r="L17">
        <f t="shared" si="3"/>
        <v>56.102245187251356</v>
      </c>
      <c r="M17" s="5"/>
    </row>
    <row r="18" spans="2:14" x14ac:dyDescent="0.35">
      <c r="B18" s="1" t="s">
        <v>12</v>
      </c>
      <c r="C18" s="1" t="s">
        <v>13</v>
      </c>
      <c r="D18" s="8" t="s">
        <v>308</v>
      </c>
      <c r="E18" s="8" t="s">
        <v>15</v>
      </c>
      <c r="F18" s="146"/>
      <c r="G18" s="12" t="s">
        <v>24</v>
      </c>
      <c r="H18" s="11">
        <v>16</v>
      </c>
      <c r="I18" s="11">
        <v>5</v>
      </c>
      <c r="J18" s="11">
        <f t="shared" si="2"/>
        <v>21</v>
      </c>
      <c r="K18" s="13">
        <f t="shared" si="5"/>
        <v>76.19047619047619</v>
      </c>
      <c r="L18">
        <f>(K18-$T$9)/(100-$T$9)*100</f>
        <v>75.176864838029047</v>
      </c>
      <c r="M18" s="13">
        <f>AVERAGE(K18:K20)</f>
        <v>82.044498711165375</v>
      </c>
    </row>
    <row r="19" spans="2:14" x14ac:dyDescent="0.35">
      <c r="B19" s="1" t="s">
        <v>12</v>
      </c>
      <c r="C19" s="1" t="s">
        <v>13</v>
      </c>
      <c r="D19" s="8" t="s">
        <v>308</v>
      </c>
      <c r="E19" s="8" t="s">
        <v>15</v>
      </c>
      <c r="F19" s="146"/>
      <c r="G19" s="12" t="s">
        <v>24</v>
      </c>
      <c r="H19" s="11">
        <v>22</v>
      </c>
      <c r="I19" s="11">
        <v>5</v>
      </c>
      <c r="J19" s="11">
        <f t="shared" si="2"/>
        <v>27</v>
      </c>
      <c r="K19" s="13">
        <f t="shared" si="5"/>
        <v>81.481481481481481</v>
      </c>
      <c r="L19">
        <f t="shared" ref="L19:L34" si="6">(K19-$T$9)/(100-$T$9)*100</f>
        <v>80.693117096244819</v>
      </c>
      <c r="M19" s="11"/>
    </row>
    <row r="20" spans="2:14" x14ac:dyDescent="0.35">
      <c r="B20" s="1" t="s">
        <v>31</v>
      </c>
      <c r="C20" s="1" t="s">
        <v>13</v>
      </c>
      <c r="D20" s="8" t="s">
        <v>308</v>
      </c>
      <c r="E20" s="8" t="s">
        <v>15</v>
      </c>
      <c r="F20" s="146"/>
      <c r="G20" s="12" t="s">
        <v>24</v>
      </c>
      <c r="H20" s="11">
        <v>23</v>
      </c>
      <c r="I20" s="11">
        <v>3</v>
      </c>
      <c r="J20" s="11">
        <f t="shared" si="2"/>
        <v>26</v>
      </c>
      <c r="K20" s="13">
        <f t="shared" si="5"/>
        <v>88.461538461538453</v>
      </c>
      <c r="L20">
        <f t="shared" si="6"/>
        <v>87.970326806121761</v>
      </c>
      <c r="M20" s="11"/>
    </row>
    <row r="21" spans="2:14" x14ac:dyDescent="0.35">
      <c r="B21" s="1" t="s">
        <v>12</v>
      </c>
      <c r="C21" s="1" t="s">
        <v>13</v>
      </c>
      <c r="D21" s="8" t="s">
        <v>308</v>
      </c>
      <c r="E21" s="14" t="s">
        <v>15</v>
      </c>
      <c r="F21" s="146"/>
      <c r="G21" s="16" t="s">
        <v>24</v>
      </c>
      <c r="H21" s="15">
        <v>10</v>
      </c>
      <c r="I21" s="15">
        <v>12</v>
      </c>
      <c r="J21" s="15">
        <f t="shared" si="2"/>
        <v>22</v>
      </c>
      <c r="K21" s="17">
        <f t="shared" si="5"/>
        <v>45.454545454545453</v>
      </c>
      <c r="L21">
        <f t="shared" si="6"/>
        <v>43.13245399257562</v>
      </c>
      <c r="M21" s="15"/>
    </row>
    <row r="22" spans="2:14" x14ac:dyDescent="0.35">
      <c r="B22" s="1" t="s">
        <v>16</v>
      </c>
      <c r="C22" s="1" t="s">
        <v>17</v>
      </c>
      <c r="D22" s="8" t="s">
        <v>308</v>
      </c>
      <c r="E22" s="8" t="s">
        <v>15</v>
      </c>
      <c r="F22" s="146"/>
      <c r="G22" s="12" t="s">
        <v>24</v>
      </c>
      <c r="H22" s="11">
        <v>12</v>
      </c>
      <c r="I22" s="11">
        <v>9</v>
      </c>
      <c r="J22" s="11">
        <f t="shared" si="2"/>
        <v>21</v>
      </c>
      <c r="K22" s="13">
        <f t="shared" si="5"/>
        <v>57.142857142857139</v>
      </c>
      <c r="L22">
        <f t="shared" si="6"/>
        <v>55.318356708452264</v>
      </c>
      <c r="M22" s="13">
        <f>AVERAGE(K22:K26)</f>
        <v>64.010150375939844</v>
      </c>
      <c r="N22">
        <f>(M22-M15)/(100-M15)*100</f>
        <v>64.010150375939844</v>
      </c>
    </row>
    <row r="23" spans="2:14" x14ac:dyDescent="0.35">
      <c r="B23" s="1" t="s">
        <v>16</v>
      </c>
      <c r="C23" s="1" t="s">
        <v>17</v>
      </c>
      <c r="D23" s="8" t="s">
        <v>308</v>
      </c>
      <c r="E23" s="8" t="s">
        <v>15</v>
      </c>
      <c r="F23" s="146"/>
      <c r="G23" s="12" t="s">
        <v>24</v>
      </c>
      <c r="H23" s="11">
        <v>14</v>
      </c>
      <c r="I23" s="11">
        <v>11</v>
      </c>
      <c r="J23" s="11">
        <f t="shared" si="2"/>
        <v>25</v>
      </c>
      <c r="K23" s="13">
        <f t="shared" si="5"/>
        <v>56.000000000000007</v>
      </c>
      <c r="L23">
        <f t="shared" si="6"/>
        <v>54.12684622067767</v>
      </c>
      <c r="M23" s="11"/>
    </row>
    <row r="24" spans="2:14" x14ac:dyDescent="0.35">
      <c r="B24" s="1" t="s">
        <v>16</v>
      </c>
      <c r="C24" s="1" t="s">
        <v>17</v>
      </c>
      <c r="D24" s="8" t="s">
        <v>308</v>
      </c>
      <c r="E24" s="8" t="s">
        <v>15</v>
      </c>
      <c r="F24" s="146"/>
      <c r="G24" s="12" t="s">
        <v>24</v>
      </c>
      <c r="H24" s="11">
        <v>12</v>
      </c>
      <c r="I24" s="11">
        <v>7</v>
      </c>
      <c r="J24" s="11">
        <f t="shared" si="2"/>
        <v>19</v>
      </c>
      <c r="K24" s="13">
        <f t="shared" si="5"/>
        <v>63.157894736842103</v>
      </c>
      <c r="L24">
        <f t="shared" si="6"/>
        <v>61.589464538844929</v>
      </c>
      <c r="M24" s="11"/>
    </row>
    <row r="25" spans="2:14" x14ac:dyDescent="0.35">
      <c r="B25" s="1" t="s">
        <v>16</v>
      </c>
      <c r="C25" s="1" t="s">
        <v>17</v>
      </c>
      <c r="D25" s="8" t="s">
        <v>308</v>
      </c>
      <c r="E25" s="8" t="s">
        <v>15</v>
      </c>
      <c r="F25" s="146"/>
      <c r="G25" s="12" t="s">
        <v>24</v>
      </c>
      <c r="H25" s="11">
        <v>11</v>
      </c>
      <c r="I25" s="11">
        <v>5</v>
      </c>
      <c r="J25" s="11">
        <f t="shared" si="2"/>
        <v>16</v>
      </c>
      <c r="K25" s="13">
        <f t="shared" si="5"/>
        <v>68.75</v>
      </c>
      <c r="L25">
        <f t="shared" si="6"/>
        <v>67.419635099913123</v>
      </c>
      <c r="M25" s="11"/>
    </row>
    <row r="26" spans="2:14" x14ac:dyDescent="0.35">
      <c r="B26" s="1" t="s">
        <v>16</v>
      </c>
      <c r="C26" s="1" t="s">
        <v>17</v>
      </c>
      <c r="D26" s="8" t="s">
        <v>308</v>
      </c>
      <c r="E26" s="8" t="s">
        <v>15</v>
      </c>
      <c r="F26" s="146"/>
      <c r="G26" s="12" t="s">
        <v>24</v>
      </c>
      <c r="H26" s="11">
        <v>12</v>
      </c>
      <c r="I26" s="11">
        <v>4</v>
      </c>
      <c r="J26" s="11">
        <f t="shared" si="2"/>
        <v>16</v>
      </c>
      <c r="K26" s="13">
        <f t="shared" si="5"/>
        <v>75</v>
      </c>
      <c r="L26">
        <f t="shared" si="6"/>
        <v>73.935708079930492</v>
      </c>
      <c r="M26" s="11"/>
    </row>
    <row r="27" spans="2:14" x14ac:dyDescent="0.35">
      <c r="B27" s="1" t="s">
        <v>12</v>
      </c>
      <c r="C27" s="1" t="s">
        <v>13</v>
      </c>
      <c r="D27" s="10" t="s">
        <v>309</v>
      </c>
      <c r="E27" s="10" t="s">
        <v>15</v>
      </c>
      <c r="F27" s="146"/>
      <c r="G27" s="19" t="s">
        <v>24</v>
      </c>
      <c r="H27" s="18">
        <v>16</v>
      </c>
      <c r="I27" s="18">
        <v>4</v>
      </c>
      <c r="J27" s="18">
        <f t="shared" si="2"/>
        <v>20</v>
      </c>
      <c r="K27" s="18">
        <f t="shared" ref="K27:K35" si="7">H27/J27*100</f>
        <v>80</v>
      </c>
      <c r="L27">
        <f t="shared" si="6"/>
        <v>79.148566463944391</v>
      </c>
      <c r="M27" s="20">
        <f>AVERAGE(K27:K30)</f>
        <v>87.958333333333343</v>
      </c>
    </row>
    <row r="28" spans="2:14" x14ac:dyDescent="0.35">
      <c r="B28" s="1" t="s">
        <v>12</v>
      </c>
      <c r="C28" s="1" t="s">
        <v>13</v>
      </c>
      <c r="D28" s="10" t="s">
        <v>309</v>
      </c>
      <c r="E28" s="10" t="s">
        <v>15</v>
      </c>
      <c r="F28" s="146"/>
      <c r="G28" s="19" t="s">
        <v>24</v>
      </c>
      <c r="H28" s="18">
        <v>23</v>
      </c>
      <c r="I28" s="18">
        <v>1</v>
      </c>
      <c r="J28" s="18">
        <f t="shared" si="2"/>
        <v>24</v>
      </c>
      <c r="K28" s="18">
        <f t="shared" si="7"/>
        <v>95.833333333333343</v>
      </c>
      <c r="L28">
        <f t="shared" si="6"/>
        <v>95.655951346655087</v>
      </c>
      <c r="M28" s="20"/>
    </row>
    <row r="29" spans="2:14" x14ac:dyDescent="0.35">
      <c r="B29" s="1" t="s">
        <v>12</v>
      </c>
      <c r="C29" s="1" t="s">
        <v>13</v>
      </c>
      <c r="D29" s="10" t="s">
        <v>309</v>
      </c>
      <c r="E29" s="10" t="s">
        <v>15</v>
      </c>
      <c r="F29" s="146"/>
      <c r="G29" s="19" t="s">
        <v>24</v>
      </c>
      <c r="H29" s="18">
        <v>24</v>
      </c>
      <c r="I29" s="18">
        <v>1</v>
      </c>
      <c r="J29" s="18">
        <f t="shared" si="2"/>
        <v>25</v>
      </c>
      <c r="K29" s="18">
        <f t="shared" si="7"/>
        <v>96</v>
      </c>
      <c r="L29">
        <f t="shared" si="6"/>
        <v>95.829713292788881</v>
      </c>
      <c r="M29" s="20"/>
    </row>
    <row r="30" spans="2:14" x14ac:dyDescent="0.35">
      <c r="B30" s="1" t="s">
        <v>12</v>
      </c>
      <c r="C30" s="1" t="s">
        <v>13</v>
      </c>
      <c r="D30" s="10" t="s">
        <v>309</v>
      </c>
      <c r="E30" s="10" t="s">
        <v>15</v>
      </c>
      <c r="F30" s="146"/>
      <c r="G30" s="19" t="s">
        <v>24</v>
      </c>
      <c r="H30" s="18">
        <v>20</v>
      </c>
      <c r="I30" s="18">
        <v>5</v>
      </c>
      <c r="J30" s="18">
        <f t="shared" si="2"/>
        <v>25</v>
      </c>
      <c r="K30" s="18">
        <f t="shared" si="7"/>
        <v>80</v>
      </c>
      <c r="L30">
        <f t="shared" si="6"/>
        <v>79.148566463944391</v>
      </c>
      <c r="M30" s="20"/>
    </row>
    <row r="31" spans="2:14" x14ac:dyDescent="0.35">
      <c r="B31" s="1" t="s">
        <v>16</v>
      </c>
      <c r="C31" s="1" t="s">
        <v>17</v>
      </c>
      <c r="D31" s="10" t="s">
        <v>309</v>
      </c>
      <c r="E31" s="10" t="s">
        <v>15</v>
      </c>
      <c r="F31" s="146"/>
      <c r="G31" s="19" t="s">
        <v>24</v>
      </c>
      <c r="H31" s="18">
        <v>14</v>
      </c>
      <c r="I31" s="18">
        <v>9</v>
      </c>
      <c r="J31" s="18">
        <f t="shared" si="2"/>
        <v>23</v>
      </c>
      <c r="K31" s="18">
        <f t="shared" si="7"/>
        <v>60.869565217391312</v>
      </c>
      <c r="L31">
        <f t="shared" si="6"/>
        <v>59.203716994673819</v>
      </c>
      <c r="M31" s="20">
        <f>AVERAGE(K31:K33, K35)</f>
        <v>67.578595317725757</v>
      </c>
      <c r="N31">
        <f>(M31-M19)/(100-M19)*100</f>
        <v>67.578595317725757</v>
      </c>
    </row>
    <row r="32" spans="2:14" x14ac:dyDescent="0.35">
      <c r="B32" s="1" t="s">
        <v>16</v>
      </c>
      <c r="C32" s="1" t="s">
        <v>17</v>
      </c>
      <c r="D32" s="10" t="s">
        <v>309</v>
      </c>
      <c r="E32" s="10" t="s">
        <v>15</v>
      </c>
      <c r="F32" s="146"/>
      <c r="G32" s="19" t="s">
        <v>24</v>
      </c>
      <c r="H32" s="18">
        <v>20</v>
      </c>
      <c r="I32" s="18">
        <v>6</v>
      </c>
      <c r="J32" s="18">
        <f t="shared" si="2"/>
        <v>26</v>
      </c>
      <c r="K32" s="18">
        <f t="shared" si="7"/>
        <v>76.923076923076934</v>
      </c>
      <c r="L32">
        <f t="shared" si="6"/>
        <v>75.940653612243551</v>
      </c>
      <c r="M32" s="20"/>
    </row>
    <row r="33" spans="2:21" x14ac:dyDescent="0.35">
      <c r="B33" s="1" t="s">
        <v>16</v>
      </c>
      <c r="C33" s="1" t="s">
        <v>17</v>
      </c>
      <c r="D33" s="10" t="s">
        <v>309</v>
      </c>
      <c r="E33" s="10" t="s">
        <v>15</v>
      </c>
      <c r="F33" s="146"/>
      <c r="G33" s="19" t="s">
        <v>24</v>
      </c>
      <c r="H33" s="18">
        <v>13</v>
      </c>
      <c r="I33" s="18">
        <v>10</v>
      </c>
      <c r="J33" s="18">
        <f t="shared" si="2"/>
        <v>23</v>
      </c>
      <c r="K33" s="18">
        <f t="shared" si="7"/>
        <v>56.521739130434781</v>
      </c>
      <c r="L33">
        <f t="shared" si="6"/>
        <v>54.670796660748678</v>
      </c>
      <c r="M33" s="20"/>
    </row>
    <row r="34" spans="2:21" x14ac:dyDescent="0.35">
      <c r="B34" s="1" t="s">
        <v>16</v>
      </c>
      <c r="C34" s="1" t="s">
        <v>17</v>
      </c>
      <c r="D34" s="10" t="s">
        <v>309</v>
      </c>
      <c r="E34" s="10" t="s">
        <v>15</v>
      </c>
      <c r="F34" s="146"/>
      <c r="G34" s="19" t="s">
        <v>24</v>
      </c>
      <c r="H34" s="18">
        <v>26</v>
      </c>
      <c r="I34" s="18">
        <v>0</v>
      </c>
      <c r="J34" s="18">
        <f t="shared" si="2"/>
        <v>26</v>
      </c>
      <c r="K34" s="18">
        <f t="shared" si="7"/>
        <v>100</v>
      </c>
      <c r="L34">
        <f t="shared" si="6"/>
        <v>100</v>
      </c>
      <c r="M34" s="20"/>
    </row>
    <row r="35" spans="2:21" x14ac:dyDescent="0.35">
      <c r="B35" s="1" t="s">
        <v>16</v>
      </c>
      <c r="C35" s="1" t="s">
        <v>17</v>
      </c>
      <c r="D35" s="10" t="s">
        <v>309</v>
      </c>
      <c r="E35" s="10" t="s">
        <v>15</v>
      </c>
      <c r="F35" s="146"/>
      <c r="G35" s="19" t="s">
        <v>24</v>
      </c>
      <c r="H35" s="18">
        <v>19</v>
      </c>
      <c r="I35" s="18">
        <v>6</v>
      </c>
      <c r="J35" s="18">
        <f t="shared" si="2"/>
        <v>25</v>
      </c>
      <c r="K35" s="18">
        <f t="shared" si="7"/>
        <v>76</v>
      </c>
      <c r="L35">
        <f>(K35-$T$9)/(100-$T$9)*100</f>
        <v>74.978279756733286</v>
      </c>
      <c r="M35" s="20"/>
    </row>
    <row r="37" spans="2:21" ht="21" x14ac:dyDescent="0.5">
      <c r="B37" s="105" t="s">
        <v>338</v>
      </c>
    </row>
    <row r="39" spans="2:21" x14ac:dyDescent="0.35">
      <c r="B39" s="1" t="s">
        <v>0</v>
      </c>
      <c r="C39" s="1" t="s">
        <v>1</v>
      </c>
      <c r="D39" s="1" t="s">
        <v>2</v>
      </c>
      <c r="E39" s="1" t="s">
        <v>3</v>
      </c>
      <c r="F39" s="1" t="s">
        <v>4</v>
      </c>
      <c r="G39" s="1" t="s">
        <v>5</v>
      </c>
      <c r="H39" s="1" t="s">
        <v>6</v>
      </c>
      <c r="I39" s="1" t="s">
        <v>7</v>
      </c>
      <c r="J39" s="1" t="s">
        <v>8</v>
      </c>
      <c r="K39" s="1" t="s">
        <v>9</v>
      </c>
      <c r="L39" s="1" t="s">
        <v>44</v>
      </c>
      <c r="M39" s="1" t="s">
        <v>11</v>
      </c>
    </row>
    <row r="40" spans="2:21" x14ac:dyDescent="0.35">
      <c r="B40" s="1" t="s">
        <v>12</v>
      </c>
      <c r="C40" s="1" t="s">
        <v>33</v>
      </c>
      <c r="D40" s="1" t="s">
        <v>14</v>
      </c>
      <c r="E40" t="s">
        <v>15</v>
      </c>
      <c r="F40" s="145" t="s">
        <v>41</v>
      </c>
      <c r="G40" s="2">
        <v>0</v>
      </c>
      <c r="H40">
        <v>0</v>
      </c>
      <c r="I40">
        <v>23</v>
      </c>
      <c r="J40">
        <f t="shared" ref="J40:J48" si="8">SUM(H40:I40)</f>
        <v>23</v>
      </c>
      <c r="K40" s="3">
        <f t="shared" ref="K40:K55" si="9">(H40/J40)*100</f>
        <v>0</v>
      </c>
      <c r="M40" s="3">
        <f>AVERAGE(K40:K41)</f>
        <v>0</v>
      </c>
    </row>
    <row r="41" spans="2:21" x14ac:dyDescent="0.35">
      <c r="B41" s="1" t="s">
        <v>12</v>
      </c>
      <c r="C41" s="1" t="s">
        <v>33</v>
      </c>
      <c r="D41" s="1" t="s">
        <v>14</v>
      </c>
      <c r="E41" t="s">
        <v>15</v>
      </c>
      <c r="F41" s="145"/>
      <c r="G41" s="2">
        <v>0</v>
      </c>
      <c r="H41">
        <v>0</v>
      </c>
      <c r="I41">
        <v>18</v>
      </c>
      <c r="J41">
        <f t="shared" si="8"/>
        <v>18</v>
      </c>
      <c r="K41" s="3">
        <f t="shared" si="9"/>
        <v>0</v>
      </c>
    </row>
    <row r="42" spans="2:21" x14ac:dyDescent="0.35">
      <c r="B42" s="1" t="s">
        <v>16</v>
      </c>
      <c r="C42" s="1" t="s">
        <v>36</v>
      </c>
      <c r="D42" s="1" t="s">
        <v>14</v>
      </c>
      <c r="E42" t="s">
        <v>15</v>
      </c>
      <c r="F42" s="145"/>
      <c r="G42" s="2">
        <v>0</v>
      </c>
      <c r="H42">
        <v>0</v>
      </c>
      <c r="I42">
        <v>25</v>
      </c>
      <c r="J42">
        <f t="shared" si="8"/>
        <v>25</v>
      </c>
      <c r="K42" s="3">
        <f t="shared" si="9"/>
        <v>0</v>
      </c>
      <c r="M42" s="3">
        <f>AVERAGE(K42:K43)</f>
        <v>7.8947368421052628</v>
      </c>
      <c r="N42">
        <v>0</v>
      </c>
    </row>
    <row r="43" spans="2:21" x14ac:dyDescent="0.35">
      <c r="B43" s="1" t="s">
        <v>16</v>
      </c>
      <c r="C43" s="1" t="s">
        <v>36</v>
      </c>
      <c r="D43" s="1" t="s">
        <v>14</v>
      </c>
      <c r="E43" t="s">
        <v>15</v>
      </c>
      <c r="F43" s="145"/>
      <c r="G43" s="2">
        <v>1</v>
      </c>
      <c r="H43">
        <v>3</v>
      </c>
      <c r="I43">
        <v>16</v>
      </c>
      <c r="J43">
        <f t="shared" si="8"/>
        <v>19</v>
      </c>
      <c r="K43" s="3">
        <f t="shared" si="9"/>
        <v>15.789473684210526</v>
      </c>
    </row>
    <row r="44" spans="2:21" x14ac:dyDescent="0.35">
      <c r="B44" s="1" t="s">
        <v>16</v>
      </c>
      <c r="C44" s="1" t="s">
        <v>37</v>
      </c>
      <c r="D44" s="1" t="s">
        <v>14</v>
      </c>
      <c r="E44" s="1" t="s">
        <v>15</v>
      </c>
      <c r="F44" s="145"/>
      <c r="G44" s="2">
        <v>1</v>
      </c>
      <c r="H44">
        <v>2</v>
      </c>
      <c r="I44">
        <v>25</v>
      </c>
      <c r="J44">
        <f t="shared" si="8"/>
        <v>27</v>
      </c>
      <c r="K44" s="3">
        <f t="shared" si="9"/>
        <v>7.4074074074074066</v>
      </c>
      <c r="M44" s="3">
        <f>AVERAGE(K44:K46)</f>
        <v>11.435997400909683</v>
      </c>
      <c r="N44">
        <v>0</v>
      </c>
    </row>
    <row r="45" spans="2:21" x14ac:dyDescent="0.35">
      <c r="B45" s="1" t="s">
        <v>16</v>
      </c>
      <c r="C45" s="1" t="s">
        <v>37</v>
      </c>
      <c r="D45" s="1" t="s">
        <v>14</v>
      </c>
      <c r="E45" s="1" t="s">
        <v>15</v>
      </c>
      <c r="F45" s="145"/>
      <c r="G45" s="2">
        <v>3</v>
      </c>
      <c r="H45">
        <v>2</v>
      </c>
      <c r="I45">
        <v>16</v>
      </c>
      <c r="J45">
        <f t="shared" si="8"/>
        <v>18</v>
      </c>
      <c r="K45" s="3">
        <f t="shared" si="9"/>
        <v>11.111111111111111</v>
      </c>
    </row>
    <row r="46" spans="2:21" x14ac:dyDescent="0.35">
      <c r="B46" s="1" t="s">
        <v>16</v>
      </c>
      <c r="C46" s="1" t="s">
        <v>37</v>
      </c>
      <c r="D46" s="1" t="s">
        <v>14</v>
      </c>
      <c r="E46" s="1" t="s">
        <v>15</v>
      </c>
      <c r="F46" s="145"/>
      <c r="G46" s="2">
        <v>1</v>
      </c>
      <c r="H46">
        <v>3</v>
      </c>
      <c r="I46">
        <v>16</v>
      </c>
      <c r="J46">
        <f t="shared" si="8"/>
        <v>19</v>
      </c>
      <c r="K46" s="3">
        <f t="shared" si="9"/>
        <v>15.789473684210526</v>
      </c>
      <c r="Q46" s="1"/>
      <c r="U46" s="9"/>
    </row>
    <row r="47" spans="2:21" x14ac:dyDescent="0.35">
      <c r="B47" s="1" t="s">
        <v>16</v>
      </c>
      <c r="C47" s="1" t="s">
        <v>38</v>
      </c>
      <c r="D47" s="1" t="s">
        <v>14</v>
      </c>
      <c r="E47" t="s">
        <v>15</v>
      </c>
      <c r="F47" s="145"/>
      <c r="G47" s="2">
        <v>0</v>
      </c>
      <c r="H47">
        <v>1</v>
      </c>
      <c r="I47">
        <v>24</v>
      </c>
      <c r="J47">
        <f t="shared" si="8"/>
        <v>25</v>
      </c>
      <c r="K47" s="3">
        <f t="shared" si="9"/>
        <v>4</v>
      </c>
      <c r="M47" s="3">
        <f>AVERAGE(K47:K48)</f>
        <v>6</v>
      </c>
      <c r="N47">
        <f>(M47-M47)/(100-M47)*100</f>
        <v>0</v>
      </c>
    </row>
    <row r="48" spans="2:21" x14ac:dyDescent="0.35">
      <c r="B48" s="1" t="s">
        <v>16</v>
      </c>
      <c r="C48" s="1" t="s">
        <v>38</v>
      </c>
      <c r="D48" s="1" t="s">
        <v>14</v>
      </c>
      <c r="E48" t="s">
        <v>15</v>
      </c>
      <c r="F48" s="145"/>
      <c r="G48" s="2">
        <v>0</v>
      </c>
      <c r="H48">
        <v>2</v>
      </c>
      <c r="I48">
        <v>23</v>
      </c>
      <c r="J48">
        <f t="shared" si="8"/>
        <v>25</v>
      </c>
      <c r="K48" s="3">
        <f t="shared" si="9"/>
        <v>8</v>
      </c>
    </row>
    <row r="49" spans="2:22" x14ac:dyDescent="0.35">
      <c r="B49" s="1" t="s">
        <v>16</v>
      </c>
      <c r="C49" s="1" t="s">
        <v>17</v>
      </c>
      <c r="D49" s="1" t="s">
        <v>14</v>
      </c>
      <c r="E49" t="s">
        <v>15</v>
      </c>
      <c r="F49" s="145"/>
      <c r="G49" s="2">
        <v>0</v>
      </c>
      <c r="H49">
        <v>2</v>
      </c>
      <c r="I49">
        <v>30</v>
      </c>
      <c r="J49">
        <f t="shared" ref="J49" si="10">SUM(H49:I49)</f>
        <v>32</v>
      </c>
      <c r="K49" s="3">
        <f t="shared" si="9"/>
        <v>6.25</v>
      </c>
      <c r="M49" s="3">
        <f>AVERAGE(K49:K49)</f>
        <v>6.25</v>
      </c>
      <c r="N49">
        <f>(M49-M49)/(100-M49)*100</f>
        <v>0</v>
      </c>
    </row>
    <row r="50" spans="2:22" x14ac:dyDescent="0.35">
      <c r="B50" s="1" t="s">
        <v>12</v>
      </c>
      <c r="C50" s="1" t="s">
        <v>33</v>
      </c>
      <c r="D50" s="4" t="s">
        <v>23</v>
      </c>
      <c r="E50" s="5" t="s">
        <v>15</v>
      </c>
      <c r="F50" s="145"/>
      <c r="G50" s="6" t="s">
        <v>24</v>
      </c>
      <c r="H50" s="5">
        <v>20</v>
      </c>
      <c r="I50" s="5">
        <v>0</v>
      </c>
      <c r="J50" s="5">
        <f>SUM(H50:I50)</f>
        <v>20</v>
      </c>
      <c r="K50" s="5">
        <f t="shared" si="9"/>
        <v>100</v>
      </c>
      <c r="L50">
        <v>100</v>
      </c>
      <c r="M50" s="7">
        <f>AVERAGE(K50:K55)</f>
        <v>93.867243867243872</v>
      </c>
    </row>
    <row r="51" spans="2:22" x14ac:dyDescent="0.35">
      <c r="B51" s="1" t="s">
        <v>12</v>
      </c>
      <c r="C51" s="1" t="s">
        <v>33</v>
      </c>
      <c r="D51" s="4" t="s">
        <v>23</v>
      </c>
      <c r="E51" s="5" t="s">
        <v>15</v>
      </c>
      <c r="F51" s="145"/>
      <c r="G51" s="6" t="s">
        <v>24</v>
      </c>
      <c r="H51" s="5">
        <v>21</v>
      </c>
      <c r="I51" s="5">
        <v>0</v>
      </c>
      <c r="J51" s="5">
        <f>SUM(H51:I51)</f>
        <v>21</v>
      </c>
      <c r="K51" s="5">
        <f t="shared" si="9"/>
        <v>100</v>
      </c>
      <c r="L51">
        <v>100</v>
      </c>
      <c r="M51" s="5"/>
    </row>
    <row r="52" spans="2:22" x14ac:dyDescent="0.35">
      <c r="B52" s="1" t="s">
        <v>12</v>
      </c>
      <c r="C52" s="1" t="s">
        <v>33</v>
      </c>
      <c r="D52" s="4" t="s">
        <v>23</v>
      </c>
      <c r="E52" s="5" t="s">
        <v>15</v>
      </c>
      <c r="F52" s="145"/>
      <c r="G52" s="6" t="s">
        <v>24</v>
      </c>
      <c r="H52" s="5">
        <v>21</v>
      </c>
      <c r="I52" s="5">
        <v>0</v>
      </c>
      <c r="J52" s="5">
        <f t="shared" ref="J52:J55" si="11">SUM(H52:I52)</f>
        <v>21</v>
      </c>
      <c r="K52" s="5">
        <f t="shared" si="9"/>
        <v>100</v>
      </c>
      <c r="L52">
        <v>100</v>
      </c>
      <c r="M52" s="5"/>
    </row>
    <row r="53" spans="2:22" x14ac:dyDescent="0.35">
      <c r="B53" s="1" t="s">
        <v>12</v>
      </c>
      <c r="C53" s="1" t="s">
        <v>33</v>
      </c>
      <c r="D53" s="4" t="s">
        <v>23</v>
      </c>
      <c r="E53" s="5" t="s">
        <v>15</v>
      </c>
      <c r="F53" s="145"/>
      <c r="G53" s="6" t="s">
        <v>24</v>
      </c>
      <c r="H53" s="5">
        <v>21</v>
      </c>
      <c r="I53" s="5">
        <v>0</v>
      </c>
      <c r="J53" s="5">
        <f t="shared" si="11"/>
        <v>21</v>
      </c>
      <c r="K53" s="5">
        <f t="shared" si="9"/>
        <v>100</v>
      </c>
      <c r="L53">
        <v>100</v>
      </c>
      <c r="M53" s="5"/>
    </row>
    <row r="54" spans="2:22" x14ac:dyDescent="0.35">
      <c r="B54" s="1" t="s">
        <v>12</v>
      </c>
      <c r="C54" s="1" t="s">
        <v>33</v>
      </c>
      <c r="D54" s="4" t="s">
        <v>23</v>
      </c>
      <c r="E54" s="5" t="s">
        <v>15</v>
      </c>
      <c r="F54" s="145"/>
      <c r="G54" s="6" t="s">
        <v>24</v>
      </c>
      <c r="H54" s="5">
        <v>19</v>
      </c>
      <c r="I54" s="5">
        <v>2</v>
      </c>
      <c r="J54" s="5">
        <f t="shared" si="11"/>
        <v>21</v>
      </c>
      <c r="K54" s="5">
        <f t="shared" si="9"/>
        <v>90.476190476190482</v>
      </c>
      <c r="L54">
        <v>89.777509130186345</v>
      </c>
      <c r="M54" s="5"/>
    </row>
    <row r="55" spans="2:22" x14ac:dyDescent="0.35">
      <c r="B55" s="1" t="s">
        <v>12</v>
      </c>
      <c r="C55" s="1" t="s">
        <v>33</v>
      </c>
      <c r="D55" s="4" t="s">
        <v>23</v>
      </c>
      <c r="E55" s="5" t="s">
        <v>15</v>
      </c>
      <c r="F55" s="145"/>
      <c r="G55" s="6" t="s">
        <v>39</v>
      </c>
      <c r="H55" s="5">
        <v>16</v>
      </c>
      <c r="I55" s="5">
        <v>6</v>
      </c>
      <c r="J55" s="5">
        <f t="shared" si="11"/>
        <v>22</v>
      </c>
      <c r="K55" s="5">
        <f t="shared" si="9"/>
        <v>72.727272727272734</v>
      </c>
      <c r="L55">
        <v>70.726503418260876</v>
      </c>
      <c r="M55" s="5"/>
    </row>
    <row r="56" spans="2:22" x14ac:dyDescent="0.35">
      <c r="B56" s="1" t="s">
        <v>16</v>
      </c>
      <c r="C56" s="1" t="s">
        <v>36</v>
      </c>
      <c r="D56" s="4" t="s">
        <v>23</v>
      </c>
      <c r="E56" s="5" t="s">
        <v>15</v>
      </c>
      <c r="F56" s="145"/>
      <c r="G56" s="6" t="s">
        <v>24</v>
      </c>
      <c r="H56" s="5">
        <v>20</v>
      </c>
      <c r="I56" s="5">
        <v>4</v>
      </c>
      <c r="J56" s="5">
        <f>SUM(H56:I56)</f>
        <v>24</v>
      </c>
      <c r="K56" s="5">
        <f>(H56/J56)*100</f>
        <v>83.333333333333343</v>
      </c>
      <c r="L56">
        <v>82.110640977826094</v>
      </c>
      <c r="M56" s="7">
        <f>AVERAGE(K56:K61)</f>
        <v>94.681861348528017</v>
      </c>
      <c r="N56">
        <f>((M56-M54))/M56*100</f>
        <v>100</v>
      </c>
    </row>
    <row r="57" spans="2:22" x14ac:dyDescent="0.35">
      <c r="B57" s="1" t="s">
        <v>16</v>
      </c>
      <c r="C57" s="1" t="s">
        <v>36</v>
      </c>
      <c r="D57" s="4" t="s">
        <v>23</v>
      </c>
      <c r="E57" s="5" t="s">
        <v>15</v>
      </c>
      <c r="F57" s="145"/>
      <c r="G57" s="6" t="s">
        <v>24</v>
      </c>
      <c r="H57" s="5">
        <v>32</v>
      </c>
      <c r="I57" s="5">
        <v>0</v>
      </c>
      <c r="J57" s="5">
        <f>SUM(H57:I57)</f>
        <v>32</v>
      </c>
      <c r="K57" s="5">
        <f>(H57/J57)*100</f>
        <v>100</v>
      </c>
      <c r="L57">
        <v>100</v>
      </c>
      <c r="M57" s="5"/>
    </row>
    <row r="58" spans="2:22" x14ac:dyDescent="0.35">
      <c r="B58" s="1" t="s">
        <v>16</v>
      </c>
      <c r="C58" s="1" t="s">
        <v>36</v>
      </c>
      <c r="D58" s="4" t="s">
        <v>23</v>
      </c>
      <c r="E58" s="5" t="s">
        <v>15</v>
      </c>
      <c r="F58" s="145"/>
      <c r="G58" s="6" t="s">
        <v>39</v>
      </c>
      <c r="H58" s="5">
        <v>23</v>
      </c>
      <c r="I58" s="5">
        <v>3</v>
      </c>
      <c r="J58" s="5">
        <f t="shared" ref="J58:J61" si="12">SUM(H58:I58)</f>
        <v>26</v>
      </c>
      <c r="K58" s="5">
        <f t="shared" ref="K58:K61" si="13">(H58/J58)*100</f>
        <v>88.461538461538453</v>
      </c>
      <c r="L58">
        <v>87.615059138494971</v>
      </c>
      <c r="M58" s="5"/>
    </row>
    <row r="59" spans="2:22" x14ac:dyDescent="0.35">
      <c r="B59" s="1" t="s">
        <v>16</v>
      </c>
      <c r="C59" s="1" t="s">
        <v>36</v>
      </c>
      <c r="D59" s="4" t="s">
        <v>23</v>
      </c>
      <c r="E59" s="5" t="s">
        <v>15</v>
      </c>
      <c r="F59" s="145"/>
      <c r="G59" s="6" t="s">
        <v>24</v>
      </c>
      <c r="H59" s="5">
        <v>26</v>
      </c>
      <c r="I59" s="5">
        <v>1</v>
      </c>
      <c r="J59" s="5">
        <f t="shared" si="12"/>
        <v>27</v>
      </c>
      <c r="K59" s="5">
        <f t="shared" si="13"/>
        <v>96.296296296296291</v>
      </c>
      <c r="L59">
        <v>96.024586883961348</v>
      </c>
      <c r="M59" s="5"/>
      <c r="Q59" s="1" t="s">
        <v>18</v>
      </c>
      <c r="R59" s="1" t="s">
        <v>19</v>
      </c>
      <c r="S59" s="1" t="s">
        <v>34</v>
      </c>
      <c r="T59" s="1" t="s">
        <v>306</v>
      </c>
      <c r="U59" s="1" t="s">
        <v>10</v>
      </c>
      <c r="V59" s="1" t="s">
        <v>35</v>
      </c>
    </row>
    <row r="60" spans="2:22" x14ac:dyDescent="0.35">
      <c r="B60" s="1" t="s">
        <v>16</v>
      </c>
      <c r="C60" s="1" t="s">
        <v>36</v>
      </c>
      <c r="D60" s="4" t="s">
        <v>23</v>
      </c>
      <c r="E60" s="5" t="s">
        <v>15</v>
      </c>
      <c r="F60" s="145"/>
      <c r="G60" s="6" t="s">
        <v>24</v>
      </c>
      <c r="H60" s="5">
        <v>23</v>
      </c>
      <c r="I60" s="5">
        <v>0</v>
      </c>
      <c r="J60" s="5">
        <f t="shared" si="12"/>
        <v>23</v>
      </c>
      <c r="K60" s="5">
        <f t="shared" si="13"/>
        <v>100</v>
      </c>
      <c r="L60">
        <v>100</v>
      </c>
      <c r="M60" s="5"/>
      <c r="P60" s="1" t="s">
        <v>14</v>
      </c>
      <c r="Q60">
        <f>SUM(I40:I49)</f>
        <v>216</v>
      </c>
      <c r="R60">
        <f>SUM(H40:H49)</f>
        <v>15</v>
      </c>
      <c r="S60">
        <v>0</v>
      </c>
      <c r="T60" s="3">
        <f>AVERAGE(K40:K49)</f>
        <v>6.8347465886939576</v>
      </c>
      <c r="U60">
        <f>(T60-T60)/(100-T60)*100</f>
        <v>0</v>
      </c>
      <c r="V60" s="9">
        <f>STDEV(K40:K49)/SQRT(COUNT(K40:K49))</f>
        <v>1.9115622574070648</v>
      </c>
    </row>
    <row r="61" spans="2:22" x14ac:dyDescent="0.35">
      <c r="B61" s="1" t="s">
        <v>16</v>
      </c>
      <c r="C61" s="1" t="s">
        <v>36</v>
      </c>
      <c r="D61" s="4" t="s">
        <v>23</v>
      </c>
      <c r="E61" s="5" t="s">
        <v>15</v>
      </c>
      <c r="F61" s="145"/>
      <c r="G61" s="6" t="s">
        <v>24</v>
      </c>
      <c r="H61" s="5">
        <v>21</v>
      </c>
      <c r="I61" s="5">
        <v>0</v>
      </c>
      <c r="J61" s="5">
        <f t="shared" si="12"/>
        <v>21</v>
      </c>
      <c r="K61" s="5">
        <f t="shared" si="13"/>
        <v>100</v>
      </c>
      <c r="L61">
        <v>100</v>
      </c>
      <c r="M61" s="5"/>
      <c r="P61" s="4" t="s">
        <v>23</v>
      </c>
      <c r="Q61" s="5">
        <f>SUM(I50:I76)</f>
        <v>49</v>
      </c>
      <c r="R61" s="5">
        <f>SUM(H50:H76)</f>
        <v>653</v>
      </c>
      <c r="S61">
        <v>100</v>
      </c>
      <c r="T61" s="7">
        <f>AVERAGE(K50:K76)</f>
        <v>92.923096273811822</v>
      </c>
      <c r="U61">
        <f>(T61-T60)/(100-T60)*100</f>
        <v>92.403923708611558</v>
      </c>
      <c r="V61" s="7">
        <f>STDEV(K50:K76)/SQRT(COUNT(K50:K76))</f>
        <v>1.2160318738213167</v>
      </c>
    </row>
    <row r="62" spans="2:22" x14ac:dyDescent="0.35">
      <c r="B62" s="1" t="s">
        <v>16</v>
      </c>
      <c r="C62" s="1" t="s">
        <v>37</v>
      </c>
      <c r="D62" s="4" t="s">
        <v>23</v>
      </c>
      <c r="E62" s="4" t="s">
        <v>15</v>
      </c>
      <c r="F62" s="145"/>
      <c r="G62" s="6" t="s">
        <v>24</v>
      </c>
      <c r="H62" s="5">
        <v>31</v>
      </c>
      <c r="I62" s="5">
        <v>1</v>
      </c>
      <c r="J62" s="5">
        <f>SUM(H62:I62)</f>
        <v>32</v>
      </c>
      <c r="K62" s="5">
        <f>(H62/J62)*100</f>
        <v>96.875</v>
      </c>
      <c r="L62">
        <v>96.645745183342385</v>
      </c>
      <c r="M62" s="7">
        <f>AVERAGE(K62:K69)</f>
        <v>93.130321123768695</v>
      </c>
      <c r="N62">
        <f>((M62-M59))/(100-M59)*100</f>
        <v>93.130321123768695</v>
      </c>
      <c r="P62" s="8" t="s">
        <v>311</v>
      </c>
      <c r="Q62" s="11">
        <f>SUM(I77:I91,I93:I103)</f>
        <v>42</v>
      </c>
      <c r="R62" s="11">
        <f>SUM(H77:H91,H93:H103)</f>
        <v>576</v>
      </c>
      <c r="S62">
        <v>100</v>
      </c>
      <c r="T62" s="13">
        <f>AVERAGE(K77:K91,K93:K103)</f>
        <v>92.834783767545886</v>
      </c>
      <c r="U62">
        <f>(T62-T60)/(100-T60)*100</f>
        <v>92.309132460767202</v>
      </c>
      <c r="V62" s="13">
        <f>STDEV(K77:K91,K93:K103)/SQRT(COUNT(K77:K81,K93:K103))</f>
        <v>1.5767871019013171</v>
      </c>
    </row>
    <row r="63" spans="2:22" x14ac:dyDescent="0.35">
      <c r="B63" s="1" t="s">
        <v>16</v>
      </c>
      <c r="C63" s="1" t="s">
        <v>37</v>
      </c>
      <c r="D63" s="4" t="s">
        <v>23</v>
      </c>
      <c r="E63" s="4" t="s">
        <v>15</v>
      </c>
      <c r="F63" s="145"/>
      <c r="G63" s="6" t="s">
        <v>24</v>
      </c>
      <c r="H63" s="5">
        <v>28</v>
      </c>
      <c r="I63" s="5">
        <v>3</v>
      </c>
      <c r="J63" s="5">
        <f>SUM(H63:I63)</f>
        <v>31</v>
      </c>
      <c r="K63" s="5">
        <f>(H63/J63)*100</f>
        <v>90.322580645161281</v>
      </c>
      <c r="L63">
        <v>89.612630245189322</v>
      </c>
      <c r="M63" s="5"/>
      <c r="P63" s="10" t="s">
        <v>310</v>
      </c>
      <c r="Q63" s="18">
        <f>SUM(I104:I130)</f>
        <v>20</v>
      </c>
      <c r="R63" s="18">
        <f>SUM(H104:H130)</f>
        <v>646</v>
      </c>
      <c r="S63">
        <v>100</v>
      </c>
      <c r="T63" s="20">
        <f>AVERAGE(K104:K130)</f>
        <v>96.971494312650137</v>
      </c>
      <c r="U63">
        <f>(T63-T60)/(100-T60)*100</f>
        <v>96.749318467498156</v>
      </c>
      <c r="V63" s="20">
        <f>STDEV(K104:K130)/SQRT(COUNT(K104:K130))</f>
        <v>0.92456447207170445</v>
      </c>
    </row>
    <row r="64" spans="2:22" x14ac:dyDescent="0.35">
      <c r="B64" s="1" t="s">
        <v>16</v>
      </c>
      <c r="C64" s="1" t="s">
        <v>37</v>
      </c>
      <c r="D64" s="4" t="s">
        <v>23</v>
      </c>
      <c r="E64" s="4" t="s">
        <v>15</v>
      </c>
      <c r="F64" s="145"/>
      <c r="G64" s="6" t="s">
        <v>39</v>
      </c>
      <c r="H64" s="5">
        <v>30</v>
      </c>
      <c r="I64" s="5">
        <v>2</v>
      </c>
      <c r="J64" s="5">
        <f t="shared" ref="J64:J69" si="14">SUM(H64:I64)</f>
        <v>32</v>
      </c>
      <c r="K64" s="5">
        <f t="shared" ref="K64:K69" si="15">(H64/J64)*100</f>
        <v>93.75</v>
      </c>
      <c r="L64">
        <v>93.291490366684783</v>
      </c>
      <c r="M64" s="5"/>
    </row>
    <row r="65" spans="2:14" x14ac:dyDescent="0.35">
      <c r="B65" s="1" t="s">
        <v>16</v>
      </c>
      <c r="C65" s="1" t="s">
        <v>37</v>
      </c>
      <c r="D65" s="4" t="s">
        <v>23</v>
      </c>
      <c r="E65" s="4" t="s">
        <v>15</v>
      </c>
      <c r="F65" s="145"/>
      <c r="G65" s="6" t="s">
        <v>24</v>
      </c>
      <c r="H65" s="5">
        <v>23</v>
      </c>
      <c r="I65" s="5">
        <v>2</v>
      </c>
      <c r="J65" s="5">
        <f t="shared" si="14"/>
        <v>25</v>
      </c>
      <c r="K65" s="5">
        <f t="shared" si="15"/>
        <v>92</v>
      </c>
      <c r="L65">
        <v>91.413107669356521</v>
      </c>
      <c r="M65" s="5"/>
    </row>
    <row r="66" spans="2:14" x14ac:dyDescent="0.35">
      <c r="B66" s="1" t="s">
        <v>16</v>
      </c>
      <c r="C66" s="1" t="s">
        <v>37</v>
      </c>
      <c r="D66" s="4" t="s">
        <v>23</v>
      </c>
      <c r="E66" s="4" t="s">
        <v>15</v>
      </c>
      <c r="F66" s="145"/>
      <c r="G66" s="6" t="s">
        <v>24</v>
      </c>
      <c r="H66" s="5">
        <v>30</v>
      </c>
      <c r="I66" s="5">
        <v>2</v>
      </c>
      <c r="J66" s="5">
        <f t="shared" si="14"/>
        <v>32</v>
      </c>
      <c r="K66" s="5">
        <f t="shared" si="15"/>
        <v>93.75</v>
      </c>
      <c r="L66">
        <v>93.291490366684783</v>
      </c>
      <c r="M66" s="5"/>
    </row>
    <row r="67" spans="2:14" x14ac:dyDescent="0.35">
      <c r="B67" s="1" t="s">
        <v>16</v>
      </c>
      <c r="C67" s="1" t="s">
        <v>37</v>
      </c>
      <c r="D67" s="4" t="s">
        <v>23</v>
      </c>
      <c r="E67" s="4" t="s">
        <v>15</v>
      </c>
      <c r="F67" s="145"/>
      <c r="G67" s="6" t="s">
        <v>24</v>
      </c>
      <c r="H67" s="5">
        <v>27</v>
      </c>
      <c r="I67" s="5">
        <v>3</v>
      </c>
      <c r="J67" s="5">
        <f t="shared" si="14"/>
        <v>30</v>
      </c>
      <c r="K67" s="5">
        <f t="shared" si="15"/>
        <v>90</v>
      </c>
      <c r="L67">
        <v>89.266384586695651</v>
      </c>
      <c r="M67" s="5"/>
    </row>
    <row r="68" spans="2:14" x14ac:dyDescent="0.35">
      <c r="B68" s="1" t="s">
        <v>16</v>
      </c>
      <c r="C68" s="1" t="s">
        <v>37</v>
      </c>
      <c r="D68" s="4" t="s">
        <v>23</v>
      </c>
      <c r="E68" s="4" t="s">
        <v>15</v>
      </c>
      <c r="F68" s="145"/>
      <c r="G68" s="6" t="s">
        <v>24</v>
      </c>
      <c r="H68" s="5">
        <v>38</v>
      </c>
      <c r="I68" s="5">
        <v>1</v>
      </c>
      <c r="J68" s="5">
        <f t="shared" si="14"/>
        <v>39</v>
      </c>
      <c r="K68" s="5">
        <f t="shared" si="15"/>
        <v>97.435897435897431</v>
      </c>
      <c r="L68">
        <v>97.247790919665547</v>
      </c>
      <c r="M68" s="5"/>
    </row>
    <row r="69" spans="2:14" x14ac:dyDescent="0.35">
      <c r="B69" s="1" t="s">
        <v>16</v>
      </c>
      <c r="C69" s="1" t="s">
        <v>37</v>
      </c>
      <c r="D69" s="4" t="s">
        <v>23</v>
      </c>
      <c r="E69" s="4" t="s">
        <v>15</v>
      </c>
      <c r="F69" s="145"/>
      <c r="G69" s="6" t="s">
        <v>24</v>
      </c>
      <c r="H69" s="5">
        <v>30</v>
      </c>
      <c r="I69" s="5">
        <v>3</v>
      </c>
      <c r="J69" s="5">
        <f t="shared" si="14"/>
        <v>33</v>
      </c>
      <c r="K69" s="5">
        <f t="shared" si="15"/>
        <v>90.909090909090907</v>
      </c>
      <c r="L69">
        <v>90.242167806086954</v>
      </c>
      <c r="M69" s="5"/>
    </row>
    <row r="70" spans="2:14" x14ac:dyDescent="0.35">
      <c r="B70" s="1" t="s">
        <v>16</v>
      </c>
      <c r="C70" s="1" t="s">
        <v>38</v>
      </c>
      <c r="D70" s="4" t="s">
        <v>23</v>
      </c>
      <c r="E70" s="5" t="s">
        <v>15</v>
      </c>
      <c r="F70" s="145"/>
      <c r="G70" s="6" t="s">
        <v>24</v>
      </c>
      <c r="H70" s="5">
        <v>22</v>
      </c>
      <c r="I70" s="5">
        <v>3</v>
      </c>
      <c r="J70" s="5">
        <f>SUM(H70:I70)</f>
        <v>25</v>
      </c>
      <c r="K70" s="5">
        <f>(H70/J70)*100</f>
        <v>88</v>
      </c>
      <c r="L70">
        <v>87.119661504034781</v>
      </c>
      <c r="M70" s="7">
        <f>AVERAGE(K70:K74)</f>
        <v>91.055741360089172</v>
      </c>
      <c r="N70">
        <f>(M70-M68)/(100-M68)*100</f>
        <v>91.055741360089172</v>
      </c>
    </row>
    <row r="71" spans="2:14" x14ac:dyDescent="0.35">
      <c r="B71" s="1" t="s">
        <v>16</v>
      </c>
      <c r="C71" s="1" t="s">
        <v>38</v>
      </c>
      <c r="D71" s="4" t="s">
        <v>23</v>
      </c>
      <c r="E71" s="5" t="s">
        <v>15</v>
      </c>
      <c r="F71" s="145"/>
      <c r="G71" s="6" t="s">
        <v>24</v>
      </c>
      <c r="H71" s="5">
        <v>24</v>
      </c>
      <c r="I71" s="5">
        <v>2</v>
      </c>
      <c r="J71" s="5">
        <f>SUM(H71:I71)</f>
        <v>26</v>
      </c>
      <c r="K71" s="5">
        <f>(H71/J71)*100</f>
        <v>92.307692307692307</v>
      </c>
      <c r="L71">
        <v>91.743372758996657</v>
      </c>
      <c r="M71" s="5"/>
    </row>
    <row r="72" spans="2:14" x14ac:dyDescent="0.35">
      <c r="B72" s="1" t="s">
        <v>16</v>
      </c>
      <c r="C72" s="1" t="s">
        <v>38</v>
      </c>
      <c r="D72" s="4" t="s">
        <v>23</v>
      </c>
      <c r="E72" s="5" t="s">
        <v>15</v>
      </c>
      <c r="F72" s="145"/>
      <c r="G72" s="6" t="s">
        <v>24</v>
      </c>
      <c r="H72" s="5">
        <v>21</v>
      </c>
      <c r="I72" s="5">
        <v>2</v>
      </c>
      <c r="J72" s="5">
        <f t="shared" ref="J72:J76" si="16">SUM(H72:I72)</f>
        <v>23</v>
      </c>
      <c r="K72" s="5">
        <f t="shared" ref="K72:K82" si="17">(H72/J72)*100</f>
        <v>91.304347826086953</v>
      </c>
      <c r="L72">
        <v>90.666421379735354</v>
      </c>
      <c r="M72" s="5"/>
    </row>
    <row r="73" spans="2:14" x14ac:dyDescent="0.35">
      <c r="B73" s="1" t="s">
        <v>16</v>
      </c>
      <c r="C73" s="1" t="s">
        <v>38</v>
      </c>
      <c r="D73" s="4" t="s">
        <v>23</v>
      </c>
      <c r="E73" s="5" t="s">
        <v>15</v>
      </c>
      <c r="F73" s="145"/>
      <c r="G73" s="6" t="s">
        <v>24</v>
      </c>
      <c r="H73" s="5">
        <v>22</v>
      </c>
      <c r="I73" s="5">
        <v>2</v>
      </c>
      <c r="J73" s="5">
        <f t="shared" si="16"/>
        <v>24</v>
      </c>
      <c r="K73" s="5">
        <f t="shared" si="17"/>
        <v>91.666666666666657</v>
      </c>
      <c r="L73">
        <v>91.05532048891304</v>
      </c>
      <c r="M73" s="5"/>
    </row>
    <row r="74" spans="2:14" x14ac:dyDescent="0.35">
      <c r="B74" s="1" t="s">
        <v>16</v>
      </c>
      <c r="C74" s="1" t="s">
        <v>38</v>
      </c>
      <c r="D74" s="4" t="s">
        <v>23</v>
      </c>
      <c r="E74" s="5" t="s">
        <v>15</v>
      </c>
      <c r="F74" s="145"/>
      <c r="G74" s="6" t="s">
        <v>24</v>
      </c>
      <c r="H74" s="5">
        <v>23</v>
      </c>
      <c r="I74" s="5">
        <v>2</v>
      </c>
      <c r="J74" s="5">
        <f t="shared" si="16"/>
        <v>25</v>
      </c>
      <c r="K74" s="5">
        <f t="shared" si="17"/>
        <v>92</v>
      </c>
      <c r="L74">
        <v>91.413107669356521</v>
      </c>
      <c r="M74" s="5"/>
    </row>
    <row r="75" spans="2:14" x14ac:dyDescent="0.35">
      <c r="B75" s="1" t="s">
        <v>16</v>
      </c>
      <c r="C75" s="1" t="s">
        <v>17</v>
      </c>
      <c r="D75" s="4" t="s">
        <v>23</v>
      </c>
      <c r="E75" s="5" t="s">
        <v>15</v>
      </c>
      <c r="F75" s="145"/>
      <c r="G75" s="6" t="s">
        <v>39</v>
      </c>
      <c r="H75" s="5">
        <v>24</v>
      </c>
      <c r="I75" s="5">
        <v>2</v>
      </c>
      <c r="J75" s="5">
        <f t="shared" si="16"/>
        <v>26</v>
      </c>
      <c r="K75" s="5">
        <f t="shared" si="17"/>
        <v>92.307692307692307</v>
      </c>
      <c r="L75">
        <v>91.743372758996657</v>
      </c>
      <c r="M75" s="7">
        <f>AVERAGE(K75:K76)</f>
        <v>88.65384615384616</v>
      </c>
      <c r="N75">
        <f>(M75-M74)/(100-M74)*100</f>
        <v>88.65384615384616</v>
      </c>
    </row>
    <row r="76" spans="2:14" x14ac:dyDescent="0.35">
      <c r="B76" s="1" t="s">
        <v>16</v>
      </c>
      <c r="C76" s="1" t="s">
        <v>17</v>
      </c>
      <c r="D76" s="4" t="s">
        <v>23</v>
      </c>
      <c r="E76" s="5" t="s">
        <v>15</v>
      </c>
      <c r="F76" s="145"/>
      <c r="G76" s="6" t="s">
        <v>39</v>
      </c>
      <c r="H76" s="5">
        <v>17</v>
      </c>
      <c r="I76" s="5">
        <v>3</v>
      </c>
      <c r="J76" s="5">
        <f t="shared" si="16"/>
        <v>20</v>
      </c>
      <c r="K76" s="5">
        <f t="shared" si="17"/>
        <v>85</v>
      </c>
      <c r="L76">
        <v>83.899576880043483</v>
      </c>
      <c r="M76" s="5"/>
    </row>
    <row r="77" spans="2:14" x14ac:dyDescent="0.35">
      <c r="B77" s="1" t="s">
        <v>12</v>
      </c>
      <c r="C77" s="1" t="s">
        <v>33</v>
      </c>
      <c r="D77" s="8" t="s">
        <v>308</v>
      </c>
      <c r="E77" s="11" t="s">
        <v>15</v>
      </c>
      <c r="F77" s="145"/>
      <c r="G77" s="12" t="s">
        <v>24</v>
      </c>
      <c r="H77" s="11">
        <v>18</v>
      </c>
      <c r="I77" s="11">
        <v>3</v>
      </c>
      <c r="J77" s="11">
        <f>SUM(H77:I77)</f>
        <v>21</v>
      </c>
      <c r="K77" s="13">
        <f t="shared" si="17"/>
        <v>85.714285714285708</v>
      </c>
      <c r="L77">
        <v>84.666263695279497</v>
      </c>
      <c r="M77" s="13">
        <f>AVERAGE(K77:K82)</f>
        <v>94.577380952380963</v>
      </c>
    </row>
    <row r="78" spans="2:14" x14ac:dyDescent="0.35">
      <c r="B78" s="1" t="s">
        <v>12</v>
      </c>
      <c r="C78" s="1" t="s">
        <v>33</v>
      </c>
      <c r="D78" s="8" t="s">
        <v>308</v>
      </c>
      <c r="E78" s="11" t="s">
        <v>15</v>
      </c>
      <c r="F78" s="145"/>
      <c r="G78" s="12" t="s">
        <v>24</v>
      </c>
      <c r="H78" s="11">
        <v>19</v>
      </c>
      <c r="I78" s="11">
        <v>0</v>
      </c>
      <c r="J78" s="11">
        <f>SUM(H78:I78)</f>
        <v>19</v>
      </c>
      <c r="K78" s="13">
        <f t="shared" si="17"/>
        <v>100</v>
      </c>
      <c r="L78">
        <v>100</v>
      </c>
      <c r="M78" s="11"/>
    </row>
    <row r="79" spans="2:14" x14ac:dyDescent="0.35">
      <c r="B79" s="1" t="s">
        <v>12</v>
      </c>
      <c r="C79" s="1" t="s">
        <v>33</v>
      </c>
      <c r="D79" s="8" t="s">
        <v>308</v>
      </c>
      <c r="E79" s="11" t="s">
        <v>15</v>
      </c>
      <c r="F79" s="145"/>
      <c r="G79" s="12" t="s">
        <v>24</v>
      </c>
      <c r="H79" s="11">
        <v>23</v>
      </c>
      <c r="I79" s="11">
        <v>0</v>
      </c>
      <c r="J79" s="11">
        <f t="shared" ref="J79:J82" si="18">SUM(H79:I79)</f>
        <v>23</v>
      </c>
      <c r="K79" s="13">
        <f t="shared" si="17"/>
        <v>100</v>
      </c>
      <c r="L79">
        <v>100</v>
      </c>
      <c r="M79" s="11"/>
    </row>
    <row r="80" spans="2:14" x14ac:dyDescent="0.35">
      <c r="B80" s="1" t="s">
        <v>12</v>
      </c>
      <c r="C80" s="1" t="s">
        <v>33</v>
      </c>
      <c r="D80" s="8" t="s">
        <v>308</v>
      </c>
      <c r="E80" s="11" t="s">
        <v>15</v>
      </c>
      <c r="F80" s="145"/>
      <c r="G80" s="12" t="s">
        <v>24</v>
      </c>
      <c r="H80" s="11">
        <v>20</v>
      </c>
      <c r="I80" s="11">
        <v>0</v>
      </c>
      <c r="J80" s="11">
        <f t="shared" si="18"/>
        <v>20</v>
      </c>
      <c r="K80" s="13">
        <f t="shared" si="17"/>
        <v>100</v>
      </c>
      <c r="L80">
        <v>100</v>
      </c>
      <c r="M80" s="11"/>
    </row>
    <row r="81" spans="2:14" x14ac:dyDescent="0.35">
      <c r="B81" s="1" t="s">
        <v>12</v>
      </c>
      <c r="C81" s="1" t="s">
        <v>33</v>
      </c>
      <c r="D81" s="8" t="s">
        <v>308</v>
      </c>
      <c r="E81" s="11" t="s">
        <v>15</v>
      </c>
      <c r="F81" s="145"/>
      <c r="G81" s="12" t="s">
        <v>24</v>
      </c>
      <c r="H81" s="11">
        <v>22</v>
      </c>
      <c r="I81" s="11">
        <v>3</v>
      </c>
      <c r="J81" s="11">
        <f t="shared" si="18"/>
        <v>25</v>
      </c>
      <c r="K81" s="13">
        <f t="shared" si="17"/>
        <v>88</v>
      </c>
      <c r="L81">
        <v>87.119661504034781</v>
      </c>
      <c r="M81" s="11"/>
    </row>
    <row r="82" spans="2:14" x14ac:dyDescent="0.35">
      <c r="B82" s="1" t="s">
        <v>12</v>
      </c>
      <c r="C82" s="1" t="s">
        <v>33</v>
      </c>
      <c r="D82" s="8" t="s">
        <v>308</v>
      </c>
      <c r="E82" s="11" t="s">
        <v>15</v>
      </c>
      <c r="F82" s="145"/>
      <c r="G82" s="12" t="s">
        <v>24</v>
      </c>
      <c r="H82" s="11">
        <v>15</v>
      </c>
      <c r="I82" s="11">
        <v>1</v>
      </c>
      <c r="J82" s="11">
        <f t="shared" si="18"/>
        <v>16</v>
      </c>
      <c r="K82" s="13">
        <f t="shared" si="17"/>
        <v>93.75</v>
      </c>
      <c r="L82">
        <v>93.291490366684783</v>
      </c>
      <c r="M82" s="11"/>
    </row>
    <row r="83" spans="2:14" x14ac:dyDescent="0.35">
      <c r="B83" s="1" t="s">
        <v>16</v>
      </c>
      <c r="C83" s="1" t="s">
        <v>36</v>
      </c>
      <c r="D83" s="8" t="s">
        <v>308</v>
      </c>
      <c r="E83" s="11" t="s">
        <v>15</v>
      </c>
      <c r="F83" s="145"/>
      <c r="G83" s="12" t="s">
        <v>24</v>
      </c>
      <c r="H83" s="11">
        <v>19</v>
      </c>
      <c r="I83" s="11">
        <v>2</v>
      </c>
      <c r="J83" s="11">
        <f>SUM(H83:I83)</f>
        <v>21</v>
      </c>
      <c r="K83" s="13">
        <f>(H83/J83)*100</f>
        <v>90.476190476190482</v>
      </c>
      <c r="L83">
        <v>89.777509130186345</v>
      </c>
      <c r="M83" s="13">
        <f>AVERAGE(K83:K88)</f>
        <v>93.894179894179899</v>
      </c>
      <c r="N83">
        <f>((M83-M73))/M83*100</f>
        <v>100</v>
      </c>
    </row>
    <row r="84" spans="2:14" x14ac:dyDescent="0.35">
      <c r="B84" s="1" t="s">
        <v>16</v>
      </c>
      <c r="C84" s="1" t="s">
        <v>36</v>
      </c>
      <c r="D84" s="8" t="s">
        <v>308</v>
      </c>
      <c r="E84" s="11" t="s">
        <v>15</v>
      </c>
      <c r="F84" s="145"/>
      <c r="G84" s="12" t="s">
        <v>24</v>
      </c>
      <c r="H84" s="11">
        <v>24</v>
      </c>
      <c r="I84" s="11">
        <v>3</v>
      </c>
      <c r="J84" s="11">
        <f>SUM(H84:I84)</f>
        <v>27</v>
      </c>
      <c r="K84" s="13">
        <f>(H84/J84)*100</f>
        <v>88.888888888888886</v>
      </c>
      <c r="L84">
        <v>88.073760651884058</v>
      </c>
      <c r="M84" s="11"/>
    </row>
    <row r="85" spans="2:14" x14ac:dyDescent="0.35">
      <c r="B85" s="1" t="s">
        <v>16</v>
      </c>
      <c r="C85" s="1" t="s">
        <v>36</v>
      </c>
      <c r="D85" s="8" t="s">
        <v>308</v>
      </c>
      <c r="E85" s="11" t="s">
        <v>15</v>
      </c>
      <c r="F85" s="145"/>
      <c r="G85" s="12" t="s">
        <v>24</v>
      </c>
      <c r="H85" s="11">
        <v>21</v>
      </c>
      <c r="I85" s="11">
        <v>4</v>
      </c>
      <c r="J85" s="11">
        <f t="shared" ref="J85:J88" si="19">SUM(H85:I85)</f>
        <v>25</v>
      </c>
      <c r="K85" s="13">
        <f t="shared" ref="K85:K88" si="20">(H85/J85)*100</f>
        <v>84</v>
      </c>
      <c r="L85">
        <v>82.826215338713041</v>
      </c>
      <c r="M85" s="11"/>
    </row>
    <row r="86" spans="2:14" x14ac:dyDescent="0.35">
      <c r="B86" s="1" t="s">
        <v>16</v>
      </c>
      <c r="C86" s="1" t="s">
        <v>36</v>
      </c>
      <c r="D86" s="8" t="s">
        <v>308</v>
      </c>
      <c r="E86" s="11" t="s">
        <v>15</v>
      </c>
      <c r="F86" s="145"/>
      <c r="G86" s="12" t="s">
        <v>24</v>
      </c>
      <c r="H86" s="11">
        <v>20</v>
      </c>
      <c r="I86" s="11">
        <v>0</v>
      </c>
      <c r="J86" s="11">
        <f t="shared" si="19"/>
        <v>20</v>
      </c>
      <c r="K86" s="13">
        <f t="shared" si="20"/>
        <v>100</v>
      </c>
      <c r="L86">
        <v>100</v>
      </c>
      <c r="M86" s="11"/>
    </row>
    <row r="87" spans="2:14" x14ac:dyDescent="0.35">
      <c r="B87" s="1" t="s">
        <v>16</v>
      </c>
      <c r="C87" s="1" t="s">
        <v>36</v>
      </c>
      <c r="D87" s="8" t="s">
        <v>308</v>
      </c>
      <c r="E87" s="11" t="s">
        <v>15</v>
      </c>
      <c r="F87" s="145"/>
      <c r="G87" s="12" t="s">
        <v>24</v>
      </c>
      <c r="H87" s="11">
        <v>29</v>
      </c>
      <c r="I87" s="11">
        <v>0</v>
      </c>
      <c r="J87" s="11">
        <f t="shared" si="19"/>
        <v>29</v>
      </c>
      <c r="K87" s="13">
        <f t="shared" si="20"/>
        <v>100</v>
      </c>
      <c r="L87">
        <v>100</v>
      </c>
      <c r="M87" s="11"/>
    </row>
    <row r="88" spans="2:14" x14ac:dyDescent="0.35">
      <c r="B88" t="s">
        <v>16</v>
      </c>
      <c r="C88" s="1" t="s">
        <v>36</v>
      </c>
      <c r="D88" s="8" t="s">
        <v>308</v>
      </c>
      <c r="E88" s="11" t="s">
        <v>15</v>
      </c>
      <c r="F88" s="145"/>
      <c r="G88" s="12" t="s">
        <v>24</v>
      </c>
      <c r="H88" s="11">
        <v>24</v>
      </c>
      <c r="I88" s="11">
        <v>0</v>
      </c>
      <c r="J88" s="11">
        <f t="shared" si="19"/>
        <v>24</v>
      </c>
      <c r="K88" s="13">
        <f t="shared" si="20"/>
        <v>100</v>
      </c>
      <c r="L88">
        <v>100</v>
      </c>
      <c r="M88" s="11"/>
    </row>
    <row r="89" spans="2:14" x14ac:dyDescent="0.35">
      <c r="B89" t="s">
        <v>16</v>
      </c>
      <c r="C89" s="1" t="s">
        <v>40</v>
      </c>
      <c r="D89" s="8" t="s">
        <v>308</v>
      </c>
      <c r="E89" s="8" t="s">
        <v>15</v>
      </c>
      <c r="F89" s="145"/>
      <c r="G89" s="12" t="s">
        <v>24</v>
      </c>
      <c r="H89" s="11">
        <v>14</v>
      </c>
      <c r="I89" s="11">
        <v>2</v>
      </c>
      <c r="J89" s="11">
        <f>SUM(H89:I89)</f>
        <v>16</v>
      </c>
      <c r="K89" s="13">
        <f>(H89/J89)*100</f>
        <v>87.5</v>
      </c>
      <c r="L89">
        <v>86.582980733369567</v>
      </c>
      <c r="M89" s="13">
        <f>AVERAGE(K89:K91,K93:K96)</f>
        <v>90.644537859082874</v>
      </c>
      <c r="N89">
        <f>((M89-M78))/(100-M78)*100</f>
        <v>90.644537859082874</v>
      </c>
    </row>
    <row r="90" spans="2:14" x14ac:dyDescent="0.35">
      <c r="B90" t="s">
        <v>16</v>
      </c>
      <c r="C90" s="1" t="s">
        <v>40</v>
      </c>
      <c r="D90" s="8" t="s">
        <v>308</v>
      </c>
      <c r="E90" s="8" t="s">
        <v>15</v>
      </c>
      <c r="F90" s="145"/>
      <c r="G90" s="12" t="s">
        <v>24</v>
      </c>
      <c r="H90" s="11">
        <v>32</v>
      </c>
      <c r="I90" s="11">
        <v>2</v>
      </c>
      <c r="J90" s="11">
        <f>SUM(H90:I90)</f>
        <v>34</v>
      </c>
      <c r="K90" s="13">
        <f>(H90/J90)*100</f>
        <v>94.117647058823522</v>
      </c>
      <c r="L90">
        <v>93.686108580409197</v>
      </c>
      <c r="M90" s="11"/>
    </row>
    <row r="91" spans="2:14" x14ac:dyDescent="0.35">
      <c r="B91" t="s">
        <v>16</v>
      </c>
      <c r="C91" s="1" t="s">
        <v>40</v>
      </c>
      <c r="D91" s="8" t="s">
        <v>308</v>
      </c>
      <c r="E91" s="8" t="s">
        <v>15</v>
      </c>
      <c r="F91" s="145"/>
      <c r="G91" s="12" t="s">
        <v>24</v>
      </c>
      <c r="H91" s="11">
        <v>13</v>
      </c>
      <c r="I91" s="11">
        <v>4</v>
      </c>
      <c r="J91" s="11">
        <f t="shared" ref="J91:J96" si="21">SUM(H91:I91)</f>
        <v>17</v>
      </c>
      <c r="K91" s="13">
        <f t="shared" ref="K91:K96" si="22">(H91/J91)*100</f>
        <v>76.470588235294116</v>
      </c>
      <c r="L91">
        <v>74.744434321636817</v>
      </c>
      <c r="M91" s="11"/>
    </row>
    <row r="92" spans="2:14" x14ac:dyDescent="0.35">
      <c r="B92" t="s">
        <v>16</v>
      </c>
      <c r="C92" s="1" t="s">
        <v>40</v>
      </c>
      <c r="D92" s="21"/>
      <c r="E92" s="21" t="s">
        <v>15</v>
      </c>
      <c r="F92" s="145"/>
      <c r="G92" s="22" t="s">
        <v>24</v>
      </c>
      <c r="H92" s="23">
        <v>27</v>
      </c>
      <c r="I92" s="23">
        <v>0</v>
      </c>
      <c r="J92" s="23">
        <f t="shared" si="21"/>
        <v>27</v>
      </c>
      <c r="K92" s="24">
        <f t="shared" si="22"/>
        <v>100</v>
      </c>
      <c r="L92">
        <v>100</v>
      </c>
      <c r="M92" s="23"/>
    </row>
    <row r="93" spans="2:14" x14ac:dyDescent="0.35">
      <c r="B93" t="s">
        <v>16</v>
      </c>
      <c r="C93" s="1" t="s">
        <v>40</v>
      </c>
      <c r="D93" s="8" t="s">
        <v>308</v>
      </c>
      <c r="E93" s="8" t="s">
        <v>15</v>
      </c>
      <c r="F93" s="145"/>
      <c r="G93" s="12" t="s">
        <v>24</v>
      </c>
      <c r="H93" s="11">
        <v>21</v>
      </c>
      <c r="I93" s="11">
        <v>2</v>
      </c>
      <c r="J93" s="11">
        <f t="shared" si="21"/>
        <v>23</v>
      </c>
      <c r="K93" s="13">
        <f t="shared" si="22"/>
        <v>91.304347826086953</v>
      </c>
      <c r="L93">
        <v>90.666421379735354</v>
      </c>
      <c r="M93" s="11"/>
    </row>
    <row r="94" spans="2:14" x14ac:dyDescent="0.35">
      <c r="B94" t="s">
        <v>16</v>
      </c>
      <c r="C94" s="1" t="s">
        <v>40</v>
      </c>
      <c r="D94" s="8" t="s">
        <v>308</v>
      </c>
      <c r="E94" s="8" t="s">
        <v>15</v>
      </c>
      <c r="F94" s="145"/>
      <c r="G94" s="12" t="s">
        <v>24</v>
      </c>
      <c r="H94" s="11">
        <v>20</v>
      </c>
      <c r="I94" s="11">
        <v>2</v>
      </c>
      <c r="J94" s="11">
        <f t="shared" si="21"/>
        <v>22</v>
      </c>
      <c r="K94" s="13">
        <f t="shared" si="22"/>
        <v>90.909090909090907</v>
      </c>
      <c r="L94">
        <v>90.242167806086954</v>
      </c>
      <c r="M94" s="11"/>
    </row>
    <row r="95" spans="2:14" x14ac:dyDescent="0.35">
      <c r="B95" t="s">
        <v>16</v>
      </c>
      <c r="C95" s="1" t="s">
        <v>40</v>
      </c>
      <c r="D95" s="8" t="s">
        <v>308</v>
      </c>
      <c r="E95" s="8" t="s">
        <v>15</v>
      </c>
      <c r="F95" s="145"/>
      <c r="G95" s="12" t="s">
        <v>24</v>
      </c>
      <c r="H95" s="11">
        <v>30</v>
      </c>
      <c r="I95" s="11">
        <v>1</v>
      </c>
      <c r="J95" s="11">
        <f t="shared" si="21"/>
        <v>31</v>
      </c>
      <c r="K95" s="13">
        <f t="shared" si="22"/>
        <v>96.774193548387103</v>
      </c>
      <c r="L95">
        <v>96.537543415063126</v>
      </c>
      <c r="M95" s="11"/>
    </row>
    <row r="96" spans="2:14" x14ac:dyDescent="0.35">
      <c r="B96" t="s">
        <v>16</v>
      </c>
      <c r="C96" s="1" t="s">
        <v>40</v>
      </c>
      <c r="D96" s="8" t="s">
        <v>308</v>
      </c>
      <c r="E96" s="8" t="s">
        <v>15</v>
      </c>
      <c r="F96" s="145"/>
      <c r="G96" s="12" t="s">
        <v>24</v>
      </c>
      <c r="H96" s="11">
        <v>38</v>
      </c>
      <c r="I96" s="11">
        <v>1</v>
      </c>
      <c r="J96" s="11">
        <f t="shared" si="21"/>
        <v>39</v>
      </c>
      <c r="K96" s="13">
        <f t="shared" si="22"/>
        <v>97.435897435897431</v>
      </c>
      <c r="L96">
        <v>97.247790919665547</v>
      </c>
      <c r="M96" s="11"/>
    </row>
    <row r="97" spans="2:14" x14ac:dyDescent="0.35">
      <c r="B97" t="s">
        <v>16</v>
      </c>
      <c r="C97" s="1" t="s">
        <v>38</v>
      </c>
      <c r="D97" s="8" t="s">
        <v>308</v>
      </c>
      <c r="E97" s="11" t="s">
        <v>15</v>
      </c>
      <c r="F97" s="145"/>
      <c r="G97" s="12" t="s">
        <v>24</v>
      </c>
      <c r="H97" s="11">
        <v>21</v>
      </c>
      <c r="I97" s="11">
        <v>3</v>
      </c>
      <c r="J97" s="11">
        <f>SUM(H97:I97)</f>
        <v>24</v>
      </c>
      <c r="K97" s="13">
        <f>(H97/J97)*100</f>
        <v>87.5</v>
      </c>
      <c r="L97">
        <v>86.582980733369567</v>
      </c>
      <c r="M97" s="13">
        <f>AVERAGE(K97:K101)</f>
        <v>91.89487179487179</v>
      </c>
      <c r="N97">
        <f>(M97-M90)/(100-M90)*100</f>
        <v>91.89487179487179</v>
      </c>
    </row>
    <row r="98" spans="2:14" x14ac:dyDescent="0.35">
      <c r="B98" t="s">
        <v>16</v>
      </c>
      <c r="C98" s="1" t="s">
        <v>38</v>
      </c>
      <c r="D98" s="8" t="s">
        <v>308</v>
      </c>
      <c r="E98" s="11" t="s">
        <v>15</v>
      </c>
      <c r="F98" s="145"/>
      <c r="G98" s="12" t="s">
        <v>24</v>
      </c>
      <c r="H98" s="11">
        <v>22</v>
      </c>
      <c r="I98" s="11">
        <v>2</v>
      </c>
      <c r="J98" s="11">
        <f>SUM(H98:I98)</f>
        <v>24</v>
      </c>
      <c r="K98" s="13">
        <f>(H98/J98)*100</f>
        <v>91.666666666666657</v>
      </c>
      <c r="L98">
        <v>91.05532048891304</v>
      </c>
      <c r="M98" s="11"/>
    </row>
    <row r="99" spans="2:14" x14ac:dyDescent="0.35">
      <c r="B99" t="s">
        <v>16</v>
      </c>
      <c r="C99" s="1" t="s">
        <v>38</v>
      </c>
      <c r="D99" s="8" t="s">
        <v>308</v>
      </c>
      <c r="E99" s="11" t="s">
        <v>15</v>
      </c>
      <c r="F99" s="145"/>
      <c r="G99" s="12" t="s">
        <v>24</v>
      </c>
      <c r="H99" s="11">
        <v>22</v>
      </c>
      <c r="I99" s="11">
        <v>3</v>
      </c>
      <c r="J99" s="11">
        <f>SUM(H99:I99)</f>
        <v>25</v>
      </c>
      <c r="K99" s="13">
        <f>(H99/J99)*100</f>
        <v>88</v>
      </c>
      <c r="L99">
        <v>87.119661504034781</v>
      </c>
      <c r="M99" s="11"/>
    </row>
    <row r="100" spans="2:14" x14ac:dyDescent="0.35">
      <c r="B100" t="s">
        <v>16</v>
      </c>
      <c r="C100" s="1" t="s">
        <v>38</v>
      </c>
      <c r="D100" s="8" t="s">
        <v>308</v>
      </c>
      <c r="E100" s="11" t="s">
        <v>15</v>
      </c>
      <c r="F100" s="145"/>
      <c r="G100" s="12" t="s">
        <v>24</v>
      </c>
      <c r="H100" s="11">
        <v>24</v>
      </c>
      <c r="I100" s="11">
        <v>2</v>
      </c>
      <c r="J100" s="11">
        <f t="shared" ref="J100:J103" si="23">SUM(H100:I100)</f>
        <v>26</v>
      </c>
      <c r="K100" s="13">
        <f t="shared" ref="K100:K101" si="24">(H100/J100)*100</f>
        <v>92.307692307692307</v>
      </c>
      <c r="L100">
        <v>91.743372758996657</v>
      </c>
      <c r="M100" s="11"/>
    </row>
    <row r="101" spans="2:14" x14ac:dyDescent="0.35">
      <c r="B101" t="s">
        <v>16</v>
      </c>
      <c r="C101" s="1" t="s">
        <v>38</v>
      </c>
      <c r="D101" s="8" t="s">
        <v>308</v>
      </c>
      <c r="E101" s="11" t="s">
        <v>15</v>
      </c>
      <c r="F101" s="145"/>
      <c r="G101" s="12" t="s">
        <v>24</v>
      </c>
      <c r="H101" s="11">
        <v>23</v>
      </c>
      <c r="I101" s="11">
        <v>0</v>
      </c>
      <c r="J101" s="11">
        <f t="shared" si="23"/>
        <v>23</v>
      </c>
      <c r="K101" s="13">
        <f t="shared" si="24"/>
        <v>100</v>
      </c>
      <c r="L101">
        <v>100</v>
      </c>
      <c r="M101" s="11"/>
    </row>
    <row r="102" spans="2:14" x14ac:dyDescent="0.35">
      <c r="B102" t="s">
        <v>16</v>
      </c>
      <c r="C102" s="1" t="s">
        <v>17</v>
      </c>
      <c r="D102" s="8" t="s">
        <v>308</v>
      </c>
      <c r="E102" s="11" t="s">
        <v>15</v>
      </c>
      <c r="F102" s="145"/>
      <c r="G102" s="12" t="s">
        <v>24</v>
      </c>
      <c r="H102" s="11">
        <v>16</v>
      </c>
      <c r="I102" s="11">
        <v>2</v>
      </c>
      <c r="J102" s="11">
        <f t="shared" si="23"/>
        <v>18</v>
      </c>
      <c r="K102" s="13">
        <f>(H102/J102)*100</f>
        <v>88.888888888888886</v>
      </c>
      <c r="L102">
        <v>88.073760651884058</v>
      </c>
      <c r="M102" s="13">
        <f>AVERAGE(K102:K103)</f>
        <v>94.444444444444443</v>
      </c>
      <c r="N102">
        <f>(M102-M99)/(100-M99)*100</f>
        <v>94.444444444444443</v>
      </c>
    </row>
    <row r="103" spans="2:14" x14ac:dyDescent="0.35">
      <c r="B103" t="s">
        <v>16</v>
      </c>
      <c r="C103" s="1" t="s">
        <v>17</v>
      </c>
      <c r="D103" s="8" t="s">
        <v>308</v>
      </c>
      <c r="E103" s="11" t="s">
        <v>15</v>
      </c>
      <c r="F103" s="145"/>
      <c r="G103" s="12" t="s">
        <v>24</v>
      </c>
      <c r="H103" s="11">
        <v>26</v>
      </c>
      <c r="I103" s="11">
        <v>0</v>
      </c>
      <c r="J103" s="11">
        <f t="shared" si="23"/>
        <v>26</v>
      </c>
      <c r="K103" s="13">
        <f>(H103/J103)*100</f>
        <v>100</v>
      </c>
      <c r="L103">
        <v>100</v>
      </c>
      <c r="M103" s="11"/>
    </row>
    <row r="104" spans="2:14" x14ac:dyDescent="0.35">
      <c r="B104" s="1" t="s">
        <v>12</v>
      </c>
      <c r="C104" s="1" t="s">
        <v>33</v>
      </c>
      <c r="D104" s="10" t="s">
        <v>309</v>
      </c>
      <c r="E104" s="18" t="s">
        <v>15</v>
      </c>
      <c r="F104" s="145"/>
      <c r="G104" s="19" t="s">
        <v>24</v>
      </c>
      <c r="H104" s="18">
        <v>16</v>
      </c>
      <c r="I104" s="18">
        <v>0</v>
      </c>
      <c r="J104" s="18">
        <f>SUM(H104:I104)</f>
        <v>16</v>
      </c>
      <c r="K104" s="18">
        <f>H104/J104*100</f>
        <v>100</v>
      </c>
      <c r="L104">
        <v>100</v>
      </c>
      <c r="M104" s="20">
        <f>AVERAGE(K104:K109)</f>
        <v>98.6111111111111</v>
      </c>
    </row>
    <row r="105" spans="2:14" x14ac:dyDescent="0.35">
      <c r="B105" s="1" t="s">
        <v>12</v>
      </c>
      <c r="C105" s="1" t="s">
        <v>33</v>
      </c>
      <c r="D105" s="10" t="s">
        <v>309</v>
      </c>
      <c r="E105" s="18" t="s">
        <v>15</v>
      </c>
      <c r="F105" s="145"/>
      <c r="G105" s="19" t="s">
        <v>24</v>
      </c>
      <c r="H105" s="18">
        <v>22</v>
      </c>
      <c r="I105" s="18">
        <v>2</v>
      </c>
      <c r="J105" s="18">
        <f t="shared" ref="J105:J109" si="25">SUM(H105:I105)</f>
        <v>24</v>
      </c>
      <c r="K105" s="18">
        <f t="shared" ref="K105:K109" si="26">H105/J105*100</f>
        <v>91.666666666666657</v>
      </c>
      <c r="L105">
        <v>91.05532048891304</v>
      </c>
      <c r="M105" s="20"/>
    </row>
    <row r="106" spans="2:14" x14ac:dyDescent="0.35">
      <c r="B106" s="1" t="s">
        <v>12</v>
      </c>
      <c r="C106" s="1" t="s">
        <v>33</v>
      </c>
      <c r="D106" s="10" t="s">
        <v>309</v>
      </c>
      <c r="E106" s="18" t="s">
        <v>15</v>
      </c>
      <c r="F106" s="145"/>
      <c r="G106" s="19" t="s">
        <v>24</v>
      </c>
      <c r="H106" s="18">
        <v>22</v>
      </c>
      <c r="I106" s="18">
        <v>0</v>
      </c>
      <c r="J106" s="18">
        <f t="shared" si="25"/>
        <v>22</v>
      </c>
      <c r="K106" s="18">
        <f t="shared" si="26"/>
        <v>100</v>
      </c>
      <c r="L106">
        <v>100</v>
      </c>
      <c r="M106" s="20"/>
    </row>
    <row r="107" spans="2:14" x14ac:dyDescent="0.35">
      <c r="B107" s="1" t="s">
        <v>12</v>
      </c>
      <c r="C107" s="1" t="s">
        <v>33</v>
      </c>
      <c r="D107" s="10" t="s">
        <v>309</v>
      </c>
      <c r="E107" s="18" t="s">
        <v>15</v>
      </c>
      <c r="F107" s="145"/>
      <c r="G107" s="19" t="s">
        <v>24</v>
      </c>
      <c r="H107" s="18">
        <v>22</v>
      </c>
      <c r="I107" s="18">
        <v>0</v>
      </c>
      <c r="J107" s="18">
        <f t="shared" si="25"/>
        <v>22</v>
      </c>
      <c r="K107" s="18">
        <f t="shared" si="26"/>
        <v>100</v>
      </c>
      <c r="L107">
        <v>100</v>
      </c>
      <c r="M107" s="20"/>
    </row>
    <row r="108" spans="2:14" x14ac:dyDescent="0.35">
      <c r="B108" s="1" t="s">
        <v>12</v>
      </c>
      <c r="C108" s="1" t="s">
        <v>33</v>
      </c>
      <c r="D108" s="10" t="s">
        <v>309</v>
      </c>
      <c r="E108" s="18" t="s">
        <v>15</v>
      </c>
      <c r="F108" s="145"/>
      <c r="G108" s="19" t="s">
        <v>24</v>
      </c>
      <c r="H108" s="18">
        <v>21</v>
      </c>
      <c r="I108" s="18">
        <v>0</v>
      </c>
      <c r="J108" s="18">
        <f t="shared" si="25"/>
        <v>21</v>
      </c>
      <c r="K108" s="18">
        <f t="shared" si="26"/>
        <v>100</v>
      </c>
      <c r="L108">
        <v>100</v>
      </c>
      <c r="M108" s="20"/>
    </row>
    <row r="109" spans="2:14" x14ac:dyDescent="0.35">
      <c r="B109" s="1" t="s">
        <v>12</v>
      </c>
      <c r="C109" s="1" t="s">
        <v>33</v>
      </c>
      <c r="D109" s="10" t="s">
        <v>309</v>
      </c>
      <c r="E109" s="18" t="s">
        <v>15</v>
      </c>
      <c r="F109" s="145"/>
      <c r="G109" s="19" t="s">
        <v>24</v>
      </c>
      <c r="H109" s="18">
        <v>16</v>
      </c>
      <c r="I109" s="18">
        <v>0</v>
      </c>
      <c r="J109" s="18">
        <f t="shared" si="25"/>
        <v>16</v>
      </c>
      <c r="K109" s="18">
        <f t="shared" si="26"/>
        <v>100</v>
      </c>
      <c r="L109">
        <v>100</v>
      </c>
      <c r="M109" s="20"/>
    </row>
    <row r="110" spans="2:14" x14ac:dyDescent="0.35">
      <c r="B110" s="1" t="s">
        <v>16</v>
      </c>
      <c r="C110" s="1" t="s">
        <v>36</v>
      </c>
      <c r="D110" s="10" t="s">
        <v>309</v>
      </c>
      <c r="E110" s="18" t="s">
        <v>15</v>
      </c>
      <c r="F110" s="145"/>
      <c r="G110" s="19" t="s">
        <v>24</v>
      </c>
      <c r="H110" s="18">
        <v>20</v>
      </c>
      <c r="I110" s="18">
        <v>4</v>
      </c>
      <c r="J110" s="18">
        <f>SUM(H110:I110)</f>
        <v>24</v>
      </c>
      <c r="K110" s="18">
        <f>H110/J110*100</f>
        <v>83.333333333333343</v>
      </c>
      <c r="L110">
        <v>82.110640977826094</v>
      </c>
      <c r="M110" s="20">
        <f>AVERAGE(K110:K115)</f>
        <v>94.083407014441491</v>
      </c>
      <c r="N110">
        <f>((M110-M96))/M110*100</f>
        <v>100</v>
      </c>
    </row>
    <row r="111" spans="2:14" x14ac:dyDescent="0.35">
      <c r="B111" s="1" t="s">
        <v>16</v>
      </c>
      <c r="C111" s="1" t="s">
        <v>36</v>
      </c>
      <c r="D111" s="10" t="s">
        <v>309</v>
      </c>
      <c r="E111" s="18" t="s">
        <v>15</v>
      </c>
      <c r="F111" s="145"/>
      <c r="G111" s="19" t="s">
        <v>24</v>
      </c>
      <c r="H111" s="18">
        <v>28</v>
      </c>
      <c r="I111" s="18">
        <v>1</v>
      </c>
      <c r="J111" s="18">
        <f t="shared" ref="J111:J115" si="27">SUM(H111:I111)</f>
        <v>29</v>
      </c>
      <c r="K111" s="18">
        <f t="shared" ref="K111:K115" si="28">H111/J111*100</f>
        <v>96.551724137931032</v>
      </c>
      <c r="L111">
        <v>96.298753305757117</v>
      </c>
      <c r="M111" s="20"/>
    </row>
    <row r="112" spans="2:14" x14ac:dyDescent="0.35">
      <c r="B112" s="1" t="s">
        <v>16</v>
      </c>
      <c r="C112" s="1" t="s">
        <v>36</v>
      </c>
      <c r="D112" s="10" t="s">
        <v>309</v>
      </c>
      <c r="E112" s="18" t="s">
        <v>15</v>
      </c>
      <c r="F112" s="145"/>
      <c r="G112" s="19" t="s">
        <v>24</v>
      </c>
      <c r="H112" s="18">
        <v>22</v>
      </c>
      <c r="I112" s="18">
        <v>4</v>
      </c>
      <c r="J112" s="18">
        <f t="shared" si="27"/>
        <v>26</v>
      </c>
      <c r="K112" s="18">
        <f t="shared" si="28"/>
        <v>84.615384615384613</v>
      </c>
      <c r="L112">
        <v>83.486745517993313</v>
      </c>
      <c r="M112" s="20"/>
    </row>
    <row r="113" spans="2:14" x14ac:dyDescent="0.35">
      <c r="B113" s="1" t="s">
        <v>16</v>
      </c>
      <c r="C113" s="1" t="s">
        <v>36</v>
      </c>
      <c r="D113" s="10" t="s">
        <v>309</v>
      </c>
      <c r="E113" s="18" t="s">
        <v>15</v>
      </c>
      <c r="F113" s="145"/>
      <c r="G113" s="19" t="s">
        <v>24</v>
      </c>
      <c r="H113" s="18">
        <v>26</v>
      </c>
      <c r="I113" s="18">
        <v>0</v>
      </c>
      <c r="J113" s="18">
        <f t="shared" si="27"/>
        <v>26</v>
      </c>
      <c r="K113" s="18">
        <f t="shared" si="28"/>
        <v>100</v>
      </c>
      <c r="L113">
        <v>100</v>
      </c>
      <c r="M113" s="20"/>
    </row>
    <row r="114" spans="2:14" x14ac:dyDescent="0.35">
      <c r="B114" s="1" t="s">
        <v>16</v>
      </c>
      <c r="C114" s="1" t="s">
        <v>36</v>
      </c>
      <c r="D114" s="10" t="s">
        <v>309</v>
      </c>
      <c r="E114" s="18" t="s">
        <v>15</v>
      </c>
      <c r="F114" s="145"/>
      <c r="G114" s="19" t="s">
        <v>24</v>
      </c>
      <c r="H114" s="18">
        <v>24</v>
      </c>
      <c r="I114" s="18">
        <v>0</v>
      </c>
      <c r="J114" s="18">
        <f t="shared" si="27"/>
        <v>24</v>
      </c>
      <c r="K114" s="18">
        <f t="shared" si="28"/>
        <v>100</v>
      </c>
      <c r="L114">
        <v>100</v>
      </c>
      <c r="M114" s="20"/>
    </row>
    <row r="115" spans="2:14" x14ac:dyDescent="0.35">
      <c r="B115" s="1" t="s">
        <v>16</v>
      </c>
      <c r="C115" s="1" t="s">
        <v>36</v>
      </c>
      <c r="D115" s="10" t="s">
        <v>309</v>
      </c>
      <c r="E115" s="18" t="s">
        <v>15</v>
      </c>
      <c r="F115" s="145"/>
      <c r="G115" s="19" t="s">
        <v>24</v>
      </c>
      <c r="H115" s="18">
        <v>21</v>
      </c>
      <c r="I115" s="18">
        <v>0</v>
      </c>
      <c r="J115" s="18">
        <f t="shared" si="27"/>
        <v>21</v>
      </c>
      <c r="K115" s="18">
        <f t="shared" si="28"/>
        <v>100</v>
      </c>
      <c r="L115">
        <v>100</v>
      </c>
      <c r="M115" s="20"/>
    </row>
    <row r="116" spans="2:14" x14ac:dyDescent="0.35">
      <c r="B116" s="1" t="s">
        <v>16</v>
      </c>
      <c r="C116" s="1" t="s">
        <v>37</v>
      </c>
      <c r="D116" s="10" t="s">
        <v>309</v>
      </c>
      <c r="E116" s="10" t="s">
        <v>15</v>
      </c>
      <c r="F116" s="145"/>
      <c r="G116" s="19" t="s">
        <v>24</v>
      </c>
      <c r="H116" s="18">
        <v>34</v>
      </c>
      <c r="I116" s="18">
        <v>0</v>
      </c>
      <c r="J116" s="18">
        <f>SUM(H116:I116)</f>
        <v>34</v>
      </c>
      <c r="K116" s="18">
        <f>H116/J116*100</f>
        <v>100</v>
      </c>
      <c r="L116">
        <v>100</v>
      </c>
      <c r="M116" s="20">
        <f>AVERAGE(K116:K123)</f>
        <v>98.880208333333343</v>
      </c>
      <c r="N116">
        <f>((M116-M97))/(100-M97)*100</f>
        <v>86.184158494147539</v>
      </c>
    </row>
    <row r="117" spans="2:14" x14ac:dyDescent="0.35">
      <c r="B117" s="1" t="s">
        <v>16</v>
      </c>
      <c r="C117" s="1" t="s">
        <v>37</v>
      </c>
      <c r="D117" s="10" t="s">
        <v>309</v>
      </c>
      <c r="E117" s="10" t="s">
        <v>15</v>
      </c>
      <c r="F117" s="145"/>
      <c r="G117" s="19" t="s">
        <v>24</v>
      </c>
      <c r="H117" s="18">
        <v>16</v>
      </c>
      <c r="I117" s="18">
        <v>0</v>
      </c>
      <c r="J117" s="18">
        <f t="shared" ref="J117:J121" si="29">SUM(H117:I117)</f>
        <v>16</v>
      </c>
      <c r="K117" s="18">
        <f t="shared" ref="K117:K130" si="30">H117/J117*100</f>
        <v>100</v>
      </c>
      <c r="L117">
        <v>100</v>
      </c>
      <c r="M117" s="20"/>
    </row>
    <row r="118" spans="2:14" x14ac:dyDescent="0.35">
      <c r="B118" s="1" t="s">
        <v>16</v>
      </c>
      <c r="C118" s="1" t="s">
        <v>37</v>
      </c>
      <c r="D118" s="10" t="s">
        <v>309</v>
      </c>
      <c r="E118" s="10" t="s">
        <v>15</v>
      </c>
      <c r="F118" s="145"/>
      <c r="G118" s="19" t="s">
        <v>24</v>
      </c>
      <c r="H118" s="18">
        <v>25</v>
      </c>
      <c r="I118" s="18">
        <v>0</v>
      </c>
      <c r="J118" s="18">
        <f t="shared" si="29"/>
        <v>25</v>
      </c>
      <c r="K118" s="18">
        <f t="shared" si="30"/>
        <v>100</v>
      </c>
      <c r="L118">
        <v>100</v>
      </c>
      <c r="M118" s="20"/>
    </row>
    <row r="119" spans="2:14" x14ac:dyDescent="0.35">
      <c r="B119" s="1" t="s">
        <v>16</v>
      </c>
      <c r="C119" s="1" t="s">
        <v>37</v>
      </c>
      <c r="D119" s="10" t="s">
        <v>309</v>
      </c>
      <c r="E119" s="10" t="s">
        <v>15</v>
      </c>
      <c r="F119" s="145"/>
      <c r="G119" s="19" t="s">
        <v>24</v>
      </c>
      <c r="H119" s="18">
        <v>19</v>
      </c>
      <c r="I119" s="18">
        <v>0</v>
      </c>
      <c r="J119" s="18">
        <f t="shared" si="29"/>
        <v>19</v>
      </c>
      <c r="K119" s="18">
        <f t="shared" si="30"/>
        <v>100</v>
      </c>
      <c r="L119">
        <v>100</v>
      </c>
      <c r="M119" s="20"/>
    </row>
    <row r="120" spans="2:14" x14ac:dyDescent="0.35">
      <c r="B120" s="1" t="s">
        <v>16</v>
      </c>
      <c r="C120" s="1" t="s">
        <v>37</v>
      </c>
      <c r="D120" s="10" t="s">
        <v>309</v>
      </c>
      <c r="E120" s="10" t="s">
        <v>15</v>
      </c>
      <c r="F120" s="145"/>
      <c r="G120" s="19" t="s">
        <v>24</v>
      </c>
      <c r="H120" s="18">
        <v>29</v>
      </c>
      <c r="I120" s="18">
        <v>1</v>
      </c>
      <c r="J120" s="18">
        <f t="shared" si="29"/>
        <v>30</v>
      </c>
      <c r="K120" s="18">
        <f t="shared" si="30"/>
        <v>96.666666666666671</v>
      </c>
      <c r="L120">
        <v>96.422128195565222</v>
      </c>
      <c r="M120" s="20"/>
    </row>
    <row r="121" spans="2:14" x14ac:dyDescent="0.35">
      <c r="B121" s="1" t="s">
        <v>16</v>
      </c>
      <c r="C121" s="1" t="s">
        <v>37</v>
      </c>
      <c r="D121" s="10" t="s">
        <v>309</v>
      </c>
      <c r="E121" s="10" t="s">
        <v>15</v>
      </c>
      <c r="F121" s="145"/>
      <c r="G121" s="19" t="s">
        <v>24</v>
      </c>
      <c r="H121" s="18">
        <v>38</v>
      </c>
      <c r="I121" s="18">
        <v>0</v>
      </c>
      <c r="J121" s="18">
        <f t="shared" si="29"/>
        <v>38</v>
      </c>
      <c r="K121" s="18">
        <f t="shared" si="30"/>
        <v>100</v>
      </c>
      <c r="L121">
        <v>100</v>
      </c>
      <c r="M121" s="20"/>
    </row>
    <row r="122" spans="2:14" x14ac:dyDescent="0.35">
      <c r="B122" s="1" t="s">
        <v>16</v>
      </c>
      <c r="C122" s="1" t="s">
        <v>37</v>
      </c>
      <c r="D122" s="10" t="s">
        <v>309</v>
      </c>
      <c r="E122" s="10" t="s">
        <v>15</v>
      </c>
      <c r="F122" s="145"/>
      <c r="G122" s="19" t="s">
        <v>24</v>
      </c>
      <c r="H122" s="18">
        <v>39</v>
      </c>
      <c r="I122" s="18">
        <v>1</v>
      </c>
      <c r="J122" s="18">
        <f t="shared" ref="J122:J123" si="31">SUM(H122:I122)</f>
        <v>40</v>
      </c>
      <c r="K122" s="18">
        <f t="shared" si="30"/>
        <v>97.5</v>
      </c>
      <c r="L122">
        <v>97.316596146673916</v>
      </c>
      <c r="M122" s="20"/>
    </row>
    <row r="123" spans="2:14" x14ac:dyDescent="0.35">
      <c r="B123" s="1" t="s">
        <v>16</v>
      </c>
      <c r="C123" s="1" t="s">
        <v>37</v>
      </c>
      <c r="D123" s="10" t="s">
        <v>309</v>
      </c>
      <c r="E123" s="10" t="s">
        <v>15</v>
      </c>
      <c r="F123" s="145"/>
      <c r="G123" s="19" t="s">
        <v>24</v>
      </c>
      <c r="H123" s="18">
        <v>31</v>
      </c>
      <c r="I123" s="18">
        <v>1</v>
      </c>
      <c r="J123" s="18">
        <f t="shared" si="31"/>
        <v>32</v>
      </c>
      <c r="K123" s="18">
        <f t="shared" si="30"/>
        <v>96.875</v>
      </c>
      <c r="L123">
        <v>96.645745183342385</v>
      </c>
      <c r="M123" s="20"/>
    </row>
    <row r="124" spans="2:14" x14ac:dyDescent="0.35">
      <c r="B124" s="1" t="s">
        <v>16</v>
      </c>
      <c r="C124" s="1" t="s">
        <v>38</v>
      </c>
      <c r="D124" s="10" t="s">
        <v>309</v>
      </c>
      <c r="E124" s="18" t="s">
        <v>15</v>
      </c>
      <c r="F124" s="145"/>
      <c r="G124" s="19" t="s">
        <v>24</v>
      </c>
      <c r="H124" s="18">
        <v>25</v>
      </c>
      <c r="I124" s="18">
        <v>1</v>
      </c>
      <c r="J124" s="18">
        <f>SUM(H124:I124)</f>
        <v>26</v>
      </c>
      <c r="K124" s="18">
        <f t="shared" si="30"/>
        <v>96.15384615384616</v>
      </c>
      <c r="L124">
        <v>95.871686379498328</v>
      </c>
      <c r="M124" s="20">
        <f>AVERAGE(K124:K128)</f>
        <v>95.156695156695179</v>
      </c>
      <c r="N124">
        <f>(M124-M112)/(100-M112)*100</f>
        <v>95.156695156695179</v>
      </c>
    </row>
    <row r="125" spans="2:14" x14ac:dyDescent="0.35">
      <c r="B125" s="1" t="s">
        <v>16</v>
      </c>
      <c r="C125" s="1" t="s">
        <v>38</v>
      </c>
      <c r="D125" s="10" t="s">
        <v>309</v>
      </c>
      <c r="E125" s="18" t="s">
        <v>15</v>
      </c>
      <c r="F125" s="145"/>
      <c r="G125" s="19" t="s">
        <v>24</v>
      </c>
      <c r="H125" s="18">
        <v>21</v>
      </c>
      <c r="I125" s="18">
        <v>0</v>
      </c>
      <c r="J125" s="18">
        <f>SUM(H125:I125)</f>
        <v>21</v>
      </c>
      <c r="K125" s="18">
        <f t="shared" si="30"/>
        <v>100</v>
      </c>
      <c r="L125">
        <v>100</v>
      </c>
      <c r="M125" s="20"/>
    </row>
    <row r="126" spans="2:14" x14ac:dyDescent="0.35">
      <c r="B126" s="1" t="s">
        <v>16</v>
      </c>
      <c r="C126" s="1" t="s">
        <v>38</v>
      </c>
      <c r="D126" s="10" t="s">
        <v>309</v>
      </c>
      <c r="E126" s="18" t="s">
        <v>15</v>
      </c>
      <c r="F126" s="145"/>
      <c r="G126" s="19" t="s">
        <v>24</v>
      </c>
      <c r="H126" s="18">
        <v>14</v>
      </c>
      <c r="I126" s="18">
        <v>2</v>
      </c>
      <c r="J126" s="18">
        <f>SUM(H126:I126)</f>
        <v>16</v>
      </c>
      <c r="K126" s="18">
        <f t="shared" si="30"/>
        <v>87.5</v>
      </c>
      <c r="L126">
        <v>86.582980733369567</v>
      </c>
      <c r="M126" s="20"/>
    </row>
    <row r="127" spans="2:14" x14ac:dyDescent="0.35">
      <c r="B127" s="1" t="s">
        <v>16</v>
      </c>
      <c r="C127" s="1" t="s">
        <v>38</v>
      </c>
      <c r="D127" s="10" t="s">
        <v>309</v>
      </c>
      <c r="E127" s="18" t="s">
        <v>15</v>
      </c>
      <c r="F127" s="145"/>
      <c r="G127" s="19" t="s">
        <v>24</v>
      </c>
      <c r="H127" s="18">
        <v>26</v>
      </c>
      <c r="I127" s="18">
        <v>1</v>
      </c>
      <c r="J127" s="18">
        <f>SUM(H127:I127)</f>
        <v>27</v>
      </c>
      <c r="K127" s="18">
        <f t="shared" si="30"/>
        <v>96.296296296296291</v>
      </c>
      <c r="L127">
        <v>96.024586883961348</v>
      </c>
      <c r="M127" s="20"/>
    </row>
    <row r="128" spans="2:14" x14ac:dyDescent="0.35">
      <c r="B128" s="1" t="s">
        <v>16</v>
      </c>
      <c r="C128" s="1" t="s">
        <v>38</v>
      </c>
      <c r="D128" s="10" t="s">
        <v>309</v>
      </c>
      <c r="E128" s="18" t="s">
        <v>15</v>
      </c>
      <c r="F128" s="145"/>
      <c r="G128" s="19" t="s">
        <v>24</v>
      </c>
      <c r="H128" s="18">
        <v>23</v>
      </c>
      <c r="I128" s="18">
        <v>1</v>
      </c>
      <c r="J128" s="18">
        <f>SUM(H128:I128)</f>
        <v>24</v>
      </c>
      <c r="K128" s="18">
        <f t="shared" si="30"/>
        <v>95.833333333333343</v>
      </c>
      <c r="L128">
        <v>95.527660244456541</v>
      </c>
      <c r="M128" s="20"/>
    </row>
    <row r="129" spans="2:14" x14ac:dyDescent="0.35">
      <c r="B129" s="1" t="s">
        <v>16</v>
      </c>
      <c r="C129" s="1" t="s">
        <v>17</v>
      </c>
      <c r="D129" s="10" t="s">
        <v>309</v>
      </c>
      <c r="E129" s="18" t="s">
        <v>15</v>
      </c>
      <c r="F129" s="145"/>
      <c r="G129" s="19" t="s">
        <v>24</v>
      </c>
      <c r="H129" s="18">
        <v>20</v>
      </c>
      <c r="I129" s="18">
        <v>1</v>
      </c>
      <c r="J129" s="18">
        <f t="shared" ref="J129:J130" si="32">SUM(H129:I129)</f>
        <v>21</v>
      </c>
      <c r="K129" s="18">
        <f t="shared" si="30"/>
        <v>95.238095238095227</v>
      </c>
      <c r="L129">
        <v>94.888754565093166</v>
      </c>
      <c r="M129" s="20">
        <f ca="1">AVERAGE(N129:N131, M133)</f>
        <v>97.61904761904762</v>
      </c>
      <c r="N129">
        <f ca="1">(M129-M124)/(100-M124)*100</f>
        <v>50.840336134453587</v>
      </c>
    </row>
    <row r="130" spans="2:14" x14ac:dyDescent="0.35">
      <c r="B130" s="1" t="s">
        <v>16</v>
      </c>
      <c r="C130" s="1" t="s">
        <v>17</v>
      </c>
      <c r="D130" s="10" t="s">
        <v>309</v>
      </c>
      <c r="E130" s="18" t="s">
        <v>15</v>
      </c>
      <c r="F130" s="145"/>
      <c r="G130" s="19" t="s">
        <v>24</v>
      </c>
      <c r="H130" s="18">
        <v>26</v>
      </c>
      <c r="I130" s="18">
        <v>0</v>
      </c>
      <c r="J130" s="18">
        <f t="shared" si="32"/>
        <v>26</v>
      </c>
      <c r="K130" s="18">
        <f t="shared" si="30"/>
        <v>100</v>
      </c>
      <c r="L130">
        <v>100</v>
      </c>
      <c r="M130" s="20"/>
    </row>
  </sheetData>
  <mergeCells count="2">
    <mergeCell ref="F40:F130"/>
    <mergeCell ref="F5:F3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6" r:id="rId4">
          <objectPr defaultSize="0" autoPict="0" r:id="rId5">
            <anchor moveWithCells="1">
              <from>
                <xdr:col>15</xdr:col>
                <xdr:colOff>304800</xdr:colOff>
                <xdr:row>14</xdr:row>
                <xdr:rowOff>69850</xdr:rowOff>
              </from>
              <to>
                <xdr:col>19</xdr:col>
                <xdr:colOff>1435100</xdr:colOff>
                <xdr:row>33</xdr:row>
                <xdr:rowOff>165100</xdr:rowOff>
              </to>
            </anchor>
          </objectPr>
        </oleObject>
      </mc:Choice>
      <mc:Fallback>
        <oleObject progId="Prism8.Document" shapeId="1026" r:id="rId4"/>
      </mc:Fallback>
    </mc:AlternateContent>
    <mc:AlternateContent xmlns:mc="http://schemas.openxmlformats.org/markup-compatibility/2006">
      <mc:Choice Requires="x14">
        <oleObject progId="Prism8.Document" shapeId="1031" r:id="rId6">
          <objectPr defaultSize="0" autoPict="0" r:id="rId7">
            <anchor moveWithCells="1">
              <from>
                <xdr:col>15</xdr:col>
                <xdr:colOff>209550</xdr:colOff>
                <xdr:row>93</xdr:row>
                <xdr:rowOff>95250</xdr:rowOff>
              </from>
              <to>
                <xdr:col>19</xdr:col>
                <xdr:colOff>501650</xdr:colOff>
                <xdr:row>105</xdr:row>
                <xdr:rowOff>114300</xdr:rowOff>
              </to>
            </anchor>
          </objectPr>
        </oleObject>
      </mc:Choice>
      <mc:Fallback>
        <oleObject progId="Prism8.Document" shapeId="1031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3605-77B4-4789-9F43-B85EA37A9A7C}">
  <dimension ref="B2:BK96"/>
  <sheetViews>
    <sheetView tabSelected="1" zoomScale="40" zoomScaleNormal="40" workbookViewId="0">
      <selection activeCell="AM81" sqref="AM81"/>
    </sheetView>
  </sheetViews>
  <sheetFormatPr defaultColWidth="11.453125" defaultRowHeight="14.5" x14ac:dyDescent="0.35"/>
  <cols>
    <col min="1" max="1" width="28.26953125" customWidth="1"/>
    <col min="2" max="2" width="24.26953125" customWidth="1"/>
    <col min="7" max="7" width="26.54296875" customWidth="1"/>
    <col min="8" max="8" width="26.26953125" customWidth="1"/>
    <col min="14" max="14" width="21.7265625" customWidth="1"/>
    <col min="15" max="15" width="22.1796875" customWidth="1"/>
    <col min="16" max="16" width="21.453125" customWidth="1"/>
    <col min="21" max="21" width="24.7265625" customWidth="1"/>
    <col min="22" max="22" width="23.54296875" customWidth="1"/>
    <col min="26" max="26" width="21.7265625" customWidth="1"/>
    <col min="27" max="27" width="32.54296875" customWidth="1"/>
    <col min="30" max="30" width="18.1796875" customWidth="1"/>
    <col min="31" max="31" width="32.81640625" customWidth="1"/>
    <col min="32" max="32" width="23.7265625" customWidth="1"/>
    <col min="33" max="33" width="13.81640625" customWidth="1"/>
    <col min="34" max="34" width="24" customWidth="1"/>
    <col min="35" max="35" width="22.81640625" customWidth="1"/>
    <col min="37" max="37" width="19" customWidth="1"/>
    <col min="38" max="38" width="21.7265625" customWidth="1"/>
    <col min="39" max="39" width="32.26953125" customWidth="1"/>
    <col min="40" max="40" width="15.81640625" customWidth="1"/>
    <col min="41" max="41" width="21" customWidth="1"/>
    <col min="42" max="42" width="22.54296875" customWidth="1"/>
    <col min="43" max="43" width="16.453125" customWidth="1"/>
    <col min="44" max="44" width="15" customWidth="1"/>
    <col min="45" max="45" width="14" customWidth="1"/>
    <col min="46" max="46" width="16.453125" customWidth="1"/>
    <col min="47" max="47" width="29" customWidth="1"/>
    <col min="48" max="48" width="15.54296875" customWidth="1"/>
    <col min="49" max="49" width="15.81640625" customWidth="1"/>
    <col min="51" max="51" width="20.81640625" customWidth="1"/>
    <col min="56" max="56" width="16.7265625" customWidth="1"/>
    <col min="58" max="58" width="16.81640625" customWidth="1"/>
    <col min="59" max="59" width="13.54296875" customWidth="1"/>
    <col min="60" max="60" width="13.26953125" customWidth="1"/>
    <col min="61" max="61" width="24.81640625" customWidth="1"/>
    <col min="62" max="62" width="25.7265625" customWidth="1"/>
  </cols>
  <sheetData>
    <row r="2" spans="2:49" ht="23.5" x14ac:dyDescent="0.55000000000000004">
      <c r="B2" s="104" t="s">
        <v>239</v>
      </c>
    </row>
    <row r="5" spans="2:49" x14ac:dyDescent="0.35">
      <c r="B5" s="159" t="s">
        <v>163</v>
      </c>
      <c r="C5" s="159"/>
      <c r="D5" s="159"/>
      <c r="E5" s="159"/>
      <c r="F5" s="159"/>
    </row>
    <row r="6" spans="2:49" x14ac:dyDescent="0.35">
      <c r="B6" s="34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H6" s="160" t="s">
        <v>169</v>
      </c>
      <c r="I6" s="160"/>
      <c r="J6" s="160"/>
      <c r="K6" s="160"/>
      <c r="L6" s="160"/>
    </row>
    <row r="7" spans="2:49" x14ac:dyDescent="0.35">
      <c r="B7" s="35" t="s">
        <v>171</v>
      </c>
      <c r="C7" s="36">
        <v>28.65</v>
      </c>
      <c r="D7" s="36">
        <v>25.36</v>
      </c>
      <c r="E7" s="36">
        <v>25.31</v>
      </c>
      <c r="F7" s="36">
        <v>28.05</v>
      </c>
      <c r="H7" s="1" t="s">
        <v>172</v>
      </c>
      <c r="I7">
        <v>0.90900000000000003</v>
      </c>
      <c r="K7" s="1" t="s">
        <v>167</v>
      </c>
      <c r="L7">
        <v>0.998</v>
      </c>
      <c r="P7" s="160" t="s">
        <v>173</v>
      </c>
      <c r="Q7" s="160"/>
      <c r="R7" s="160"/>
      <c r="S7" s="160"/>
      <c r="T7" s="160"/>
      <c r="V7" s="160" t="s">
        <v>174</v>
      </c>
      <c r="W7" s="160"/>
      <c r="X7" s="160"/>
      <c r="AA7" s="160" t="s">
        <v>477</v>
      </c>
      <c r="AB7" s="160"/>
      <c r="AC7" s="160"/>
      <c r="AE7" s="160" t="s">
        <v>485</v>
      </c>
      <c r="AF7" s="160"/>
      <c r="AG7" s="160"/>
      <c r="AH7" s="147" t="s">
        <v>167</v>
      </c>
      <c r="AI7" s="160" t="s">
        <v>491</v>
      </c>
      <c r="AJ7" s="160"/>
      <c r="AK7" s="160"/>
      <c r="AL7" s="160"/>
      <c r="AM7" s="160"/>
      <c r="AN7" s="160"/>
      <c r="AO7" s="160"/>
      <c r="AP7" s="147" t="s">
        <v>168</v>
      </c>
      <c r="AQ7" s="160" t="s">
        <v>491</v>
      </c>
      <c r="AR7" s="160"/>
      <c r="AS7" s="160"/>
      <c r="AT7" s="160"/>
      <c r="AU7" s="160"/>
      <c r="AV7" s="160"/>
      <c r="AW7" s="160"/>
    </row>
    <row r="8" spans="2:49" x14ac:dyDescent="0.35">
      <c r="B8" s="35" t="s">
        <v>171</v>
      </c>
      <c r="C8" s="36">
        <v>29.07</v>
      </c>
      <c r="D8" s="36">
        <v>24.89</v>
      </c>
      <c r="E8" s="36">
        <v>25.13</v>
      </c>
      <c r="F8" s="36">
        <v>27.75</v>
      </c>
      <c r="H8" s="1" t="s">
        <v>166</v>
      </c>
      <c r="I8">
        <v>1</v>
      </c>
      <c r="P8" s="1" t="s">
        <v>183</v>
      </c>
      <c r="Q8" s="1" t="s">
        <v>184</v>
      </c>
      <c r="R8" s="1" t="s">
        <v>166</v>
      </c>
      <c r="S8" s="1" t="s">
        <v>167</v>
      </c>
      <c r="T8" s="1" t="s">
        <v>168</v>
      </c>
      <c r="V8" s="27" t="s">
        <v>185</v>
      </c>
      <c r="AA8" s="1" t="s">
        <v>183</v>
      </c>
      <c r="AB8" s="1" t="s">
        <v>167</v>
      </c>
      <c r="AC8" s="1" t="s">
        <v>168</v>
      </c>
      <c r="AE8" s="1" t="s">
        <v>183</v>
      </c>
      <c r="AF8" s="1" t="s">
        <v>167</v>
      </c>
      <c r="AG8" s="1" t="s">
        <v>168</v>
      </c>
      <c r="AH8" s="147"/>
      <c r="AI8" s="1" t="s">
        <v>176</v>
      </c>
      <c r="AJ8" s="27" t="s">
        <v>177</v>
      </c>
      <c r="AK8" s="27" t="s">
        <v>178</v>
      </c>
      <c r="AL8" s="27" t="s">
        <v>179</v>
      </c>
      <c r="AM8" s="37" t="s">
        <v>180</v>
      </c>
      <c r="AN8" s="27" t="s">
        <v>181</v>
      </c>
      <c r="AO8" s="27" t="s">
        <v>182</v>
      </c>
      <c r="AP8" s="147"/>
      <c r="AQ8" s="1" t="s">
        <v>176</v>
      </c>
      <c r="AR8" s="27" t="s">
        <v>177</v>
      </c>
      <c r="AS8" s="27" t="s">
        <v>178</v>
      </c>
      <c r="AT8" s="27" t="s">
        <v>179</v>
      </c>
      <c r="AU8" s="37" t="s">
        <v>180</v>
      </c>
      <c r="AV8" s="27" t="s">
        <v>181</v>
      </c>
      <c r="AW8" s="27" t="s">
        <v>182</v>
      </c>
    </row>
    <row r="9" spans="2:49" x14ac:dyDescent="0.35">
      <c r="B9" s="35" t="s">
        <v>171</v>
      </c>
      <c r="C9" s="36">
        <v>28.7</v>
      </c>
      <c r="D9" s="36">
        <v>24.54</v>
      </c>
      <c r="E9" s="36">
        <v>25.03</v>
      </c>
      <c r="F9" s="36">
        <v>27.71</v>
      </c>
      <c r="H9" s="1" t="s">
        <v>168</v>
      </c>
      <c r="I9">
        <v>1.0049999999999999</v>
      </c>
      <c r="P9" s="35" t="s">
        <v>171</v>
      </c>
      <c r="Q9" s="38">
        <f>AVERAGE(I14:I16)</f>
        <v>26.805989488466537</v>
      </c>
      <c r="R9" s="38">
        <f>AVERAGE(J14:J16)</f>
        <v>24.929999999999996</v>
      </c>
      <c r="S9" s="38">
        <f>AVERAGE(K14:K16)</f>
        <v>25.120355109615371</v>
      </c>
      <c r="T9" s="38">
        <f>AVERAGE(L14:L16)</f>
        <v>27.936940928387713</v>
      </c>
      <c r="V9" s="1" t="s">
        <v>183</v>
      </c>
      <c r="W9" s="1" t="s">
        <v>167</v>
      </c>
      <c r="X9" s="1" t="s">
        <v>168</v>
      </c>
      <c r="AA9" s="35" t="s">
        <v>171</v>
      </c>
      <c r="AB9" s="36">
        <f>POWER(2,-W10)</f>
        <v>0.87638997730655777</v>
      </c>
      <c r="AC9" s="36">
        <f>POWER(2,-X10)</f>
        <v>0.12440005872363193</v>
      </c>
      <c r="AE9" s="35" t="s">
        <v>171</v>
      </c>
      <c r="AF9" s="36">
        <f>AVERAGEA(AB9:AB11)</f>
        <v>0.88460923444282125</v>
      </c>
      <c r="AG9" s="36">
        <f>AVERAGEA(AC9:AC11)</f>
        <v>0.10950472321766991</v>
      </c>
      <c r="AH9" s="147"/>
      <c r="AI9" s="35" t="s">
        <v>171</v>
      </c>
      <c r="AJ9" s="36">
        <f>STDEV(AB9:AB11)</f>
        <v>0.10060522328921323</v>
      </c>
      <c r="AK9" s="36">
        <f>AF9-CONFIDENCE(0.05,AJ9,3)</f>
        <v>0.7707657989951997</v>
      </c>
      <c r="AL9" s="36">
        <f>AF9+CONFIDENCE(0.05,AJ9,3)</f>
        <v>0.99845266989044279</v>
      </c>
      <c r="AM9" s="36">
        <f>AF9/AF13</f>
        <v>9.2305129563399966</v>
      </c>
      <c r="AN9" s="36">
        <f>AK9/AF12</f>
        <v>0.51895887186520284</v>
      </c>
      <c r="AO9" s="36">
        <f>AL9/AF12</f>
        <v>0.67226110947402207</v>
      </c>
      <c r="AP9" s="147"/>
      <c r="AQ9" s="35" t="s">
        <v>171</v>
      </c>
      <c r="AR9" s="36">
        <f>STDEV(AC9:AC11)</f>
        <v>1.6646902698514224E-2</v>
      </c>
      <c r="AS9" s="36">
        <f>AG9-CONFIDENCE(0.05,AR9,3)</f>
        <v>9.0667325607477089E-2</v>
      </c>
      <c r="AT9" s="36">
        <f>AG9+CONFIDENCE(0.05,AR9,3)</f>
        <v>0.12834212082786273</v>
      </c>
      <c r="AU9" s="36">
        <f>AG9/AG13</f>
        <v>11.156569817828405</v>
      </c>
      <c r="AV9" s="36">
        <f>AS9/AG12</f>
        <v>0.36290813696177798</v>
      </c>
      <c r="AW9" s="36">
        <f>AT9/AG12</f>
        <v>0.51370656023322736</v>
      </c>
    </row>
    <row r="10" spans="2:49" x14ac:dyDescent="0.35">
      <c r="B10" s="35" t="s">
        <v>187</v>
      </c>
      <c r="C10" s="36">
        <v>30.76</v>
      </c>
      <c r="D10" s="36">
        <v>26.27</v>
      </c>
      <c r="E10" s="36">
        <v>26.09</v>
      </c>
      <c r="F10" s="36">
        <v>29.25</v>
      </c>
      <c r="H10" s="1" t="s">
        <v>184</v>
      </c>
      <c r="I10">
        <v>0.90600000000000003</v>
      </c>
      <c r="P10" s="35" t="s">
        <v>187</v>
      </c>
      <c r="Q10" s="38">
        <f>AVERAGE(I17:I19)</f>
        <v>27.987785599911309</v>
      </c>
      <c r="R10" s="38">
        <f>AVERAGE(J17:J19)</f>
        <v>25.913333333333338</v>
      </c>
      <c r="S10" s="38">
        <f>AVERAGE(K17:K19)</f>
        <v>25.929185941950934</v>
      </c>
      <c r="T10" s="38">
        <f>AVERAGE(L17:L19)</f>
        <v>29.064320774258462</v>
      </c>
      <c r="V10" s="35" t="s">
        <v>171</v>
      </c>
      <c r="W10" s="38">
        <f>S9-R9</f>
        <v>0.19035510961537483</v>
      </c>
      <c r="X10" s="38">
        <f t="shared" ref="X10:X24" si="0">T9-R9</f>
        <v>3.0069409283877171</v>
      </c>
      <c r="AA10" s="35" t="s">
        <v>187</v>
      </c>
      <c r="AB10" s="36">
        <f t="shared" ref="AB10:AC22" si="1">POWER(2,-W11)</f>
        <v>0.98907195868900577</v>
      </c>
      <c r="AC10" s="36">
        <f t="shared" si="1"/>
        <v>0.11257922751124946</v>
      </c>
      <c r="AE10" s="39" t="s">
        <v>186</v>
      </c>
      <c r="AF10" s="40">
        <f>AVERAGEA(AB12:AB14)</f>
        <v>1.8046653491663875</v>
      </c>
      <c r="AG10" s="40">
        <f>AVERAGEA(AC12:AC14)</f>
        <v>0.2943495960419773</v>
      </c>
      <c r="AH10" s="147"/>
      <c r="AI10" s="39" t="s">
        <v>186</v>
      </c>
      <c r="AJ10" s="40">
        <f>STDEV(AB12:AB14)</f>
        <v>0.57641612004705345</v>
      </c>
      <c r="AK10" s="40">
        <f>AF10-CONFIDENCE(0.05,AJ10,3)</f>
        <v>1.1524010908296041</v>
      </c>
      <c r="AL10" s="40">
        <f>AF10+CONFIDENCE(0.05,AJ10,3)</f>
        <v>2.456929607503171</v>
      </c>
      <c r="AM10" s="40">
        <f>AF10/AF13</f>
        <v>18.830898705042753</v>
      </c>
      <c r="AN10" s="40">
        <f>AK10/AF12</f>
        <v>0.77591503257254046</v>
      </c>
      <c r="AO10" s="40">
        <f>AL10/AF12</f>
        <v>1.654257906907987</v>
      </c>
      <c r="AP10" s="147"/>
      <c r="AQ10" s="39" t="s">
        <v>186</v>
      </c>
      <c r="AR10" s="40">
        <f>STDEV(AC12:AC14)</f>
        <v>6.994107734829634E-2</v>
      </c>
      <c r="AS10" s="40">
        <f>AG10-CONFIDENCE(0.05,AR10,3)</f>
        <v>0.21520527068872708</v>
      </c>
      <c r="AT10" s="40">
        <f>AG10+CONFIDENCE(0.05,AR10,3)</f>
        <v>0.37349392139522752</v>
      </c>
      <c r="AU10" s="40">
        <f>AG10/AG13</f>
        <v>29.988951367551657</v>
      </c>
      <c r="AV10" s="40">
        <f>AS10/AG12</f>
        <v>0.86138797330491013</v>
      </c>
      <c r="AW10" s="40">
        <f>AT10/AG12</f>
        <v>1.4949595377600156</v>
      </c>
    </row>
    <row r="11" spans="2:49" x14ac:dyDescent="0.35">
      <c r="B11" s="35" t="s">
        <v>187</v>
      </c>
      <c r="C11" s="36">
        <v>30.16</v>
      </c>
      <c r="D11" s="36">
        <v>25.96</v>
      </c>
      <c r="E11" s="36">
        <v>25.93</v>
      </c>
      <c r="F11" s="36">
        <v>29.09</v>
      </c>
      <c r="P11" s="35" t="s">
        <v>188</v>
      </c>
      <c r="Q11" s="38">
        <f>AVERAGE(I20:I22)</f>
        <v>27.351911051758609</v>
      </c>
      <c r="R11" s="38">
        <f>AVERAGE(J20:J22)</f>
        <v>25.209999999999997</v>
      </c>
      <c r="S11" s="38">
        <f>AVERAGE(K20:K22)</f>
        <v>25.553062962305177</v>
      </c>
      <c r="T11" s="38">
        <f>AVERAGE(L20:L22)</f>
        <v>28.659534538797448</v>
      </c>
      <c r="V11" s="35" t="s">
        <v>187</v>
      </c>
      <c r="W11" s="38">
        <f t="shared" ref="W11:W24" si="2">S10-R10</f>
        <v>1.5852608617596076E-2</v>
      </c>
      <c r="X11" s="38">
        <f t="shared" si="0"/>
        <v>3.1509874409251246</v>
      </c>
      <c r="AA11" s="35" t="s">
        <v>188</v>
      </c>
      <c r="AB11" s="36">
        <f>POWER(2,-W12)</f>
        <v>0.78836576733289998</v>
      </c>
      <c r="AC11" s="36">
        <f t="shared" si="1"/>
        <v>9.1534883418128349E-2</v>
      </c>
      <c r="AE11" s="41" t="s">
        <v>492</v>
      </c>
      <c r="AF11" s="42">
        <f>AVERAGEA(AB15:AB17)</f>
        <v>2.2136295922443865</v>
      </c>
      <c r="AG11" s="42">
        <f>AVERAGEA(AC15:AC17)</f>
        <v>0.41478813990763452</v>
      </c>
      <c r="AH11" s="147"/>
      <c r="AI11" s="41" t="s">
        <v>492</v>
      </c>
      <c r="AJ11" s="42">
        <f>STDEV(AB15:AB17)</f>
        <v>0.4560521539879997</v>
      </c>
      <c r="AK11" s="42">
        <f>AF11-CONFIDENCE(0.05,AJ11,3)</f>
        <v>1.6975674807968566</v>
      </c>
      <c r="AL11" s="42">
        <f>AF11+CONFIDENCE(0.05,AJ11,3)</f>
        <v>2.7296917036919162</v>
      </c>
      <c r="AM11" s="42">
        <f>AF11/AF13</f>
        <v>23.098262867015279</v>
      </c>
      <c r="AN11" s="42">
        <f>AK11/AF12</f>
        <v>1.142977161023303</v>
      </c>
      <c r="AO11" s="42">
        <f>AL11/AF12</f>
        <v>1.837909425839201</v>
      </c>
      <c r="AP11" s="147"/>
      <c r="AQ11" s="41" t="s">
        <v>492</v>
      </c>
      <c r="AR11" s="42">
        <f>STDEV(AC15:AC17)</f>
        <v>0.17089145609107162</v>
      </c>
      <c r="AS11" s="42">
        <f>AG11-CONFIDENCE(0.05,AR11,3)</f>
        <v>0.22140980611947342</v>
      </c>
      <c r="AT11" s="42">
        <f>AG11+CONFIDENCE(0.05,AR11,3)</f>
        <v>0.60816647369579568</v>
      </c>
      <c r="AU11" s="42">
        <f>AG11/AG13</f>
        <v>42.259481659874012</v>
      </c>
      <c r="AV11" s="42">
        <f>AS11/AG12</f>
        <v>0.88622245892361695</v>
      </c>
      <c r="AW11" s="42">
        <f>AT11/AG12</f>
        <v>2.4342679179383904</v>
      </c>
    </row>
    <row r="12" spans="2:49" x14ac:dyDescent="0.35">
      <c r="B12" s="35" t="s">
        <v>187</v>
      </c>
      <c r="C12" s="36">
        <v>29.31</v>
      </c>
      <c r="D12" s="36">
        <v>25.51</v>
      </c>
      <c r="E12" s="36">
        <v>25.88</v>
      </c>
      <c r="F12" s="36">
        <v>28.54</v>
      </c>
      <c r="H12" s="160" t="s">
        <v>189</v>
      </c>
      <c r="I12" s="160"/>
      <c r="J12" s="160"/>
      <c r="K12" s="160"/>
      <c r="L12" s="160"/>
      <c r="P12" s="39" t="s">
        <v>186</v>
      </c>
      <c r="Q12" s="40">
        <f>AVERAGE(I23:I25)</f>
        <v>26.173216767377994</v>
      </c>
      <c r="R12" s="40">
        <f>AVERAGE(J23:J25)</f>
        <v>24.446666666666669</v>
      </c>
      <c r="S12" s="40">
        <f>AVERAGE(K23:K25)</f>
        <v>24.254939404235746</v>
      </c>
      <c r="T12" s="40">
        <f>AVERAGE(L23:L25)</f>
        <v>26.672402110170662</v>
      </c>
      <c r="V12" s="35" t="s">
        <v>188</v>
      </c>
      <c r="W12" s="38">
        <f t="shared" si="2"/>
        <v>0.3430629623051793</v>
      </c>
      <c r="X12" s="38">
        <f t="shared" si="0"/>
        <v>3.449534538797451</v>
      </c>
      <c r="AA12" s="39" t="s">
        <v>186</v>
      </c>
      <c r="AB12" s="40">
        <f t="shared" si="1"/>
        <v>1.1421303098129412</v>
      </c>
      <c r="AC12" s="40">
        <f t="shared" si="1"/>
        <v>0.21378974491291261</v>
      </c>
      <c r="AE12" s="43" t="s">
        <v>495</v>
      </c>
      <c r="AF12" s="44">
        <f>AVERAGEA(AB18:AB20)</f>
        <v>1.4852155744538509</v>
      </c>
      <c r="AG12" s="44">
        <f>AVERAGEA(AC18:AC20)</f>
        <v>0.24983547177126619</v>
      </c>
      <c r="AH12" s="147"/>
      <c r="AI12" s="43" t="s">
        <v>495</v>
      </c>
      <c r="AJ12" s="44">
        <f>STDEV(AB18:AB20)</f>
        <v>0.28181227059035635</v>
      </c>
      <c r="AK12" s="44">
        <f>AF12-CONFIDENCE(0.05,AJ12,3)</f>
        <v>1.1663208293661897</v>
      </c>
      <c r="AL12" s="44">
        <f>AF12+CONFIDENCE(0.05,AJ12,3)</f>
        <v>1.804110319541512</v>
      </c>
      <c r="AM12" s="44">
        <f>AF12/AF13</f>
        <v>15.497579122141023</v>
      </c>
      <c r="AN12" s="44">
        <f>AK12/AF12</f>
        <v>0.78528723333316353</v>
      </c>
      <c r="AO12" s="44">
        <f>AL12/AF12</f>
        <v>1.2147127666668365</v>
      </c>
      <c r="AP12" s="147"/>
      <c r="AQ12" s="43" t="s">
        <v>495</v>
      </c>
      <c r="AR12" s="44">
        <f>STDEV(AC18:AC20)</f>
        <v>5.0127173304296994E-2</v>
      </c>
      <c r="AS12" s="44">
        <f>AG12-CONFIDENCE(0.05,AR12,3)</f>
        <v>0.19311227757055982</v>
      </c>
      <c r="AT12" s="44">
        <f>AG12+CONFIDENCE(0.05,AR12,3)</f>
        <v>0.30655866597197257</v>
      </c>
      <c r="AU12" s="44">
        <f>AG12/AG13</f>
        <v>25.453759453331632</v>
      </c>
      <c r="AV12" s="44">
        <f>AS12/AG12</f>
        <v>0.77295780379561718</v>
      </c>
      <c r="AW12" s="44">
        <f>AT12/AG12</f>
        <v>1.2270421962043829</v>
      </c>
    </row>
    <row r="13" spans="2:49" x14ac:dyDescent="0.35">
      <c r="B13" s="35" t="s">
        <v>188</v>
      </c>
      <c r="C13" s="36">
        <v>29.89</v>
      </c>
      <c r="D13" s="36">
        <v>25.64</v>
      </c>
      <c r="E13" s="36">
        <v>25.98</v>
      </c>
      <c r="F13" s="36">
        <v>28.76</v>
      </c>
      <c r="H13" s="1" t="s">
        <v>164</v>
      </c>
      <c r="I13" s="1" t="s">
        <v>165</v>
      </c>
      <c r="J13" s="1" t="s">
        <v>166</v>
      </c>
      <c r="K13" s="1" t="s">
        <v>167</v>
      </c>
      <c r="L13" s="1" t="s">
        <v>168</v>
      </c>
      <c r="P13" s="39" t="s">
        <v>191</v>
      </c>
      <c r="Q13" s="40">
        <f>AVERAGE(I26:I28)</f>
        <v>28.9462501627366</v>
      </c>
      <c r="R13" s="40">
        <f>AVERAGE(J26:J28)</f>
        <v>26.48</v>
      </c>
      <c r="S13" s="40">
        <f>AVERAGE(K26,K28)</f>
        <v>25.348358862763458</v>
      </c>
      <c r="T13" s="40">
        <f>AVERAGE(L26:L28)</f>
        <v>28.080790582311874</v>
      </c>
      <c r="V13" s="39" t="s">
        <v>186</v>
      </c>
      <c r="W13" s="40">
        <f t="shared" si="2"/>
        <v>-0.19172726243092342</v>
      </c>
      <c r="X13" s="40">
        <f t="shared" si="0"/>
        <v>2.2257354435039929</v>
      </c>
      <c r="AA13" s="39" t="s">
        <v>191</v>
      </c>
      <c r="AB13" s="40">
        <f t="shared" si="1"/>
        <v>2.1910784459259092</v>
      </c>
      <c r="AC13" s="40">
        <f t="shared" si="1"/>
        <v>0.32969625796186447</v>
      </c>
      <c r="AE13" s="45" t="s">
        <v>190</v>
      </c>
      <c r="AF13" s="46">
        <f>AVERAGEA(AB21:AB23)</f>
        <v>9.5835327746896848E-2</v>
      </c>
      <c r="AG13" s="46">
        <f>AVERAGEA(AC21:AC23)</f>
        <v>9.8152680443660493E-3</v>
      </c>
      <c r="AH13" s="147"/>
      <c r="AI13" s="45" t="s">
        <v>190</v>
      </c>
      <c r="AJ13" s="46">
        <f>STDEV(AB21:AB23)</f>
        <v>1.641972135336835E-2</v>
      </c>
      <c r="AK13" s="46">
        <f>AF13-CONFIDENCE(0.05,AJ13,3)</f>
        <v>7.7255005305919333E-2</v>
      </c>
      <c r="AL13" s="46">
        <f>AF13+CONFIDENCE(0.05,AJ13,3)</f>
        <v>0.11441565018787436</v>
      </c>
      <c r="AM13" s="46">
        <f>AF13/AF13</f>
        <v>1</v>
      </c>
      <c r="AN13" s="46">
        <f>AK13/AF13</f>
        <v>0.80612240936819723</v>
      </c>
      <c r="AO13" s="46">
        <f>AL13/AF13</f>
        <v>1.1938775906318027</v>
      </c>
      <c r="AP13" s="147"/>
      <c r="AQ13" s="45" t="s">
        <v>190</v>
      </c>
      <c r="AR13" s="46">
        <f>STDEV(AC21:AC23)</f>
        <v>4.8095842920297827E-3</v>
      </c>
      <c r="AS13" s="46">
        <f>AG13-CONFIDENCE(0.05,AR13,3)</f>
        <v>4.3728110726683044E-3</v>
      </c>
      <c r="AT13" s="46">
        <f>AG13+CONFIDENCE(0.05,AR13,3)</f>
        <v>1.5257725016063794E-2</v>
      </c>
      <c r="AU13" s="46">
        <f>AG13/AG13</f>
        <v>1</v>
      </c>
      <c r="AV13" s="46">
        <f>AS13/AG13</f>
        <v>0.44551112133695547</v>
      </c>
      <c r="AW13" s="46">
        <f>AT13/AG13</f>
        <v>1.5544888786630446</v>
      </c>
    </row>
    <row r="14" spans="2:49" x14ac:dyDescent="0.35">
      <c r="B14" s="35" t="s">
        <v>188</v>
      </c>
      <c r="C14" s="36">
        <v>29.61</v>
      </c>
      <c r="D14" s="36">
        <v>24.82</v>
      </c>
      <c r="E14" s="36">
        <v>24.86</v>
      </c>
      <c r="F14" s="36">
        <v>28.52</v>
      </c>
      <c r="H14" s="35" t="s">
        <v>171</v>
      </c>
      <c r="I14" s="36">
        <f>C7*(((LOG(1.906)/LOG(2))))</f>
        <v>26.660203616451039</v>
      </c>
      <c r="J14" s="36">
        <f>D7*((LOG(2)/LOG(2)))</f>
        <v>25.36</v>
      </c>
      <c r="K14" s="36">
        <f>E7*((LOG(1.998)/LOG(2)))</f>
        <v>25.273467119028684</v>
      </c>
      <c r="L14" s="36">
        <f>F7*((LOG(2.005)/LOG(2)))</f>
        <v>28.151042738879486</v>
      </c>
      <c r="P14" s="39" t="s">
        <v>192</v>
      </c>
      <c r="Q14" s="40">
        <f>AVERAGE(I29:I31)</f>
        <v>29.014490358148109</v>
      </c>
      <c r="R14" s="40">
        <f>AVERAGE(J29:J31)</f>
        <v>26.743333333333336</v>
      </c>
      <c r="S14" s="40">
        <f>AVERAGE(K29:K31)</f>
        <v>25.686203840055885</v>
      </c>
      <c r="T14" s="40">
        <f>AVERAGE(L29:L31)</f>
        <v>28.301583074381515</v>
      </c>
      <c r="V14" s="39" t="s">
        <v>191</v>
      </c>
      <c r="W14" s="40">
        <f t="shared" si="2"/>
        <v>-1.1316411372365422</v>
      </c>
      <c r="X14" s="40">
        <f t="shared" si="0"/>
        <v>1.6007905823118733</v>
      </c>
      <c r="AA14" s="39" t="s">
        <v>192</v>
      </c>
      <c r="AB14" s="40">
        <f t="shared" si="1"/>
        <v>2.0807872917603123</v>
      </c>
      <c r="AC14" s="40">
        <f t="shared" si="1"/>
        <v>0.3395627852511548</v>
      </c>
      <c r="AH14" s="147"/>
      <c r="AP14" s="147"/>
    </row>
    <row r="15" spans="2:49" x14ac:dyDescent="0.35">
      <c r="B15" s="35" t="s">
        <v>188</v>
      </c>
      <c r="C15" s="36">
        <v>28.68</v>
      </c>
      <c r="D15" s="36">
        <v>25.17</v>
      </c>
      <c r="E15" s="36">
        <v>25.93</v>
      </c>
      <c r="F15" s="36">
        <v>28.39</v>
      </c>
      <c r="H15" s="35" t="s">
        <v>171</v>
      </c>
      <c r="I15" s="36">
        <f>C8*((LOG(1.906)/LOG(2)))</f>
        <v>27.051033826535139</v>
      </c>
      <c r="J15" s="36">
        <f t="shared" ref="J15:J57" si="3">D8*((LOG(2)/LOG(2)))</f>
        <v>24.89</v>
      </c>
      <c r="K15" s="36">
        <f t="shared" ref="K15:K58" si="4">E8*((LOG(1.998)/LOG(2)))</f>
        <v>25.093726934065224</v>
      </c>
      <c r="L15" s="36">
        <f t="shared" ref="L15:L48" si="5">F8*((LOG(2.005)/LOG(2)))</f>
        <v>27.849962067875428</v>
      </c>
      <c r="P15" s="41" t="s">
        <v>492</v>
      </c>
      <c r="Q15" s="42">
        <f>AVERAGE(I32:I34)</f>
        <v>28.50889254669011</v>
      </c>
      <c r="R15" s="42">
        <f>AVERAGE(J32:J34)</f>
        <v>26.12</v>
      </c>
      <c r="S15" s="42">
        <f>AVERAGE(K32:K34)</f>
        <v>24.734246564138303</v>
      </c>
      <c r="T15" s="42">
        <f>AVERAGE(L32:L34)</f>
        <v>26.836323808828428</v>
      </c>
      <c r="V15" s="39" t="s">
        <v>192</v>
      </c>
      <c r="W15" s="40">
        <f t="shared" si="2"/>
        <v>-1.0571294932774506</v>
      </c>
      <c r="X15" s="40">
        <f t="shared" si="0"/>
        <v>1.5582497410481793</v>
      </c>
      <c r="AA15" s="41" t="s">
        <v>492</v>
      </c>
      <c r="AB15" s="42">
        <f t="shared" si="1"/>
        <v>2.6130838799013549</v>
      </c>
      <c r="AC15" s="42">
        <f>POWER(2,-X16)</f>
        <v>0.60864638503701096</v>
      </c>
      <c r="AH15" s="147"/>
      <c r="AP15" s="147"/>
    </row>
    <row r="16" spans="2:49" x14ac:dyDescent="0.35">
      <c r="B16" s="39" t="s">
        <v>186</v>
      </c>
      <c r="C16" s="40">
        <v>27.68</v>
      </c>
      <c r="D16" s="40">
        <v>24.39</v>
      </c>
      <c r="E16" s="40">
        <v>24.07</v>
      </c>
      <c r="F16" s="40">
        <v>26.62</v>
      </c>
      <c r="H16" s="35" t="s">
        <v>171</v>
      </c>
      <c r="I16" s="36">
        <f t="shared" ref="I16:I49" si="6">C9*((LOG(1.906)/LOG(2)))</f>
        <v>26.706731022413429</v>
      </c>
      <c r="J16" s="36">
        <f t="shared" si="3"/>
        <v>24.54</v>
      </c>
      <c r="K16" s="36">
        <f t="shared" si="4"/>
        <v>24.993871275752191</v>
      </c>
      <c r="L16" s="36">
        <f t="shared" si="5"/>
        <v>27.809817978408219</v>
      </c>
      <c r="P16" s="41" t="s">
        <v>493</v>
      </c>
      <c r="Q16" s="42">
        <f>AVERAGE(I35:I37)</f>
        <v>29.557310094376025</v>
      </c>
      <c r="R16" s="42">
        <f>AVERAGE(J35:J37)</f>
        <v>27.886666666666667</v>
      </c>
      <c r="S16" s="42">
        <f>AVERAGE(K35:K37)</f>
        <v>26.678103379298687</v>
      </c>
      <c r="T16" s="42">
        <f>AVERAGE(L35:L37)</f>
        <v>29.402200193940796</v>
      </c>
      <c r="V16" s="41" t="s">
        <v>492</v>
      </c>
      <c r="W16" s="42">
        <f t="shared" si="2"/>
        <v>-1.3857534358616981</v>
      </c>
      <c r="X16" s="42">
        <f t="shared" si="0"/>
        <v>0.71632380882842739</v>
      </c>
      <c r="AA16" s="41" t="s">
        <v>493</v>
      </c>
      <c r="AB16" s="42">
        <f t="shared" si="1"/>
        <v>2.3110737310315734</v>
      </c>
      <c r="AC16" s="42">
        <f t="shared" si="1"/>
        <v>0.34976709408607892</v>
      </c>
      <c r="AH16" s="147"/>
      <c r="AP16" s="147"/>
    </row>
    <row r="17" spans="2:49" x14ac:dyDescent="0.35">
      <c r="B17" s="39" t="s">
        <v>186</v>
      </c>
      <c r="C17" s="47">
        <v>28.33</v>
      </c>
      <c r="D17" s="40">
        <v>24.38</v>
      </c>
      <c r="E17" s="40">
        <v>24.47</v>
      </c>
      <c r="F17" s="40">
        <v>26.56</v>
      </c>
      <c r="H17" s="35" t="s">
        <v>187</v>
      </c>
      <c r="I17" s="36">
        <f t="shared" si="6"/>
        <v>28.623660148064012</v>
      </c>
      <c r="J17" s="36">
        <f t="shared" si="3"/>
        <v>26.27</v>
      </c>
      <c r="K17" s="36">
        <f t="shared" si="4"/>
        <v>26.052341253870342</v>
      </c>
      <c r="L17" s="36">
        <f t="shared" si="5"/>
        <v>29.355365422895719</v>
      </c>
      <c r="P17" s="41" t="s">
        <v>494</v>
      </c>
      <c r="Q17" s="42">
        <f>AVERAGE(I38:I40)</f>
        <v>27.944360021013079</v>
      </c>
      <c r="R17" s="42">
        <f>AVERAGE(J38:J40)</f>
        <v>25.913333333333338</v>
      </c>
      <c r="S17" s="42">
        <f>AVERAGE(K38:K40)</f>
        <v>25.133669197390436</v>
      </c>
      <c r="T17" s="42">
        <f>AVERAGE(L38:L40)</f>
        <v>27.719493777107004</v>
      </c>
      <c r="V17" s="41" t="s">
        <v>493</v>
      </c>
      <c r="W17" s="42">
        <f t="shared" si="2"/>
        <v>-1.2085632873679799</v>
      </c>
      <c r="X17" s="42">
        <f t="shared" si="0"/>
        <v>1.5155335272741297</v>
      </c>
      <c r="AA17" s="41" t="s">
        <v>494</v>
      </c>
      <c r="AB17" s="42">
        <f t="shared" si="1"/>
        <v>1.716731165800232</v>
      </c>
      <c r="AC17" s="42">
        <f t="shared" si="1"/>
        <v>0.28595094059981374</v>
      </c>
      <c r="AH17" s="147"/>
      <c r="AP17" s="147"/>
    </row>
    <row r="18" spans="2:49" x14ac:dyDescent="0.35">
      <c r="B18" s="39" t="s">
        <v>186</v>
      </c>
      <c r="C18" s="40">
        <v>28.37</v>
      </c>
      <c r="D18" s="40">
        <v>24.57</v>
      </c>
      <c r="E18" s="40">
        <v>24.33</v>
      </c>
      <c r="F18" s="40">
        <v>26.55</v>
      </c>
      <c r="H18" s="35" t="s">
        <v>187</v>
      </c>
      <c r="I18" s="36">
        <f>C11*((LOG(1.906)/LOG(2)))</f>
        <v>28.065331276515298</v>
      </c>
      <c r="J18" s="36">
        <f t="shared" si="3"/>
        <v>25.96</v>
      </c>
      <c r="K18" s="36">
        <f t="shared" si="4"/>
        <v>25.892572200569489</v>
      </c>
      <c r="L18" s="36">
        <f t="shared" si="5"/>
        <v>29.194789065026889</v>
      </c>
      <c r="P18" s="43" t="s">
        <v>495</v>
      </c>
      <c r="Q18" s="44">
        <f>AVERAGE(I41)</f>
        <v>30.345174168672543</v>
      </c>
      <c r="R18" s="44">
        <f>AVERAGE(J41:J43)</f>
        <v>26.66333333333333</v>
      </c>
      <c r="S18" s="44">
        <f>AVERAGE(K41:K43)</f>
        <v>26.268695180215246</v>
      </c>
      <c r="T18" s="44">
        <f>AVERAGE(L41:L43)</f>
        <v>28.50230352171755</v>
      </c>
      <c r="V18" s="41" t="s">
        <v>494</v>
      </c>
      <c r="W18" s="42">
        <f t="shared" si="2"/>
        <v>-0.77966413594290174</v>
      </c>
      <c r="X18" s="42">
        <f t="shared" si="0"/>
        <v>1.8061604437736669</v>
      </c>
      <c r="AA18" s="43" t="s">
        <v>495</v>
      </c>
      <c r="AB18" s="44">
        <f t="shared" si="1"/>
        <v>1.3146129966308295</v>
      </c>
      <c r="AC18" s="44">
        <f t="shared" si="1"/>
        <v>0.2795212386632217</v>
      </c>
      <c r="AH18" s="147"/>
      <c r="AP18" s="147"/>
    </row>
    <row r="19" spans="2:49" x14ac:dyDescent="0.35">
      <c r="B19" s="39" t="s">
        <v>191</v>
      </c>
      <c r="C19" s="40">
        <v>31.32</v>
      </c>
      <c r="D19" s="40">
        <v>26.45</v>
      </c>
      <c r="E19" s="40">
        <v>25.36</v>
      </c>
      <c r="F19" s="40">
        <v>27.9</v>
      </c>
      <c r="H19" s="35" t="s">
        <v>187</v>
      </c>
      <c r="I19" s="36">
        <f t="shared" si="6"/>
        <v>27.27436537515462</v>
      </c>
      <c r="J19" s="36">
        <f t="shared" si="3"/>
        <v>25.51</v>
      </c>
      <c r="K19" s="36">
        <f t="shared" si="4"/>
        <v>25.842644371412973</v>
      </c>
      <c r="L19" s="36">
        <f t="shared" si="5"/>
        <v>28.642807834852778</v>
      </c>
      <c r="P19" s="43" t="s">
        <v>496</v>
      </c>
      <c r="Q19" s="44">
        <f>AVERAGE(I44:I46)</f>
        <v>31.061696220493392</v>
      </c>
      <c r="R19" s="44">
        <f>AVERAGE(J44:J46)</f>
        <v>26.026666666666667</v>
      </c>
      <c r="S19" s="44">
        <f>AVERAGE(K44:K46)</f>
        <v>25.170282938771887</v>
      </c>
      <c r="T19" s="44">
        <f>AVERAGE(L44:L46)</f>
        <v>27.873379453397963</v>
      </c>
      <c r="V19" s="43" t="s">
        <v>495</v>
      </c>
      <c r="W19" s="44">
        <f t="shared" si="2"/>
        <v>-0.39463815311808403</v>
      </c>
      <c r="X19" s="44">
        <f t="shared" si="0"/>
        <v>1.83897018838422</v>
      </c>
      <c r="AA19" s="43" t="s">
        <v>496</v>
      </c>
      <c r="AB19" s="44">
        <f>POWER(2,-W20)</f>
        <v>1.8104944168685939</v>
      </c>
      <c r="AC19" s="44">
        <f t="shared" si="1"/>
        <v>0.27802513341044904</v>
      </c>
      <c r="AH19" s="147"/>
      <c r="AP19" s="147"/>
    </row>
    <row r="20" spans="2:49" x14ac:dyDescent="0.35">
      <c r="B20" s="39" t="s">
        <v>191</v>
      </c>
      <c r="C20" s="40">
        <v>30.56</v>
      </c>
      <c r="D20" s="40">
        <v>26.31</v>
      </c>
      <c r="E20" s="40" t="s">
        <v>193</v>
      </c>
      <c r="F20" s="40">
        <v>27.98</v>
      </c>
      <c r="H20" s="35" t="s">
        <v>188</v>
      </c>
      <c r="I20" s="36">
        <f t="shared" si="6"/>
        <v>27.814083284318379</v>
      </c>
      <c r="J20" s="36">
        <f t="shared" si="3"/>
        <v>25.64</v>
      </c>
      <c r="K20" s="36">
        <f t="shared" si="4"/>
        <v>25.942500029726006</v>
      </c>
      <c r="L20" s="36">
        <f t="shared" si="5"/>
        <v>28.863600326922427</v>
      </c>
      <c r="P20" s="43" t="s">
        <v>497</v>
      </c>
      <c r="Q20" s="44">
        <f>AVERAGE(I47:I49)</f>
        <v>28.307273787519744</v>
      </c>
      <c r="R20" s="44">
        <f>AVERAGE(J47:J49)</f>
        <v>24.863333333333333</v>
      </c>
      <c r="S20" s="44">
        <f>AVERAGE(K47:K49)</f>
        <v>24.451322198918046</v>
      </c>
      <c r="T20" s="44">
        <f>AVERAGE(L47:L49)</f>
        <v>27.244455385078378</v>
      </c>
      <c r="V20" s="43" t="s">
        <v>496</v>
      </c>
      <c r="W20" s="44">
        <f t="shared" si="2"/>
        <v>-0.85638372789478012</v>
      </c>
      <c r="X20" s="44">
        <f t="shared" si="0"/>
        <v>1.8467127867312954</v>
      </c>
      <c r="AA20" s="43" t="s">
        <v>497</v>
      </c>
      <c r="AB20" s="44">
        <f t="shared" si="1"/>
        <v>1.3305393098621292</v>
      </c>
      <c r="AC20" s="44">
        <f>POWER(2,-X21)</f>
        <v>0.19196004324012783</v>
      </c>
      <c r="AH20" s="147"/>
      <c r="AP20" s="147"/>
    </row>
    <row r="21" spans="2:49" x14ac:dyDescent="0.35">
      <c r="B21" s="39" t="s">
        <v>191</v>
      </c>
      <c r="C21" s="40">
        <v>31.44</v>
      </c>
      <c r="D21" s="40">
        <v>26.68</v>
      </c>
      <c r="E21" s="40">
        <v>25.41</v>
      </c>
      <c r="F21" s="40">
        <v>28.06</v>
      </c>
      <c r="H21" s="35" t="s">
        <v>188</v>
      </c>
      <c r="I21" s="36">
        <f>C14*((LOG(1.906)/LOG(2)))</f>
        <v>27.553529810928978</v>
      </c>
      <c r="J21" s="36">
        <f t="shared" si="3"/>
        <v>24.82</v>
      </c>
      <c r="K21" s="36">
        <f t="shared" si="4"/>
        <v>24.824116656620035</v>
      </c>
      <c r="L21" s="36">
        <f t="shared" si="5"/>
        <v>28.622735790119176</v>
      </c>
      <c r="P21" s="45" t="s">
        <v>190</v>
      </c>
      <c r="Q21" s="46">
        <f>AVERAGE(I50:I52)</f>
        <v>25.363639903632361</v>
      </c>
      <c r="R21" s="46">
        <f>AVERAGE(J50:J52)</f>
        <v>23.906666666666666</v>
      </c>
      <c r="S21" s="46">
        <f>AVERAGE(K50:K52)</f>
        <v>27.087511578382117</v>
      </c>
      <c r="T21" s="46">
        <f>AVERAGE(L50:L52)</f>
        <v>30.790516621348399</v>
      </c>
      <c r="V21" s="43" t="s">
        <v>497</v>
      </c>
      <c r="W21" s="44">
        <f t="shared" si="2"/>
        <v>-0.41201113441528747</v>
      </c>
      <c r="X21" s="44">
        <f t="shared" si="0"/>
        <v>2.3811220517450451</v>
      </c>
      <c r="AA21" s="45" t="s">
        <v>190</v>
      </c>
      <c r="AB21" s="46">
        <f t="shared" si="1"/>
        <v>0.11027327428001178</v>
      </c>
      <c r="AC21" s="46">
        <f t="shared" si="1"/>
        <v>8.4674897186576437E-3</v>
      </c>
      <c r="AH21" s="147"/>
      <c r="AP21" s="147"/>
    </row>
    <row r="22" spans="2:49" x14ac:dyDescent="0.35">
      <c r="B22" s="39" t="s">
        <v>192</v>
      </c>
      <c r="C22" s="40">
        <v>30.79</v>
      </c>
      <c r="D22" s="40">
        <v>26.79</v>
      </c>
      <c r="E22" s="40">
        <v>25.58</v>
      </c>
      <c r="F22" s="40">
        <v>28.23</v>
      </c>
      <c r="H22" s="35" t="s">
        <v>188</v>
      </c>
      <c r="I22" s="36">
        <f t="shared" si="6"/>
        <v>26.688120060028474</v>
      </c>
      <c r="J22" s="36">
        <f t="shared" si="3"/>
        <v>25.17</v>
      </c>
      <c r="K22" s="36">
        <f t="shared" si="4"/>
        <v>25.892572200569489</v>
      </c>
      <c r="L22" s="36">
        <f>F15*((LOG(2.005)/LOG(2)))</f>
        <v>28.492267499350753</v>
      </c>
      <c r="P22" s="45" t="s">
        <v>194</v>
      </c>
      <c r="Q22" s="46">
        <f>AVERAGE(I53:I55)</f>
        <v>25.816506654999653</v>
      </c>
      <c r="R22" s="46">
        <f>AVERAGE(J53:J55)</f>
        <v>23.39</v>
      </c>
      <c r="S22" s="46">
        <f>AVERAGE(K53:K55)</f>
        <v>27.07086896866328</v>
      </c>
      <c r="T22" s="46">
        <f>AVERAGE(L53:L55)</f>
        <v>30.813934006870937</v>
      </c>
      <c r="V22" s="45" t="s">
        <v>190</v>
      </c>
      <c r="W22" s="46">
        <f t="shared" si="2"/>
        <v>3.1808449117154503</v>
      </c>
      <c r="X22" s="46">
        <f t="shared" si="0"/>
        <v>6.8838499546817324</v>
      </c>
      <c r="AA22" s="45" t="s">
        <v>194</v>
      </c>
      <c r="AB22" s="46">
        <f t="shared" si="1"/>
        <v>7.7973679804655513E-2</v>
      </c>
      <c r="AC22" s="46">
        <f>POWER(2,-X23)</f>
        <v>5.8233538197313842E-3</v>
      </c>
      <c r="AH22" s="147"/>
      <c r="AP22" s="147"/>
    </row>
    <row r="23" spans="2:49" x14ac:dyDescent="0.35">
      <c r="B23" s="39" t="s">
        <v>192</v>
      </c>
      <c r="C23" s="40">
        <v>31.14</v>
      </c>
      <c r="D23" s="40">
        <v>26.53</v>
      </c>
      <c r="E23" s="40">
        <v>25.88</v>
      </c>
      <c r="F23" s="40">
        <v>28.11</v>
      </c>
      <c r="H23" s="39" t="s">
        <v>186</v>
      </c>
      <c r="I23" s="40">
        <f t="shared" si="6"/>
        <v>25.757571940780618</v>
      </c>
      <c r="J23" s="40">
        <f t="shared" si="3"/>
        <v>24.39</v>
      </c>
      <c r="K23" s="40">
        <f t="shared" si="4"/>
        <v>24.035256955947073</v>
      </c>
      <c r="L23" s="40">
        <f t="shared" si="5"/>
        <v>26.715891540426806</v>
      </c>
      <c r="P23" s="45" t="s">
        <v>195</v>
      </c>
      <c r="Q23" s="46">
        <f>AVERAGE(I56:I58)</f>
        <v>24.938689595842504</v>
      </c>
      <c r="R23" s="46">
        <f>AVERAGE(J56:J58)</f>
        <v>24.806666666666668</v>
      </c>
      <c r="S23" s="46">
        <f>AVERAGE(K56:K58)</f>
        <v>28.139324512612731</v>
      </c>
      <c r="T23" s="46">
        <f>AVERAGE(L56:L58)</f>
        <v>30.850732755549217</v>
      </c>
      <c r="V23" s="45" t="s">
        <v>194</v>
      </c>
      <c r="W23" s="46">
        <f t="shared" si="2"/>
        <v>3.6808689686632796</v>
      </c>
      <c r="X23" s="46">
        <f t="shared" si="0"/>
        <v>7.4239340068709367</v>
      </c>
      <c r="AA23" s="45" t="s">
        <v>195</v>
      </c>
      <c r="AB23" s="46">
        <f>POWER(2,-W24)</f>
        <v>9.9259029156023262E-2</v>
      </c>
      <c r="AC23" s="46">
        <f>POWER(2,-X24)</f>
        <v>1.5154960594709123E-2</v>
      </c>
      <c r="AH23" s="147"/>
      <c r="AP23" s="147"/>
    </row>
    <row r="24" spans="2:49" x14ac:dyDescent="0.35">
      <c r="B24" s="39" t="s">
        <v>192</v>
      </c>
      <c r="C24" s="40">
        <v>31.61</v>
      </c>
      <c r="D24" s="40">
        <v>26.91</v>
      </c>
      <c r="E24" s="40">
        <v>25.71</v>
      </c>
      <c r="F24" s="40">
        <v>28.26</v>
      </c>
      <c r="H24" s="39" t="s">
        <v>186</v>
      </c>
      <c r="I24" s="40">
        <f t="shared" si="6"/>
        <v>26.362428218291722</v>
      </c>
      <c r="J24" s="40">
        <f t="shared" si="3"/>
        <v>24.38</v>
      </c>
      <c r="K24" s="40">
        <f t="shared" si="4"/>
        <v>24.434679589199206</v>
      </c>
      <c r="L24" s="40">
        <f t="shared" si="5"/>
        <v>26.655675406225992</v>
      </c>
      <c r="V24" s="45" t="s">
        <v>195</v>
      </c>
      <c r="W24" s="46">
        <f t="shared" si="2"/>
        <v>3.3326578459460627</v>
      </c>
      <c r="X24" s="46">
        <f t="shared" si="0"/>
        <v>6.0440660888825484</v>
      </c>
      <c r="AE24" s="160" t="s">
        <v>487</v>
      </c>
      <c r="AF24" s="160"/>
      <c r="AG24" s="160"/>
      <c r="AH24" s="147"/>
      <c r="AI24" s="160" t="s">
        <v>490</v>
      </c>
      <c r="AJ24" s="160"/>
      <c r="AK24" s="160"/>
      <c r="AL24" s="160"/>
      <c r="AM24" s="160"/>
      <c r="AN24" s="160"/>
      <c r="AO24" s="160"/>
      <c r="AP24" s="147"/>
      <c r="AQ24" s="160" t="s">
        <v>490</v>
      </c>
      <c r="AR24" s="160"/>
      <c r="AS24" s="160"/>
      <c r="AT24" s="160"/>
      <c r="AU24" s="160"/>
      <c r="AV24" s="160"/>
      <c r="AW24" s="160"/>
    </row>
    <row r="25" spans="2:49" x14ac:dyDescent="0.35">
      <c r="B25" s="41" t="s">
        <v>492</v>
      </c>
      <c r="C25" s="42">
        <v>30.51</v>
      </c>
      <c r="D25" s="42">
        <v>26.98</v>
      </c>
      <c r="E25" s="42">
        <v>24.71</v>
      </c>
      <c r="F25" s="42">
        <v>26.67</v>
      </c>
      <c r="H25" s="39" t="s">
        <v>186</v>
      </c>
      <c r="I25" s="40">
        <f t="shared" si="6"/>
        <v>26.399650143061638</v>
      </c>
      <c r="J25" s="40">
        <f t="shared" si="3"/>
        <v>24.57</v>
      </c>
      <c r="K25" s="40">
        <f t="shared" si="4"/>
        <v>24.294881667560958</v>
      </c>
      <c r="L25" s="40">
        <f t="shared" si="5"/>
        <v>26.645639383859191</v>
      </c>
      <c r="AE25" s="1" t="s">
        <v>183</v>
      </c>
      <c r="AF25" s="1" t="s">
        <v>167</v>
      </c>
      <c r="AG25" s="1" t="s">
        <v>168</v>
      </c>
      <c r="AH25" s="147"/>
      <c r="AI25" s="1" t="s">
        <v>176</v>
      </c>
      <c r="AJ25" s="27" t="s">
        <v>177</v>
      </c>
      <c r="AK25" s="27" t="s">
        <v>178</v>
      </c>
      <c r="AL25" s="27" t="s">
        <v>179</v>
      </c>
      <c r="AM25" s="37" t="s">
        <v>180</v>
      </c>
      <c r="AN25" s="27" t="s">
        <v>181</v>
      </c>
      <c r="AO25" s="27" t="s">
        <v>182</v>
      </c>
      <c r="AP25" s="147"/>
      <c r="AQ25" s="1" t="s">
        <v>176</v>
      </c>
      <c r="AR25" s="27" t="s">
        <v>177</v>
      </c>
      <c r="AS25" s="27" t="s">
        <v>178</v>
      </c>
      <c r="AT25" s="27" t="s">
        <v>179</v>
      </c>
      <c r="AU25" s="37" t="s">
        <v>180</v>
      </c>
      <c r="AV25" s="27" t="s">
        <v>181</v>
      </c>
      <c r="AW25" s="27" t="s">
        <v>182</v>
      </c>
    </row>
    <row r="26" spans="2:49" x14ac:dyDescent="0.35">
      <c r="B26" s="41" t="s">
        <v>492</v>
      </c>
      <c r="C26" s="42">
        <v>30.44</v>
      </c>
      <c r="D26" s="42">
        <v>25.65</v>
      </c>
      <c r="E26" s="42">
        <v>24.87</v>
      </c>
      <c r="F26" s="42">
        <v>26.69</v>
      </c>
      <c r="H26" s="39" t="s">
        <v>191</v>
      </c>
      <c r="I26" s="40">
        <f t="shared" si="6"/>
        <v>29.144767094842813</v>
      </c>
      <c r="J26" s="40">
        <f t="shared" si="3"/>
        <v>26.45</v>
      </c>
      <c r="K26" s="40">
        <f t="shared" si="4"/>
        <v>25.3233949481852</v>
      </c>
      <c r="L26" s="40">
        <f t="shared" si="5"/>
        <v>28.000502403377453</v>
      </c>
      <c r="V26" s="27" t="s">
        <v>196</v>
      </c>
      <c r="AE26" s="35" t="s">
        <v>171</v>
      </c>
      <c r="AF26" s="36">
        <f>AVERAGEA(AB29:AB31)</f>
        <v>3.6206862412096341</v>
      </c>
      <c r="AG26" s="36">
        <f>AVERAGEA(AC29:AC31)</f>
        <v>0.44492217722804023</v>
      </c>
      <c r="AH26" s="147"/>
      <c r="AI26" s="35" t="s">
        <v>171</v>
      </c>
      <c r="AJ26" s="36">
        <f>STDEV(AB29:AB31)</f>
        <v>0.49001678008214106</v>
      </c>
      <c r="AK26" s="36">
        <f>AF26-CONFIDENCE(0.05,AJ26,3)</f>
        <v>3.0661902434107429</v>
      </c>
      <c r="AL26" s="36">
        <f>AF26+CONFIDENCE(0.05,AJ26,3)</f>
        <v>4.1751822390085254</v>
      </c>
      <c r="AM26" s="36">
        <f>AF26/AF30</f>
        <v>13.076026926469856</v>
      </c>
      <c r="AN26" s="36">
        <f>AK26/AF29</f>
        <v>0.10140586859497978</v>
      </c>
      <c r="AO26" s="36">
        <f>AL26/AF29</f>
        <v>0.13808275021383776</v>
      </c>
      <c r="AP26" s="147"/>
      <c r="AQ26" s="35" t="s">
        <v>171</v>
      </c>
      <c r="AR26" s="36">
        <f>STDEV(AC29:AC31)</f>
        <v>3.6521989025169774E-2</v>
      </c>
      <c r="AS26" s="36">
        <f>AG26-CONFIDENCE(0.05,AR26,3)</f>
        <v>0.40359441546707159</v>
      </c>
      <c r="AT26" s="36">
        <f>AG26+CONFIDENCE(0.05,AR26,3)</f>
        <v>0.48624993898900887</v>
      </c>
      <c r="AU26" s="36">
        <f>AG26/AG30</f>
        <v>18.757528942771497</v>
      </c>
      <c r="AV26" s="36">
        <f>AS26/AG29</f>
        <v>8.1855541169677679E-2</v>
      </c>
      <c r="AW26" s="36">
        <f>AT26/AG29</f>
        <v>9.8619431722328815E-2</v>
      </c>
    </row>
    <row r="27" spans="2:49" x14ac:dyDescent="0.35">
      <c r="B27" s="41" t="s">
        <v>492</v>
      </c>
      <c r="C27" s="42">
        <v>30.96</v>
      </c>
      <c r="D27" s="42">
        <v>25.73</v>
      </c>
      <c r="E27" s="42">
        <v>24.73</v>
      </c>
      <c r="F27" s="42">
        <v>26.86</v>
      </c>
      <c r="H27" s="39" t="s">
        <v>191</v>
      </c>
      <c r="I27" s="40">
        <f t="shared" si="6"/>
        <v>28.437550524214441</v>
      </c>
      <c r="J27" s="40">
        <f t="shared" si="3"/>
        <v>26.31</v>
      </c>
      <c r="K27" s="40" t="e">
        <f t="shared" si="4"/>
        <v>#VALUE!</v>
      </c>
      <c r="L27" s="40">
        <f t="shared" si="5"/>
        <v>28.08079058231187</v>
      </c>
      <c r="V27" s="1" t="s">
        <v>183</v>
      </c>
      <c r="W27" s="1" t="s">
        <v>167</v>
      </c>
      <c r="X27" s="1" t="s">
        <v>168</v>
      </c>
      <c r="AA27" s="160" t="s">
        <v>478</v>
      </c>
      <c r="AB27" s="160"/>
      <c r="AC27" s="160"/>
      <c r="AE27" s="39" t="s">
        <v>186</v>
      </c>
      <c r="AF27" s="40">
        <f>AVERAGEA(AB32:AB34)</f>
        <v>8.6439690943351639</v>
      </c>
      <c r="AG27" s="40">
        <f>AVERAGEA(AC32:AC34)</f>
        <v>1.3895100047504443</v>
      </c>
      <c r="AH27" s="147"/>
      <c r="AI27" s="39" t="s">
        <v>186</v>
      </c>
      <c r="AJ27" s="40">
        <f>STDEV(AB32:AB34)</f>
        <v>4.3371186838130678</v>
      </c>
      <c r="AK27" s="40">
        <f>AF27-CONFIDENCE(0.05,AJ27,3)</f>
        <v>3.7361474647370745</v>
      </c>
      <c r="AL27" s="40">
        <f>AF27+CONFIDENCE(0.05,AJ27,3)</f>
        <v>13.551790723933253</v>
      </c>
      <c r="AM27" s="40">
        <f>AF27/AF30</f>
        <v>31.217499970761928</v>
      </c>
      <c r="AN27" s="40">
        <f>AK27/AF29</f>
        <v>0.1235628740502264</v>
      </c>
      <c r="AO27" s="40">
        <f>AL27/AF29</f>
        <v>0.44818846851759131</v>
      </c>
      <c r="AP27" s="147"/>
      <c r="AQ27" s="39" t="s">
        <v>186</v>
      </c>
      <c r="AR27" s="40">
        <f>STDEV(AC32:AC34)</f>
        <v>0.59766407116794917</v>
      </c>
      <c r="AS27" s="40">
        <f>AG27-CONFIDENCE(0.05,AR27,3)</f>
        <v>0.71320186804690733</v>
      </c>
      <c r="AT27" s="40">
        <f>AG27+CONFIDENCE(0.05,AR27,3)</f>
        <v>2.0658181414539811</v>
      </c>
      <c r="AU27" s="40">
        <f>AG27/AG30</f>
        <v>58.580523660923966</v>
      </c>
      <c r="AV27" s="40">
        <f>AS27/AG29</f>
        <v>0.14464899075633447</v>
      </c>
      <c r="AW27" s="40">
        <f>AT27/AG29</f>
        <v>0.41898166933543657</v>
      </c>
    </row>
    <row r="28" spans="2:49" x14ac:dyDescent="0.35">
      <c r="B28" s="41" t="s">
        <v>493</v>
      </c>
      <c r="C28" s="42">
        <v>31.51</v>
      </c>
      <c r="D28" s="42">
        <v>27.92</v>
      </c>
      <c r="E28" s="42">
        <v>26.71</v>
      </c>
      <c r="F28" s="42">
        <v>29.34</v>
      </c>
      <c r="H28" s="39" t="s">
        <v>191</v>
      </c>
      <c r="I28" s="40">
        <f t="shared" si="6"/>
        <v>29.256432869152555</v>
      </c>
      <c r="J28" s="40">
        <f t="shared" si="3"/>
        <v>26.68</v>
      </c>
      <c r="K28" s="40">
        <f t="shared" si="4"/>
        <v>25.373322777341716</v>
      </c>
      <c r="L28" s="40">
        <f t="shared" si="5"/>
        <v>28.161078761246287</v>
      </c>
      <c r="V28" s="35" t="s">
        <v>171</v>
      </c>
      <c r="W28" s="38">
        <f t="shared" ref="W28:W42" si="7">S9-Q9</f>
        <v>-1.6856343788511658</v>
      </c>
      <c r="X28" s="38">
        <f t="shared" ref="X28:X42" si="8">T9-Q9</f>
        <v>1.1309514399211764</v>
      </c>
      <c r="AA28" s="1" t="s">
        <v>183</v>
      </c>
      <c r="AB28" s="1" t="s">
        <v>167</v>
      </c>
      <c r="AC28" s="1" t="s">
        <v>168</v>
      </c>
      <c r="AE28" s="41" t="s">
        <v>492</v>
      </c>
      <c r="AF28" s="42">
        <f>AVERAGEA(AB35:AB37)</f>
        <v>9.3532735751911904</v>
      </c>
      <c r="AG28" s="42">
        <f>AVERAGEA(AC35:AC37)</f>
        <v>1.8233307224964657</v>
      </c>
      <c r="AH28" s="147"/>
      <c r="AI28" s="41" t="s">
        <v>492</v>
      </c>
      <c r="AJ28" s="42">
        <f>STDEV(AB35:AB37)</f>
        <v>3.7562683437414086</v>
      </c>
      <c r="AK28" s="42">
        <f>AF28-CONFIDENCE(0.05,AJ28,3)</f>
        <v>5.1027339040514841</v>
      </c>
      <c r="AL28" s="42">
        <f>AF28+CONFIDENCE(0.05,AJ28,3)</f>
        <v>13.603813246330898</v>
      </c>
      <c r="AM28" s="42">
        <f>AF28/AF30</f>
        <v>33.779137150248786</v>
      </c>
      <c r="AN28" s="42">
        <f>AK28/AF29</f>
        <v>0.16875898840960352</v>
      </c>
      <c r="AO28" s="42">
        <f>AL28/AF29</f>
        <v>0.44990897137339803</v>
      </c>
      <c r="AP28" s="147"/>
      <c r="AQ28" s="41" t="s">
        <v>492</v>
      </c>
      <c r="AR28" s="42">
        <f>STDEV(AC35:AC37)</f>
        <v>1.1820014757543733</v>
      </c>
      <c r="AS28" s="42">
        <f>AG28-CONFIDENCE(0.05,AR28,3)</f>
        <v>0.48579471487583503</v>
      </c>
      <c r="AT28" s="42">
        <f>AG28+CONFIDENCE(0.05,AR28,3)</f>
        <v>3.1608667301170961</v>
      </c>
      <c r="AU28" s="42">
        <f>AG28/AG30</f>
        <v>76.870024804231008</v>
      </c>
      <c r="AV28" s="42">
        <f>AS28/AG29</f>
        <v>9.8527104834965407E-2</v>
      </c>
      <c r="AW28" s="42">
        <f>AT28/AG29</f>
        <v>0.6410754134433112</v>
      </c>
    </row>
    <row r="29" spans="2:49" x14ac:dyDescent="0.35">
      <c r="B29" s="41" t="s">
        <v>493</v>
      </c>
      <c r="C29" s="42">
        <v>31.94</v>
      </c>
      <c r="D29" s="42">
        <v>27.9</v>
      </c>
      <c r="E29" s="42">
        <v>26.7</v>
      </c>
      <c r="F29" s="42">
        <v>29.39</v>
      </c>
      <c r="H29" s="39" t="s">
        <v>192</v>
      </c>
      <c r="I29" s="40">
        <f t="shared" si="6"/>
        <v>28.651576591641447</v>
      </c>
      <c r="J29" s="40">
        <f t="shared" si="3"/>
        <v>26.79</v>
      </c>
      <c r="K29" s="40">
        <f t="shared" si="4"/>
        <v>25.543077396473873</v>
      </c>
      <c r="L29" s="40">
        <f t="shared" si="5"/>
        <v>28.331691141481922</v>
      </c>
      <c r="V29" s="35" t="s">
        <v>187</v>
      </c>
      <c r="W29" s="38">
        <f t="shared" si="7"/>
        <v>-2.0585996579603751</v>
      </c>
      <c r="X29" s="38">
        <f t="shared" si="8"/>
        <v>1.0765351743471534</v>
      </c>
      <c r="AA29" s="35" t="s">
        <v>171</v>
      </c>
      <c r="AB29" s="36">
        <f t="shared" ref="AB29:AC43" si="9">POWER(2,-W28)</f>
        <v>3.2168181445874451</v>
      </c>
      <c r="AC29" s="36">
        <f t="shared" si="9"/>
        <v>0.45661449406323384</v>
      </c>
      <c r="AE29" s="43" t="s">
        <v>495</v>
      </c>
      <c r="AF29" s="44">
        <f>AVERAGEA(AB38:AB40)</f>
        <v>30.236812581895663</v>
      </c>
      <c r="AG29" s="44">
        <f>AVERAGEA(AC38:AC40)</f>
        <v>4.9305692650722817</v>
      </c>
      <c r="AH29" s="147"/>
      <c r="AI29" s="43" t="s">
        <v>495</v>
      </c>
      <c r="AJ29" s="44">
        <f>STDEV(AB38:AB40)</f>
        <v>25.249538079541885</v>
      </c>
      <c r="AK29" s="44">
        <f>AF29-CONFIDENCE(0.05,AJ29,3)</f>
        <v>1.6647954990730121</v>
      </c>
      <c r="AL29" s="44">
        <f>AF29+CONFIDENCE(0.05,AJ29,3)</f>
        <v>58.808829664718317</v>
      </c>
      <c r="AM29" s="44">
        <f>AF29/AF30</f>
        <v>109.19956857664604</v>
      </c>
      <c r="AN29" s="44">
        <f>AK29/AF29</f>
        <v>5.5058564607759312E-2</v>
      </c>
      <c r="AO29" s="44">
        <f>AL29/AF29</f>
        <v>1.9449414353922407</v>
      </c>
      <c r="AP29" s="147"/>
      <c r="AQ29" s="43" t="s">
        <v>495</v>
      </c>
      <c r="AR29" s="44">
        <f>STDEV(AC38:AC40)</f>
        <v>3.7008380444336995</v>
      </c>
      <c r="AS29" s="44">
        <f>AG29-CONFIDENCE(0.05,AR29,3)</f>
        <v>0.74275372986475041</v>
      </c>
      <c r="AT29" s="44">
        <f>AG29+CONFIDENCE(0.05,AR29,3)</f>
        <v>9.1183848002798129</v>
      </c>
      <c r="AU29" s="44">
        <f>AG29/AG30</f>
        <v>207.86847774173893</v>
      </c>
      <c r="AV29" s="44">
        <f>AS29/AG29</f>
        <v>0.15064259113574419</v>
      </c>
      <c r="AW29" s="44">
        <f>AT29/AG29</f>
        <v>1.8493574088642559</v>
      </c>
    </row>
    <row r="30" spans="2:49" x14ac:dyDescent="0.35">
      <c r="B30" s="41" t="s">
        <v>493</v>
      </c>
      <c r="C30" s="42">
        <v>31.84</v>
      </c>
      <c r="D30" s="42">
        <v>27.84</v>
      </c>
      <c r="E30" s="42">
        <v>26.74</v>
      </c>
      <c r="F30" s="42">
        <v>29.16</v>
      </c>
      <c r="H30" s="39" t="s">
        <v>192</v>
      </c>
      <c r="I30" s="40">
        <f t="shared" si="6"/>
        <v>28.977268433378196</v>
      </c>
      <c r="J30" s="40">
        <f t="shared" si="3"/>
        <v>26.53</v>
      </c>
      <c r="K30" s="40">
        <f t="shared" si="4"/>
        <v>25.842644371412973</v>
      </c>
      <c r="L30" s="40">
        <f t="shared" si="5"/>
        <v>28.211258873080297</v>
      </c>
      <c r="V30" s="35" t="s">
        <v>188</v>
      </c>
      <c r="W30" s="38">
        <f t="shared" si="7"/>
        <v>-1.7988480894534327</v>
      </c>
      <c r="X30" s="38">
        <f t="shared" si="8"/>
        <v>1.307623487038839</v>
      </c>
      <c r="AA30" s="35" t="s">
        <v>187</v>
      </c>
      <c r="AB30" s="36">
        <f t="shared" si="9"/>
        <v>4.1658175580998149</v>
      </c>
      <c r="AC30" s="36">
        <f t="shared" si="9"/>
        <v>0.47416623080216141</v>
      </c>
      <c r="AE30" s="45" t="s">
        <v>190</v>
      </c>
      <c r="AF30" s="46">
        <f>AVERAGEA(AB41:AB43)</f>
        <v>0.27689498205913476</v>
      </c>
      <c r="AG30" s="46">
        <f>AVERAGEA(AC41:AC43)</f>
        <v>2.3719658308164193E-2</v>
      </c>
      <c r="AH30" s="147"/>
      <c r="AI30" s="45" t="s">
        <v>190</v>
      </c>
      <c r="AJ30" s="46">
        <f>STDEV(AB41:AB43)</f>
        <v>0.15680895552135402</v>
      </c>
      <c r="AK30" s="46">
        <f>AF30-CONFIDENCE(0.05,AJ30,3)</f>
        <v>9.9452205015785639E-2</v>
      </c>
      <c r="AL30" s="46">
        <f>AF30+CONFIDENCE(0.05,AJ30,3)</f>
        <v>0.45433775910248386</v>
      </c>
      <c r="AM30" s="46">
        <f>AF30/AF30</f>
        <v>1</v>
      </c>
      <c r="AN30" s="46">
        <f>AK30/AF30</f>
        <v>0.35916940161286937</v>
      </c>
      <c r="AO30" s="46">
        <f>AL30/AF30</f>
        <v>1.6408305983871305</v>
      </c>
      <c r="AP30" s="147"/>
      <c r="AQ30" s="45" t="s">
        <v>190</v>
      </c>
      <c r="AR30" s="46">
        <f>STDEV(AC41:AC43)</f>
        <v>7.3607048204474158E-3</v>
      </c>
      <c r="AS30" s="46">
        <f>AG30-CONFIDENCE(0.05,AR30,3)</f>
        <v>1.539038974060019E-2</v>
      </c>
      <c r="AT30" s="46">
        <f>AG30+CONFIDENCE(0.05,AR30,3)</f>
        <v>3.2048926875728197E-2</v>
      </c>
      <c r="AU30" s="46">
        <f>AG30/AG30</f>
        <v>1</v>
      </c>
      <c r="AV30" s="46">
        <f>AS30/AG30</f>
        <v>0.64884533919710352</v>
      </c>
      <c r="AW30" s="46">
        <f>AT30/AG30</f>
        <v>1.3511546608028966</v>
      </c>
    </row>
    <row r="31" spans="2:49" x14ac:dyDescent="0.35">
      <c r="B31" s="41" t="s">
        <v>494</v>
      </c>
      <c r="C31" s="42">
        <v>30.39</v>
      </c>
      <c r="D31" s="42">
        <v>26</v>
      </c>
      <c r="E31" s="42">
        <v>25.18</v>
      </c>
      <c r="F31" s="42">
        <v>27.78</v>
      </c>
      <c r="H31" s="39" t="s">
        <v>192</v>
      </c>
      <c r="I31" s="40">
        <f t="shared" si="6"/>
        <v>29.414626049424687</v>
      </c>
      <c r="J31" s="40">
        <f t="shared" si="3"/>
        <v>26.91</v>
      </c>
      <c r="K31" s="40">
        <f t="shared" si="4"/>
        <v>25.672889752280817</v>
      </c>
      <c r="L31" s="40">
        <f>F24*((LOG(2.005)/LOG(2)))</f>
        <v>28.361799208582326</v>
      </c>
      <c r="V31" s="39" t="s">
        <v>186</v>
      </c>
      <c r="W31" s="40">
        <f t="shared" si="7"/>
        <v>-1.9182773631422485</v>
      </c>
      <c r="X31" s="40">
        <f t="shared" si="8"/>
        <v>0.4991853427926678</v>
      </c>
      <c r="AA31" s="35" t="s">
        <v>188</v>
      </c>
      <c r="AB31" s="36">
        <f t="shared" si="9"/>
        <v>3.4794230209416419</v>
      </c>
      <c r="AC31" s="36">
        <f t="shared" si="9"/>
        <v>0.40398580681872548</v>
      </c>
    </row>
    <row r="32" spans="2:49" x14ac:dyDescent="0.35">
      <c r="B32" s="41" t="s">
        <v>494</v>
      </c>
      <c r="C32" s="42">
        <v>30.16</v>
      </c>
      <c r="D32" s="42">
        <v>25.87</v>
      </c>
      <c r="E32" s="42">
        <v>25.1</v>
      </c>
      <c r="F32" s="42">
        <v>27.6</v>
      </c>
      <c r="H32" s="41" t="s">
        <v>492</v>
      </c>
      <c r="I32" s="42">
        <f t="shared" si="6"/>
        <v>28.39102311825205</v>
      </c>
      <c r="J32" s="42">
        <f t="shared" si="3"/>
        <v>26.98</v>
      </c>
      <c r="K32" s="42">
        <f t="shared" si="4"/>
        <v>24.674333169150486</v>
      </c>
      <c r="L32" s="42">
        <f t="shared" si="5"/>
        <v>26.766071652260816</v>
      </c>
      <c r="V32" s="39" t="s">
        <v>191</v>
      </c>
      <c r="W32" s="40">
        <f t="shared" si="7"/>
        <v>-3.5978912999731421</v>
      </c>
      <c r="X32" s="40">
        <f t="shared" si="8"/>
        <v>-0.86545958042472648</v>
      </c>
      <c r="AA32" s="39" t="s">
        <v>186</v>
      </c>
      <c r="AB32" s="40">
        <f t="shared" si="9"/>
        <v>3.7797147574572079</v>
      </c>
      <c r="AC32" s="40">
        <f t="shared" si="9"/>
        <v>0.70750618112279418</v>
      </c>
    </row>
    <row r="33" spans="2:53" x14ac:dyDescent="0.35">
      <c r="B33" s="41" t="s">
        <v>494</v>
      </c>
      <c r="C33" s="42">
        <v>29.54</v>
      </c>
      <c r="D33" s="42">
        <v>25.87</v>
      </c>
      <c r="E33" s="42">
        <v>25.23</v>
      </c>
      <c r="F33" s="42">
        <v>27.48</v>
      </c>
      <c r="H33" s="41" t="s">
        <v>492</v>
      </c>
      <c r="I33" s="42">
        <f t="shared" si="6"/>
        <v>28.325884749904699</v>
      </c>
      <c r="J33" s="42">
        <f t="shared" si="3"/>
        <v>25.65</v>
      </c>
      <c r="K33" s="42">
        <f t="shared" si="4"/>
        <v>24.834102222451339</v>
      </c>
      <c r="L33" s="42">
        <f t="shared" si="5"/>
        <v>26.786143696994422</v>
      </c>
      <c r="V33" s="39" t="s">
        <v>192</v>
      </c>
      <c r="W33" s="40">
        <f t="shared" si="7"/>
        <v>-3.3282865180922236</v>
      </c>
      <c r="X33" s="40">
        <f t="shared" si="8"/>
        <v>-0.71290728376659374</v>
      </c>
      <c r="AA33" s="39" t="s">
        <v>191</v>
      </c>
      <c r="AB33" s="40">
        <f t="shared" si="9"/>
        <v>12.108022029049682</v>
      </c>
      <c r="AC33" s="40">
        <f t="shared" si="9"/>
        <v>1.8219199598810205</v>
      </c>
    </row>
    <row r="34" spans="2:53" x14ac:dyDescent="0.35">
      <c r="B34" s="43" t="s">
        <v>495</v>
      </c>
      <c r="C34" s="44">
        <v>32.61</v>
      </c>
      <c r="D34" s="44">
        <v>26.97</v>
      </c>
      <c r="E34" s="44">
        <v>25.73</v>
      </c>
      <c r="F34" s="44">
        <v>27.8</v>
      </c>
      <c r="H34" s="41" t="s">
        <v>492</v>
      </c>
      <c r="I34" s="42">
        <f t="shared" si="6"/>
        <v>28.809769771913583</v>
      </c>
      <c r="J34" s="42">
        <f t="shared" si="3"/>
        <v>25.73</v>
      </c>
      <c r="K34" s="42">
        <f t="shared" si="4"/>
        <v>24.694304300813091</v>
      </c>
      <c r="L34" s="42">
        <f t="shared" si="5"/>
        <v>26.95675607723005</v>
      </c>
      <c r="V34" s="41" t="s">
        <v>492</v>
      </c>
      <c r="W34" s="42">
        <f t="shared" si="7"/>
        <v>-3.7746459825518066</v>
      </c>
      <c r="X34" s="42">
        <f t="shared" si="8"/>
        <v>-1.6725687378616811</v>
      </c>
      <c r="AA34" s="39" t="s">
        <v>192</v>
      </c>
      <c r="AB34" s="40">
        <f t="shared" si="9"/>
        <v>10.044170496498605</v>
      </c>
      <c r="AC34" s="40">
        <f t="shared" si="9"/>
        <v>1.6391038732475181</v>
      </c>
    </row>
    <row r="35" spans="2:53" x14ac:dyDescent="0.35">
      <c r="B35" s="43" t="s">
        <v>495</v>
      </c>
      <c r="C35" s="44" t="s">
        <v>193</v>
      </c>
      <c r="D35" s="44">
        <v>26.3</v>
      </c>
      <c r="E35" s="44">
        <v>26.47</v>
      </c>
      <c r="F35" s="44">
        <v>28.56</v>
      </c>
      <c r="H35" s="41" t="s">
        <v>493</v>
      </c>
      <c r="I35" s="42">
        <f t="shared" si="6"/>
        <v>29.321571237499903</v>
      </c>
      <c r="J35" s="42">
        <f t="shared" si="3"/>
        <v>27.92</v>
      </c>
      <c r="K35" s="42">
        <f t="shared" si="4"/>
        <v>26.671446335411147</v>
      </c>
      <c r="L35" s="42">
        <f t="shared" si="5"/>
        <v>29.445689624196937</v>
      </c>
      <c r="V35" s="41" t="s">
        <v>493</v>
      </c>
      <c r="W35" s="42">
        <f t="shared" si="7"/>
        <v>-2.8792067150773377</v>
      </c>
      <c r="X35" s="42">
        <f t="shared" si="8"/>
        <v>-0.1551099004352281</v>
      </c>
      <c r="AA35" s="41" t="s">
        <v>492</v>
      </c>
      <c r="AB35" s="42">
        <f t="shared" si="9"/>
        <v>13.686161603701096</v>
      </c>
      <c r="AC35" s="42">
        <f t="shared" si="9"/>
        <v>3.1878168355772316</v>
      </c>
    </row>
    <row r="36" spans="2:53" x14ac:dyDescent="0.35">
      <c r="B36" s="43" t="s">
        <v>495</v>
      </c>
      <c r="C36" s="44" t="s">
        <v>193</v>
      </c>
      <c r="D36" s="44">
        <v>26.72</v>
      </c>
      <c r="E36" s="44">
        <v>26.72</v>
      </c>
      <c r="F36" s="44">
        <v>28.84</v>
      </c>
      <c r="H36" s="41" t="s">
        <v>493</v>
      </c>
      <c r="I36" s="42">
        <f t="shared" si="6"/>
        <v>29.721706928776481</v>
      </c>
      <c r="J36" s="42">
        <f t="shared" si="3"/>
        <v>27.9</v>
      </c>
      <c r="K36" s="42">
        <f t="shared" si="4"/>
        <v>26.661460769579843</v>
      </c>
      <c r="L36" s="42">
        <f t="shared" si="5"/>
        <v>29.495869736030947</v>
      </c>
      <c r="V36" s="41" t="s">
        <v>494</v>
      </c>
      <c r="W36" s="42">
        <f t="shared" si="7"/>
        <v>-2.8106908236226431</v>
      </c>
      <c r="X36" s="42">
        <f t="shared" si="8"/>
        <v>-0.22486624390607446</v>
      </c>
      <c r="AA36" s="41" t="s">
        <v>493</v>
      </c>
      <c r="AB36" s="42">
        <f t="shared" si="9"/>
        <v>7.3574544990035564</v>
      </c>
      <c r="AC36" s="42">
        <f t="shared" si="9"/>
        <v>1.1135064387748279</v>
      </c>
    </row>
    <row r="37" spans="2:53" x14ac:dyDescent="0.35">
      <c r="B37" s="43" t="s">
        <v>496</v>
      </c>
      <c r="C37" s="44">
        <v>30.63</v>
      </c>
      <c r="D37" s="44">
        <v>25.72</v>
      </c>
      <c r="E37" s="44">
        <v>24.98</v>
      </c>
      <c r="F37" s="44">
        <v>27.52</v>
      </c>
      <c r="H37" s="41" t="s">
        <v>493</v>
      </c>
      <c r="I37" s="42">
        <f t="shared" si="6"/>
        <v>29.628652116851693</v>
      </c>
      <c r="J37" s="42">
        <f t="shared" si="3"/>
        <v>27.84</v>
      </c>
      <c r="K37" s="42">
        <f t="shared" si="4"/>
        <v>26.701403032905056</v>
      </c>
      <c r="L37" s="42">
        <f t="shared" si="5"/>
        <v>29.265041221594501</v>
      </c>
      <c r="V37" s="43" t="s">
        <v>495</v>
      </c>
      <c r="W37" s="44">
        <f t="shared" si="7"/>
        <v>-4.0764789884572963</v>
      </c>
      <c r="X37" s="44">
        <f t="shared" si="8"/>
        <v>-1.8428706469549923</v>
      </c>
      <c r="AA37" s="41" t="s">
        <v>494</v>
      </c>
      <c r="AB37" s="42">
        <f t="shared" si="9"/>
        <v>7.0162046228689157</v>
      </c>
      <c r="AC37" s="42">
        <f t="shared" si="9"/>
        <v>1.1686688931373375</v>
      </c>
    </row>
    <row r="38" spans="2:53" x14ac:dyDescent="0.35">
      <c r="B38" s="43" t="s">
        <v>496</v>
      </c>
      <c r="C38" s="44">
        <v>33.56</v>
      </c>
      <c r="D38" s="44">
        <v>26.04</v>
      </c>
      <c r="E38" s="44">
        <v>24.97</v>
      </c>
      <c r="F38" s="44">
        <v>27.65</v>
      </c>
      <c r="H38" s="41" t="s">
        <v>494</v>
      </c>
      <c r="I38" s="42">
        <f t="shared" si="6"/>
        <v>28.279357343942305</v>
      </c>
      <c r="J38" s="42">
        <f t="shared" si="3"/>
        <v>26</v>
      </c>
      <c r="K38" s="42">
        <f t="shared" si="4"/>
        <v>25.14365476322174</v>
      </c>
      <c r="L38" s="42">
        <f t="shared" si="5"/>
        <v>27.880070134975835</v>
      </c>
      <c r="V38" s="43" t="s">
        <v>496</v>
      </c>
      <c r="W38" s="44">
        <f t="shared" si="7"/>
        <v>-5.8914132817215048</v>
      </c>
      <c r="X38" s="44">
        <f t="shared" si="8"/>
        <v>-3.1883167670954293</v>
      </c>
      <c r="AA38" s="43" t="s">
        <v>495</v>
      </c>
      <c r="AB38" s="44">
        <f t="shared" si="9"/>
        <v>16.871063196137673</v>
      </c>
      <c r="AC38" s="44">
        <f t="shared" si="9"/>
        <v>3.5872309905925834</v>
      </c>
    </row>
    <row r="39" spans="2:53" x14ac:dyDescent="0.35">
      <c r="B39" s="43" t="s">
        <v>496</v>
      </c>
      <c r="C39" s="44">
        <v>35.950000000000003</v>
      </c>
      <c r="D39" s="44">
        <v>26.32</v>
      </c>
      <c r="E39" s="44">
        <v>25.67</v>
      </c>
      <c r="F39" s="44">
        <v>28.15</v>
      </c>
      <c r="H39" s="41" t="s">
        <v>494</v>
      </c>
      <c r="I39" s="42">
        <f t="shared" si="6"/>
        <v>28.065331276515298</v>
      </c>
      <c r="J39" s="42">
        <f t="shared" si="3"/>
        <v>25.87</v>
      </c>
      <c r="K39" s="42">
        <f t="shared" si="4"/>
        <v>25.063770236571315</v>
      </c>
      <c r="L39" s="42">
        <f t="shared" si="5"/>
        <v>27.699421732373398</v>
      </c>
      <c r="V39" s="43" t="s">
        <v>497</v>
      </c>
      <c r="W39" s="44">
        <f t="shared" si="7"/>
        <v>-3.8559515886016982</v>
      </c>
      <c r="X39" s="44">
        <f t="shared" si="8"/>
        <v>-1.0628184024413656</v>
      </c>
      <c r="AA39" s="43" t="s">
        <v>496</v>
      </c>
      <c r="AB39" s="44">
        <f t="shared" si="9"/>
        <v>59.359757032867392</v>
      </c>
      <c r="AC39" s="44">
        <f t="shared" si="9"/>
        <v>9.1154682469659463</v>
      </c>
    </row>
    <row r="40" spans="2:53" x14ac:dyDescent="0.35">
      <c r="B40" s="43" t="s">
        <v>497</v>
      </c>
      <c r="C40" s="44">
        <v>28.55</v>
      </c>
      <c r="D40" s="44">
        <v>24.66</v>
      </c>
      <c r="E40" s="44">
        <v>24.31</v>
      </c>
      <c r="F40" s="44">
        <v>26.48</v>
      </c>
      <c r="H40" s="41" t="s">
        <v>494</v>
      </c>
      <c r="I40" s="42">
        <f t="shared" si="6"/>
        <v>27.48839144258163</v>
      </c>
      <c r="J40" s="42">
        <f t="shared" si="3"/>
        <v>25.87</v>
      </c>
      <c r="K40" s="42">
        <f t="shared" si="4"/>
        <v>25.193582592378256</v>
      </c>
      <c r="L40" s="42">
        <f>F33*((LOG(2.005)/LOG(2)))</f>
        <v>27.578989463971773</v>
      </c>
      <c r="V40" s="45" t="s">
        <v>190</v>
      </c>
      <c r="W40" s="46">
        <f t="shared" si="7"/>
        <v>1.7238716747497556</v>
      </c>
      <c r="X40" s="46">
        <f t="shared" si="8"/>
        <v>5.4268767177160377</v>
      </c>
      <c r="AA40" s="43" t="s">
        <v>497</v>
      </c>
      <c r="AB40" s="44">
        <f t="shared" si="9"/>
        <v>14.479617516681929</v>
      </c>
      <c r="AC40" s="44">
        <f t="shared" si="9"/>
        <v>2.0890085576583144</v>
      </c>
      <c r="AY40" s="127"/>
      <c r="AZ40" s="107"/>
      <c r="BA40" s="107"/>
    </row>
    <row r="41" spans="2:53" x14ac:dyDescent="0.35">
      <c r="B41" s="43" t="s">
        <v>497</v>
      </c>
      <c r="C41" s="44">
        <v>30.94</v>
      </c>
      <c r="D41" s="44">
        <v>24.85</v>
      </c>
      <c r="E41" s="44">
        <v>24.42</v>
      </c>
      <c r="F41" s="44">
        <v>26.87</v>
      </c>
      <c r="H41" s="43" t="s">
        <v>495</v>
      </c>
      <c r="I41" s="44">
        <f>C34*((LOG(1.906)/LOG(2)))</f>
        <v>30.345174168672543</v>
      </c>
      <c r="J41" s="44">
        <f>D34*((LOG(2)/LOG(2)))</f>
        <v>26.97</v>
      </c>
      <c r="K41" s="44">
        <f>E34*((LOG(1.998)/LOG(2)))</f>
        <v>25.692860883943425</v>
      </c>
      <c r="L41" s="44">
        <f>F34*((LOG(2.005)/LOG(2)))</f>
        <v>27.900142179709437</v>
      </c>
      <c r="V41" s="45" t="s">
        <v>194</v>
      </c>
      <c r="W41" s="46">
        <f t="shared" si="7"/>
        <v>1.254362313663627</v>
      </c>
      <c r="X41" s="46">
        <f t="shared" si="8"/>
        <v>4.9974273518712842</v>
      </c>
      <c r="AA41" s="45" t="s">
        <v>190</v>
      </c>
      <c r="AB41" s="46">
        <f t="shared" si="9"/>
        <v>0.30273519756683848</v>
      </c>
      <c r="AC41" s="46">
        <f t="shared" si="9"/>
        <v>2.3245951384048457E-2</v>
      </c>
      <c r="AY41" s="107"/>
      <c r="AZ41" s="127"/>
      <c r="BA41" s="127"/>
    </row>
    <row r="42" spans="2:53" x14ac:dyDescent="0.35">
      <c r="B42" s="43" t="s">
        <v>497</v>
      </c>
      <c r="C42" s="44">
        <v>31.77</v>
      </c>
      <c r="D42" s="44">
        <v>25.08</v>
      </c>
      <c r="E42" s="44">
        <v>24.73</v>
      </c>
      <c r="F42" s="44">
        <v>28.09</v>
      </c>
      <c r="H42" s="43" t="s">
        <v>495</v>
      </c>
      <c r="I42" s="44" t="e">
        <f t="shared" si="6"/>
        <v>#VALUE!</v>
      </c>
      <c r="J42" s="44">
        <f t="shared" si="3"/>
        <v>26.3</v>
      </c>
      <c r="K42" s="44">
        <f t="shared" si="4"/>
        <v>26.431792755459867</v>
      </c>
      <c r="L42" s="44">
        <f t="shared" si="5"/>
        <v>28.662879879586384</v>
      </c>
      <c r="V42" s="45" t="s">
        <v>195</v>
      </c>
      <c r="W42" s="46">
        <f t="shared" si="7"/>
        <v>3.2006349167702268</v>
      </c>
      <c r="X42" s="46">
        <f t="shared" si="8"/>
        <v>5.9120431597067125</v>
      </c>
      <c r="AA42" s="45" t="s">
        <v>194</v>
      </c>
      <c r="AB42" s="46">
        <f t="shared" si="9"/>
        <v>0.4191788078204633</v>
      </c>
      <c r="AC42" s="46">
        <f t="shared" si="9"/>
        <v>3.1305775458938867E-2</v>
      </c>
      <c r="AY42" s="127"/>
      <c r="AZ42" s="107"/>
      <c r="BA42" s="107"/>
    </row>
    <row r="43" spans="2:53" x14ac:dyDescent="0.35">
      <c r="B43" s="45" t="s">
        <v>190</v>
      </c>
      <c r="C43" s="46">
        <v>27.95</v>
      </c>
      <c r="D43" s="46">
        <v>23.8</v>
      </c>
      <c r="E43" s="46">
        <v>26.78</v>
      </c>
      <c r="F43" s="46">
        <v>30.69</v>
      </c>
      <c r="H43" s="43" t="s">
        <v>495</v>
      </c>
      <c r="I43" s="44" t="e">
        <f t="shared" si="6"/>
        <v>#VALUE!</v>
      </c>
      <c r="J43" s="44">
        <f t="shared" si="3"/>
        <v>26.72</v>
      </c>
      <c r="K43" s="44">
        <f t="shared" si="4"/>
        <v>26.681431901242451</v>
      </c>
      <c r="L43" s="44">
        <f t="shared" si="5"/>
        <v>28.94388850585684</v>
      </c>
      <c r="AA43" s="45" t="s">
        <v>195</v>
      </c>
      <c r="AB43" s="46">
        <f t="shared" si="9"/>
        <v>0.10877094079010252</v>
      </c>
      <c r="AC43" s="46">
        <f t="shared" si="9"/>
        <v>1.6607248081505259E-2</v>
      </c>
      <c r="AY43" s="127"/>
      <c r="AZ43" s="107"/>
      <c r="BA43" s="107"/>
    </row>
    <row r="44" spans="2:53" x14ac:dyDescent="0.35">
      <c r="B44" s="45" t="s">
        <v>190</v>
      </c>
      <c r="C44" s="46">
        <v>27.41</v>
      </c>
      <c r="D44" s="46">
        <v>24.15</v>
      </c>
      <c r="E44" s="46">
        <v>27.38</v>
      </c>
      <c r="F44" s="46">
        <v>31.04</v>
      </c>
      <c r="H44" s="43" t="s">
        <v>496</v>
      </c>
      <c r="I44" s="44">
        <f t="shared" si="6"/>
        <v>28.502688892561789</v>
      </c>
      <c r="J44" s="44">
        <f t="shared" si="3"/>
        <v>25.72</v>
      </c>
      <c r="K44" s="44">
        <f t="shared" si="4"/>
        <v>24.943943446595675</v>
      </c>
      <c r="L44" s="44">
        <f t="shared" si="5"/>
        <v>27.619133553438981</v>
      </c>
      <c r="AY44" s="127"/>
      <c r="AZ44" s="107"/>
      <c r="BA44" s="107"/>
    </row>
    <row r="45" spans="2:53" x14ac:dyDescent="0.35">
      <c r="B45" s="45" t="s">
        <v>190</v>
      </c>
      <c r="C45" s="46">
        <v>26.41</v>
      </c>
      <c r="D45" s="46">
        <v>23.77</v>
      </c>
      <c r="E45" s="46">
        <v>27.22</v>
      </c>
      <c r="F45" s="46">
        <v>30.31</v>
      </c>
      <c r="H45" s="43" t="s">
        <v>496</v>
      </c>
      <c r="I45" s="44">
        <f t="shared" si="6"/>
        <v>31.229194881958009</v>
      </c>
      <c r="J45" s="44">
        <f t="shared" si="3"/>
        <v>26.04</v>
      </c>
      <c r="K45" s="44">
        <f t="shared" si="4"/>
        <v>24.933957880764371</v>
      </c>
      <c r="L45" s="44">
        <f t="shared" si="5"/>
        <v>27.749601844207405</v>
      </c>
      <c r="AY45" s="127"/>
      <c r="AZ45" s="107"/>
      <c r="BA45" s="107"/>
    </row>
    <row r="46" spans="2:53" x14ac:dyDescent="0.35">
      <c r="B46" s="45" t="s">
        <v>194</v>
      </c>
      <c r="C46" s="46">
        <v>28.64</v>
      </c>
      <c r="D46" s="46">
        <v>23.46</v>
      </c>
      <c r="E46" s="46">
        <v>26.83</v>
      </c>
      <c r="F46" s="46">
        <v>31.02</v>
      </c>
      <c r="H46" s="43" t="s">
        <v>496</v>
      </c>
      <c r="I46" s="44">
        <f t="shared" si="6"/>
        <v>33.453204886960378</v>
      </c>
      <c r="J46" s="44">
        <f t="shared" si="3"/>
        <v>26.32</v>
      </c>
      <c r="K46" s="44">
        <f t="shared" si="4"/>
        <v>25.632947488955605</v>
      </c>
      <c r="L46" s="44">
        <f t="shared" si="5"/>
        <v>28.251402962547502</v>
      </c>
      <c r="AI46" s="160" t="s">
        <v>489</v>
      </c>
      <c r="AJ46" s="160"/>
      <c r="AK46" s="160"/>
      <c r="AL46" s="160"/>
      <c r="AM46" s="160"/>
      <c r="AN46" s="160"/>
      <c r="AO46" s="160"/>
      <c r="AQ46" s="160" t="s">
        <v>489</v>
      </c>
      <c r="AR46" s="160"/>
      <c r="AS46" s="160"/>
      <c r="AT46" s="160"/>
      <c r="AU46" s="160"/>
      <c r="AV46" s="160"/>
      <c r="AW46" s="160"/>
      <c r="AY46" s="107"/>
      <c r="AZ46" s="107"/>
      <c r="BA46" s="107"/>
    </row>
    <row r="47" spans="2:53" x14ac:dyDescent="0.35">
      <c r="B47" s="45" t="s">
        <v>194</v>
      </c>
      <c r="C47" s="46">
        <v>27.56</v>
      </c>
      <c r="D47" s="46">
        <v>23.45</v>
      </c>
      <c r="E47" s="46">
        <v>27.24</v>
      </c>
      <c r="F47" s="46">
        <v>31.09</v>
      </c>
      <c r="H47" s="43" t="s">
        <v>497</v>
      </c>
      <c r="I47" s="44">
        <f t="shared" si="6"/>
        <v>26.567148804526255</v>
      </c>
      <c r="J47" s="44">
        <f t="shared" si="3"/>
        <v>24.66</v>
      </c>
      <c r="K47" s="44">
        <f t="shared" si="4"/>
        <v>24.27491053589835</v>
      </c>
      <c r="L47" s="44">
        <f t="shared" si="5"/>
        <v>26.575387227291579</v>
      </c>
      <c r="AA47" s="160" t="s">
        <v>486</v>
      </c>
      <c r="AB47" s="160"/>
      <c r="AC47" s="160"/>
      <c r="AE47" s="160" t="s">
        <v>479</v>
      </c>
      <c r="AF47" s="160"/>
      <c r="AG47" s="160"/>
      <c r="AH47" s="1" t="s">
        <v>167</v>
      </c>
      <c r="AI47" s="1" t="s">
        <v>198</v>
      </c>
      <c r="AJ47" s="1" t="s">
        <v>167</v>
      </c>
      <c r="AP47" s="1" t="s">
        <v>168</v>
      </c>
      <c r="AQ47" s="1" t="s">
        <v>198</v>
      </c>
      <c r="AR47" s="1" t="s">
        <v>168</v>
      </c>
      <c r="AY47" s="107"/>
      <c r="AZ47" s="107"/>
      <c r="BA47" s="107"/>
    </row>
    <row r="48" spans="2:53" x14ac:dyDescent="0.35">
      <c r="B48" s="45" t="s">
        <v>194</v>
      </c>
      <c r="C48" s="46">
        <v>27.03</v>
      </c>
      <c r="D48" s="46">
        <v>23.26</v>
      </c>
      <c r="E48" s="46">
        <v>27.26</v>
      </c>
      <c r="F48" s="46">
        <v>30</v>
      </c>
      <c r="H48" s="43" t="s">
        <v>497</v>
      </c>
      <c r="I48" s="44">
        <f>C41*((LOG(1.906)/LOG(2)))</f>
        <v>28.791158809528628</v>
      </c>
      <c r="J48" s="44">
        <f t="shared" si="3"/>
        <v>24.85</v>
      </c>
      <c r="K48" s="44">
        <f t="shared" si="4"/>
        <v>24.38475176004269</v>
      </c>
      <c r="L48" s="44">
        <f t="shared" si="5"/>
        <v>26.966792099596855</v>
      </c>
      <c r="AA48" s="1" t="s">
        <v>183</v>
      </c>
      <c r="AB48" s="1" t="s">
        <v>167</v>
      </c>
      <c r="AC48" s="1" t="s">
        <v>168</v>
      </c>
      <c r="AE48" s="1" t="s">
        <v>183</v>
      </c>
      <c r="AF48" s="1" t="s">
        <v>167</v>
      </c>
      <c r="AG48" s="1" t="s">
        <v>168</v>
      </c>
      <c r="AI48" s="1" t="s">
        <v>176</v>
      </c>
      <c r="AJ48" s="27" t="s">
        <v>177</v>
      </c>
      <c r="AK48" s="27" t="s">
        <v>178</v>
      </c>
      <c r="AL48" s="27" t="s">
        <v>179</v>
      </c>
      <c r="AM48" s="37" t="s">
        <v>180</v>
      </c>
      <c r="AN48" s="27" t="s">
        <v>181</v>
      </c>
      <c r="AO48" s="27" t="s">
        <v>182</v>
      </c>
      <c r="AQ48" s="1" t="s">
        <v>176</v>
      </c>
      <c r="AR48" s="27" t="s">
        <v>177</v>
      </c>
      <c r="AS48" s="27" t="s">
        <v>178</v>
      </c>
      <c r="AT48" s="27" t="s">
        <v>179</v>
      </c>
      <c r="AU48" s="37" t="s">
        <v>180</v>
      </c>
      <c r="AV48" s="27" t="s">
        <v>181</v>
      </c>
      <c r="AW48" s="27" t="s">
        <v>182</v>
      </c>
      <c r="AY48" s="107"/>
      <c r="AZ48" s="107"/>
      <c r="BA48" s="107"/>
    </row>
    <row r="49" spans="2:63" x14ac:dyDescent="0.35">
      <c r="B49" s="45" t="s">
        <v>195</v>
      </c>
      <c r="C49" s="46">
        <v>26.97</v>
      </c>
      <c r="D49" s="46">
        <v>24.69</v>
      </c>
      <c r="E49" s="46">
        <v>27.86</v>
      </c>
      <c r="F49" s="46">
        <v>30.92</v>
      </c>
      <c r="H49" s="43" t="s">
        <v>497</v>
      </c>
      <c r="I49" s="44">
        <f t="shared" si="6"/>
        <v>29.563513748504345</v>
      </c>
      <c r="J49" s="44">
        <f t="shared" si="3"/>
        <v>25.08</v>
      </c>
      <c r="K49" s="44">
        <f t="shared" si="4"/>
        <v>24.694304300813091</v>
      </c>
      <c r="L49" s="44">
        <f>F42*((LOG(2.005)/LOG(2)))</f>
        <v>28.191186828346694</v>
      </c>
      <c r="AA49" s="35" t="s">
        <v>171</v>
      </c>
      <c r="AB49" s="36">
        <f t="shared" ref="AB49:AC63" si="10">(AB9+AB29)/2</f>
        <v>2.0466040609470015</v>
      </c>
      <c r="AC49" s="36">
        <f t="shared" si="10"/>
        <v>0.29050727639343288</v>
      </c>
      <c r="AE49" s="35" t="s">
        <v>171</v>
      </c>
      <c r="AF49" s="36">
        <f>AVERAGEA(AB49:AB51)</f>
        <v>2.2526477378262277</v>
      </c>
      <c r="AG49" s="36">
        <f>AVERAGEA(AC49:AC51)</f>
        <v>0.2772134502228551</v>
      </c>
      <c r="AI49" s="35" t="s">
        <v>171</v>
      </c>
      <c r="AJ49" s="36">
        <f>STDEV(AB49:AB51)</f>
        <v>0.2846484305148948</v>
      </c>
      <c r="AK49" s="36">
        <f>AF49-CONFIDENCE(0.05,AJ49,3)</f>
        <v>1.9305436346284004</v>
      </c>
      <c r="AL49" s="36">
        <f>AF49+CONFIDENCE(0.05,AJ49,3)</f>
        <v>2.5747518410240549</v>
      </c>
      <c r="AM49" s="36">
        <f>AF49/AF53</f>
        <v>12.087279615111006</v>
      </c>
      <c r="AN49" s="36">
        <f>AK49/AF52</f>
        <v>0.2271506197282103</v>
      </c>
      <c r="AO49" s="36">
        <f>AL49/AF52</f>
        <v>0.30294911021140436</v>
      </c>
      <c r="AQ49" s="35" t="s">
        <v>171</v>
      </c>
      <c r="AR49" s="36">
        <f>STDEV(AC49:AC51)</f>
        <v>2.5547343405998308E-2</v>
      </c>
      <c r="AS49" s="36">
        <f>AG49-CONFIDENCE(0.05,AR49,3)</f>
        <v>0.24830444088108247</v>
      </c>
      <c r="AT49" s="36">
        <f>AG49+CONFIDENCE(0.05,AR49,3)</f>
        <v>0.30612245956462775</v>
      </c>
      <c r="AU49" s="36">
        <f>AG49/AG53</f>
        <v>16.532819980500065</v>
      </c>
      <c r="AV49" s="36">
        <f>AS49/AG52</f>
        <v>0.16155869646075161</v>
      </c>
      <c r="AW49" s="36">
        <f>AT49/AG52</f>
        <v>0.19917785340096328</v>
      </c>
      <c r="AY49" s="107"/>
      <c r="AZ49" s="127"/>
      <c r="BA49" s="127"/>
    </row>
    <row r="50" spans="2:63" x14ac:dyDescent="0.35">
      <c r="B50" s="45" t="s">
        <v>195</v>
      </c>
      <c r="C50" s="46">
        <v>26.83</v>
      </c>
      <c r="D50" s="46">
        <v>24.66</v>
      </c>
      <c r="E50" s="46">
        <v>28.4</v>
      </c>
      <c r="F50" s="46">
        <v>30.1</v>
      </c>
      <c r="H50" s="45" t="s">
        <v>190</v>
      </c>
      <c r="I50" s="46">
        <f>C43*((LOG(1.906)/LOG(2)))</f>
        <v>26.008819932977538</v>
      </c>
      <c r="J50" s="46">
        <f t="shared" si="3"/>
        <v>23.8</v>
      </c>
      <c r="K50" s="46">
        <f t="shared" si="4"/>
        <v>26.741345296230271</v>
      </c>
      <c r="L50" s="46">
        <f t="shared" ref="L50:L56" si="11">F43*((LOG(2.005)/LOG(2)))</f>
        <v>30.800552643715204</v>
      </c>
      <c r="AA50" s="35" t="s">
        <v>187</v>
      </c>
      <c r="AB50" s="36">
        <f t="shared" si="10"/>
        <v>2.5774447583944102</v>
      </c>
      <c r="AC50" s="36">
        <f t="shared" si="10"/>
        <v>0.29337272915670543</v>
      </c>
      <c r="AE50" s="39" t="s">
        <v>186</v>
      </c>
      <c r="AF50" s="40">
        <f>AVERAGEA(AB53:AB54)</f>
        <v>6.6060145658086267</v>
      </c>
      <c r="AG50" s="40">
        <f>AVERAGEA(AC53:AC54)</f>
        <v>1.0325707190853894</v>
      </c>
      <c r="AI50" s="39" t="s">
        <v>186</v>
      </c>
      <c r="AJ50" s="40">
        <f>STDEV(AB52:AB54)</f>
        <v>2.4541176985053683</v>
      </c>
      <c r="AK50" s="40">
        <f>AF50-CONFIDENCE(0.05,AJ50,3)</f>
        <v>3.8289699884361048</v>
      </c>
      <c r="AL50" s="40">
        <f>AF50+CONFIDENCE(0.05,AJ50,3)</f>
        <v>9.3830591431811481</v>
      </c>
      <c r="AM50" s="40">
        <f>AF50/AF53</f>
        <v>35.446618598022731</v>
      </c>
      <c r="AN50" s="40">
        <f>AK50/AF52</f>
        <v>0.45052227268688144</v>
      </c>
      <c r="AO50" s="40">
        <f>AL50/AF52</f>
        <v>1.1040246182937496</v>
      </c>
      <c r="AQ50" s="39" t="s">
        <v>186</v>
      </c>
      <c r="AR50" s="40">
        <f>STDEV(AC52:AC54)</f>
        <v>0.33301854530310626</v>
      </c>
      <c r="AS50" s="40">
        <f>AG50-CONFIDENCE(0.05,AR50,3)</f>
        <v>0.65573168403759508</v>
      </c>
      <c r="AT50" s="40">
        <f>AG50+CONFIDENCE(0.05,AR50,3)</f>
        <v>1.4094097541331838</v>
      </c>
      <c r="AU50" s="40">
        <f>AG50/AG53</f>
        <v>61.581809259436817</v>
      </c>
      <c r="AV50" s="40">
        <f>AS50/AG52</f>
        <v>0.42665026741049505</v>
      </c>
      <c r="AW50" s="40">
        <f>AT50/AG52</f>
        <v>0.9170291189672134</v>
      </c>
      <c r="AY50" s="127"/>
      <c r="AZ50" s="107"/>
      <c r="BA50" s="107"/>
    </row>
    <row r="51" spans="2:63" x14ac:dyDescent="0.35">
      <c r="B51" s="45" t="s">
        <v>195</v>
      </c>
      <c r="C51" s="46">
        <v>26.6</v>
      </c>
      <c r="D51" s="46">
        <v>25.07</v>
      </c>
      <c r="E51" s="46">
        <v>28.28</v>
      </c>
      <c r="F51" s="46">
        <v>31.2</v>
      </c>
      <c r="H51" s="45" t="s">
        <v>190</v>
      </c>
      <c r="I51" s="46">
        <f t="shared" ref="I51:I58" si="12">C44*((LOG(1.906)/LOG(2)))</f>
        <v>25.506323948583699</v>
      </c>
      <c r="J51" s="46">
        <f t="shared" si="3"/>
        <v>24.15</v>
      </c>
      <c r="K51" s="46">
        <f t="shared" si="4"/>
        <v>27.340479246108469</v>
      </c>
      <c r="L51" s="46">
        <f t="shared" si="11"/>
        <v>31.151813426553268</v>
      </c>
      <c r="AA51" s="35" t="s">
        <v>188</v>
      </c>
      <c r="AB51" s="36">
        <f t="shared" si="10"/>
        <v>2.133894394137271</v>
      </c>
      <c r="AC51" s="36">
        <f t="shared" si="10"/>
        <v>0.24776034511842693</v>
      </c>
      <c r="AE51" s="41" t="s">
        <v>492</v>
      </c>
      <c r="AF51" s="42">
        <f>AVERAGEA(AB56:AB57)</f>
        <v>4.6003660046760686</v>
      </c>
      <c r="AG51" s="42">
        <f>AVERAGEA(AC56:AC57)</f>
        <v>0.7294733416495145</v>
      </c>
      <c r="AI51" s="41" t="s">
        <v>492</v>
      </c>
      <c r="AJ51" s="42">
        <f>STDEV(AB55:AB57)</f>
        <v>2.0624700696084655</v>
      </c>
      <c r="AK51" s="42">
        <f>AF51-CONFIDENCE(0.05,AJ51,3)</f>
        <v>2.2665042969480407</v>
      </c>
      <c r="AL51" s="42">
        <f>AF51+CONFIDENCE(0.05,AJ51,3)</f>
        <v>6.9342277124040965</v>
      </c>
      <c r="AM51" s="42">
        <f>AF51/AF53</f>
        <v>24.684689619527287</v>
      </c>
      <c r="AN51" s="42">
        <f>AK51/AF52</f>
        <v>0.26668024821282904</v>
      </c>
      <c r="AO51" s="42">
        <f>AL51/AF52</f>
        <v>0.81589148981463211</v>
      </c>
      <c r="AQ51" s="41" t="s">
        <v>492</v>
      </c>
      <c r="AR51" s="42">
        <f>STDEV(AC55:AC57)</f>
        <v>0.67478636910157852</v>
      </c>
      <c r="AS51" s="42">
        <f>AG51-CONFIDENCE(0.05,AR51,3)</f>
        <v>-3.4105287174889698E-2</v>
      </c>
      <c r="AT51" s="42">
        <f>AG51+CONFIDENCE(0.05,AR51,3)</f>
        <v>1.4930519704739187</v>
      </c>
      <c r="AU51" s="42">
        <f>AG51/AG53</f>
        <v>43.505289618414501</v>
      </c>
      <c r="AV51" s="42">
        <f>AS51/AG52</f>
        <v>-2.219052433715276E-2</v>
      </c>
      <c r="AW51" s="42">
        <f>AT51/AG52</f>
        <v>0.9714507289599601</v>
      </c>
      <c r="AY51" s="127"/>
      <c r="AZ51" s="107"/>
      <c r="BA51" s="107"/>
    </row>
    <row r="52" spans="2:63" x14ac:dyDescent="0.35">
      <c r="B52" s="1" t="s">
        <v>200</v>
      </c>
      <c r="C52" t="s">
        <v>193</v>
      </c>
      <c r="D52" t="s">
        <v>193</v>
      </c>
      <c r="E52">
        <v>29.89</v>
      </c>
      <c r="F52">
        <v>30.95</v>
      </c>
      <c r="H52" s="45" t="s">
        <v>190</v>
      </c>
      <c r="I52" s="46">
        <f t="shared" si="12"/>
        <v>24.575775829335843</v>
      </c>
      <c r="J52" s="46">
        <f t="shared" si="3"/>
        <v>23.77</v>
      </c>
      <c r="K52" s="46">
        <f t="shared" si="4"/>
        <v>27.180710192807616</v>
      </c>
      <c r="L52" s="46">
        <f t="shared" si="11"/>
        <v>30.419183793776725</v>
      </c>
      <c r="AA52" s="39" t="s">
        <v>186</v>
      </c>
      <c r="AB52" s="40">
        <f t="shared" si="10"/>
        <v>2.4609225336350744</v>
      </c>
      <c r="AC52" s="40">
        <f t="shared" si="10"/>
        <v>0.46064796301785338</v>
      </c>
      <c r="AE52" s="43" t="s">
        <v>495</v>
      </c>
      <c r="AF52" s="44">
        <f>AVERAGEA(AB58,AB60)</f>
        <v>8.498958254828139</v>
      </c>
      <c r="AG52" s="44">
        <f>AVERAGEA(AC58,AC60)</f>
        <v>1.5369302075385618</v>
      </c>
      <c r="AI52" s="43" t="s">
        <v>495</v>
      </c>
      <c r="AJ52" s="44">
        <f>STDEV(AB58:AB60)</f>
        <v>12.765276773514246</v>
      </c>
      <c r="AK52" s="44">
        <f>AF52-CONFIDENCE(0.05,AJ52,3)</f>
        <v>-5.9460468336144832</v>
      </c>
      <c r="AL52" s="44">
        <f>AF52+CONFIDENCE(0.05,AJ52,3)</f>
        <v>22.943963343270759</v>
      </c>
      <c r="AM52" s="44">
        <f>AF52/AF53</f>
        <v>45.603794653839593</v>
      </c>
      <c r="AN52" s="44">
        <f>AK52/AF52</f>
        <v>-0.69962066589003624</v>
      </c>
      <c r="AO52" s="44">
        <f>AL52/AF52</f>
        <v>2.6996206658900359</v>
      </c>
      <c r="AQ52" s="43" t="s">
        <v>495</v>
      </c>
      <c r="AR52" s="44">
        <f>STDEV(AC58:AC60)</f>
        <v>1.8669001290702891</v>
      </c>
      <c r="AS52" s="44">
        <f>AG52-CONFIDENCE(0.05,AR52,3)</f>
        <v>-0.57562734546234084</v>
      </c>
      <c r="AT52" s="44">
        <f>AG52+CONFIDENCE(0.05,AR52,3)</f>
        <v>3.6494877605394644</v>
      </c>
      <c r="AU52" s="44">
        <f>AG52/AG53</f>
        <v>91.661463119485802</v>
      </c>
      <c r="AV52" s="44">
        <f>AS52/AG52</f>
        <v>-0.3745305692079699</v>
      </c>
      <c r="AW52" s="44">
        <f>AT52/AG52</f>
        <v>2.3745305692079697</v>
      </c>
      <c r="AY52" s="127"/>
      <c r="AZ52" s="107"/>
      <c r="BA52" s="107"/>
      <c r="BI52" s="1"/>
      <c r="BJ52" s="1"/>
    </row>
    <row r="53" spans="2:63" x14ac:dyDescent="0.35">
      <c r="H53" s="45" t="s">
        <v>194</v>
      </c>
      <c r="I53" s="46">
        <f>C46*((LOG(1.906)/LOG(2)))</f>
        <v>26.650898135258561</v>
      </c>
      <c r="J53" s="46">
        <f t="shared" si="3"/>
        <v>23.46</v>
      </c>
      <c r="K53" s="46">
        <f t="shared" si="4"/>
        <v>26.791273125386784</v>
      </c>
      <c r="L53" s="46">
        <f>F46*((LOG(2.005)/LOG(2)))</f>
        <v>31.131741381819666</v>
      </c>
      <c r="AA53" s="39" t="s">
        <v>191</v>
      </c>
      <c r="AB53" s="40">
        <f t="shared" si="10"/>
        <v>7.1495502374877953</v>
      </c>
      <c r="AC53" s="40">
        <f t="shared" si="10"/>
        <v>1.0758081089214424</v>
      </c>
      <c r="AE53" s="45" t="s">
        <v>190</v>
      </c>
      <c r="AF53" s="46">
        <f>AVERAGEA(AB61:AB63)</f>
        <v>0.18636515490301578</v>
      </c>
      <c r="AG53" s="46">
        <f>AVERAGEA(AC61:AC63)</f>
        <v>1.6767463176265124E-2</v>
      </c>
      <c r="AI53" s="45" t="s">
        <v>190</v>
      </c>
      <c r="AJ53" s="46">
        <f>STDEV(AB61:AB63)</f>
        <v>7.4355069279605557E-2</v>
      </c>
      <c r="AK53" s="46">
        <f>AF53-CONFIDENCE(0.05,AJ53,3)</f>
        <v>0.10222601924996873</v>
      </c>
      <c r="AL53" s="46">
        <f>AF53+CONFIDENCE(0.05,AJ53,3)</f>
        <v>0.27050429055606284</v>
      </c>
      <c r="AM53" s="46">
        <f>AF53/AF53</f>
        <v>1</v>
      </c>
      <c r="AN53" s="46">
        <f>AK53/AF53</f>
        <v>0.54852538986253641</v>
      </c>
      <c r="AO53" s="46">
        <f>AL53/AF53</f>
        <v>1.4514746101374636</v>
      </c>
      <c r="AQ53" s="45" t="s">
        <v>190</v>
      </c>
      <c r="AR53" s="46">
        <f>STDEV(AC61:AC63)</f>
        <v>1.556383273390708E-3</v>
      </c>
      <c r="AS53" s="46">
        <f>AG53-CONFIDENCE(0.05,AR53,3)</f>
        <v>1.5006282067341425E-2</v>
      </c>
      <c r="AT53" s="46">
        <f>AG53+CONFIDENCE(0.05,AR53,3)</f>
        <v>1.8528644285188824E-2</v>
      </c>
      <c r="AU53" s="46">
        <f>AG53/AG53</f>
        <v>1</v>
      </c>
      <c r="AV53" s="46">
        <f>AS53/AG53</f>
        <v>0.89496436697611437</v>
      </c>
      <c r="AW53" s="46">
        <f>AT53/AG53</f>
        <v>1.1050356330238857</v>
      </c>
      <c r="AY53" s="127"/>
      <c r="AZ53" s="107"/>
      <c r="BA53" s="107"/>
      <c r="BI53" s="1"/>
      <c r="BJ53" s="25"/>
    </row>
    <row r="54" spans="2:63" x14ac:dyDescent="0.35">
      <c r="H54" s="45" t="s">
        <v>194</v>
      </c>
      <c r="I54" s="46">
        <f t="shared" si="12"/>
        <v>25.645906166470876</v>
      </c>
      <c r="J54" s="46">
        <f t="shared" si="3"/>
        <v>23.45</v>
      </c>
      <c r="K54" s="46">
        <f t="shared" si="4"/>
        <v>27.200681324470221</v>
      </c>
      <c r="L54" s="46">
        <f t="shared" si="11"/>
        <v>31.201993538387278</v>
      </c>
      <c r="AA54" s="39" t="s">
        <v>192</v>
      </c>
      <c r="AB54" s="40">
        <f t="shared" si="10"/>
        <v>6.062478894129459</v>
      </c>
      <c r="AC54" s="40">
        <f t="shared" si="10"/>
        <v>0.98933332924933648</v>
      </c>
      <c r="BI54" s="1"/>
      <c r="BJ54" s="25"/>
    </row>
    <row r="55" spans="2:63" x14ac:dyDescent="0.35">
      <c r="H55" s="45" t="s">
        <v>194</v>
      </c>
      <c r="I55" s="46">
        <f t="shared" si="12"/>
        <v>25.152715663269515</v>
      </c>
      <c r="J55" s="46">
        <f t="shared" si="3"/>
        <v>23.26</v>
      </c>
      <c r="K55" s="46">
        <f t="shared" si="4"/>
        <v>27.220652456132832</v>
      </c>
      <c r="L55" s="46">
        <f t="shared" si="11"/>
        <v>30.108067100405865</v>
      </c>
      <c r="AA55" s="41" t="s">
        <v>492</v>
      </c>
      <c r="AB55" s="42">
        <f t="shared" si="10"/>
        <v>8.1496227418012257</v>
      </c>
      <c r="AC55" s="42">
        <f t="shared" si="10"/>
        <v>1.8982316103071213</v>
      </c>
      <c r="BI55" s="1"/>
      <c r="BJ55" s="25"/>
    </row>
    <row r="56" spans="2:63" x14ac:dyDescent="0.35">
      <c r="H56" s="45" t="s">
        <v>195</v>
      </c>
      <c r="I56" s="46">
        <f>C49*((LOG(1.906)/LOG(2)))</f>
        <v>25.09688277611464</v>
      </c>
      <c r="J56" s="46">
        <f t="shared" si="3"/>
        <v>24.69</v>
      </c>
      <c r="K56" s="46">
        <f t="shared" si="4"/>
        <v>27.819786406011026</v>
      </c>
      <c r="L56" s="46">
        <f t="shared" si="11"/>
        <v>31.03138115815165</v>
      </c>
      <c r="AA56" s="41" t="s">
        <v>493</v>
      </c>
      <c r="AB56" s="42">
        <f t="shared" si="10"/>
        <v>4.8342641150175645</v>
      </c>
      <c r="AC56" s="42">
        <f t="shared" si="10"/>
        <v>0.73163676643045339</v>
      </c>
      <c r="BI56" s="1"/>
      <c r="BJ56" s="1"/>
      <c r="BK56" s="25"/>
    </row>
    <row r="57" spans="2:63" x14ac:dyDescent="0.35">
      <c r="H57" s="45" t="s">
        <v>195</v>
      </c>
      <c r="I57" s="46">
        <f t="shared" si="12"/>
        <v>24.96660603941994</v>
      </c>
      <c r="J57" s="46">
        <f t="shared" si="3"/>
        <v>24.66</v>
      </c>
      <c r="K57" s="46">
        <f t="shared" si="4"/>
        <v>28.359006960901407</v>
      </c>
      <c r="L57" s="46">
        <f>F50*((LOG(2.005)/LOG(2)))</f>
        <v>30.208427324073888</v>
      </c>
      <c r="AA57" s="41" t="s">
        <v>494</v>
      </c>
      <c r="AB57" s="42">
        <f t="shared" si="10"/>
        <v>4.3664678943345736</v>
      </c>
      <c r="AC57" s="42">
        <f t="shared" si="10"/>
        <v>0.7273099168685756</v>
      </c>
      <c r="BI57" s="1"/>
      <c r="BJ57" s="1"/>
      <c r="BK57" s="25"/>
    </row>
    <row r="58" spans="2:63" x14ac:dyDescent="0.35">
      <c r="H58" s="45" t="s">
        <v>195</v>
      </c>
      <c r="I58" s="46">
        <f t="shared" si="12"/>
        <v>24.752579971992937</v>
      </c>
      <c r="J58" s="46">
        <f>D51*((LOG(2)/LOG(2)))</f>
        <v>25.07</v>
      </c>
      <c r="K58" s="46">
        <f t="shared" si="4"/>
        <v>28.239180170925767</v>
      </c>
      <c r="L58" s="46">
        <f>F51*((LOG(2.005)/LOG(2)))</f>
        <v>31.312389784422102</v>
      </c>
      <c r="AA58" s="43" t="s">
        <v>495</v>
      </c>
      <c r="AB58" s="44">
        <f t="shared" si="10"/>
        <v>9.0928380963842503</v>
      </c>
      <c r="AC58" s="44">
        <f t="shared" si="10"/>
        <v>1.9333761146279025</v>
      </c>
      <c r="BI58" s="1"/>
      <c r="BJ58" s="1"/>
      <c r="BK58" s="25"/>
    </row>
    <row r="59" spans="2:63" x14ac:dyDescent="0.35">
      <c r="AA59" s="43" t="s">
        <v>496</v>
      </c>
      <c r="AB59" s="44">
        <f t="shared" si="10"/>
        <v>30.585125724867993</v>
      </c>
      <c r="AC59" s="44">
        <f t="shared" si="10"/>
        <v>4.6967466901881973</v>
      </c>
      <c r="BI59" s="1"/>
    </row>
    <row r="60" spans="2:63" x14ac:dyDescent="0.35">
      <c r="AA60" s="43" t="s">
        <v>497</v>
      </c>
      <c r="AB60" s="44">
        <f t="shared" si="10"/>
        <v>7.9050784132720286</v>
      </c>
      <c r="AC60" s="44">
        <f t="shared" si="10"/>
        <v>1.1404843004492211</v>
      </c>
      <c r="BI60" s="1"/>
    </row>
    <row r="61" spans="2:63" x14ac:dyDescent="0.35">
      <c r="AA61" s="45" t="s">
        <v>190</v>
      </c>
      <c r="AB61" s="46">
        <f t="shared" si="10"/>
        <v>0.20650423592342512</v>
      </c>
      <c r="AC61" s="46">
        <f t="shared" si="10"/>
        <v>1.5856720551353051E-2</v>
      </c>
      <c r="BI61" s="1"/>
    </row>
    <row r="62" spans="2:63" x14ac:dyDescent="0.35">
      <c r="AA62" s="45" t="s">
        <v>194</v>
      </c>
      <c r="AB62" s="46">
        <f t="shared" si="10"/>
        <v>0.24857624381255941</v>
      </c>
      <c r="AC62" s="46">
        <f t="shared" si="10"/>
        <v>1.8564564639335125E-2</v>
      </c>
      <c r="BI62" s="1"/>
    </row>
    <row r="63" spans="2:63" x14ac:dyDescent="0.35">
      <c r="AA63" s="45" t="s">
        <v>195</v>
      </c>
      <c r="AB63" s="46">
        <f t="shared" si="10"/>
        <v>0.10401498497306289</v>
      </c>
      <c r="AC63" s="46">
        <f t="shared" si="10"/>
        <v>1.5881104338107192E-2</v>
      </c>
      <c r="BI63" s="1"/>
    </row>
    <row r="64" spans="2:63" x14ac:dyDescent="0.35">
      <c r="BI64" s="1"/>
    </row>
    <row r="65" spans="27:39" x14ac:dyDescent="0.35">
      <c r="AF65" s="1" t="s">
        <v>183</v>
      </c>
      <c r="AG65" s="1" t="s">
        <v>167</v>
      </c>
      <c r="AH65" s="1" t="s">
        <v>168</v>
      </c>
      <c r="AK65" s="160" t="s">
        <v>483</v>
      </c>
      <c r="AL65" s="160"/>
      <c r="AM65" s="160"/>
    </row>
    <row r="66" spans="27:39" x14ac:dyDescent="0.35">
      <c r="AF66" s="35" t="s">
        <v>171</v>
      </c>
      <c r="AG66">
        <f t="shared" ref="AG66:AG77" si="13">AB49/$AF$53</f>
        <v>10.981688406354998</v>
      </c>
      <c r="AH66">
        <f t="shared" ref="AH66:AH77" si="14">AC49/$AG$53</f>
        <v>17.325654652676093</v>
      </c>
      <c r="AK66" s="118" t="s">
        <v>201</v>
      </c>
      <c r="AL66" s="94" t="s">
        <v>56</v>
      </c>
      <c r="AM66" s="128" t="s">
        <v>57</v>
      </c>
    </row>
    <row r="67" spans="27:39" x14ac:dyDescent="0.35">
      <c r="AF67" s="35" t="s">
        <v>187</v>
      </c>
      <c r="AG67">
        <f t="shared" si="13"/>
        <v>13.830078695428389</v>
      </c>
      <c r="AH67">
        <f t="shared" si="14"/>
        <v>17.496548289545899</v>
      </c>
      <c r="AK67" s="118" t="s">
        <v>243</v>
      </c>
      <c r="AL67" s="129">
        <f>STDEV(AG66:AG68)</f>
        <v>1.5273693768721379</v>
      </c>
      <c r="AM67" s="129">
        <f>STDEV(AH66:AH68)</f>
        <v>1.5236260331951337</v>
      </c>
    </row>
    <row r="68" spans="27:39" x14ac:dyDescent="0.35">
      <c r="AF68" s="35" t="s">
        <v>188</v>
      </c>
      <c r="AG68">
        <f t="shared" si="13"/>
        <v>11.450071743549632</v>
      </c>
      <c r="AH68">
        <f t="shared" si="14"/>
        <v>14.776256999278194</v>
      </c>
      <c r="AK68" s="130" t="s">
        <v>261</v>
      </c>
      <c r="AL68" s="131">
        <f>STDEV(AG70:AG71)</f>
        <v>4.1245667352476207</v>
      </c>
      <c r="AM68" s="131">
        <f>STDEV(AH70:AH71)</f>
        <v>3.6467593496381769</v>
      </c>
    </row>
    <row r="69" spans="27:39" x14ac:dyDescent="0.35">
      <c r="AF69" s="39" t="s">
        <v>186</v>
      </c>
      <c r="AG69">
        <f t="shared" si="13"/>
        <v>13.204842583989135</v>
      </c>
      <c r="AH69">
        <f t="shared" si="14"/>
        <v>27.472728472719428</v>
      </c>
      <c r="AK69" s="121" t="s">
        <v>498</v>
      </c>
      <c r="AL69" s="132">
        <f>STDEV(AG73:AG74)</f>
        <v>1.774912697765415</v>
      </c>
      <c r="AM69" s="132">
        <f>STDEV(AH73:AH74)</f>
        <v>0.18246914480830212</v>
      </c>
    </row>
    <row r="70" spans="27:39" x14ac:dyDescent="0.35">
      <c r="AF70" s="39" t="s">
        <v>191</v>
      </c>
      <c r="AG70">
        <f t="shared" si="13"/>
        <v>38.363127705972786</v>
      </c>
      <c r="AH70">
        <f t="shared" si="14"/>
        <v>64.160457524921412</v>
      </c>
      <c r="AK70" s="133" t="s">
        <v>495</v>
      </c>
      <c r="AL70" s="134">
        <f>STDEV(AG75,AG77)</f>
        <v>4.5065984936170382</v>
      </c>
      <c r="AM70" s="134">
        <f>STDEV(AH75,AH77)</f>
        <v>33.437328751476215</v>
      </c>
    </row>
    <row r="71" spans="27:39" x14ac:dyDescent="0.35">
      <c r="AF71" s="39" t="s">
        <v>192</v>
      </c>
      <c r="AG71">
        <f t="shared" si="13"/>
        <v>32.530109490072682</v>
      </c>
      <c r="AH71">
        <f t="shared" si="14"/>
        <v>59.003160993952214</v>
      </c>
      <c r="AK71" s="160" t="s">
        <v>482</v>
      </c>
      <c r="AL71" s="160"/>
      <c r="AM71" s="160"/>
    </row>
    <row r="72" spans="27:39" x14ac:dyDescent="0.35">
      <c r="AD72" s="107"/>
      <c r="AF72" s="41" t="s">
        <v>492</v>
      </c>
      <c r="AG72">
        <f t="shared" si="13"/>
        <v>43.729326686859892</v>
      </c>
      <c r="AH72">
        <f t="shared" si="14"/>
        <v>113.20923089869244</v>
      </c>
      <c r="AK72" s="118" t="s">
        <v>222</v>
      </c>
      <c r="AL72" s="94" t="s">
        <v>56</v>
      </c>
      <c r="AM72" s="128" t="s">
        <v>57</v>
      </c>
    </row>
    <row r="73" spans="27:39" x14ac:dyDescent="0.35">
      <c r="AA73" s="1"/>
      <c r="AF73" s="41" t="s">
        <v>493</v>
      </c>
      <c r="AG73">
        <f t="shared" si="13"/>
        <v>25.939742424131325</v>
      </c>
      <c r="AH73">
        <f t="shared" si="14"/>
        <v>43.634314788065758</v>
      </c>
      <c r="AK73" s="118" t="s">
        <v>171</v>
      </c>
      <c r="AL73" s="135">
        <f>AVERAGE(AG66:AG68)</f>
        <v>12.087279615111006</v>
      </c>
      <c r="AM73" s="135">
        <f>AVERAGE(AH66:AH68)</f>
        <v>16.532819980500062</v>
      </c>
    </row>
    <row r="74" spans="27:39" x14ac:dyDescent="0.35">
      <c r="AF74" s="41" t="s">
        <v>494</v>
      </c>
      <c r="AG74">
        <f t="shared" si="13"/>
        <v>23.429636814923256</v>
      </c>
      <c r="AH74">
        <f t="shared" si="14"/>
        <v>43.376264448763237</v>
      </c>
      <c r="AK74" s="130" t="s">
        <v>186</v>
      </c>
      <c r="AL74" s="136">
        <f>AVERAGE(AG70:AG71)</f>
        <v>35.446618598022738</v>
      </c>
      <c r="AM74" s="136">
        <f>AVERAGE(AH70:AH71)</f>
        <v>61.58180925943681</v>
      </c>
    </row>
    <row r="75" spans="27:39" x14ac:dyDescent="0.35">
      <c r="AF75" s="43" t="s">
        <v>495</v>
      </c>
      <c r="AG75">
        <f t="shared" si="13"/>
        <v>48.790441008761285</v>
      </c>
      <c r="AH75">
        <f t="shared" si="14"/>
        <v>115.30522502441859</v>
      </c>
      <c r="AK75" s="121" t="s">
        <v>492</v>
      </c>
      <c r="AL75" s="114">
        <f>AVERAGE(AG73:AG74)</f>
        <v>24.68468961952729</v>
      </c>
      <c r="AM75" s="114">
        <f>AVERAGE(AH73:AH74)</f>
        <v>43.505289618414494</v>
      </c>
    </row>
    <row r="76" spans="27:39" x14ac:dyDescent="0.35">
      <c r="AF76" s="43" t="s">
        <v>496</v>
      </c>
      <c r="AG76">
        <f t="shared" si="13"/>
        <v>164.11397152426085</v>
      </c>
      <c r="AH76">
        <f t="shared" si="14"/>
        <v>280.11075025568516</v>
      </c>
      <c r="AK76" s="133" t="s">
        <v>495</v>
      </c>
      <c r="AL76" s="137">
        <f>AVERAGE(AG75,AG77)</f>
        <v>45.6037946538396</v>
      </c>
      <c r="AM76" s="137">
        <f>AVERAGE(AH75,AH77)</f>
        <v>91.661463119485802</v>
      </c>
    </row>
    <row r="77" spans="27:39" x14ac:dyDescent="0.35">
      <c r="AF77" s="43" t="s">
        <v>497</v>
      </c>
      <c r="AG77">
        <f t="shared" si="13"/>
        <v>42.417148298917908</v>
      </c>
      <c r="AH77">
        <f t="shared" si="14"/>
        <v>68.017701214553</v>
      </c>
      <c r="AK77" s="2"/>
      <c r="AL77" s="2"/>
      <c r="AM77" s="2"/>
    </row>
    <row r="78" spans="27:39" x14ac:dyDescent="0.35">
      <c r="AF78" s="45" t="s">
        <v>190</v>
      </c>
      <c r="AG78" s="46">
        <v>0.18636515490301578</v>
      </c>
      <c r="AH78" s="46">
        <v>1.6767463176265124E-2</v>
      </c>
      <c r="AK78" s="2"/>
      <c r="AL78" s="2"/>
      <c r="AM78" s="2"/>
    </row>
    <row r="79" spans="27:39" x14ac:dyDescent="0.35">
      <c r="AK79" s="161"/>
      <c r="AL79" s="161"/>
      <c r="AM79" s="161"/>
    </row>
    <row r="80" spans="27:39" x14ac:dyDescent="0.35">
      <c r="AF80" s="162" t="s">
        <v>480</v>
      </c>
      <c r="AG80" s="162"/>
      <c r="AH80" s="162"/>
      <c r="AI80" s="162"/>
      <c r="AK80" s="138"/>
      <c r="AL80" s="138"/>
      <c r="AM80" s="138"/>
    </row>
    <row r="81" spans="32:39" x14ac:dyDescent="0.35">
      <c r="AF81" s="118" t="s">
        <v>202</v>
      </c>
      <c r="AG81" s="118" t="s">
        <v>481</v>
      </c>
      <c r="AH81" s="118" t="s">
        <v>68</v>
      </c>
      <c r="AI81" s="118" t="s">
        <v>204</v>
      </c>
      <c r="AK81" s="138"/>
      <c r="AL81" s="139"/>
      <c r="AM81" s="139"/>
    </row>
    <row r="82" spans="32:39" x14ac:dyDescent="0.35">
      <c r="AF82" s="118" t="s">
        <v>205</v>
      </c>
      <c r="AG82" s="126">
        <v>12.967000000000001</v>
      </c>
      <c r="AH82" s="126" t="s">
        <v>206</v>
      </c>
      <c r="AI82" s="126" t="s">
        <v>207</v>
      </c>
      <c r="AK82" s="138"/>
      <c r="AL82" s="139"/>
      <c r="AM82" s="139"/>
    </row>
    <row r="83" spans="32:39" x14ac:dyDescent="0.35">
      <c r="AF83" s="118" t="s">
        <v>208</v>
      </c>
      <c r="AG83" s="126">
        <v>8.8659999999999997</v>
      </c>
      <c r="AH83" s="126" t="s">
        <v>209</v>
      </c>
      <c r="AI83" s="126" t="s">
        <v>210</v>
      </c>
      <c r="AK83" s="138"/>
      <c r="AL83" s="139"/>
      <c r="AM83" s="139"/>
    </row>
    <row r="84" spans="32:39" x14ac:dyDescent="0.35">
      <c r="AF84" s="118" t="s">
        <v>211</v>
      </c>
      <c r="AG84" s="126">
        <v>9.4529999999999994</v>
      </c>
      <c r="AH84" s="126" t="s">
        <v>212</v>
      </c>
      <c r="AI84" s="126" t="s">
        <v>213</v>
      </c>
      <c r="AK84" s="138"/>
      <c r="AL84" s="139"/>
      <c r="AM84" s="139"/>
    </row>
    <row r="85" spans="32:39" x14ac:dyDescent="0.35">
      <c r="AF85" s="118" t="s">
        <v>214</v>
      </c>
      <c r="AG85" s="126" t="s">
        <v>215</v>
      </c>
      <c r="AH85" s="126" t="s">
        <v>216</v>
      </c>
      <c r="AI85" s="126" t="s">
        <v>217</v>
      </c>
    </row>
    <row r="86" spans="32:39" x14ac:dyDescent="0.35">
      <c r="AF86" s="118" t="s">
        <v>218</v>
      </c>
      <c r="AG86" s="126" t="s">
        <v>219</v>
      </c>
      <c r="AH86" s="126" t="s">
        <v>220</v>
      </c>
      <c r="AI86" s="126" t="s">
        <v>221</v>
      </c>
    </row>
    <row r="87" spans="32:39" x14ac:dyDescent="0.35">
      <c r="AF87" s="118" t="s">
        <v>223</v>
      </c>
      <c r="AG87" s="126">
        <v>3.1579999999999999</v>
      </c>
      <c r="AH87" s="126" t="s">
        <v>224</v>
      </c>
      <c r="AI87" s="126" t="s">
        <v>225</v>
      </c>
    </row>
    <row r="88" spans="32:39" x14ac:dyDescent="0.35">
      <c r="AF88" s="2"/>
      <c r="AG88" s="2"/>
      <c r="AH88" s="2"/>
      <c r="AI88" s="2"/>
    </row>
    <row r="89" spans="32:39" x14ac:dyDescent="0.35">
      <c r="AF89" s="2"/>
      <c r="AG89" s="2"/>
      <c r="AH89" s="2"/>
      <c r="AI89" s="2"/>
    </row>
    <row r="90" spans="32:39" x14ac:dyDescent="0.35">
      <c r="AF90" s="48" t="s">
        <v>226</v>
      </c>
      <c r="AG90" s="48" t="s">
        <v>203</v>
      </c>
      <c r="AH90" s="48" t="s">
        <v>68</v>
      </c>
      <c r="AI90" s="48" t="s">
        <v>204</v>
      </c>
    </row>
    <row r="91" spans="32:39" x14ac:dyDescent="0.35">
      <c r="AF91" s="37" t="s">
        <v>205</v>
      </c>
      <c r="AG91" s="48">
        <v>4.2519999999999998</v>
      </c>
      <c r="AH91" s="48" t="s">
        <v>227</v>
      </c>
      <c r="AI91" s="48" t="s">
        <v>228</v>
      </c>
    </row>
    <row r="92" spans="32:39" x14ac:dyDescent="0.35">
      <c r="AF92" s="37" t="s">
        <v>208</v>
      </c>
      <c r="AG92" s="48">
        <v>24.042999999999999</v>
      </c>
      <c r="AH92" s="48" t="s">
        <v>229</v>
      </c>
      <c r="AI92" s="48">
        <v>2.0000000000000001E-4</v>
      </c>
    </row>
    <row r="93" spans="32:39" x14ac:dyDescent="0.35">
      <c r="AF93" s="37" t="s">
        <v>211</v>
      </c>
      <c r="AG93" s="48">
        <v>20.433</v>
      </c>
      <c r="AH93" s="48" t="s">
        <v>230</v>
      </c>
      <c r="AI93" s="48" t="s">
        <v>231</v>
      </c>
    </row>
    <row r="94" spans="32:39" x14ac:dyDescent="0.35">
      <c r="AF94" s="37" t="s">
        <v>214</v>
      </c>
      <c r="AG94" s="48">
        <v>2.032</v>
      </c>
      <c r="AH94" s="48" t="s">
        <v>232</v>
      </c>
      <c r="AI94" s="48" t="s">
        <v>233</v>
      </c>
    </row>
    <row r="95" spans="32:39" x14ac:dyDescent="0.35">
      <c r="AF95" s="37" t="s">
        <v>218</v>
      </c>
      <c r="AG95" s="48" t="s">
        <v>234</v>
      </c>
      <c r="AH95" s="48" t="s">
        <v>235</v>
      </c>
      <c r="AI95" s="48" t="s">
        <v>236</v>
      </c>
    </row>
    <row r="96" spans="32:39" x14ac:dyDescent="0.35">
      <c r="AF96" s="37" t="s">
        <v>223</v>
      </c>
      <c r="AG96" s="48">
        <v>7.06</v>
      </c>
      <c r="AH96" s="48" t="s">
        <v>237</v>
      </c>
      <c r="AI96" s="48" t="s">
        <v>238</v>
      </c>
    </row>
  </sheetData>
  <mergeCells count="23">
    <mergeCell ref="AQ46:AW46"/>
    <mergeCell ref="AH7:AH30"/>
    <mergeCell ref="AP7:AP30"/>
    <mergeCell ref="AI24:AO24"/>
    <mergeCell ref="AI7:AO7"/>
    <mergeCell ref="AQ7:AW7"/>
    <mergeCell ref="AQ24:AW24"/>
    <mergeCell ref="AK79:AM79"/>
    <mergeCell ref="AF80:AI80"/>
    <mergeCell ref="AK65:AM65"/>
    <mergeCell ref="AK71:AM71"/>
    <mergeCell ref="AI46:AO46"/>
    <mergeCell ref="AA7:AC7"/>
    <mergeCell ref="AA27:AC27"/>
    <mergeCell ref="AA47:AC47"/>
    <mergeCell ref="AE7:AG7"/>
    <mergeCell ref="AE24:AG24"/>
    <mergeCell ref="AE47:AG47"/>
    <mergeCell ref="B5:F5"/>
    <mergeCell ref="H6:L6"/>
    <mergeCell ref="P7:T7"/>
    <mergeCell ref="H12:L12"/>
    <mergeCell ref="V7:X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3073" r:id="rId4">
          <objectPr defaultSize="0" autoPict="0" r:id="rId5">
            <anchor moveWithCells="1">
              <from>
                <xdr:col>39</xdr:col>
                <xdr:colOff>203200</xdr:colOff>
                <xdr:row>62</xdr:row>
                <xdr:rowOff>158750</xdr:rowOff>
              </from>
              <to>
                <xdr:col>42</xdr:col>
                <xdr:colOff>660400</xdr:colOff>
                <xdr:row>79</xdr:row>
                <xdr:rowOff>171450</xdr:rowOff>
              </to>
            </anchor>
          </objectPr>
        </oleObject>
      </mc:Choice>
      <mc:Fallback>
        <oleObject progId="Prism8.Document" shapeId="3073" r:id="rId4"/>
      </mc:Fallback>
    </mc:AlternateContent>
    <mc:AlternateContent xmlns:mc="http://schemas.openxmlformats.org/markup-compatibility/2006">
      <mc:Choice Requires="x14">
        <oleObject progId="Prism8.Document" shapeId="3074" r:id="rId6">
          <objectPr defaultSize="0" autoPict="0" r:id="rId7">
            <anchor moveWithCells="1">
              <from>
                <xdr:col>39</xdr:col>
                <xdr:colOff>184150</xdr:colOff>
                <xdr:row>80</xdr:row>
                <xdr:rowOff>127000</xdr:rowOff>
              </from>
              <to>
                <xdr:col>42</xdr:col>
                <xdr:colOff>647700</xdr:colOff>
                <xdr:row>97</xdr:row>
                <xdr:rowOff>133350</xdr:rowOff>
              </to>
            </anchor>
          </objectPr>
        </oleObject>
      </mc:Choice>
      <mc:Fallback>
        <oleObject progId="Prism8.Document" shapeId="3074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73EB-71AF-41C5-9A0C-9C4A420C949D}">
  <dimension ref="B3:CV87"/>
  <sheetViews>
    <sheetView topLeftCell="CC27" zoomScale="40" zoomScaleNormal="40" workbookViewId="0">
      <selection activeCell="CQ43" sqref="CQ43"/>
    </sheetView>
  </sheetViews>
  <sheetFormatPr defaultColWidth="11.453125" defaultRowHeight="14.5" x14ac:dyDescent="0.35"/>
  <cols>
    <col min="1" max="1" width="16.26953125" customWidth="1"/>
    <col min="2" max="2" width="29.26953125" customWidth="1"/>
    <col min="7" max="7" width="17.26953125" customWidth="1"/>
    <col min="9" max="9" width="20.26953125" customWidth="1"/>
    <col min="11" max="11" width="17.1796875" customWidth="1"/>
    <col min="12" max="12" width="27.6328125" customWidth="1"/>
    <col min="15" max="15" width="14" customWidth="1"/>
    <col min="16" max="16" width="17.81640625" customWidth="1"/>
    <col min="19" max="19" width="25.7265625" customWidth="1"/>
    <col min="20" max="20" width="31.90625" customWidth="1"/>
    <col min="22" max="22" width="19.26953125" customWidth="1"/>
    <col min="23" max="23" width="30.54296875" customWidth="1"/>
    <col min="27" max="27" width="20.453125" customWidth="1"/>
    <col min="28" max="28" width="13.54296875" customWidth="1"/>
    <col min="31" max="31" width="25.81640625" customWidth="1"/>
    <col min="32" max="32" width="19.7265625" customWidth="1"/>
    <col min="33" max="33" width="23.26953125" customWidth="1"/>
    <col min="34" max="34" width="37.453125" customWidth="1"/>
    <col min="35" max="35" width="19.453125" customWidth="1"/>
    <col min="37" max="37" width="19" customWidth="1"/>
    <col min="39" max="39" width="17.81640625" customWidth="1"/>
    <col min="40" max="40" width="27.6328125" customWidth="1"/>
    <col min="41" max="41" width="21" customWidth="1"/>
    <col min="42" max="42" width="16.453125" customWidth="1"/>
    <col min="43" max="43" width="34.6328125" customWidth="1"/>
    <col min="44" max="44" width="14.1796875" customWidth="1"/>
    <col min="45" max="45" width="15.36328125" customWidth="1"/>
    <col min="48" max="48" width="17.54296875" customWidth="1"/>
    <col min="49" max="49" width="24.90625" customWidth="1"/>
    <col min="51" max="51" width="15.81640625" customWidth="1"/>
    <col min="52" max="52" width="35.08984375" customWidth="1"/>
    <col min="53" max="53" width="15.81640625" customWidth="1"/>
    <col min="54" max="54" width="14.453125" customWidth="1"/>
    <col min="55" max="55" width="13.1796875" bestFit="1" customWidth="1"/>
    <col min="56" max="56" width="16.7265625" customWidth="1"/>
    <col min="57" max="57" width="18.81640625" customWidth="1"/>
    <col min="58" max="58" width="27.36328125" customWidth="1"/>
    <col min="59" max="59" width="13.54296875" customWidth="1"/>
    <col min="60" max="60" width="13.26953125" customWidth="1"/>
    <col min="61" max="61" width="24.81640625" customWidth="1"/>
    <col min="62" max="62" width="25.7265625" customWidth="1"/>
    <col min="63" max="63" width="21" customWidth="1"/>
    <col min="64" max="64" width="21.54296875" customWidth="1"/>
    <col min="65" max="65" width="34.6328125" customWidth="1"/>
    <col min="69" max="69" width="18.453125" customWidth="1"/>
    <col min="70" max="70" width="27.54296875" customWidth="1"/>
    <col min="71" max="71" width="13.1796875" bestFit="1" customWidth="1"/>
    <col min="73" max="73" width="19.453125" customWidth="1"/>
    <col min="74" max="74" width="32.90625" customWidth="1"/>
    <col min="79" max="79" width="17" customWidth="1"/>
    <col min="80" max="80" width="20" customWidth="1"/>
    <col min="81" max="81" width="12" customWidth="1"/>
    <col min="82" max="82" width="12.81640625" customWidth="1"/>
    <col min="85" max="85" width="18.453125" customWidth="1"/>
    <col min="86" max="86" width="29.90625" customWidth="1"/>
    <col min="94" max="94" width="34.26953125" customWidth="1"/>
    <col min="95" max="95" width="46.1796875" customWidth="1"/>
    <col min="96" max="96" width="15.6328125" customWidth="1"/>
    <col min="97" max="97" width="23.90625" customWidth="1"/>
    <col min="98" max="98" width="16" customWidth="1"/>
    <col min="99" max="99" width="14.1796875" customWidth="1"/>
    <col min="100" max="100" width="22.6328125" customWidth="1"/>
  </cols>
  <sheetData>
    <row r="3" spans="2:76" ht="23.5" x14ac:dyDescent="0.55000000000000004">
      <c r="B3" s="104" t="s">
        <v>484</v>
      </c>
    </row>
    <row r="7" spans="2:76" x14ac:dyDescent="0.35">
      <c r="B7" s="159" t="s">
        <v>163</v>
      </c>
      <c r="C7" s="159"/>
      <c r="D7" s="159"/>
      <c r="E7" s="159"/>
      <c r="F7" s="159"/>
      <c r="G7" s="159"/>
      <c r="H7" s="159"/>
      <c r="I7" s="159"/>
      <c r="J7" s="159"/>
    </row>
    <row r="8" spans="2:76" x14ac:dyDescent="0.35">
      <c r="B8" s="34" t="s">
        <v>164</v>
      </c>
      <c r="C8" s="27" t="s">
        <v>165</v>
      </c>
      <c r="D8" s="27" t="s">
        <v>166</v>
      </c>
      <c r="E8" s="27" t="s">
        <v>167</v>
      </c>
      <c r="F8" s="27" t="s">
        <v>168</v>
      </c>
      <c r="G8" s="27" t="s">
        <v>247</v>
      </c>
      <c r="H8" s="27" t="s">
        <v>248</v>
      </c>
      <c r="I8" s="27" t="s">
        <v>249</v>
      </c>
      <c r="J8" s="27" t="s">
        <v>250</v>
      </c>
      <c r="L8" s="160" t="s">
        <v>169</v>
      </c>
      <c r="M8" s="160"/>
      <c r="N8" s="160"/>
      <c r="O8" s="160"/>
      <c r="P8" s="160"/>
      <c r="Q8" s="160"/>
      <c r="R8" s="160"/>
    </row>
    <row r="9" spans="2:76" x14ac:dyDescent="0.35">
      <c r="B9" s="35" t="s">
        <v>171</v>
      </c>
      <c r="C9" s="36">
        <v>29.46</v>
      </c>
      <c r="D9" s="36">
        <v>29.29</v>
      </c>
      <c r="E9" s="36">
        <v>27.47</v>
      </c>
      <c r="F9" s="36">
        <v>30.55</v>
      </c>
      <c r="G9" s="36">
        <v>27.52</v>
      </c>
      <c r="H9" s="36">
        <v>35.86</v>
      </c>
      <c r="I9" s="36">
        <v>27</v>
      </c>
      <c r="J9" s="36">
        <v>34.6</v>
      </c>
      <c r="L9" s="1" t="s">
        <v>172</v>
      </c>
      <c r="M9">
        <v>0.90900000000000003</v>
      </c>
      <c r="O9" s="1" t="s">
        <v>167</v>
      </c>
      <c r="P9">
        <v>0.998</v>
      </c>
      <c r="Q9" s="1" t="s">
        <v>251</v>
      </c>
      <c r="R9">
        <v>0.91</v>
      </c>
      <c r="AH9" s="160" t="s">
        <v>174</v>
      </c>
      <c r="AI9" s="160"/>
      <c r="AJ9" s="160"/>
      <c r="AK9" s="160"/>
      <c r="AL9" s="160"/>
      <c r="AM9" s="160"/>
      <c r="AN9" s="160"/>
      <c r="AQ9" s="160" t="s">
        <v>477</v>
      </c>
      <c r="AR9" s="160"/>
      <c r="AS9" s="160"/>
      <c r="AT9" s="160"/>
      <c r="AU9" s="160"/>
      <c r="AV9" s="160"/>
      <c r="AW9" s="160"/>
      <c r="AZ9" s="160" t="s">
        <v>485</v>
      </c>
      <c r="BA9" s="160"/>
      <c r="BB9" s="160"/>
      <c r="BC9" s="160"/>
      <c r="BD9" s="160"/>
      <c r="BE9" s="160"/>
      <c r="BF9" s="160"/>
    </row>
    <row r="10" spans="2:76" x14ac:dyDescent="0.35">
      <c r="B10" s="35" t="s">
        <v>171</v>
      </c>
      <c r="C10" s="36">
        <v>27.52</v>
      </c>
      <c r="D10" s="36">
        <v>26.75</v>
      </c>
      <c r="E10" s="36">
        <v>27.58</v>
      </c>
      <c r="F10" s="36">
        <v>29.92</v>
      </c>
      <c r="G10" s="36">
        <v>27.2</v>
      </c>
      <c r="H10" s="36">
        <v>33.26</v>
      </c>
      <c r="I10" s="36">
        <v>26.75</v>
      </c>
      <c r="J10" s="36">
        <v>32.36</v>
      </c>
      <c r="L10" s="1" t="s">
        <v>166</v>
      </c>
      <c r="M10">
        <v>1</v>
      </c>
      <c r="O10" s="1" t="s">
        <v>249</v>
      </c>
      <c r="P10">
        <v>1.107</v>
      </c>
      <c r="W10" s="160" t="s">
        <v>173</v>
      </c>
      <c r="X10" s="160"/>
      <c r="Y10" s="160"/>
      <c r="Z10" s="160"/>
      <c r="AA10" s="160"/>
      <c r="AB10" s="160"/>
      <c r="AC10" s="160"/>
      <c r="AD10" s="160"/>
      <c r="AE10" s="160"/>
      <c r="AH10" s="27" t="s">
        <v>185</v>
      </c>
      <c r="AZ10" s="1" t="s">
        <v>175</v>
      </c>
      <c r="BI10" s="1" t="s">
        <v>170</v>
      </c>
      <c r="BQ10" s="147" t="s">
        <v>168</v>
      </c>
      <c r="BR10" t="s">
        <v>170</v>
      </c>
    </row>
    <row r="11" spans="2:76" x14ac:dyDescent="0.35">
      <c r="B11" s="35" t="s">
        <v>171</v>
      </c>
      <c r="C11" s="36">
        <v>27.14</v>
      </c>
      <c r="D11" s="36">
        <v>25.32</v>
      </c>
      <c r="E11" s="36">
        <v>27.61</v>
      </c>
      <c r="F11" s="36">
        <v>29.58</v>
      </c>
      <c r="G11" s="36">
        <v>26.6</v>
      </c>
      <c r="H11" s="36">
        <v>33.33</v>
      </c>
      <c r="I11" s="36">
        <v>26.5</v>
      </c>
      <c r="J11" s="36">
        <v>31.05</v>
      </c>
      <c r="L11" s="1" t="s">
        <v>168</v>
      </c>
      <c r="M11">
        <v>1.0049999999999999</v>
      </c>
      <c r="O11" s="1" t="s">
        <v>252</v>
      </c>
      <c r="P11">
        <v>1.0900000000000001</v>
      </c>
      <c r="W11" s="1" t="s">
        <v>183</v>
      </c>
      <c r="X11" s="1" t="s">
        <v>184</v>
      </c>
      <c r="Y11" s="1" t="s">
        <v>166</v>
      </c>
      <c r="Z11" s="1" t="s">
        <v>167</v>
      </c>
      <c r="AA11" s="1" t="s">
        <v>168</v>
      </c>
      <c r="AB11" s="27" t="s">
        <v>247</v>
      </c>
      <c r="AC11" s="27" t="s">
        <v>248</v>
      </c>
      <c r="AD11" s="27" t="s">
        <v>249</v>
      </c>
      <c r="AE11" s="27" t="s">
        <v>250</v>
      </c>
      <c r="AH11" s="1" t="s">
        <v>183</v>
      </c>
      <c r="AI11" s="1" t="s">
        <v>167</v>
      </c>
      <c r="AJ11" s="1" t="s">
        <v>168</v>
      </c>
      <c r="AK11" s="27" t="s">
        <v>247</v>
      </c>
      <c r="AL11" s="27" t="s">
        <v>248</v>
      </c>
      <c r="AM11" s="27" t="s">
        <v>249</v>
      </c>
      <c r="AN11" s="27" t="s">
        <v>250</v>
      </c>
      <c r="AQ11" s="1" t="s">
        <v>183</v>
      </c>
      <c r="AR11" s="1" t="s">
        <v>167</v>
      </c>
      <c r="AS11" s="1" t="s">
        <v>168</v>
      </c>
      <c r="AT11" s="27" t="s">
        <v>247</v>
      </c>
      <c r="AU11" s="27" t="s">
        <v>248</v>
      </c>
      <c r="AV11" s="27" t="s">
        <v>249</v>
      </c>
      <c r="AW11" s="27" t="s">
        <v>250</v>
      </c>
      <c r="AZ11" s="1" t="s">
        <v>183</v>
      </c>
      <c r="BA11" s="1" t="s">
        <v>167</v>
      </c>
      <c r="BB11" s="1" t="s">
        <v>168</v>
      </c>
      <c r="BC11" s="27" t="s">
        <v>247</v>
      </c>
      <c r="BD11" s="27" t="s">
        <v>248</v>
      </c>
      <c r="BE11" s="27" t="s">
        <v>249</v>
      </c>
      <c r="BF11" s="27" t="s">
        <v>250</v>
      </c>
      <c r="BH11" s="147" t="s">
        <v>167</v>
      </c>
      <c r="BI11" s="1" t="s">
        <v>176</v>
      </c>
      <c r="BJ11" s="27" t="s">
        <v>177</v>
      </c>
      <c r="BK11" s="27" t="s">
        <v>178</v>
      </c>
      <c r="BL11" s="27" t="s">
        <v>179</v>
      </c>
      <c r="BM11" s="37" t="s">
        <v>180</v>
      </c>
      <c r="BN11" s="27" t="s">
        <v>181</v>
      </c>
      <c r="BO11" s="27" t="s">
        <v>182</v>
      </c>
      <c r="BQ11" s="147"/>
      <c r="BR11" s="1" t="s">
        <v>176</v>
      </c>
      <c r="BS11" s="27" t="s">
        <v>177</v>
      </c>
      <c r="BT11" s="27" t="s">
        <v>178</v>
      </c>
      <c r="BU11" s="27" t="s">
        <v>179</v>
      </c>
      <c r="BV11" s="37" t="s">
        <v>180</v>
      </c>
      <c r="BW11" s="27" t="s">
        <v>181</v>
      </c>
      <c r="BX11" s="27" t="s">
        <v>182</v>
      </c>
    </row>
    <row r="12" spans="2:76" x14ac:dyDescent="0.35">
      <c r="B12" s="35" t="s">
        <v>187</v>
      </c>
      <c r="C12" s="36">
        <v>29.38</v>
      </c>
      <c r="D12" s="36">
        <v>31.39</v>
      </c>
      <c r="E12" s="36">
        <v>26.46</v>
      </c>
      <c r="F12" s="36">
        <v>30.66</v>
      </c>
      <c r="G12" s="36">
        <v>24.88</v>
      </c>
      <c r="H12" t="s">
        <v>193</v>
      </c>
      <c r="I12" s="36">
        <v>26.22</v>
      </c>
      <c r="J12" s="36">
        <v>36.409999999999997</v>
      </c>
      <c r="L12" s="1" t="s">
        <v>184</v>
      </c>
      <c r="M12">
        <v>0.90600000000000003</v>
      </c>
      <c r="O12" s="1" t="s">
        <v>253</v>
      </c>
      <c r="P12">
        <v>1.0009999999999999</v>
      </c>
      <c r="W12" s="35" t="s">
        <v>171</v>
      </c>
      <c r="X12" s="38">
        <f>AVERAGE(M16:M18)</f>
        <v>26.092569263709848</v>
      </c>
      <c r="Y12" s="38">
        <f>AVERAGE(N17:N18)</f>
        <v>26.035</v>
      </c>
      <c r="Z12" s="38">
        <f t="shared" ref="Z12:AE12" si="0">AVERAGE(O16:O18)</f>
        <v>27.51356238718439</v>
      </c>
      <c r="AA12" s="38">
        <f t="shared" si="0"/>
        <v>30.124793804350535</v>
      </c>
      <c r="AB12" s="38">
        <f t="shared" si="0"/>
        <v>25.306042314462157</v>
      </c>
      <c r="AC12" s="38">
        <f t="shared" si="0"/>
        <v>36.318625479755291</v>
      </c>
      <c r="AD12" s="38">
        <f t="shared" si="0"/>
        <v>28.761340903652115</v>
      </c>
      <c r="AE12" s="38">
        <f t="shared" si="0"/>
        <v>32.693560533850174</v>
      </c>
      <c r="AH12" s="35" t="s">
        <v>171</v>
      </c>
      <c r="AI12" s="38">
        <f t="shared" ref="AI12:AI26" si="1">Z12-Y12</f>
        <v>1.4785623871843896</v>
      </c>
      <c r="AJ12" s="38">
        <f t="shared" ref="AJ12:AJ26" si="2">AA12-$Y12</f>
        <v>4.0897938043505349</v>
      </c>
      <c r="AK12" s="38">
        <f t="shared" ref="AK12:AK26" si="3">AB12-$Y12</f>
        <v>-0.72895768553784279</v>
      </c>
      <c r="AL12" s="38">
        <f t="shared" ref="AL12:AL26" si="4">AC12-$Y12</f>
        <v>10.28362547975529</v>
      </c>
      <c r="AM12" s="38">
        <f t="shared" ref="AM12:AM26" si="5">AD12-$Y12</f>
        <v>2.7263409036521153</v>
      </c>
      <c r="AN12" s="38">
        <f t="shared" ref="AN12:AN26" si="6">AE12-$Y12</f>
        <v>6.6585605338501743</v>
      </c>
      <c r="AQ12" s="35" t="s">
        <v>171</v>
      </c>
      <c r="AR12" s="36">
        <f t="shared" ref="AR12:AR26" si="7">POWER(2,-AI12)</f>
        <v>0.35884621599952871</v>
      </c>
      <c r="AS12" s="36">
        <f t="shared" ref="AS12:AS26" si="8">POWER(2,-AJ12)</f>
        <v>5.8728564943558083E-2</v>
      </c>
      <c r="AT12" s="36">
        <f t="shared" ref="AT12:AT26" si="9">POWER(2,-AK12)</f>
        <v>1.6574411952639567</v>
      </c>
      <c r="AU12" s="36">
        <f t="shared" ref="AU12:AU26" si="10">POWER(2,-AL12)</f>
        <v>8.0226947144348536E-4</v>
      </c>
      <c r="AV12" s="36">
        <f t="shared" ref="AV12:AV26" si="11">POWER(2,-AM12)</f>
        <v>0.15110874880603131</v>
      </c>
      <c r="AW12" s="36">
        <f t="shared" ref="AW12:AW26" si="12">POWER(2,-AN12)</f>
        <v>9.8985949057556876E-3</v>
      </c>
      <c r="AZ12" s="35" t="s">
        <v>171</v>
      </c>
      <c r="BA12" s="36">
        <f t="shared" ref="BA12:BF12" si="13">AVERAGEA(AR12:AR14)</f>
        <v>0.44957170428076837</v>
      </c>
      <c r="BB12" s="36">
        <f t="shared" si="13"/>
        <v>6.8351435847845685E-2</v>
      </c>
      <c r="BC12" s="36">
        <f t="shared" si="13"/>
        <v>3.0226230600990944</v>
      </c>
      <c r="BD12" s="36">
        <f t="shared" si="13"/>
        <v>4.1158643232313397E-4</v>
      </c>
      <c r="BE12" s="36">
        <f t="shared" si="13"/>
        <v>0.17182692660769261</v>
      </c>
      <c r="BF12" s="36">
        <f t="shared" si="13"/>
        <v>7.4728991982458588E-3</v>
      </c>
      <c r="BH12" s="147"/>
      <c r="BI12" s="35" t="s">
        <v>171</v>
      </c>
      <c r="BJ12" s="36">
        <f>STDEV(AR12:AR14)</f>
        <v>0.16520862907755726</v>
      </c>
      <c r="BK12" s="36">
        <f>BA12-CONFIDENCE(0.05,BJ12,3)</f>
        <v>0.26262397647032276</v>
      </c>
      <c r="BL12" s="36">
        <f>BA12+CONFIDENCE(0.05,BJ12,3)</f>
        <v>0.63651943209121398</v>
      </c>
      <c r="BM12" s="125">
        <f>BA12/BA16</f>
        <v>4.3535387007946049</v>
      </c>
      <c r="BN12" s="36">
        <f>BK12/BA15</f>
        <v>0.97599990999228381</v>
      </c>
      <c r="BO12" s="36">
        <f>BL12/BA15</f>
        <v>2.3655224354565609</v>
      </c>
      <c r="BQ12" s="147"/>
      <c r="BR12" s="35" t="s">
        <v>171</v>
      </c>
      <c r="BS12" s="36">
        <f>STDEV(AS12:AS14)</f>
        <v>1.2309606286920153E-2</v>
      </c>
      <c r="BT12" s="36">
        <f>BB12-CONFIDENCE(0.05,BS12,3)</f>
        <v>5.4422060981472488E-2</v>
      </c>
      <c r="BU12" s="36">
        <f>BB12+CONFIDENCE(0.05,BS12,3)</f>
        <v>8.2280810714218888E-2</v>
      </c>
      <c r="BV12" s="125">
        <f>BB12/BB16</f>
        <v>2.0281744498252463</v>
      </c>
      <c r="BW12" s="36">
        <f>BT12/BB15</f>
        <v>0.63327249958248466</v>
      </c>
      <c r="BX12" s="36">
        <f>BU12/BB15</f>
        <v>0.95744581754090063</v>
      </c>
    </row>
    <row r="13" spans="2:76" x14ac:dyDescent="0.35">
      <c r="B13" s="35" t="s">
        <v>187</v>
      </c>
      <c r="C13" s="36">
        <v>26.88</v>
      </c>
      <c r="D13" s="36">
        <v>27.08</v>
      </c>
      <c r="E13" s="36">
        <v>26.58</v>
      </c>
      <c r="F13" s="36">
        <v>29.26</v>
      </c>
      <c r="G13" s="36">
        <v>25.15</v>
      </c>
      <c r="H13" s="36">
        <v>35.68</v>
      </c>
      <c r="I13" s="36">
        <v>26.3</v>
      </c>
      <c r="J13" s="36">
        <v>34.020000000000003</v>
      </c>
      <c r="W13" s="35" t="s">
        <v>187</v>
      </c>
      <c r="X13" s="38">
        <f>AVERAGE(M19:M20)</f>
        <v>26.176318594442151</v>
      </c>
      <c r="Y13" s="38">
        <f>AVERAGE(N20,N21)</f>
        <v>25.924999999999997</v>
      </c>
      <c r="Z13" s="38">
        <f>AVERAGE(O19:O21)</f>
        <v>26.568262155154343</v>
      </c>
      <c r="AA13" s="38">
        <f>AVERAGE(P19:P21)</f>
        <v>29.529323143920291</v>
      </c>
      <c r="AB13" s="38">
        <f>AVERAGE(Q19:Q21)</f>
        <v>23.389106497232849</v>
      </c>
      <c r="AC13" s="38">
        <f>AVERAGE(R20:R21)</f>
        <v>37.461891142734416</v>
      </c>
      <c r="AD13" s="38">
        <f>AVERAGE(S19:S21)</f>
        <v>28.338432713417731</v>
      </c>
      <c r="AE13" s="38">
        <f>AVERAGE(T19:T21)</f>
        <v>33.544173526007285</v>
      </c>
      <c r="AH13" s="35" t="s">
        <v>187</v>
      </c>
      <c r="AI13" s="38">
        <f t="shared" si="1"/>
        <v>0.64326215515434626</v>
      </c>
      <c r="AJ13" s="38">
        <f t="shared" si="2"/>
        <v>3.6043231439202934</v>
      </c>
      <c r="AK13" s="38">
        <f t="shared" si="3"/>
        <v>-2.5358935027671485</v>
      </c>
      <c r="AL13" s="38">
        <f t="shared" si="4"/>
        <v>11.536891142734419</v>
      </c>
      <c r="AM13" s="38">
        <f t="shared" si="5"/>
        <v>2.413432713417734</v>
      </c>
      <c r="AN13" s="38">
        <f t="shared" si="6"/>
        <v>7.6191735260072875</v>
      </c>
      <c r="AQ13" s="35" t="s">
        <v>187</v>
      </c>
      <c r="AR13" s="36">
        <f t="shared" si="7"/>
        <v>0.64026357645078191</v>
      </c>
      <c r="AS13" s="36">
        <f t="shared" si="8"/>
        <v>8.2222489040741309E-2</v>
      </c>
      <c r="AT13" s="36">
        <f t="shared" si="9"/>
        <v>5.7993592171269537</v>
      </c>
      <c r="AU13" s="36">
        <f t="shared" si="10"/>
        <v>3.3655008867897949E-4</v>
      </c>
      <c r="AV13" s="36">
        <f t="shared" si="11"/>
        <v>0.18770868219166045</v>
      </c>
      <c r="AW13" s="36">
        <f t="shared" si="12"/>
        <v>5.0862795557731792E-3</v>
      </c>
      <c r="AZ13" s="39" t="s">
        <v>186</v>
      </c>
      <c r="BA13" s="40">
        <f t="shared" ref="BA13:BF13" si="14">AVERAGEA(AR15:AR17)</f>
        <v>1.3668796767010098</v>
      </c>
      <c r="BB13" s="40">
        <f t="shared" si="14"/>
        <v>0.44319393777109833</v>
      </c>
      <c r="BC13" s="40">
        <f t="shared" si="14"/>
        <v>2.0477872236035828</v>
      </c>
      <c r="BD13" s="40">
        <f t="shared" si="14"/>
        <v>1.2196078530358498E-3</v>
      </c>
      <c r="BE13" s="40">
        <f t="shared" si="14"/>
        <v>0.16172480054093513</v>
      </c>
      <c r="BF13" s="40">
        <f t="shared" si="14"/>
        <v>3.5131304759582489E-2</v>
      </c>
      <c r="BH13" s="147"/>
      <c r="BI13" s="39" t="s">
        <v>186</v>
      </c>
      <c r="BJ13" s="40">
        <f>STDEV(AR15:AR17)</f>
        <v>0.38476511412414344</v>
      </c>
      <c r="BK13" s="40">
        <f>BA13-CONFIDENCE(0.05,BJ13,3)</f>
        <v>0.93148496258793911</v>
      </c>
      <c r="BL13" s="40">
        <f>BA13+CONFIDENCE(0.05,BJ13,3)</f>
        <v>1.8022743908140806</v>
      </c>
      <c r="BM13" s="125">
        <f>BA13/BA16</f>
        <v>13.236517145507603</v>
      </c>
      <c r="BN13" s="40">
        <f>BK13/BA15</f>
        <v>3.4617145466447106</v>
      </c>
      <c r="BO13" s="40">
        <f>BL13/BA15</f>
        <v>6.6978638693132231</v>
      </c>
      <c r="BQ13" s="147"/>
      <c r="BR13" s="39" t="s">
        <v>186</v>
      </c>
      <c r="BS13" s="40">
        <f>STDEV(AS15:AS17)</f>
        <v>3.1296566997798508E-2</v>
      </c>
      <c r="BT13" s="40">
        <f>BB13-CONFIDENCE(0.05,BS13,3)</f>
        <v>0.40777918903083044</v>
      </c>
      <c r="BU13" s="40">
        <f>BB13+CONFIDENCE(0.05,BS13,3)</f>
        <v>0.47860868651136623</v>
      </c>
      <c r="BV13" s="125">
        <f>BB13/BB16</f>
        <v>13.150778908371867</v>
      </c>
      <c r="BW13" s="40">
        <f>BT13/BB15</f>
        <v>4.7450490050934757</v>
      </c>
      <c r="BX13" s="40">
        <f>BU13/BB15</f>
        <v>5.569243681016177</v>
      </c>
    </row>
    <row r="14" spans="2:76" x14ac:dyDescent="0.35">
      <c r="B14" s="35" t="s">
        <v>187</v>
      </c>
      <c r="C14" s="36">
        <v>25.9</v>
      </c>
      <c r="D14" s="36">
        <v>24.77</v>
      </c>
      <c r="E14" s="36">
        <v>26.78</v>
      </c>
      <c r="F14" s="36">
        <v>28.35</v>
      </c>
      <c r="G14" s="36">
        <v>25.13</v>
      </c>
      <c r="H14" s="36">
        <v>34.770000000000003</v>
      </c>
      <c r="I14" s="36">
        <v>26.55</v>
      </c>
      <c r="J14" s="36">
        <v>30.13</v>
      </c>
      <c r="L14" s="160" t="s">
        <v>189</v>
      </c>
      <c r="M14" s="160"/>
      <c r="N14" s="160"/>
      <c r="O14" s="160"/>
      <c r="P14" s="160"/>
      <c r="Q14" s="160"/>
      <c r="R14" s="160"/>
      <c r="S14" s="160"/>
      <c r="T14" s="160"/>
      <c r="W14" s="35" t="s">
        <v>188</v>
      </c>
      <c r="X14" s="38">
        <f>AVERAGE(M22:M23)</f>
        <v>28.707409478796322</v>
      </c>
      <c r="Y14" s="38">
        <f>AVERAGE(N23:N24)</f>
        <v>25.324999999999999</v>
      </c>
      <c r="Z14" s="38">
        <f t="shared" ref="Z14:AE14" si="15">AVERAGE(O22:O24)</f>
        <v>26.8412009545433</v>
      </c>
      <c r="AA14" s="38">
        <f t="shared" si="15"/>
        <v>29.28845860711704</v>
      </c>
      <c r="AB14" s="38">
        <f t="shared" si="15"/>
        <v>24.636981923708422</v>
      </c>
      <c r="AC14" s="38">
        <f t="shared" si="15"/>
        <v>38.67251199205959</v>
      </c>
      <c r="AD14" s="38">
        <f t="shared" si="15"/>
        <v>27.825925330337075</v>
      </c>
      <c r="AE14" s="38">
        <f t="shared" si="15"/>
        <v>32.396679920901228</v>
      </c>
      <c r="AH14" s="35" t="s">
        <v>188</v>
      </c>
      <c r="AI14" s="38">
        <f t="shared" si="1"/>
        <v>1.5162009545433008</v>
      </c>
      <c r="AJ14" s="38">
        <f t="shared" si="2"/>
        <v>3.9634586071170403</v>
      </c>
      <c r="AK14" s="38">
        <f t="shared" si="3"/>
        <v>-0.68801807629157707</v>
      </c>
      <c r="AL14" s="38">
        <f t="shared" si="4"/>
        <v>13.347511992059591</v>
      </c>
      <c r="AM14" s="38">
        <f t="shared" si="5"/>
        <v>2.5009253303370755</v>
      </c>
      <c r="AN14" s="38">
        <f t="shared" si="6"/>
        <v>7.0716799209012287</v>
      </c>
      <c r="AQ14" s="35" t="s">
        <v>188</v>
      </c>
      <c r="AR14" s="36">
        <f t="shared" si="7"/>
        <v>0.34960532039199455</v>
      </c>
      <c r="AS14" s="36">
        <f t="shared" si="8"/>
        <v>6.4103253559237655E-2</v>
      </c>
      <c r="AT14" s="36">
        <f t="shared" si="9"/>
        <v>1.6110687679063731</v>
      </c>
      <c r="AU14" s="36">
        <f t="shared" si="10"/>
        <v>9.5939736846937108E-5</v>
      </c>
      <c r="AV14" s="36">
        <f t="shared" si="11"/>
        <v>0.17666334882538609</v>
      </c>
      <c r="AW14" s="36">
        <f t="shared" si="12"/>
        <v>7.4338231332087105E-3</v>
      </c>
      <c r="AZ14" s="41" t="s">
        <v>492</v>
      </c>
      <c r="BA14" s="42">
        <f t="shared" ref="BA14:BF14" si="16">AVERAGEA(AR18:AR20)</f>
        <v>0.28828965632602166</v>
      </c>
      <c r="BB14" s="42">
        <f t="shared" si="16"/>
        <v>9.4389936631420993E-2</v>
      </c>
      <c r="BC14" s="42">
        <f t="shared" si="16"/>
        <v>1.4780266761474554</v>
      </c>
      <c r="BD14" s="42">
        <f t="shared" si="16"/>
        <v>1.0096140390785356E-3</v>
      </c>
      <c r="BE14" s="42">
        <f t="shared" si="16"/>
        <v>9.8316769452304373E-2</v>
      </c>
      <c r="BF14" s="42">
        <f t="shared" si="16"/>
        <v>3.2303336881209781E-2</v>
      </c>
      <c r="BH14" s="147"/>
      <c r="BI14" s="41" t="s">
        <v>492</v>
      </c>
      <c r="BJ14" s="42">
        <f>STDEV(AR18:AR20)</f>
        <v>7.0678321471660227E-2</v>
      </c>
      <c r="BK14" s="42">
        <f>BA14-CONFIDENCE(0.05,BJ14,3)</f>
        <v>0.20831107604024141</v>
      </c>
      <c r="BL14" s="42">
        <f>BA14+CONFIDENCE(0.05,BJ14,3)</f>
        <v>0.36826823661180191</v>
      </c>
      <c r="BM14" s="125">
        <f>BA14/BA16</f>
        <v>2.791724131886832</v>
      </c>
      <c r="BN14" s="42">
        <f>BK14/BA15</f>
        <v>0.77415472188863987</v>
      </c>
      <c r="BO14" s="42">
        <f>BL14/BA15</f>
        <v>1.3686098680588379</v>
      </c>
      <c r="BQ14" s="147"/>
      <c r="BR14" s="41" t="s">
        <v>492</v>
      </c>
      <c r="BS14" s="42">
        <f>STDEV(AS18:AS20)</f>
        <v>1.6360200732681872E-2</v>
      </c>
      <c r="BT14" s="42">
        <f>BB14-CONFIDENCE(0.05,BS14,3)</f>
        <v>7.5876966875695659E-2</v>
      </c>
      <c r="BU14" s="42">
        <f>BB14+CONFIDENCE(0.05,BS14,3)</f>
        <v>0.11290290638714633</v>
      </c>
      <c r="BV14" s="125">
        <f>BB14/BB16</f>
        <v>2.8008081384365822</v>
      </c>
      <c r="BW14" s="42">
        <f>BT14/BB15</f>
        <v>0.8829286434129654</v>
      </c>
      <c r="BX14" s="42">
        <f>BU14/BB15</f>
        <v>1.3137743122638519</v>
      </c>
    </row>
    <row r="15" spans="2:76" x14ac:dyDescent="0.35">
      <c r="B15" s="35" t="s">
        <v>188</v>
      </c>
      <c r="C15" s="36">
        <v>32.28</v>
      </c>
      <c r="D15" s="36">
        <v>29.26</v>
      </c>
      <c r="E15" s="36">
        <v>26.97</v>
      </c>
      <c r="F15" s="36">
        <v>29.98</v>
      </c>
      <c r="G15" s="36">
        <v>26.88</v>
      </c>
      <c r="H15" s="36">
        <v>38.71</v>
      </c>
      <c r="I15" s="36">
        <v>26.12</v>
      </c>
      <c r="J15" s="36">
        <v>34.71</v>
      </c>
      <c r="L15" s="1" t="s">
        <v>164</v>
      </c>
      <c r="M15" s="1" t="s">
        <v>165</v>
      </c>
      <c r="N15" s="1" t="s">
        <v>166</v>
      </c>
      <c r="O15" s="1" t="s">
        <v>167</v>
      </c>
      <c r="P15" s="1" t="s">
        <v>168</v>
      </c>
      <c r="Q15" s="27" t="s">
        <v>247</v>
      </c>
      <c r="R15" s="27" t="s">
        <v>248</v>
      </c>
      <c r="S15" s="27" t="s">
        <v>249</v>
      </c>
      <c r="T15" s="27" t="s">
        <v>250</v>
      </c>
      <c r="W15" s="39" t="s">
        <v>186</v>
      </c>
      <c r="X15" s="40">
        <f t="shared" ref="X15:AE15" si="17">AVERAGE(M25:M27)</f>
        <v>26.055347338939935</v>
      </c>
      <c r="Y15" s="40">
        <f>AVERAGE(N26:N27)</f>
        <v>26.225000000000001</v>
      </c>
      <c r="Z15" s="40">
        <f t="shared" si="17"/>
        <v>26.27868074604655</v>
      </c>
      <c r="AA15" s="40">
        <f t="shared" si="17"/>
        <v>27.502046625826292</v>
      </c>
      <c r="AB15" s="40">
        <f t="shared" si="17"/>
        <v>24.89838226242151</v>
      </c>
      <c r="AC15" s="40">
        <f t="shared" si="17"/>
        <v>36.75111667629313</v>
      </c>
      <c r="AD15" s="40">
        <f t="shared" si="17"/>
        <v>29.295352093015875</v>
      </c>
      <c r="AE15" s="40">
        <f t="shared" si="17"/>
        <v>31.042370607898146</v>
      </c>
      <c r="AH15" s="39" t="s">
        <v>186</v>
      </c>
      <c r="AI15" s="40">
        <f t="shared" si="1"/>
        <v>5.3680746046548933E-2</v>
      </c>
      <c r="AJ15" s="40">
        <f t="shared" si="2"/>
        <v>1.2770466258262907</v>
      </c>
      <c r="AK15" s="40">
        <f t="shared" si="3"/>
        <v>-1.3266177375784913</v>
      </c>
      <c r="AL15" s="40">
        <f t="shared" si="4"/>
        <v>10.526116676293128</v>
      </c>
      <c r="AM15" s="40">
        <f t="shared" si="5"/>
        <v>3.0703520930158739</v>
      </c>
      <c r="AN15" s="40">
        <f t="shared" si="6"/>
        <v>4.8173706078981446</v>
      </c>
      <c r="AQ15" s="39" t="s">
        <v>186</v>
      </c>
      <c r="AR15" s="40">
        <f t="shared" si="7"/>
        <v>0.9634750778100597</v>
      </c>
      <c r="AS15" s="40">
        <f t="shared" si="8"/>
        <v>0.41263936813063601</v>
      </c>
      <c r="AT15" s="40">
        <f t="shared" si="9"/>
        <v>2.5081397539490058</v>
      </c>
      <c r="AU15" s="40">
        <f t="shared" si="10"/>
        <v>6.7814590340177158E-4</v>
      </c>
      <c r="AV15" s="40">
        <f t="shared" si="11"/>
        <v>0.11905069161691069</v>
      </c>
      <c r="AW15" s="40">
        <f t="shared" si="12"/>
        <v>3.5467203500074866E-2</v>
      </c>
      <c r="AZ15" s="43" t="s">
        <v>495</v>
      </c>
      <c r="BA15" s="44">
        <f t="shared" ref="BA15:BF15" si="18">AVERAGEA(AR21:AR23)</f>
        <v>0.26908196791985262</v>
      </c>
      <c r="BB15" s="44">
        <f t="shared" si="18"/>
        <v>8.5937824581602471E-2</v>
      </c>
      <c r="BC15" s="44">
        <f t="shared" si="18"/>
        <v>1.2571901629427293</v>
      </c>
      <c r="BD15" s="44">
        <f t="shared" si="18"/>
        <v>5.262058143798489E-4</v>
      </c>
      <c r="BE15" s="44">
        <f t="shared" si="18"/>
        <v>0.11311116494982575</v>
      </c>
      <c r="BF15" s="44">
        <f t="shared" si="18"/>
        <v>4.925477771067132E-2</v>
      </c>
      <c r="BH15" s="147"/>
      <c r="BI15" s="43" t="s">
        <v>495</v>
      </c>
      <c r="BJ15" s="44">
        <f>STDEV(AR21:AR23)</f>
        <v>0.10159023915533801</v>
      </c>
      <c r="BK15" s="44">
        <f>BA15-CONFIDENCE(0.05,BJ15,3)</f>
        <v>0.15412390257028563</v>
      </c>
      <c r="BL15" s="44">
        <f>BA15+CONFIDENCE(0.05,BJ15,3)</f>
        <v>0.3840400332694196</v>
      </c>
      <c r="BM15" s="125">
        <f>BA15/BA16</f>
        <v>2.6057217344209156</v>
      </c>
      <c r="BN15" s="44">
        <f>BK15/BA15</f>
        <v>0.57277677787830139</v>
      </c>
      <c r="BO15" s="44">
        <f>BL15/BA15</f>
        <v>1.4272232221216987</v>
      </c>
      <c r="BQ15" s="147"/>
      <c r="BR15" s="43" t="s">
        <v>495</v>
      </c>
      <c r="BS15" s="44">
        <f>STDEV(AS21:AS23)</f>
        <v>3.416486433053418E-2</v>
      </c>
      <c r="BT15" s="44">
        <f>BB15-CONFIDENCE(0.05,BS15,3)</f>
        <v>4.7277351498522142E-2</v>
      </c>
      <c r="BU15" s="44">
        <f>BB15+CONFIDENCE(0.05,BS15,3)</f>
        <v>0.12459829766468281</v>
      </c>
      <c r="BV15" s="125">
        <f>BB15/BB16</f>
        <v>2.5500108070584688</v>
      </c>
      <c r="BW15" s="44">
        <f>BT15/BB15</f>
        <v>0.55013437597119785</v>
      </c>
      <c r="BX15" s="44">
        <f>BU15/BB15</f>
        <v>1.4498656240288021</v>
      </c>
    </row>
    <row r="16" spans="2:76" x14ac:dyDescent="0.35">
      <c r="B16" s="35" t="s">
        <v>188</v>
      </c>
      <c r="C16" s="36">
        <v>29.42</v>
      </c>
      <c r="D16" s="36">
        <v>26.04</v>
      </c>
      <c r="E16" s="36">
        <v>26.97</v>
      </c>
      <c r="F16" s="36">
        <v>29.1</v>
      </c>
      <c r="G16" s="36">
        <v>26.38</v>
      </c>
      <c r="H16" s="36">
        <v>36.159999999999997</v>
      </c>
      <c r="I16" s="36">
        <v>25.92</v>
      </c>
      <c r="J16" s="36">
        <v>31.83</v>
      </c>
      <c r="L16" s="35" t="s">
        <v>171</v>
      </c>
      <c r="M16" s="36">
        <f>C9*(((LOG(1.906)/LOG(2))))</f>
        <v>27.413947593041801</v>
      </c>
      <c r="N16" s="36">
        <f t="shared" ref="N16:N60" si="19">D9*((LOG(2)/LOG(2)))</f>
        <v>29.29</v>
      </c>
      <c r="O16" s="36">
        <f t="shared" ref="O16:O60" si="20">E9*((LOG(1.998)/LOG(2)))</f>
        <v>27.430349338590197</v>
      </c>
      <c r="P16" s="36">
        <f t="shared" ref="P16:P60" si="21">F9*((LOG(2.005)/LOG(2)))</f>
        <v>30.660048330579976</v>
      </c>
      <c r="Q16" s="36">
        <f>G9*((LOG(1.91)/LOG(2)))</f>
        <v>25.691919004943379</v>
      </c>
      <c r="R16" s="36">
        <f>H9*((LOG(2.09)/LOG(2)))</f>
        <v>38.137215511098823</v>
      </c>
      <c r="S16" s="36">
        <f>I9*((LOG(2.107)/LOG(2)))</f>
        <v>29.030138482190921</v>
      </c>
      <c r="T16" s="36">
        <f>J9*((LOG(2.001)/LOG(2)))</f>
        <v>34.624952386630433</v>
      </c>
      <c r="W16" s="39" t="s">
        <v>191</v>
      </c>
      <c r="X16" s="40">
        <f>AVERAGE(M28:M29)</f>
        <v>26.529926879756339</v>
      </c>
      <c r="Y16" s="40">
        <f>AVERAGE(N29:N30)</f>
        <v>26.774999999999999</v>
      </c>
      <c r="Z16" s="40">
        <f>AVERAGE(O28:O30)</f>
        <v>26.282009267990318</v>
      </c>
      <c r="AA16" s="40">
        <f>AVERAGE(P28:P30)</f>
        <v>27.953667632332383</v>
      </c>
      <c r="AB16" s="40">
        <f>AVERAGE(Q28:Q30)</f>
        <v>25.663911825795552</v>
      </c>
      <c r="AC16" s="40">
        <f>AVERAGE(R28:R29)</f>
        <v>38.881667570713134</v>
      </c>
      <c r="AD16" s="40">
        <f>AVERAGE(S28:S30)</f>
        <v>28.858108031926083</v>
      </c>
      <c r="AE16" s="40">
        <f>AVERAGE(T28:T30)</f>
        <v>31.506038082054374</v>
      </c>
      <c r="AH16" s="39" t="s">
        <v>191</v>
      </c>
      <c r="AI16" s="40">
        <f t="shared" si="1"/>
        <v>-0.49299073200968024</v>
      </c>
      <c r="AJ16" s="40">
        <f t="shared" si="2"/>
        <v>1.1786676323323846</v>
      </c>
      <c r="AK16" s="40">
        <f t="shared" si="3"/>
        <v>-1.1110881742044469</v>
      </c>
      <c r="AL16" s="40">
        <f t="shared" si="4"/>
        <v>12.106667570713135</v>
      </c>
      <c r="AM16" s="40">
        <f t="shared" si="5"/>
        <v>2.0831080319260842</v>
      </c>
      <c r="AN16" s="40">
        <f t="shared" si="6"/>
        <v>4.7310380820543756</v>
      </c>
      <c r="AQ16" s="39" t="s">
        <v>191</v>
      </c>
      <c r="AR16" s="40">
        <f t="shared" si="7"/>
        <v>1.4073593343054918</v>
      </c>
      <c r="AS16" s="40">
        <f t="shared" si="8"/>
        <v>0.44175928639553541</v>
      </c>
      <c r="AT16" s="40">
        <f t="shared" si="9"/>
        <v>2.1600851350693593</v>
      </c>
      <c r="AU16" s="40">
        <f t="shared" si="10"/>
        <v>2.2674092481958592E-4</v>
      </c>
      <c r="AV16" s="40">
        <f t="shared" si="11"/>
        <v>0.23600543156124668</v>
      </c>
      <c r="AW16" s="40">
        <f t="shared" si="12"/>
        <v>3.7654390887521177E-2</v>
      </c>
      <c r="AZ16" s="45" t="s">
        <v>190</v>
      </c>
      <c r="BA16" s="46">
        <f t="shared" ref="BA16:BF16" si="22">AVERAGEA(AR24:AR26)</f>
        <v>0.10326581091347892</v>
      </c>
      <c r="BB16" s="46">
        <f t="shared" si="22"/>
        <v>3.3700964852276416E-2</v>
      </c>
      <c r="BC16" s="46">
        <f t="shared" si="22"/>
        <v>0.29646584820904448</v>
      </c>
      <c r="BD16" s="46">
        <f t="shared" si="22"/>
        <v>1.8131629361855479E-4</v>
      </c>
      <c r="BE16" s="46">
        <f t="shared" si="22"/>
        <v>6.4033076825458446E-2</v>
      </c>
      <c r="BF16" s="46">
        <f t="shared" si="22"/>
        <v>3.6226095610374189E-2</v>
      </c>
      <c r="BH16" s="147"/>
      <c r="BI16" s="45" t="s">
        <v>190</v>
      </c>
      <c r="BJ16" s="46">
        <f>STDEV(AR24:AR26)</f>
        <v>0.11044924701744292</v>
      </c>
      <c r="BK16" s="46">
        <f>BA16-CONFIDENCE(0.05,BJ16,3)</f>
        <v>-2.1716981350914641E-2</v>
      </c>
      <c r="BL16" s="46">
        <f>BA16+CONFIDENCE(0.05,BJ16,3)</f>
        <v>0.22824860317787249</v>
      </c>
      <c r="BM16" s="125">
        <f>BA16/BA16</f>
        <v>1</v>
      </c>
      <c r="BN16" s="46">
        <f>BK16/BA16</f>
        <v>-0.21030175581645486</v>
      </c>
      <c r="BO16" s="46">
        <f>BL16/BA16</f>
        <v>2.210301755816455</v>
      </c>
      <c r="BQ16" s="147"/>
      <c r="BR16" s="45" t="s">
        <v>190</v>
      </c>
      <c r="BS16" s="46">
        <f>STDEV(AS24:AS26)</f>
        <v>2.9741886896226755E-2</v>
      </c>
      <c r="BT16" s="46">
        <f>BB16-CONFIDENCE(0.05,BS16,3)</f>
        <v>4.5469935999194189E-5</v>
      </c>
      <c r="BU16" s="46">
        <f>BB16+CONFIDENCE(0.05,BS16,3)</f>
        <v>6.7356459768553645E-2</v>
      </c>
      <c r="BV16" s="125">
        <f>BB16/BB16</f>
        <v>1</v>
      </c>
      <c r="BW16" s="46">
        <f>BT16/BB16</f>
        <v>1.3492176321510513E-3</v>
      </c>
      <c r="BX16" s="46">
        <f>BU16/BB16</f>
        <v>1.9986507823678492</v>
      </c>
    </row>
    <row r="17" spans="2:76" x14ac:dyDescent="0.35">
      <c r="B17" s="35" t="s">
        <v>188</v>
      </c>
      <c r="C17" s="36">
        <v>27.31</v>
      </c>
      <c r="D17" s="36">
        <v>24.61</v>
      </c>
      <c r="E17" s="36">
        <v>26.7</v>
      </c>
      <c r="F17" s="36">
        <v>28.47</v>
      </c>
      <c r="G17" s="36">
        <v>25.91</v>
      </c>
      <c r="H17" s="36">
        <v>34.22</v>
      </c>
      <c r="I17" s="36">
        <v>25.6</v>
      </c>
      <c r="J17" s="36">
        <v>30.58</v>
      </c>
      <c r="L17" s="35" t="s">
        <v>171</v>
      </c>
      <c r="M17" s="36">
        <f t="shared" ref="M17:M24" si="23">C10*(((LOG(1.906)/LOG(2))))</f>
        <v>25.608684241700963</v>
      </c>
      <c r="N17" s="36">
        <f t="shared" si="19"/>
        <v>26.75</v>
      </c>
      <c r="O17" s="36">
        <f t="shared" si="20"/>
        <v>27.540190562734534</v>
      </c>
      <c r="P17" s="36">
        <f t="shared" si="21"/>
        <v>30.027778921471452</v>
      </c>
      <c r="Q17" s="36">
        <f t="shared" ref="Q17:Q23" si="24">G10*((LOG(1.91)/LOG(2)))</f>
        <v>25.393175760699851</v>
      </c>
      <c r="R17" s="36">
        <f t="shared" ref="R17:R24" si="25">H10*((LOG(2.09)/LOG(2)))</f>
        <v>35.372107861102812</v>
      </c>
      <c r="S17" s="36">
        <f t="shared" ref="S17:S23" si="26">I10*((LOG(2.107)/LOG(2)))</f>
        <v>28.761340903652115</v>
      </c>
      <c r="T17" s="36">
        <f t="shared" ref="T17:T24" si="27">J10*((LOG(2.001)/LOG(2)))</f>
        <v>32.383336972004642</v>
      </c>
      <c r="W17" s="39" t="s">
        <v>192</v>
      </c>
      <c r="X17" s="40">
        <f>AVERAGE(M31:M32)</f>
        <v>25.673822610048312</v>
      </c>
      <c r="Y17" s="40">
        <f>AVERAGE(N32:N33)</f>
        <v>25.425000000000001</v>
      </c>
      <c r="Z17" s="40">
        <f t="shared" ref="Z17:AE17" si="28">AVERAGE(O31:O33)</f>
        <v>24.634390905825271</v>
      </c>
      <c r="AA17" s="40">
        <f t="shared" si="28"/>
        <v>26.498444389146098</v>
      </c>
      <c r="AB17" s="40">
        <f t="shared" si="28"/>
        <v>24.864151265685269</v>
      </c>
      <c r="AC17" s="40">
        <f t="shared" si="28"/>
        <v>33.929288869374119</v>
      </c>
      <c r="AD17" s="40">
        <f t="shared" si="28"/>
        <v>28.367104455128537</v>
      </c>
      <c r="AE17" s="40">
        <f t="shared" si="28"/>
        <v>30.378558900293189</v>
      </c>
      <c r="AH17" s="39" t="s">
        <v>192</v>
      </c>
      <c r="AI17" s="40">
        <f t="shared" si="1"/>
        <v>-0.79060909417473013</v>
      </c>
      <c r="AJ17" s="40">
        <f t="shared" si="2"/>
        <v>1.073444389146097</v>
      </c>
      <c r="AK17" s="40">
        <f t="shared" si="3"/>
        <v>-0.5608487343147317</v>
      </c>
      <c r="AL17" s="40">
        <f t="shared" si="4"/>
        <v>8.5042888693741183</v>
      </c>
      <c r="AM17" s="40">
        <f t="shared" si="5"/>
        <v>2.9421044551285362</v>
      </c>
      <c r="AN17" s="40">
        <f t="shared" si="6"/>
        <v>4.9535589002931886</v>
      </c>
      <c r="AQ17" s="39" t="s">
        <v>192</v>
      </c>
      <c r="AR17" s="40">
        <f t="shared" si="7"/>
        <v>1.729804617987478</v>
      </c>
      <c r="AS17" s="40">
        <f t="shared" si="8"/>
        <v>0.47518315878712364</v>
      </c>
      <c r="AT17" s="40">
        <f t="shared" si="9"/>
        <v>1.4751367817923828</v>
      </c>
      <c r="AU17" s="40">
        <f t="shared" si="10"/>
        <v>2.7539367308861916E-3</v>
      </c>
      <c r="AV17" s="40">
        <f t="shared" si="11"/>
        <v>0.13011827844464802</v>
      </c>
      <c r="AW17" s="40">
        <f t="shared" si="12"/>
        <v>3.227231989115141E-2</v>
      </c>
      <c r="BH17" s="147"/>
      <c r="BQ17" s="147"/>
    </row>
    <row r="18" spans="2:76" x14ac:dyDescent="0.35">
      <c r="B18" s="39" t="s">
        <v>186</v>
      </c>
      <c r="C18" s="40">
        <v>28.14</v>
      </c>
      <c r="D18" s="40">
        <v>26.45</v>
      </c>
      <c r="E18" s="40">
        <v>26.04</v>
      </c>
      <c r="F18" s="40">
        <v>27.46</v>
      </c>
      <c r="G18" s="40">
        <v>26.76</v>
      </c>
      <c r="H18" s="40">
        <v>34.67</v>
      </c>
      <c r="I18" s="40">
        <v>27.15</v>
      </c>
      <c r="J18" s="40">
        <v>30.31</v>
      </c>
      <c r="L18" s="35" t="s">
        <v>171</v>
      </c>
      <c r="M18" s="36">
        <f t="shared" si="23"/>
        <v>25.255075956386779</v>
      </c>
      <c r="N18" s="36">
        <f t="shared" si="19"/>
        <v>25.32</v>
      </c>
      <c r="O18" s="36">
        <f t="shared" si="20"/>
        <v>27.570147260228445</v>
      </c>
      <c r="P18" s="36">
        <f t="shared" si="21"/>
        <v>29.686554161000181</v>
      </c>
      <c r="Q18" s="36">
        <f t="shared" si="24"/>
        <v>24.833032177743238</v>
      </c>
      <c r="R18" s="36">
        <f t="shared" si="25"/>
        <v>35.446553067064244</v>
      </c>
      <c r="S18" s="36">
        <f t="shared" si="26"/>
        <v>28.49254332511331</v>
      </c>
      <c r="T18" s="36">
        <f t="shared" si="27"/>
        <v>31.072392242915459</v>
      </c>
      <c r="W18" s="41" t="s">
        <v>492</v>
      </c>
      <c r="X18" s="42">
        <f>AVERAGE(M34:M36)</f>
        <v>24.395869859614592</v>
      </c>
      <c r="Y18" s="42">
        <f>AVERAGE(N34:N36)</f>
        <v>25.323333333333334</v>
      </c>
      <c r="Z18" s="42">
        <f t="shared" ref="Z18:AE18" si="29">AVERAGE(O34:O36)</f>
        <v>26.761316427892879</v>
      </c>
      <c r="AA18" s="42">
        <f t="shared" si="29"/>
        <v>28.465504773039282</v>
      </c>
      <c r="AB18" s="42">
        <f t="shared" si="29"/>
        <v>24.699220099592491</v>
      </c>
      <c r="AC18" s="42">
        <f t="shared" si="29"/>
        <v>34.656015879949997</v>
      </c>
      <c r="AD18" s="42">
        <f t="shared" si="29"/>
        <v>28.395776196839339</v>
      </c>
      <c r="AE18" s="42">
        <f t="shared" si="29"/>
        <v>30.91227685615647</v>
      </c>
      <c r="AH18" s="41" t="s">
        <v>492</v>
      </c>
      <c r="AI18" s="42">
        <f t="shared" si="1"/>
        <v>1.4379830945595451</v>
      </c>
      <c r="AJ18" s="42">
        <f t="shared" si="2"/>
        <v>3.1421714397059475</v>
      </c>
      <c r="AK18" s="42">
        <f t="shared" si="3"/>
        <v>-0.62411323374084304</v>
      </c>
      <c r="AL18" s="42">
        <f t="shared" si="4"/>
        <v>9.3326825466166632</v>
      </c>
      <c r="AM18" s="42">
        <f t="shared" si="5"/>
        <v>3.072442863506005</v>
      </c>
      <c r="AN18" s="42">
        <f t="shared" si="6"/>
        <v>5.5889435228231363</v>
      </c>
      <c r="AQ18" s="41" t="s">
        <v>492</v>
      </c>
      <c r="AR18" s="42">
        <f t="shared" si="7"/>
        <v>0.36908292629374068</v>
      </c>
      <c r="AS18" s="42">
        <f t="shared" si="8"/>
        <v>0.11326928136091802</v>
      </c>
      <c r="AT18" s="42">
        <f t="shared" si="9"/>
        <v>1.5412631820920442</v>
      </c>
      <c r="AU18" s="42">
        <f t="shared" si="10"/>
        <v>1.5508957771384858E-3</v>
      </c>
      <c r="AV18" s="42">
        <f t="shared" si="11"/>
        <v>0.11887828692086909</v>
      </c>
      <c r="AW18" s="42">
        <f t="shared" si="12"/>
        <v>2.0775924364446183E-2</v>
      </c>
      <c r="BH18" s="147"/>
      <c r="BQ18" s="147"/>
    </row>
    <row r="19" spans="2:76" x14ac:dyDescent="0.35">
      <c r="B19" s="39" t="s">
        <v>186</v>
      </c>
      <c r="C19" s="47">
        <v>27.96</v>
      </c>
      <c r="D19" s="40">
        <v>26.39</v>
      </c>
      <c r="E19" s="40">
        <v>26.09</v>
      </c>
      <c r="F19" s="40">
        <v>27.51</v>
      </c>
      <c r="G19" s="40">
        <v>26.71</v>
      </c>
      <c r="H19" s="40">
        <v>33.950000000000003</v>
      </c>
      <c r="I19" s="40">
        <v>27.45</v>
      </c>
      <c r="J19" s="40">
        <v>31.17</v>
      </c>
      <c r="L19" s="35" t="s">
        <v>187</v>
      </c>
      <c r="M19" s="36">
        <f t="shared" si="23"/>
        <v>27.339503743501972</v>
      </c>
      <c r="N19" s="36">
        <f t="shared" si="19"/>
        <v>31.39</v>
      </c>
      <c r="O19" s="36">
        <f t="shared" si="20"/>
        <v>26.421807189628566</v>
      </c>
      <c r="P19" s="36">
        <f t="shared" si="21"/>
        <v>30.770444576614796</v>
      </c>
      <c r="Q19" s="36">
        <f t="shared" si="24"/>
        <v>23.227287239934277</v>
      </c>
      <c r="R19" s="36" t="e">
        <f t="shared" si="25"/>
        <v>#VALUE!</v>
      </c>
      <c r="S19" s="36">
        <f t="shared" si="26"/>
        <v>28.191490037149848</v>
      </c>
      <c r="T19" s="36">
        <f t="shared" si="27"/>
        <v>36.436257699341439</v>
      </c>
      <c r="W19" s="41" t="s">
        <v>493</v>
      </c>
      <c r="X19" s="42">
        <f t="shared" ref="X19:AE19" si="30">AVERAGE(M37:M39)</f>
        <v>23.970919551824739</v>
      </c>
      <c r="Y19" s="42">
        <f>AVERAGE(N37:N39)</f>
        <v>24.409999999999997</v>
      </c>
      <c r="Z19" s="42">
        <f t="shared" si="30"/>
        <v>26.365222316584511</v>
      </c>
      <c r="AA19" s="42">
        <f t="shared" si="30"/>
        <v>27.977085017854918</v>
      </c>
      <c r="AB19" s="42">
        <f t="shared" si="30"/>
        <v>23.986592985719909</v>
      </c>
      <c r="AC19" s="42">
        <f t="shared" si="30"/>
        <v>34.659560889757692</v>
      </c>
      <c r="AD19" s="42">
        <f t="shared" si="30"/>
        <v>28.005123716029612</v>
      </c>
      <c r="AE19" s="42">
        <f t="shared" si="30"/>
        <v>29.341144623583933</v>
      </c>
      <c r="AH19" s="41" t="s">
        <v>493</v>
      </c>
      <c r="AI19" s="42">
        <f t="shared" si="1"/>
        <v>1.9552223165845142</v>
      </c>
      <c r="AJ19" s="42">
        <f t="shared" si="2"/>
        <v>3.5670850178549216</v>
      </c>
      <c r="AK19" s="42">
        <f t="shared" si="3"/>
        <v>-0.42340701428008742</v>
      </c>
      <c r="AL19" s="42">
        <f t="shared" si="4"/>
        <v>10.249560889757696</v>
      </c>
      <c r="AM19" s="42">
        <f t="shared" si="5"/>
        <v>3.5951237160296152</v>
      </c>
      <c r="AN19" s="42">
        <f t="shared" si="6"/>
        <v>4.9311446235839362</v>
      </c>
      <c r="AQ19" s="41" t="s">
        <v>493</v>
      </c>
      <c r="AR19" s="42">
        <f t="shared" si="7"/>
        <v>0.25788105277952666</v>
      </c>
      <c r="AS19" s="42">
        <f t="shared" si="8"/>
        <v>8.4372401867607E-2</v>
      </c>
      <c r="AT19" s="42">
        <f t="shared" si="9"/>
        <v>1.3410908878502819</v>
      </c>
      <c r="AU19" s="42">
        <f t="shared" si="10"/>
        <v>8.2143788690456016E-4</v>
      </c>
      <c r="AV19" s="42">
        <f t="shared" si="11"/>
        <v>8.2748460632191642E-2</v>
      </c>
      <c r="AW19" s="42">
        <f t="shared" si="12"/>
        <v>3.2777630514370763E-2</v>
      </c>
      <c r="BH19" s="147"/>
      <c r="BQ19" s="147"/>
    </row>
    <row r="20" spans="2:76" x14ac:dyDescent="0.35">
      <c r="B20" s="39" t="s">
        <v>186</v>
      </c>
      <c r="C20" s="40">
        <v>27.9</v>
      </c>
      <c r="D20" s="40">
        <v>26.06</v>
      </c>
      <c r="E20" s="40">
        <v>26.82</v>
      </c>
      <c r="F20" s="40">
        <v>27.24</v>
      </c>
      <c r="G20" s="40">
        <v>26.54</v>
      </c>
      <c r="H20" s="40">
        <v>35.049999999999997</v>
      </c>
      <c r="I20" s="40">
        <v>27.14</v>
      </c>
      <c r="J20" s="40">
        <v>31.58</v>
      </c>
      <c r="L20" s="35" t="s">
        <v>187</v>
      </c>
      <c r="M20" s="36">
        <f t="shared" si="23"/>
        <v>25.013133445382334</v>
      </c>
      <c r="N20" s="36">
        <f t="shared" si="19"/>
        <v>27.08</v>
      </c>
      <c r="O20" s="36">
        <f t="shared" si="20"/>
        <v>26.541633979604203</v>
      </c>
      <c r="P20" s="36">
        <f t="shared" si="21"/>
        <v>29.365401445262524</v>
      </c>
      <c r="Q20" s="36">
        <f t="shared" si="24"/>
        <v>23.479351852264752</v>
      </c>
      <c r="R20" s="36">
        <f t="shared" si="25"/>
        <v>37.945784981483712</v>
      </c>
      <c r="S20" s="36">
        <f t="shared" si="26"/>
        <v>28.277505262282268</v>
      </c>
      <c r="T20" s="36">
        <f t="shared" si="27"/>
        <v>34.044534109629112</v>
      </c>
      <c r="W20" s="41" t="s">
        <v>494</v>
      </c>
      <c r="X20" s="42">
        <f t="shared" ref="X20:AE20" si="31">AVERAGE(M40:M42)</f>
        <v>24.188047446315906</v>
      </c>
      <c r="Y20" s="42">
        <f>AVERAGE(N40:N42)</f>
        <v>24.533333333333331</v>
      </c>
      <c r="Z20" s="42">
        <f t="shared" si="31"/>
        <v>26.604875896535791</v>
      </c>
      <c r="AA20" s="42">
        <f t="shared" si="31"/>
        <v>28.080790582311874</v>
      </c>
      <c r="AB20" s="42">
        <f t="shared" si="31"/>
        <v>23.899459539482212</v>
      </c>
      <c r="AC20" s="42">
        <f t="shared" si="31"/>
        <v>35.106232125526276</v>
      </c>
      <c r="AD20" s="42">
        <f t="shared" si="31"/>
        <v>27.954948168035699</v>
      </c>
      <c r="AE20" s="42">
        <f t="shared" si="31"/>
        <v>29.060942696755713</v>
      </c>
      <c r="AH20" s="41" t="s">
        <v>494</v>
      </c>
      <c r="AI20" s="42">
        <f t="shared" si="1"/>
        <v>2.0715425632024598</v>
      </c>
      <c r="AJ20" s="42">
        <f t="shared" si="2"/>
        <v>3.5474572489785423</v>
      </c>
      <c r="AK20" s="42">
        <f t="shared" si="3"/>
        <v>-0.63387379385111942</v>
      </c>
      <c r="AL20" s="42">
        <f t="shared" si="4"/>
        <v>10.572898792192944</v>
      </c>
      <c r="AM20" s="42">
        <f t="shared" si="5"/>
        <v>3.4216148347023676</v>
      </c>
      <c r="AN20" s="42">
        <f t="shared" si="6"/>
        <v>4.527609363422382</v>
      </c>
      <c r="AQ20" s="41" t="s">
        <v>494</v>
      </c>
      <c r="AR20" s="42">
        <f t="shared" si="7"/>
        <v>0.23790498990479769</v>
      </c>
      <c r="AS20" s="42">
        <f t="shared" si="8"/>
        <v>8.5528126665737961E-2</v>
      </c>
      <c r="AT20" s="42">
        <f t="shared" si="9"/>
        <v>1.5517259585000409</v>
      </c>
      <c r="AU20" s="42">
        <f t="shared" si="10"/>
        <v>6.5650845319256029E-4</v>
      </c>
      <c r="AV20" s="42">
        <f t="shared" si="11"/>
        <v>9.332356080385236E-2</v>
      </c>
      <c r="AW20" s="42">
        <f t="shared" si="12"/>
        <v>4.3356455764812396E-2</v>
      </c>
      <c r="BH20" s="147"/>
      <c r="BQ20" s="147"/>
    </row>
    <row r="21" spans="2:76" x14ac:dyDescent="0.35">
      <c r="B21" s="39" t="s">
        <v>191</v>
      </c>
      <c r="C21" s="40">
        <v>28.57</v>
      </c>
      <c r="D21" s="40">
        <v>27.25</v>
      </c>
      <c r="E21" s="40">
        <v>26.31</v>
      </c>
      <c r="F21" s="40">
        <v>27.86</v>
      </c>
      <c r="G21" s="40">
        <v>27.51</v>
      </c>
      <c r="H21" s="40">
        <v>36.74</v>
      </c>
      <c r="I21" s="40">
        <v>26.88</v>
      </c>
      <c r="J21" s="40">
        <v>32.86</v>
      </c>
      <c r="L21" s="35" t="s">
        <v>187</v>
      </c>
      <c r="M21" s="36">
        <f t="shared" si="23"/>
        <v>24.101196288519436</v>
      </c>
      <c r="N21" s="36">
        <f t="shared" si="19"/>
        <v>24.77</v>
      </c>
      <c r="O21" s="36">
        <f t="shared" si="20"/>
        <v>26.741345296230271</v>
      </c>
      <c r="P21" s="36">
        <f t="shared" si="21"/>
        <v>28.452123409883544</v>
      </c>
      <c r="Q21" s="36">
        <f t="shared" si="24"/>
        <v>23.46068039949953</v>
      </c>
      <c r="R21" s="36">
        <f t="shared" si="25"/>
        <v>36.977997303985113</v>
      </c>
      <c r="S21" s="36">
        <f t="shared" si="26"/>
        <v>28.546302840821074</v>
      </c>
      <c r="T21" s="36">
        <f t="shared" si="27"/>
        <v>30.151728769051296</v>
      </c>
      <c r="W21" s="43" t="s">
        <v>495</v>
      </c>
      <c r="X21" s="44">
        <f>AVERAGE(M43)</f>
        <v>23.840642815130039</v>
      </c>
      <c r="Y21" s="44">
        <f>AVERAGE(N43:N44)</f>
        <v>24.225000000000001</v>
      </c>
      <c r="Z21" s="44">
        <f t="shared" ref="Z21:AE21" si="32">AVERAGE(O43:O45)</f>
        <v>26.118911692745698</v>
      </c>
      <c r="AA21" s="44">
        <f t="shared" si="32"/>
        <v>27.722839117895933</v>
      </c>
      <c r="AB21" s="44">
        <f t="shared" si="32"/>
        <v>23.6100520216213</v>
      </c>
      <c r="AC21" s="44">
        <f t="shared" si="32"/>
        <v>35.606078508410171</v>
      </c>
      <c r="AD21" s="44">
        <f t="shared" si="32"/>
        <v>28.410112067694744</v>
      </c>
      <c r="AE21" s="44">
        <f t="shared" si="32"/>
        <v>29.417866579739279</v>
      </c>
      <c r="AH21" s="43" t="s">
        <v>495</v>
      </c>
      <c r="AI21" s="44">
        <f t="shared" si="1"/>
        <v>1.8939116927456965</v>
      </c>
      <c r="AJ21" s="44">
        <f t="shared" si="2"/>
        <v>3.497839117895932</v>
      </c>
      <c r="AK21" s="44">
        <f t="shared" si="3"/>
        <v>-0.61494797837870152</v>
      </c>
      <c r="AL21" s="44">
        <f t="shared" si="4"/>
        <v>11.38107850841017</v>
      </c>
      <c r="AM21" s="44">
        <f t="shared" si="5"/>
        <v>4.1851120676947424</v>
      </c>
      <c r="AN21" s="44">
        <f t="shared" si="6"/>
        <v>5.1928665797392775</v>
      </c>
      <c r="AQ21" s="43" t="s">
        <v>495</v>
      </c>
      <c r="AR21" s="44">
        <f t="shared" si="7"/>
        <v>0.26907650084415047</v>
      </c>
      <c r="AS21" s="44">
        <f t="shared" si="8"/>
        <v>8.8520835736971865E-2</v>
      </c>
      <c r="AT21" s="44">
        <f t="shared" si="9"/>
        <v>1.531502772191399</v>
      </c>
      <c r="AU21" s="44">
        <f t="shared" si="10"/>
        <v>3.7493327549615446E-4</v>
      </c>
      <c r="AV21" s="44">
        <f t="shared" si="11"/>
        <v>5.4973796747377283E-2</v>
      </c>
      <c r="AW21" s="44">
        <f t="shared" si="12"/>
        <v>2.7339552144834009E-2</v>
      </c>
      <c r="BH21" s="147"/>
      <c r="BQ21" s="147"/>
    </row>
    <row r="22" spans="2:76" x14ac:dyDescent="0.35">
      <c r="B22" s="39" t="s">
        <v>191</v>
      </c>
      <c r="C22" s="40">
        <v>28.45</v>
      </c>
      <c r="D22" s="40">
        <v>26.78</v>
      </c>
      <c r="E22" s="40">
        <v>26.24</v>
      </c>
      <c r="F22" s="40">
        <v>27.67</v>
      </c>
      <c r="G22" s="40">
        <v>27.5</v>
      </c>
      <c r="H22" s="40">
        <v>36.380000000000003</v>
      </c>
      <c r="I22" s="40">
        <v>26.98</v>
      </c>
      <c r="J22" s="40">
        <v>31.14</v>
      </c>
      <c r="L22" s="35" t="s">
        <v>188</v>
      </c>
      <c r="M22" s="36">
        <f t="shared" si="23"/>
        <v>30.038093289320752</v>
      </c>
      <c r="N22" s="36">
        <f t="shared" si="19"/>
        <v>29.26</v>
      </c>
      <c r="O22" s="36">
        <f t="shared" si="20"/>
        <v>26.931071047025032</v>
      </c>
      <c r="P22" s="36">
        <f t="shared" si="21"/>
        <v>30.087995055672263</v>
      </c>
      <c r="Q22" s="36">
        <f t="shared" si="24"/>
        <v>25.094432516456322</v>
      </c>
      <c r="R22" s="36">
        <f>H15*((LOG(2.09)/LOG(2)))</f>
        <v>41.168198896671377</v>
      </c>
      <c r="S22" s="36">
        <f t="shared" si="26"/>
        <v>28.083971005734327</v>
      </c>
      <c r="T22" s="36">
        <f t="shared" si="27"/>
        <v>34.735031715027233</v>
      </c>
      <c r="W22" s="43" t="s">
        <v>496</v>
      </c>
      <c r="X22" s="44">
        <f t="shared" ref="X22:AE22" si="33">AVERAGE(M46:M48)</f>
        <v>24.650219678875672</v>
      </c>
      <c r="Y22" s="44">
        <f>AVERAGE(N46:N48)</f>
        <v>25.013333333333332</v>
      </c>
      <c r="Z22" s="44">
        <f t="shared" si="33"/>
        <v>26.445106843234939</v>
      </c>
      <c r="AA22" s="44">
        <f t="shared" si="33"/>
        <v>28.087481263889739</v>
      </c>
      <c r="AB22" s="44">
        <f t="shared" si="33"/>
        <v>24.353798223435913</v>
      </c>
      <c r="AC22" s="44">
        <f t="shared" si="33"/>
        <v>34.858081438988165</v>
      </c>
      <c r="AD22" s="44">
        <f t="shared" si="33"/>
        <v>27.13063559385003</v>
      </c>
      <c r="AE22" s="44">
        <f t="shared" si="33"/>
        <v>28.520553266444139</v>
      </c>
      <c r="AH22" s="43" t="s">
        <v>496</v>
      </c>
      <c r="AI22" s="44">
        <f t="shared" si="1"/>
        <v>1.4317735099016069</v>
      </c>
      <c r="AJ22" s="44">
        <f t="shared" si="2"/>
        <v>3.074147930556407</v>
      </c>
      <c r="AK22" s="44">
        <f t="shared" si="3"/>
        <v>-0.65953510989741915</v>
      </c>
      <c r="AL22" s="44">
        <f t="shared" si="4"/>
        <v>9.8447481056548334</v>
      </c>
      <c r="AM22" s="44">
        <f t="shared" si="5"/>
        <v>2.1173022605166985</v>
      </c>
      <c r="AN22" s="44">
        <f t="shared" si="6"/>
        <v>3.5072199331108074</v>
      </c>
      <c r="AQ22" s="43" t="s">
        <v>496</v>
      </c>
      <c r="AR22" s="44">
        <f t="shared" si="7"/>
        <v>0.37067494050271277</v>
      </c>
      <c r="AS22" s="44">
        <f t="shared" si="8"/>
        <v>0.11873787213298827</v>
      </c>
      <c r="AT22" s="44">
        <f t="shared" si="9"/>
        <v>1.5795735442519832</v>
      </c>
      <c r="AU22" s="44">
        <f t="shared" si="10"/>
        <v>1.0875156625530563E-3</v>
      </c>
      <c r="AV22" s="44">
        <f t="shared" si="11"/>
        <v>0.2304774868449195</v>
      </c>
      <c r="AW22" s="44">
        <f t="shared" si="12"/>
        <v>8.7947115248540153E-2</v>
      </c>
      <c r="BH22" s="147"/>
      <c r="BQ22" s="147"/>
    </row>
    <row r="23" spans="2:76" x14ac:dyDescent="0.35">
      <c r="B23" s="39" t="s">
        <v>191</v>
      </c>
      <c r="C23" s="40">
        <v>28.28</v>
      </c>
      <c r="D23" s="40">
        <v>26.77</v>
      </c>
      <c r="E23" s="40">
        <v>26.41</v>
      </c>
      <c r="F23" s="40">
        <v>28.03</v>
      </c>
      <c r="G23" s="40">
        <v>27.46</v>
      </c>
      <c r="H23" s="40" t="s">
        <v>193</v>
      </c>
      <c r="I23" s="40">
        <v>26.66</v>
      </c>
      <c r="J23" s="40">
        <v>30.45</v>
      </c>
      <c r="L23" s="35" t="s">
        <v>188</v>
      </c>
      <c r="M23" s="36">
        <f t="shared" si="23"/>
        <v>27.376725668271888</v>
      </c>
      <c r="N23" s="36">
        <f t="shared" si="19"/>
        <v>26.04</v>
      </c>
      <c r="O23" s="36">
        <f t="shared" si="20"/>
        <v>26.931071047025032</v>
      </c>
      <c r="P23" s="36">
        <f t="shared" si="21"/>
        <v>29.20482508739369</v>
      </c>
      <c r="Q23" s="36">
        <f t="shared" si="24"/>
        <v>24.627646197325813</v>
      </c>
      <c r="R23" s="36">
        <f t="shared" si="25"/>
        <v>38.456266393790671</v>
      </c>
      <c r="S23" s="36">
        <f t="shared" si="26"/>
        <v>27.868932942903285</v>
      </c>
      <c r="T23" s="36">
        <f t="shared" si="27"/>
        <v>31.852954753365506</v>
      </c>
      <c r="W23" s="43" t="s">
        <v>497</v>
      </c>
      <c r="X23" s="44">
        <f>AVERAGE(M49:M51)</f>
        <v>24.014345130722972</v>
      </c>
      <c r="Y23" s="44">
        <f>AVERAGE(N50:N51)</f>
        <v>24.299999999999997</v>
      </c>
      <c r="Z23" s="44">
        <f t="shared" ref="Z23:AE23" si="34">AVERAGE(O49:O51)</f>
        <v>26.877814695924751</v>
      </c>
      <c r="AA23" s="44">
        <f t="shared" si="34"/>
        <v>28.606009086174506</v>
      </c>
      <c r="AB23" s="44">
        <f t="shared" si="34"/>
        <v>24.89838226242151</v>
      </c>
      <c r="AC23" s="44">
        <f t="shared" si="34"/>
        <v>37.371493392638392</v>
      </c>
      <c r="AD23" s="44">
        <f t="shared" si="34"/>
        <v>28.514047131396421</v>
      </c>
      <c r="AE23" s="44">
        <f t="shared" si="34"/>
        <v>29.244408244083715</v>
      </c>
      <c r="AH23" s="43" t="s">
        <v>497</v>
      </c>
      <c r="AI23" s="44">
        <f t="shared" si="1"/>
        <v>2.5778146959247543</v>
      </c>
      <c r="AJ23" s="44">
        <f t="shared" si="2"/>
        <v>4.3060090861745088</v>
      </c>
      <c r="AK23" s="44">
        <f t="shared" si="3"/>
        <v>0.59838226242151293</v>
      </c>
      <c r="AL23" s="44">
        <f t="shared" si="4"/>
        <v>13.071493392638395</v>
      </c>
      <c r="AM23" s="44">
        <f t="shared" si="5"/>
        <v>4.2140471313964234</v>
      </c>
      <c r="AN23" s="44">
        <f t="shared" si="6"/>
        <v>4.9444082440837178</v>
      </c>
      <c r="AQ23" s="43" t="s">
        <v>497</v>
      </c>
      <c r="AR23" s="44">
        <f t="shared" si="7"/>
        <v>0.16749446241269458</v>
      </c>
      <c r="AS23" s="44">
        <f t="shared" si="8"/>
        <v>5.0554765874847238E-2</v>
      </c>
      <c r="AT23" s="44">
        <f t="shared" si="9"/>
        <v>0.66049417238480601</v>
      </c>
      <c r="AU23" s="44">
        <f t="shared" si="10"/>
        <v>1.1616850509033605E-4</v>
      </c>
      <c r="AV23" s="44">
        <f t="shared" si="11"/>
        <v>5.3882211257180464E-2</v>
      </c>
      <c r="AW23" s="44">
        <f t="shared" si="12"/>
        <v>3.2477665738639798E-2</v>
      </c>
      <c r="BH23" s="147"/>
      <c r="BQ23" s="147"/>
    </row>
    <row r="24" spans="2:76" x14ac:dyDescent="0.35">
      <c r="B24" s="39" t="s">
        <v>192</v>
      </c>
      <c r="C24" s="40">
        <v>27.7</v>
      </c>
      <c r="D24" s="40">
        <v>25.54</v>
      </c>
      <c r="E24" s="40">
        <v>25.02</v>
      </c>
      <c r="F24" s="40">
        <v>26.55</v>
      </c>
      <c r="G24" s="40">
        <v>26.69</v>
      </c>
      <c r="H24" s="40">
        <v>31.96</v>
      </c>
      <c r="I24" s="40">
        <v>26.05</v>
      </c>
      <c r="J24" s="40">
        <v>31.16</v>
      </c>
      <c r="L24" s="35" t="s">
        <v>188</v>
      </c>
      <c r="M24" s="36">
        <f t="shared" si="23"/>
        <v>25.413269136658911</v>
      </c>
      <c r="N24" s="36">
        <f t="shared" si="19"/>
        <v>24.61</v>
      </c>
      <c r="O24" s="36">
        <f t="shared" si="20"/>
        <v>26.661460769579843</v>
      </c>
      <c r="P24" s="36">
        <f t="shared" si="21"/>
        <v>28.572555678285166</v>
      </c>
      <c r="Q24" s="36">
        <f>G17*((LOG(1.91)/LOG(2)))</f>
        <v>24.188867057343131</v>
      </c>
      <c r="R24" s="36">
        <f t="shared" si="25"/>
        <v>36.393070685716722</v>
      </c>
      <c r="S24" s="36">
        <f>I17*((LOG(2.107)/LOG(2)))</f>
        <v>27.524872042373616</v>
      </c>
      <c r="T24" s="36">
        <f t="shared" si="27"/>
        <v>30.602053294310938</v>
      </c>
      <c r="W24" s="45" t="s">
        <v>190</v>
      </c>
      <c r="X24" s="46">
        <f t="shared" ref="X24:AE24" si="35">AVERAGE(M52:M54)</f>
        <v>26.688120060028471</v>
      </c>
      <c r="Y24" s="46">
        <f>AVERAGE(N52:N54)</f>
        <v>26.443333333333332</v>
      </c>
      <c r="Z24" s="46">
        <f t="shared" si="35"/>
        <v>28.558718277527475</v>
      </c>
      <c r="AA24" s="46">
        <f t="shared" si="35"/>
        <v>30.322168910897641</v>
      </c>
      <c r="AB24" s="46">
        <f t="shared" si="35"/>
        <v>27.241649584456678</v>
      </c>
      <c r="AC24" s="46">
        <f t="shared" si="35"/>
        <v>37.591284000715</v>
      </c>
      <c r="AD24" s="46">
        <f t="shared" si="35"/>
        <v>29.367031447292888</v>
      </c>
      <c r="AE24" s="46">
        <f t="shared" si="35"/>
        <v>29.944913061154278</v>
      </c>
      <c r="AH24" s="45" t="s">
        <v>190</v>
      </c>
      <c r="AI24" s="46">
        <f t="shared" si="1"/>
        <v>2.1153849441941439</v>
      </c>
      <c r="AJ24" s="46">
        <f t="shared" si="2"/>
        <v>3.8788355775643097</v>
      </c>
      <c r="AK24" s="46">
        <f t="shared" si="3"/>
        <v>0.79831625112334592</v>
      </c>
      <c r="AL24" s="46">
        <f t="shared" si="4"/>
        <v>11.147950667381668</v>
      </c>
      <c r="AM24" s="46">
        <f t="shared" si="5"/>
        <v>2.9236981139595564</v>
      </c>
      <c r="AN24" s="46">
        <f t="shared" si="6"/>
        <v>3.5015797278209462</v>
      </c>
      <c r="AQ24" s="45" t="s">
        <v>190</v>
      </c>
      <c r="AR24" s="46">
        <f t="shared" si="7"/>
        <v>0.23078399099347266</v>
      </c>
      <c r="AS24" s="46">
        <f t="shared" si="8"/>
        <v>6.7975771114085301E-2</v>
      </c>
      <c r="AT24" s="46">
        <f t="shared" si="9"/>
        <v>0.5750198835697663</v>
      </c>
      <c r="AU24" s="46">
        <f t="shared" si="10"/>
        <v>4.4068925233917941E-4</v>
      </c>
      <c r="AV24" s="46">
        <f t="shared" si="11"/>
        <v>0.13178900206707791</v>
      </c>
      <c r="AW24" s="46">
        <f t="shared" si="12"/>
        <v>8.8291616801033729E-2</v>
      </c>
      <c r="BH24" s="147"/>
      <c r="BQ24" s="147"/>
    </row>
    <row r="25" spans="2:76" x14ac:dyDescent="0.35">
      <c r="B25" s="39" t="s">
        <v>192</v>
      </c>
      <c r="C25" s="40">
        <v>27.48</v>
      </c>
      <c r="D25" s="40">
        <v>25.44</v>
      </c>
      <c r="E25" s="40">
        <v>24.83</v>
      </c>
      <c r="F25" s="40">
        <v>26.34</v>
      </c>
      <c r="G25" s="40">
        <v>26.54</v>
      </c>
      <c r="H25" s="40">
        <v>31.86</v>
      </c>
      <c r="I25" s="40">
        <v>26.04</v>
      </c>
      <c r="J25" s="40">
        <v>30.06</v>
      </c>
      <c r="L25" s="39" t="s">
        <v>186</v>
      </c>
      <c r="M25" s="40">
        <f>C18*((LOG(1.906)/LOG(2)))</f>
        <v>26.185624075634632</v>
      </c>
      <c r="N25" s="40">
        <f t="shared" si="19"/>
        <v>26.45</v>
      </c>
      <c r="O25" s="40">
        <f t="shared" si="20"/>
        <v>26.002413424713826</v>
      </c>
      <c r="P25" s="40">
        <f t="shared" si="21"/>
        <v>27.558917419238171</v>
      </c>
      <c r="Q25" s="40">
        <f>G18*((LOG(1.91)/LOG(2)))</f>
        <v>24.982403799865004</v>
      </c>
      <c r="R25" s="40">
        <f>H18*((LOG(2.09)/LOG(2)))</f>
        <v>36.871647009754497</v>
      </c>
      <c r="S25" s="40">
        <f>I18*((LOG(2.107)/LOG(2)))</f>
        <v>29.191417029314202</v>
      </c>
      <c r="T25" s="40">
        <f>J18*((LOG(2.001)/LOG(2)))</f>
        <v>30.331858579155153</v>
      </c>
      <c r="W25" s="45" t="s">
        <v>194</v>
      </c>
      <c r="X25" s="46">
        <f t="shared" ref="X25:AE25" si="36">AVERAGE(M55:M57)</f>
        <v>25.034846234831452</v>
      </c>
      <c r="Y25" s="46">
        <f>AVERAGE(N56:N57)</f>
        <v>23.805</v>
      </c>
      <c r="Z25" s="46">
        <f t="shared" si="36"/>
        <v>28.5354186239211</v>
      </c>
      <c r="AA25" s="46">
        <f t="shared" si="36"/>
        <v>29.893965289914092</v>
      </c>
      <c r="AB25" s="46">
        <f t="shared" si="36"/>
        <v>26.924234887447934</v>
      </c>
      <c r="AC25" s="46">
        <f t="shared" si="36"/>
        <v>38.080495354175831</v>
      </c>
      <c r="AD25" s="46">
        <f t="shared" si="36"/>
        <v>28.915451515347698</v>
      </c>
      <c r="AE25" s="46">
        <f t="shared" si="36"/>
        <v>30.291829732465406</v>
      </c>
      <c r="AH25" s="45" t="s">
        <v>194</v>
      </c>
      <c r="AI25" s="46">
        <f t="shared" si="1"/>
        <v>4.7304186239210999</v>
      </c>
      <c r="AJ25" s="46">
        <f t="shared" si="2"/>
        <v>6.0889652899140927</v>
      </c>
      <c r="AK25" s="46">
        <f t="shared" si="3"/>
        <v>3.1192348874479343</v>
      </c>
      <c r="AL25" s="46">
        <f t="shared" si="4"/>
        <v>14.275495354175831</v>
      </c>
      <c r="AM25" s="46">
        <f t="shared" si="5"/>
        <v>5.1104515153476981</v>
      </c>
      <c r="AN25" s="46">
        <f t="shared" si="6"/>
        <v>6.4868297324654058</v>
      </c>
      <c r="AQ25" s="45" t="s">
        <v>194</v>
      </c>
      <c r="AR25" s="46">
        <f t="shared" si="7"/>
        <v>3.7670562237949665E-2</v>
      </c>
      <c r="AS25" s="46">
        <f t="shared" si="8"/>
        <v>1.4690575353417211E-2</v>
      </c>
      <c r="AT25" s="46">
        <f t="shared" si="9"/>
        <v>0.11508447354115738</v>
      </c>
      <c r="AU25" s="46">
        <f t="shared" si="10"/>
        <v>5.0425207664717995E-5</v>
      </c>
      <c r="AV25" s="46">
        <f t="shared" si="11"/>
        <v>2.8946816129941176E-2</v>
      </c>
      <c r="AW25" s="46">
        <f t="shared" si="12"/>
        <v>1.1149866660681141E-2</v>
      </c>
      <c r="BH25" s="147"/>
      <c r="BQ25" s="147"/>
    </row>
    <row r="26" spans="2:76" x14ac:dyDescent="0.35">
      <c r="B26" s="39" t="s">
        <v>192</v>
      </c>
      <c r="C26" s="40">
        <v>27.19</v>
      </c>
      <c r="D26" s="40">
        <v>25.41</v>
      </c>
      <c r="E26" s="40">
        <v>24.16</v>
      </c>
      <c r="F26" s="40">
        <v>26.32</v>
      </c>
      <c r="G26" s="40">
        <v>26.67</v>
      </c>
      <c r="H26" s="40">
        <v>31.89</v>
      </c>
      <c r="I26" s="40">
        <v>27.06</v>
      </c>
      <c r="J26" s="40">
        <v>29.85</v>
      </c>
      <c r="L26" s="39" t="s">
        <v>186</v>
      </c>
      <c r="M26" s="40">
        <f t="shared" ref="M26:M60" si="37">C19*((LOG(1.906)/LOG(2)))</f>
        <v>26.018125414170019</v>
      </c>
      <c r="N26" s="40">
        <f t="shared" si="19"/>
        <v>26.39</v>
      </c>
      <c r="O26" s="40">
        <f t="shared" si="20"/>
        <v>26.052341253870342</v>
      </c>
      <c r="P26" s="40">
        <f t="shared" si="21"/>
        <v>27.60909753107218</v>
      </c>
      <c r="Q26" s="40">
        <f t="shared" ref="Q26:Q33" si="38">G19*((LOG(1.91)/LOG(2)))</f>
        <v>24.935725167951951</v>
      </c>
      <c r="R26" s="40">
        <f t="shared" ref="R26:R33" si="39">H19*((LOG(2.09)/LOG(2)))</f>
        <v>36.105924891294066</v>
      </c>
      <c r="S26" s="40">
        <f t="shared" ref="S26:S33" si="40">I19*((LOG(2.107)/LOG(2)))</f>
        <v>29.513974123560768</v>
      </c>
      <c r="T26" s="40">
        <f t="shared" ref="T26:T33" si="41">J19*((LOG(2.001)/LOG(2)))</f>
        <v>31.192478782984697</v>
      </c>
      <c r="W26" s="45" t="s">
        <v>195</v>
      </c>
      <c r="X26" s="46">
        <f t="shared" ref="X26:AE26" si="42">AVERAGE(M58:M60)</f>
        <v>22.699170455519333</v>
      </c>
      <c r="Y26" s="46">
        <f>AVERAGE(N58:N60)</f>
        <v>23.386666666666667</v>
      </c>
      <c r="Z26" s="46">
        <f t="shared" si="42"/>
        <v>27.98288398125565</v>
      </c>
      <c r="AA26" s="46">
        <f t="shared" si="42"/>
        <v>29.147954293981812</v>
      </c>
      <c r="AB26" s="46">
        <f t="shared" si="42"/>
        <v>25.713702366502801</v>
      </c>
      <c r="AC26" s="46">
        <f t="shared" si="42"/>
        <v>37.59482901052268</v>
      </c>
      <c r="AD26" s="46">
        <f t="shared" si="42"/>
        <v>28.381440325983942</v>
      </c>
      <c r="AE26" s="46">
        <f t="shared" si="42"/>
        <v>30.145057294603003</v>
      </c>
      <c r="AH26" s="45" t="s">
        <v>195</v>
      </c>
      <c r="AI26" s="46">
        <f t="shared" si="1"/>
        <v>4.5962173145889835</v>
      </c>
      <c r="AJ26" s="46">
        <f t="shared" si="2"/>
        <v>5.761287627315145</v>
      </c>
      <c r="AK26" s="46">
        <f t="shared" si="3"/>
        <v>2.3270356998361343</v>
      </c>
      <c r="AL26" s="46">
        <f t="shared" si="4"/>
        <v>14.208162343856014</v>
      </c>
      <c r="AM26" s="46">
        <f t="shared" si="5"/>
        <v>4.9947736593172749</v>
      </c>
      <c r="AN26" s="46">
        <f t="shared" si="6"/>
        <v>6.7583906279363362</v>
      </c>
      <c r="AQ26" s="45" t="s">
        <v>195</v>
      </c>
      <c r="AR26" s="46">
        <f t="shared" si="7"/>
        <v>4.1342879509014441E-2</v>
      </c>
      <c r="AS26" s="46">
        <f t="shared" si="8"/>
        <v>1.8436548089326731E-2</v>
      </c>
      <c r="AT26" s="46">
        <f t="shared" si="9"/>
        <v>0.1992931875162097</v>
      </c>
      <c r="AU26" s="46">
        <f t="shared" si="10"/>
        <v>5.2834420851766965E-5</v>
      </c>
      <c r="AV26" s="46">
        <f t="shared" si="11"/>
        <v>3.1363412279356233E-2</v>
      </c>
      <c r="AW26" s="46">
        <f t="shared" si="12"/>
        <v>9.2368033694076833E-3</v>
      </c>
      <c r="BH26" s="147"/>
      <c r="BQ26" s="147"/>
    </row>
    <row r="27" spans="2:76" x14ac:dyDescent="0.35">
      <c r="B27" s="41" t="s">
        <v>492</v>
      </c>
      <c r="C27" s="42">
        <v>26.41</v>
      </c>
      <c r="D27" s="42">
        <v>25.26</v>
      </c>
      <c r="E27" s="42">
        <v>26.8</v>
      </c>
      <c r="F27" s="42">
        <v>28.49</v>
      </c>
      <c r="G27" s="42">
        <v>26.37</v>
      </c>
      <c r="H27" s="42">
        <v>32.549999999999997</v>
      </c>
      <c r="I27" s="42">
        <v>26.17</v>
      </c>
      <c r="J27" s="42">
        <v>30.61</v>
      </c>
      <c r="L27" s="39" t="s">
        <v>186</v>
      </c>
      <c r="M27" s="40">
        <f t="shared" si="37"/>
        <v>25.962292527015148</v>
      </c>
      <c r="N27" s="40">
        <f t="shared" si="19"/>
        <v>26.06</v>
      </c>
      <c r="O27" s="40">
        <f t="shared" si="20"/>
        <v>26.781287559555484</v>
      </c>
      <c r="P27" s="40">
        <f t="shared" si="21"/>
        <v>27.338124927168526</v>
      </c>
      <c r="Q27" s="40">
        <f t="shared" si="38"/>
        <v>24.777017819447575</v>
      </c>
      <c r="R27" s="40">
        <f t="shared" si="39"/>
        <v>37.275778127830833</v>
      </c>
      <c r="S27" s="40">
        <f t="shared" si="40"/>
        <v>29.180665126172652</v>
      </c>
      <c r="T27" s="40">
        <f t="shared" si="41"/>
        <v>31.602774461554592</v>
      </c>
      <c r="BH27" s="147"/>
      <c r="BQ27" s="147"/>
    </row>
    <row r="28" spans="2:76" x14ac:dyDescent="0.35">
      <c r="B28" s="41" t="s">
        <v>492</v>
      </c>
      <c r="C28" s="42">
        <v>26.14</v>
      </c>
      <c r="D28" s="42">
        <v>25.31</v>
      </c>
      <c r="E28" s="42">
        <v>26.8</v>
      </c>
      <c r="F28" s="42">
        <v>28.27</v>
      </c>
      <c r="G28" s="42">
        <v>26.47</v>
      </c>
      <c r="H28" s="42">
        <v>33.01</v>
      </c>
      <c r="I28" s="42">
        <v>26.51</v>
      </c>
      <c r="J28" s="42">
        <v>31.06</v>
      </c>
      <c r="L28" s="39" t="s">
        <v>191</v>
      </c>
      <c r="M28" s="40">
        <f t="shared" si="37"/>
        <v>26.58575976691121</v>
      </c>
      <c r="N28" s="40">
        <f t="shared" si="19"/>
        <v>27.25</v>
      </c>
      <c r="O28" s="40">
        <f t="shared" si="20"/>
        <v>26.272023702159014</v>
      </c>
      <c r="P28" s="40">
        <f t="shared" si="21"/>
        <v>27.960358313910248</v>
      </c>
      <c r="Q28" s="40">
        <f t="shared" si="38"/>
        <v>25.68258327856077</v>
      </c>
      <c r="R28" s="40">
        <f t="shared" si="39"/>
        <v>39.073098100328245</v>
      </c>
      <c r="S28" s="40">
        <f t="shared" si="40"/>
        <v>28.901115644492293</v>
      </c>
      <c r="T28" s="40">
        <f t="shared" si="41"/>
        <v>32.883697555626469</v>
      </c>
      <c r="AH28" s="27" t="s">
        <v>196</v>
      </c>
      <c r="AQ28" s="160" t="s">
        <v>478</v>
      </c>
      <c r="AR28" s="160"/>
      <c r="AS28" s="160"/>
      <c r="AT28" s="160"/>
      <c r="AU28" s="160"/>
      <c r="AV28" s="160"/>
      <c r="AW28" s="160"/>
      <c r="AZ28" s="160" t="s">
        <v>487</v>
      </c>
      <c r="BA28" s="160"/>
      <c r="BB28" s="160"/>
      <c r="BC28" s="160"/>
      <c r="BD28" s="160"/>
      <c r="BE28" s="160"/>
      <c r="BF28" s="160"/>
      <c r="BH28" s="147"/>
      <c r="BQ28" s="147"/>
      <c r="BR28" t="s">
        <v>184</v>
      </c>
      <c r="BS28" s="1" t="s">
        <v>168</v>
      </c>
    </row>
    <row r="29" spans="2:76" x14ac:dyDescent="0.35">
      <c r="B29" s="41" t="s">
        <v>492</v>
      </c>
      <c r="C29" s="42">
        <v>26.1</v>
      </c>
      <c r="D29" s="42">
        <v>25.4</v>
      </c>
      <c r="E29" s="42">
        <v>26.8</v>
      </c>
      <c r="F29" s="42">
        <v>28.33</v>
      </c>
      <c r="G29" s="42">
        <v>26.53</v>
      </c>
      <c r="H29" s="42">
        <v>32.200000000000003</v>
      </c>
      <c r="I29" s="42">
        <v>26.55</v>
      </c>
      <c r="J29" s="42">
        <v>31</v>
      </c>
      <c r="L29" s="39" t="s">
        <v>191</v>
      </c>
      <c r="M29" s="40">
        <f t="shared" si="37"/>
        <v>26.474093992601468</v>
      </c>
      <c r="N29" s="40">
        <f t="shared" si="19"/>
        <v>26.78</v>
      </c>
      <c r="O29" s="40">
        <f t="shared" si="20"/>
        <v>26.20212474133989</v>
      </c>
      <c r="P29" s="40">
        <f t="shared" si="21"/>
        <v>27.769673888941014</v>
      </c>
      <c r="Q29" s="40">
        <f t="shared" si="38"/>
        <v>25.673247552178161</v>
      </c>
      <c r="R29" s="40">
        <f t="shared" si="39"/>
        <v>38.69023704109803</v>
      </c>
      <c r="S29" s="40">
        <f t="shared" si="40"/>
        <v>29.008634675907818</v>
      </c>
      <c r="T29" s="40">
        <f t="shared" si="41"/>
        <v>31.162457147967388</v>
      </c>
      <c r="AH29" s="1" t="s">
        <v>183</v>
      </c>
      <c r="AI29" s="1" t="s">
        <v>167</v>
      </c>
      <c r="AJ29" s="1" t="s">
        <v>168</v>
      </c>
      <c r="AK29" s="27" t="s">
        <v>247</v>
      </c>
      <c r="AL29" s="27" t="s">
        <v>248</v>
      </c>
      <c r="AM29" s="27" t="s">
        <v>249</v>
      </c>
      <c r="AN29" s="27" t="s">
        <v>250</v>
      </c>
      <c r="AQ29" s="1" t="s">
        <v>183</v>
      </c>
      <c r="AR29" s="1" t="s">
        <v>167</v>
      </c>
      <c r="AS29" s="1" t="s">
        <v>168</v>
      </c>
      <c r="AT29" s="27" t="s">
        <v>247</v>
      </c>
      <c r="AU29" s="27" t="s">
        <v>248</v>
      </c>
      <c r="AV29" s="27" t="s">
        <v>249</v>
      </c>
      <c r="AW29" s="27" t="s">
        <v>250</v>
      </c>
      <c r="AZ29" s="1" t="s">
        <v>183</v>
      </c>
      <c r="BA29" s="1" t="s">
        <v>167</v>
      </c>
      <c r="BB29" s="1" t="s">
        <v>168</v>
      </c>
      <c r="BC29" s="27" t="s">
        <v>247</v>
      </c>
      <c r="BD29" s="27" t="s">
        <v>248</v>
      </c>
      <c r="BE29" s="27" t="s">
        <v>249</v>
      </c>
      <c r="BF29" s="27" t="s">
        <v>250</v>
      </c>
      <c r="BH29" s="147"/>
      <c r="BI29" s="1" t="s">
        <v>176</v>
      </c>
      <c r="BJ29" s="27" t="s">
        <v>177</v>
      </c>
      <c r="BK29" s="27" t="s">
        <v>178</v>
      </c>
      <c r="BL29" s="27" t="s">
        <v>179</v>
      </c>
      <c r="BM29" s="37" t="s">
        <v>180</v>
      </c>
      <c r="BN29" s="27" t="s">
        <v>181</v>
      </c>
      <c r="BO29" s="27" t="s">
        <v>182</v>
      </c>
      <c r="BQ29" s="147"/>
      <c r="BR29" s="1" t="s">
        <v>176</v>
      </c>
      <c r="BS29" s="27" t="s">
        <v>177</v>
      </c>
      <c r="BT29" s="27" t="s">
        <v>178</v>
      </c>
      <c r="BU29" s="27" t="s">
        <v>179</v>
      </c>
      <c r="BV29" s="37" t="s">
        <v>180</v>
      </c>
      <c r="BW29" s="27" t="s">
        <v>181</v>
      </c>
      <c r="BX29" s="27" t="s">
        <v>182</v>
      </c>
    </row>
    <row r="30" spans="2:76" x14ac:dyDescent="0.35">
      <c r="B30" s="41" t="s">
        <v>493</v>
      </c>
      <c r="C30" s="42">
        <v>25.93</v>
      </c>
      <c r="D30" s="42">
        <v>24.49</v>
      </c>
      <c r="E30" s="42">
        <v>26.41</v>
      </c>
      <c r="F30" s="42">
        <v>28.09</v>
      </c>
      <c r="G30" s="42">
        <v>25.57</v>
      </c>
      <c r="H30" s="42">
        <v>32.61</v>
      </c>
      <c r="I30" s="42">
        <v>26.01</v>
      </c>
      <c r="J30" s="42">
        <v>29.56</v>
      </c>
      <c r="L30" s="39" t="s">
        <v>191</v>
      </c>
      <c r="M30" s="40">
        <f t="shared" si="37"/>
        <v>26.315900812329332</v>
      </c>
      <c r="N30" s="40">
        <f t="shared" si="19"/>
        <v>26.77</v>
      </c>
      <c r="O30" s="40">
        <f t="shared" si="20"/>
        <v>26.371879360472047</v>
      </c>
      <c r="P30" s="40">
        <f t="shared" si="21"/>
        <v>28.130970694145883</v>
      </c>
      <c r="Q30" s="40">
        <f t="shared" si="38"/>
        <v>25.63590464664772</v>
      </c>
      <c r="R30" s="40" t="e">
        <f t="shared" si="39"/>
        <v>#VALUE!</v>
      </c>
      <c r="S30" s="40">
        <f t="shared" si="40"/>
        <v>28.664573775378145</v>
      </c>
      <c r="T30" s="40">
        <f t="shared" si="41"/>
        <v>30.471959542569262</v>
      </c>
      <c r="AH30" s="35" t="s">
        <v>171</v>
      </c>
      <c r="AI30" s="38">
        <f t="shared" ref="AI30:AI44" si="43">Z12-X12</f>
        <v>1.4209931234745419</v>
      </c>
      <c r="AJ30" s="38">
        <f t="shared" ref="AJ30:AJ44" si="44">AA12-$X12</f>
        <v>4.0322245406406871</v>
      </c>
      <c r="AK30" s="38">
        <f t="shared" ref="AK30:AK44" si="45">AB12-$X12</f>
        <v>-0.78652694924769051</v>
      </c>
      <c r="AL30" s="38">
        <f t="shared" ref="AL30:AL44" si="46">AC12-$X12</f>
        <v>10.226056216045443</v>
      </c>
      <c r="AM30" s="38">
        <f t="shared" ref="AM30:AM44" si="47">AD12-$X12</f>
        <v>2.6687716399422676</v>
      </c>
      <c r="AN30" s="38">
        <f t="shared" ref="AN30:AN44" si="48">AE12-$X12</f>
        <v>6.6009912701403266</v>
      </c>
      <c r="AQ30" s="35" t="s">
        <v>171</v>
      </c>
      <c r="AR30" s="36">
        <f t="shared" ref="AR30:AR44" si="49">POWER(2,-AI30)</f>
        <v>0.37345514432696247</v>
      </c>
      <c r="AS30" s="36">
        <f t="shared" ref="AS30:AS44" si="50">POWER(2,-AJ30)</f>
        <v>6.1119453735972148E-2</v>
      </c>
      <c r="AT30" s="36">
        <f t="shared" ref="AT30:AT44" si="51">POWER(2,-AK30)</f>
        <v>1.7249170067647224</v>
      </c>
      <c r="AU30" s="36">
        <f t="shared" ref="AU30:AU44" si="52">POWER(2,-AL30)</f>
        <v>8.3493052981624893E-4</v>
      </c>
      <c r="AV30" s="36">
        <f t="shared" ref="AV30:AV44" si="53">POWER(2,-AM30)</f>
        <v>0.15726051182464537</v>
      </c>
      <c r="AW30" s="36">
        <f t="shared" ref="AW30:AW44" si="54">POWER(2,-AN30)</f>
        <v>1.030157494866263E-2</v>
      </c>
      <c r="AZ30" s="35" t="s">
        <v>171</v>
      </c>
      <c r="BA30" s="36">
        <f t="shared" ref="BA30:BF30" si="55">AVERAGEA(AR30:AR32)</f>
        <v>1.5937631347297996</v>
      </c>
      <c r="BB30" s="36">
        <f t="shared" si="55"/>
        <v>0.27582197189604235</v>
      </c>
      <c r="BC30" s="36">
        <f t="shared" si="55"/>
        <v>8.4761025596326238</v>
      </c>
      <c r="BD30" s="36">
        <f t="shared" si="55"/>
        <v>7.4533231227426582E-4</v>
      </c>
      <c r="BE30" s="36">
        <f t="shared" si="55"/>
        <v>0.74098621967929124</v>
      </c>
      <c r="BF30" s="36">
        <f t="shared" si="55"/>
        <v>3.1292222872403047E-2</v>
      </c>
      <c r="BH30" s="147"/>
      <c r="BI30" s="35" t="s">
        <v>171</v>
      </c>
      <c r="BJ30" s="36">
        <f>STDEV(AR30:AR32)</f>
        <v>1.7876503862124893</v>
      </c>
      <c r="BK30" s="36">
        <f>BA30-CONFIDENCE(0.05,BJ30,3)</f>
        <v>-0.42911653982401199</v>
      </c>
      <c r="BL30" s="36">
        <f>BA30+CONFIDENCE(0.05,BJ30,3)</f>
        <v>3.6166428092836114</v>
      </c>
      <c r="BM30" s="125">
        <f>BA30/BA34</f>
        <v>12.339309595043952</v>
      </c>
      <c r="BN30" s="36">
        <f>BK30/BA33</f>
        <v>-2.0377633551590302</v>
      </c>
      <c r="BO30" s="36">
        <f>BL30/BA33</f>
        <v>17.174500401406242</v>
      </c>
      <c r="BQ30" s="147"/>
      <c r="BR30" s="35" t="s">
        <v>171</v>
      </c>
      <c r="BS30" s="36">
        <f>STDEV(AS30:AS32)</f>
        <v>0.34054573116227593</v>
      </c>
      <c r="BT30" s="36">
        <f>BB30-CONFIDENCE(0.05,BS30,3)</f>
        <v>-0.10953471928772818</v>
      </c>
      <c r="BU30" s="36">
        <f>BB30+CONFIDENCE(0.05,BS30,3)</f>
        <v>0.66117866307981288</v>
      </c>
      <c r="BV30" s="125">
        <f>BB30/BB34</f>
        <v>6.5438671230224683</v>
      </c>
      <c r="BW30" s="36">
        <f>BT30/BB33</f>
        <v>-1.6299157279552747</v>
      </c>
      <c r="BX30" s="36">
        <f>BU30/BB33</f>
        <v>9.8385745538032872</v>
      </c>
    </row>
    <row r="31" spans="2:76" x14ac:dyDescent="0.35">
      <c r="B31" s="41" t="s">
        <v>493</v>
      </c>
      <c r="C31" s="42">
        <v>25.8</v>
      </c>
      <c r="D31" s="42">
        <v>24.31</v>
      </c>
      <c r="E31" s="42">
        <v>26.35</v>
      </c>
      <c r="F31" s="42">
        <v>27.87</v>
      </c>
      <c r="G31" s="42">
        <v>25.71</v>
      </c>
      <c r="H31" s="42">
        <v>32.700000000000003</v>
      </c>
      <c r="I31" s="42">
        <v>26</v>
      </c>
      <c r="J31" s="42">
        <v>29.02</v>
      </c>
      <c r="L31" s="39" t="s">
        <v>192</v>
      </c>
      <c r="M31" s="40">
        <f t="shared" si="37"/>
        <v>25.776182903165576</v>
      </c>
      <c r="N31" s="40">
        <f t="shared" si="19"/>
        <v>25.54</v>
      </c>
      <c r="O31" s="40">
        <f t="shared" si="20"/>
        <v>24.983885709920887</v>
      </c>
      <c r="P31" s="40">
        <f t="shared" si="21"/>
        <v>26.645639383859191</v>
      </c>
      <c r="Q31" s="40">
        <f t="shared" si="38"/>
        <v>24.917053715186732</v>
      </c>
      <c r="R31" s="40">
        <f t="shared" si="39"/>
        <v>33.989554036104806</v>
      </c>
      <c r="S31" s="40">
        <f t="shared" si="40"/>
        <v>28.008707683743463</v>
      </c>
      <c r="T31" s="40">
        <f t="shared" si="41"/>
        <v>31.182471571312259</v>
      </c>
      <c r="AH31" s="35" t="s">
        <v>187</v>
      </c>
      <c r="AI31" s="38">
        <f t="shared" si="43"/>
        <v>0.39194356071219261</v>
      </c>
      <c r="AJ31" s="38">
        <f t="shared" si="44"/>
        <v>3.3530045494781398</v>
      </c>
      <c r="AK31" s="38">
        <f t="shared" si="45"/>
        <v>-2.7872120972093022</v>
      </c>
      <c r="AL31" s="38">
        <f t="shared" si="46"/>
        <v>11.285572548292265</v>
      </c>
      <c r="AM31" s="38">
        <f t="shared" si="47"/>
        <v>2.1621141189755804</v>
      </c>
      <c r="AN31" s="38">
        <f t="shared" si="48"/>
        <v>7.3678549315651338</v>
      </c>
      <c r="AQ31" s="35" t="s">
        <v>187</v>
      </c>
      <c r="AR31" s="36">
        <f t="shared" si="49"/>
        <v>0.76210222858468768</v>
      </c>
      <c r="AS31" s="36">
        <f t="shared" si="50"/>
        <v>9.7868978405873636E-2</v>
      </c>
      <c r="AT31" s="36">
        <f t="shared" si="51"/>
        <v>6.902945515401111</v>
      </c>
      <c r="AU31" s="36">
        <f t="shared" si="52"/>
        <v>4.0059372740585829E-4</v>
      </c>
      <c r="AV31" s="36">
        <f t="shared" si="53"/>
        <v>0.22342861640819275</v>
      </c>
      <c r="AW31" s="36">
        <f t="shared" si="54"/>
        <v>6.0541706997406432E-3</v>
      </c>
      <c r="AZ31" s="39" t="s">
        <v>186</v>
      </c>
      <c r="BA31" s="40">
        <f t="shared" ref="BA31:BF31" si="56">AVERAGEA(AR33:AR35)</f>
        <v>1.3664978879372176</v>
      </c>
      <c r="BB31" s="40">
        <f t="shared" si="56"/>
        <v>0.43474485846388039</v>
      </c>
      <c r="BC31" s="40">
        <f t="shared" si="56"/>
        <v>1.9351040440541321</v>
      </c>
      <c r="BD31" s="40">
        <f t="shared" si="56"/>
        <v>1.3555191797455098E-3</v>
      </c>
      <c r="BE31" s="40">
        <f t="shared" si="56"/>
        <v>0.15319639511537328</v>
      </c>
      <c r="BF31" s="40">
        <f t="shared" si="56"/>
        <v>3.3883759610366042E-2</v>
      </c>
      <c r="BH31" s="147"/>
      <c r="BI31" s="39" t="s">
        <v>186</v>
      </c>
      <c r="BJ31" s="40">
        <f>STDEV(AR33:AR35)</f>
        <v>0.61913894192635233</v>
      </c>
      <c r="BK31" s="40">
        <f>BA31-CONFIDENCE(0.05,BJ31,3)</f>
        <v>0.66588909384234207</v>
      </c>
      <c r="BL31" s="40">
        <f>BA31+CONFIDENCE(0.05,BJ31,3)</f>
        <v>2.0671066820320929</v>
      </c>
      <c r="BM31" s="125">
        <f>BA31/BA34</f>
        <v>10.579765670818871</v>
      </c>
      <c r="BN31" s="40">
        <f>BK31/BA33</f>
        <v>3.1621349169819348</v>
      </c>
      <c r="BO31" s="40">
        <f>BL31/BA33</f>
        <v>9.8161544870232529</v>
      </c>
      <c r="BQ31" s="147"/>
      <c r="BR31" s="39" t="s">
        <v>186</v>
      </c>
      <c r="BS31" s="40">
        <f>STDEV(AS33:AS35)</f>
        <v>0.11252248960497119</v>
      </c>
      <c r="BT31" s="40">
        <f>BB31-CONFIDENCE(0.05,BS31,3)</f>
        <v>0.30741601446416067</v>
      </c>
      <c r="BU31" s="40">
        <f>BB31+CONFIDENCE(0.05,BS31,3)</f>
        <v>0.56207370246360011</v>
      </c>
      <c r="BV31" s="125">
        <f>BB31/BB34</f>
        <v>10.314307328921187</v>
      </c>
      <c r="BW31" s="40">
        <f>BT31/BB33</f>
        <v>4.5744600457162869</v>
      </c>
      <c r="BX31" s="40">
        <f>BU31/BB33</f>
        <v>8.3638573584048519</v>
      </c>
    </row>
    <row r="32" spans="2:76" x14ac:dyDescent="0.35">
      <c r="B32" s="41" t="s">
        <v>493</v>
      </c>
      <c r="C32" s="42">
        <v>25.55</v>
      </c>
      <c r="D32" s="42">
        <v>24.43</v>
      </c>
      <c r="E32" s="42">
        <v>26.45</v>
      </c>
      <c r="F32" s="42">
        <v>27.67</v>
      </c>
      <c r="G32" s="42">
        <v>25.8</v>
      </c>
      <c r="H32" s="42">
        <v>32.46</v>
      </c>
      <c r="I32" s="42">
        <v>26.13</v>
      </c>
      <c r="J32" s="42">
        <v>29.38</v>
      </c>
      <c r="L32" s="39" t="s">
        <v>192</v>
      </c>
      <c r="M32" s="40">
        <f t="shared" si="37"/>
        <v>25.571462316931047</v>
      </c>
      <c r="N32" s="40">
        <f t="shared" si="19"/>
        <v>25.44</v>
      </c>
      <c r="O32" s="40">
        <f t="shared" si="20"/>
        <v>24.794159959126123</v>
      </c>
      <c r="P32" s="40">
        <f t="shared" si="21"/>
        <v>26.434882914156351</v>
      </c>
      <c r="Q32" s="40">
        <f t="shared" si="38"/>
        <v>24.777017819447575</v>
      </c>
      <c r="R32" s="40">
        <f t="shared" si="39"/>
        <v>33.88320374187419</v>
      </c>
      <c r="S32" s="40">
        <f t="shared" si="40"/>
        <v>27.997955780601909</v>
      </c>
      <c r="T32" s="40">
        <f t="shared" si="41"/>
        <v>30.081678287344239</v>
      </c>
      <c r="AH32" s="35" t="s">
        <v>188</v>
      </c>
      <c r="AI32" s="38">
        <f t="shared" si="43"/>
        <v>-1.8662085242530217</v>
      </c>
      <c r="AJ32" s="38">
        <f t="shared" si="44"/>
        <v>0.58104912832071776</v>
      </c>
      <c r="AK32" s="38">
        <f t="shared" si="45"/>
        <v>-4.0704275550878997</v>
      </c>
      <c r="AL32" s="38">
        <f t="shared" si="46"/>
        <v>9.9651025132632682</v>
      </c>
      <c r="AM32" s="38">
        <f t="shared" si="47"/>
        <v>-0.88148414845924705</v>
      </c>
      <c r="AN32" s="38">
        <f t="shared" si="48"/>
        <v>3.6892704421049061</v>
      </c>
      <c r="AQ32" s="35" t="s">
        <v>188</v>
      </c>
      <c r="AR32" s="36">
        <f t="shared" si="49"/>
        <v>3.6457320312777481</v>
      </c>
      <c r="AS32" s="36">
        <f t="shared" si="50"/>
        <v>0.66847748354628134</v>
      </c>
      <c r="AT32" s="36">
        <f t="shared" si="51"/>
        <v>16.800445156732042</v>
      </c>
      <c r="AU32" s="36">
        <f t="shared" si="52"/>
        <v>1.00047267960069E-3</v>
      </c>
      <c r="AV32" s="36">
        <f t="shared" si="53"/>
        <v>1.8422695308050359</v>
      </c>
      <c r="AW32" s="36">
        <f t="shared" si="54"/>
        <v>7.7520922968805861E-2</v>
      </c>
      <c r="AZ32" s="41" t="s">
        <v>492</v>
      </c>
      <c r="BA32" s="42">
        <f t="shared" ref="BA32:BF32" si="57">AVERAGEA(AR36:AR38)</f>
        <v>0.19051292491176205</v>
      </c>
      <c r="BB32" s="42">
        <f t="shared" si="57"/>
        <v>6.3037349793223174E-2</v>
      </c>
      <c r="BC32" s="42">
        <f t="shared" si="57"/>
        <v>1.0070024417428547</v>
      </c>
      <c r="BD32" s="42">
        <f t="shared" si="57"/>
        <v>6.4603376595953057E-4</v>
      </c>
      <c r="BE32" s="42">
        <f t="shared" si="57"/>
        <v>6.5666509383658853E-2</v>
      </c>
      <c r="BF32" s="42">
        <f t="shared" si="57"/>
        <v>2.3076218969505607E-2</v>
      </c>
      <c r="BH32" s="147"/>
      <c r="BI32" s="41" t="s">
        <v>492</v>
      </c>
      <c r="BJ32" s="42">
        <f>STDEV(AR36:AR38)</f>
        <v>3.404718649543538E-3</v>
      </c>
      <c r="BK32" s="42">
        <f>BA32-CONFIDENCE(0.05,BJ32,3)</f>
        <v>0.1866601938593955</v>
      </c>
      <c r="BL32" s="42">
        <f>BA32+CONFIDENCE(0.05,BJ32,3)</f>
        <v>0.19436565596412861</v>
      </c>
      <c r="BM32" s="125">
        <f>BA32/BA34</f>
        <v>1.4749983301264769</v>
      </c>
      <c r="BN32" s="42">
        <f>BK32/BA33</f>
        <v>0.88640093684003118</v>
      </c>
      <c r="BO32" s="42">
        <f>BL32/BA33</f>
        <v>0.92299218153554285</v>
      </c>
      <c r="BQ32" s="147"/>
      <c r="BR32" s="41" t="s">
        <v>492</v>
      </c>
      <c r="BS32" s="42">
        <f>STDEV(AS36:AS38)</f>
        <v>3.9462389778734232E-3</v>
      </c>
      <c r="BT32" s="42">
        <f>BB32-CONFIDENCE(0.05,BS32,3)</f>
        <v>5.8571842062606273E-2</v>
      </c>
      <c r="BU32" s="42">
        <f>BB32+CONFIDENCE(0.05,BS32,3)</f>
        <v>6.7502857523840068E-2</v>
      </c>
      <c r="BV32" s="125">
        <f>BB32/BB34</f>
        <v>1.4955590303364779</v>
      </c>
      <c r="BW32" s="42">
        <f>BT32/BB33</f>
        <v>0.87156992060553018</v>
      </c>
      <c r="BX32" s="42">
        <f>BU32/BB33</f>
        <v>1.0044666191275629</v>
      </c>
    </row>
    <row r="33" spans="2:100" x14ac:dyDescent="0.35">
      <c r="B33" s="41" t="s">
        <v>494</v>
      </c>
      <c r="C33" s="42">
        <v>26.01</v>
      </c>
      <c r="D33" s="42">
        <v>24.59</v>
      </c>
      <c r="E33" s="42">
        <v>26.38</v>
      </c>
      <c r="F33" s="42">
        <v>27.93</v>
      </c>
      <c r="G33" s="42">
        <v>25.69</v>
      </c>
      <c r="H33" s="42">
        <v>32.94</v>
      </c>
      <c r="I33" s="42">
        <v>25.85</v>
      </c>
      <c r="J33" s="42">
        <v>29.23</v>
      </c>
      <c r="L33" s="39" t="s">
        <v>192</v>
      </c>
      <c r="M33" s="40">
        <f t="shared" si="37"/>
        <v>25.301603362349173</v>
      </c>
      <c r="N33" s="40">
        <f t="shared" si="19"/>
        <v>25.41</v>
      </c>
      <c r="O33" s="40">
        <f t="shared" si="20"/>
        <v>24.125127048428801</v>
      </c>
      <c r="P33" s="40">
        <f t="shared" si="21"/>
        <v>26.414810869422748</v>
      </c>
      <c r="Q33" s="40">
        <f t="shared" si="38"/>
        <v>24.89838226242151</v>
      </c>
      <c r="R33" s="40">
        <f t="shared" si="39"/>
        <v>33.915108830143375</v>
      </c>
      <c r="S33" s="40">
        <f t="shared" si="40"/>
        <v>29.094649901040231</v>
      </c>
      <c r="T33" s="40">
        <f t="shared" si="41"/>
        <v>29.871526842223073</v>
      </c>
      <c r="AH33" s="39" t="s">
        <v>186</v>
      </c>
      <c r="AI33" s="40">
        <f t="shared" si="43"/>
        <v>0.22333340710661531</v>
      </c>
      <c r="AJ33" s="40">
        <f t="shared" si="44"/>
        <v>1.4466992868863571</v>
      </c>
      <c r="AK33" s="40">
        <f t="shared" si="45"/>
        <v>-1.156965076518425</v>
      </c>
      <c r="AL33" s="40">
        <f t="shared" si="46"/>
        <v>10.695769337353195</v>
      </c>
      <c r="AM33" s="40">
        <f t="shared" si="47"/>
        <v>3.2400047540759402</v>
      </c>
      <c r="AN33" s="40">
        <f t="shared" si="48"/>
        <v>4.987023268958211</v>
      </c>
      <c r="AQ33" s="39" t="s">
        <v>186</v>
      </c>
      <c r="AR33" s="40">
        <f t="shared" si="49"/>
        <v>0.85658397516839768</v>
      </c>
      <c r="AS33" s="40">
        <f t="shared" si="50"/>
        <v>0.3668597957590321</v>
      </c>
      <c r="AT33" s="40">
        <f t="shared" si="51"/>
        <v>2.2298784578827169</v>
      </c>
      <c r="AU33" s="40">
        <f t="shared" si="52"/>
        <v>6.0291016037528555E-4</v>
      </c>
      <c r="AV33" s="40">
        <f t="shared" si="53"/>
        <v>0.10584281526362867</v>
      </c>
      <c r="AW33" s="40">
        <f t="shared" si="54"/>
        <v>3.1532354974095039E-2</v>
      </c>
      <c r="AZ33" s="43" t="s">
        <v>495</v>
      </c>
      <c r="BA33" s="44">
        <f t="shared" ref="BA33:BF33" si="58">AVERAGEA(AR39:AR41)</f>
        <v>0.21058212610292185</v>
      </c>
      <c r="BB33" s="44">
        <f t="shared" si="58"/>
        <v>6.7202688709028666E-2</v>
      </c>
      <c r="BC33" s="44">
        <f t="shared" si="58"/>
        <v>0.98108625478164446</v>
      </c>
      <c r="BD33" s="44">
        <f t="shared" si="58"/>
        <v>4.0935730743606007E-4</v>
      </c>
      <c r="BE33" s="44">
        <f t="shared" si="58"/>
        <v>8.8504194314943996E-2</v>
      </c>
      <c r="BF33" s="44">
        <f t="shared" si="58"/>
        <v>3.8655534657888131E-2</v>
      </c>
      <c r="BH33" s="147"/>
      <c r="BI33" s="43" t="s">
        <v>495</v>
      </c>
      <c r="BJ33" s="44">
        <f>STDEV(AR39:AR41)</f>
        <v>7.5491283634804798E-2</v>
      </c>
      <c r="BK33" s="44">
        <f>BA33-CONFIDENCE(0.05,BJ33,3)</f>
        <v>0.12515726649467879</v>
      </c>
      <c r="BL33" s="44">
        <f>BA33+CONFIDENCE(0.05,BJ33,3)</f>
        <v>0.2960069857111649</v>
      </c>
      <c r="BM33" s="125">
        <f>BA33/BA34</f>
        <v>1.6303790648332872</v>
      </c>
      <c r="BN33" s="44">
        <f>BK33/BA33</f>
        <v>0.59433945706060676</v>
      </c>
      <c r="BO33" s="44">
        <f>BL33/BA33</f>
        <v>1.4056605429393934</v>
      </c>
      <c r="BQ33" s="147"/>
      <c r="BR33" s="43" t="s">
        <v>495</v>
      </c>
      <c r="BS33" s="44">
        <f>STDEV(AS39:AS41)</f>
        <v>2.5427236663219357E-2</v>
      </c>
      <c r="BT33" s="44">
        <f>BB33-CONFIDENCE(0.05,BS33,3)</f>
        <v>3.8429590443951049E-2</v>
      </c>
      <c r="BU33" s="44">
        <f>BB33+CONFIDENCE(0.05,BS33,3)</f>
        <v>9.5975786974106275E-2</v>
      </c>
      <c r="BV33" s="125">
        <f>BB33/BB34</f>
        <v>1.5943815577805893</v>
      </c>
      <c r="BW33" s="44">
        <f>BT33/BB33</f>
        <v>0.57184602554135666</v>
      </c>
      <c r="BX33" s="44">
        <f>BU33/BB33</f>
        <v>1.4281539744586431</v>
      </c>
    </row>
    <row r="34" spans="2:100" x14ac:dyDescent="0.35">
      <c r="B34" s="41" t="s">
        <v>494</v>
      </c>
      <c r="C34" s="42">
        <v>26.37</v>
      </c>
      <c r="D34" s="42">
        <v>24.63</v>
      </c>
      <c r="E34" s="42">
        <v>26.86</v>
      </c>
      <c r="F34" s="42">
        <v>27.96</v>
      </c>
      <c r="G34" s="42">
        <v>25.4</v>
      </c>
      <c r="H34" s="42">
        <v>32.770000000000003</v>
      </c>
      <c r="I34" s="42">
        <v>26.11</v>
      </c>
      <c r="J34" s="42">
        <v>28.85</v>
      </c>
      <c r="L34" s="41" t="s">
        <v>492</v>
      </c>
      <c r="M34" s="42">
        <f t="shared" si="37"/>
        <v>24.575775829335843</v>
      </c>
      <c r="N34" s="42">
        <f t="shared" si="19"/>
        <v>25.26</v>
      </c>
      <c r="O34" s="42">
        <f t="shared" si="20"/>
        <v>26.761316427892879</v>
      </c>
      <c r="P34" s="42">
        <f t="shared" si="21"/>
        <v>28.592627723018769</v>
      </c>
      <c r="Q34" s="42">
        <f>G27*((LOG(1.91)/LOG(2)))</f>
        <v>24.618310470943204</v>
      </c>
      <c r="R34" s="42">
        <f>H27*((LOG(2.09)/LOG(2)))</f>
        <v>34.617020772065437</v>
      </c>
      <c r="S34" s="42">
        <f>I27*((LOG(2.107)/LOG(2)))</f>
        <v>28.137730521442091</v>
      </c>
      <c r="T34" s="42">
        <f>J27*((LOG(2.001)/LOG(2)))</f>
        <v>30.632074929328247</v>
      </c>
      <c r="AH34" s="39" t="s">
        <v>191</v>
      </c>
      <c r="AI34" s="40">
        <f t="shared" si="43"/>
        <v>-0.24791761176602023</v>
      </c>
      <c r="AJ34" s="40">
        <f t="shared" si="44"/>
        <v>1.4237407525760446</v>
      </c>
      <c r="AK34" s="40">
        <f t="shared" si="45"/>
        <v>-0.86601505396078693</v>
      </c>
      <c r="AL34" s="40">
        <f t="shared" si="46"/>
        <v>12.351740690956795</v>
      </c>
      <c r="AM34" s="40">
        <f t="shared" si="47"/>
        <v>2.3281811521697442</v>
      </c>
      <c r="AN34" s="40">
        <f t="shared" si="48"/>
        <v>4.9761112022980356</v>
      </c>
      <c r="AQ34" s="39" t="s">
        <v>191</v>
      </c>
      <c r="AR34" s="40">
        <f t="shared" si="49"/>
        <v>1.1874918498356026</v>
      </c>
      <c r="AS34" s="40">
        <f t="shared" si="50"/>
        <v>0.37274457162197616</v>
      </c>
      <c r="AT34" s="40">
        <f t="shared" si="51"/>
        <v>1.8226215795212857</v>
      </c>
      <c r="AU34" s="40">
        <f t="shared" si="52"/>
        <v>1.9131787716483755E-4</v>
      </c>
      <c r="AV34" s="40">
        <f t="shared" si="53"/>
        <v>0.19913501808990058</v>
      </c>
      <c r="AW34" s="40">
        <f t="shared" si="54"/>
        <v>3.1771759492767448E-2</v>
      </c>
      <c r="AZ34" s="45" t="s">
        <v>190</v>
      </c>
      <c r="BA34" s="46">
        <f t="shared" ref="BA34:BF34" si="59">AVERAGEA(AR42:AR44)</f>
        <v>0.12916145125088116</v>
      </c>
      <c r="BB34" s="46">
        <f t="shared" si="59"/>
        <v>4.2149690192463174E-2</v>
      </c>
      <c r="BC34" s="46">
        <f t="shared" si="59"/>
        <v>0.35833993890356597</v>
      </c>
      <c r="BD34" s="46">
        <f t="shared" si="59"/>
        <v>2.2441841291939637E-4</v>
      </c>
      <c r="BE34" s="46">
        <f t="shared" si="59"/>
        <v>8.1175348715899556E-2</v>
      </c>
      <c r="BF34" s="46">
        <f t="shared" si="59"/>
        <v>4.5501607483360899E-2</v>
      </c>
      <c r="BH34" s="147"/>
      <c r="BI34" s="45" t="s">
        <v>190</v>
      </c>
      <c r="BJ34" s="46">
        <f>STDEV(AR42:AR44)</f>
        <v>0.1288364126399541</v>
      </c>
      <c r="BK34" s="46">
        <f>BA34-CONFIDENCE(0.05,BJ34,3)</f>
        <v>-1.6627995322041844E-2</v>
      </c>
      <c r="BL34" s="46">
        <f>BA34+CONFIDENCE(0.05,BJ34,3)</f>
        <v>0.27495089782380416</v>
      </c>
      <c r="BM34" s="125">
        <f>BA34/BA34</f>
        <v>1</v>
      </c>
      <c r="BN34" s="46">
        <f>BK34/BA34</f>
        <v>-0.12873806511932023</v>
      </c>
      <c r="BO34" s="46">
        <f>BL34/BA34</f>
        <v>2.1287380651193204</v>
      </c>
      <c r="BQ34" s="147"/>
      <c r="BR34" s="45" t="s">
        <v>190</v>
      </c>
      <c r="BS34" s="46">
        <f>STDEV(AS42:AS44)</f>
        <v>3.5185630502238392E-2</v>
      </c>
      <c r="BT34" s="46">
        <f>BB34-CONFIDENCE(0.05,BS34,3)</f>
        <v>2.3341326716548108E-3</v>
      </c>
      <c r="BU34" s="46">
        <f>BB34+CONFIDENCE(0.05,BS34,3)</f>
        <v>8.1965247713271544E-2</v>
      </c>
      <c r="BV34" s="125">
        <f>BB34/BB34</f>
        <v>1</v>
      </c>
      <c r="BW34" s="46">
        <f>BT34/BB34</f>
        <v>5.5377220117081176E-2</v>
      </c>
      <c r="BX34" s="46">
        <f>BU34/BB34</f>
        <v>1.944622779882919</v>
      </c>
    </row>
    <row r="35" spans="2:100" x14ac:dyDescent="0.35">
      <c r="B35" s="41" t="s">
        <v>494</v>
      </c>
      <c r="C35" s="42">
        <v>25.6</v>
      </c>
      <c r="D35" s="42">
        <v>24.38</v>
      </c>
      <c r="E35" s="42">
        <v>26.69</v>
      </c>
      <c r="F35" s="42">
        <v>28.05</v>
      </c>
      <c r="G35" s="42">
        <v>25.71</v>
      </c>
      <c r="H35" s="42">
        <v>33.32</v>
      </c>
      <c r="I35" s="42">
        <v>26.04</v>
      </c>
      <c r="J35" s="42">
        <v>29.04</v>
      </c>
      <c r="L35" s="41" t="s">
        <v>492</v>
      </c>
      <c r="M35" s="42">
        <f t="shared" si="37"/>
        <v>24.324527837138923</v>
      </c>
      <c r="N35" s="42">
        <f t="shared" si="19"/>
        <v>25.31</v>
      </c>
      <c r="O35" s="42">
        <f t="shared" si="20"/>
        <v>26.761316427892879</v>
      </c>
      <c r="P35" s="42">
        <f t="shared" si="21"/>
        <v>28.371835230949127</v>
      </c>
      <c r="Q35" s="42">
        <f t="shared" ref="Q35:Q42" si="60">G28*((LOG(1.91)/LOG(2)))</f>
        <v>24.711667734769303</v>
      </c>
      <c r="R35" s="42">
        <f t="shared" ref="R35:R42" si="61">H28*((LOG(2.09)/LOG(2)))</f>
        <v>35.106232125526269</v>
      </c>
      <c r="S35" s="42">
        <f t="shared" ref="S35:S42" si="62">I28*((LOG(2.107)/LOG(2)))</f>
        <v>28.503295228254864</v>
      </c>
      <c r="T35" s="42">
        <f t="shared" ref="T35:T41" si="63">J28*((LOG(2.001)/LOG(2)))</f>
        <v>31.082399454587893</v>
      </c>
      <c r="AH35" s="39" t="s">
        <v>192</v>
      </c>
      <c r="AI35" s="40">
        <f t="shared" si="43"/>
        <v>-1.0394317042230412</v>
      </c>
      <c r="AJ35" s="40">
        <f t="shared" si="44"/>
        <v>0.82462177909778589</v>
      </c>
      <c r="AK35" s="40">
        <f t="shared" si="45"/>
        <v>-0.80967134436304278</v>
      </c>
      <c r="AL35" s="40">
        <f t="shared" si="46"/>
        <v>8.2554662593258072</v>
      </c>
      <c r="AM35" s="40">
        <f t="shared" si="47"/>
        <v>2.6932818450802252</v>
      </c>
      <c r="AN35" s="40">
        <f t="shared" si="48"/>
        <v>4.7047362902448775</v>
      </c>
      <c r="AQ35" s="39" t="s">
        <v>192</v>
      </c>
      <c r="AR35" s="40">
        <f t="shared" si="49"/>
        <v>2.0554178388076521</v>
      </c>
      <c r="AS35" s="40">
        <f t="shared" si="50"/>
        <v>0.56463020801063279</v>
      </c>
      <c r="AT35" s="40">
        <f t="shared" si="51"/>
        <v>1.7528120947583938</v>
      </c>
      <c r="AU35" s="40">
        <f t="shared" si="52"/>
        <v>3.2723295016964067E-3</v>
      </c>
      <c r="AV35" s="40">
        <f t="shared" si="53"/>
        <v>0.15461135199259063</v>
      </c>
      <c r="AW35" s="40">
        <f t="shared" si="54"/>
        <v>3.8347164364235624E-2</v>
      </c>
    </row>
    <row r="36" spans="2:100" x14ac:dyDescent="0.35">
      <c r="B36" s="43" t="s">
        <v>495</v>
      </c>
      <c r="C36" s="44">
        <v>25.62</v>
      </c>
      <c r="D36" s="44">
        <v>24.28</v>
      </c>
      <c r="E36" s="44">
        <v>25.94</v>
      </c>
      <c r="F36" s="44">
        <v>27.5</v>
      </c>
      <c r="G36" s="44">
        <v>25.18</v>
      </c>
      <c r="H36" s="44">
        <v>33.47</v>
      </c>
      <c r="I36" s="44">
        <v>26.5</v>
      </c>
      <c r="J36" s="44">
        <v>29.49</v>
      </c>
      <c r="L36" s="41" t="s">
        <v>492</v>
      </c>
      <c r="M36" s="42">
        <f t="shared" si="37"/>
        <v>24.28730591236901</v>
      </c>
      <c r="N36" s="42">
        <f t="shared" si="19"/>
        <v>25.4</v>
      </c>
      <c r="O36" s="42">
        <f t="shared" si="20"/>
        <v>26.761316427892879</v>
      </c>
      <c r="P36" s="42">
        <f t="shared" si="21"/>
        <v>28.432051365149938</v>
      </c>
      <c r="Q36" s="42">
        <f t="shared" si="60"/>
        <v>24.767682093064966</v>
      </c>
      <c r="R36" s="42">
        <f t="shared" si="61"/>
        <v>34.244794742258286</v>
      </c>
      <c r="S36" s="42">
        <f t="shared" si="62"/>
        <v>28.546302840821074</v>
      </c>
      <c r="T36" s="42">
        <f t="shared" si="63"/>
        <v>31.022356184553274</v>
      </c>
      <c r="AH36" s="41" t="s">
        <v>492</v>
      </c>
      <c r="AI36" s="42">
        <f t="shared" si="43"/>
        <v>2.365446568278287</v>
      </c>
      <c r="AJ36" s="42">
        <f t="shared" si="44"/>
        <v>4.0696349134246894</v>
      </c>
      <c r="AK36" s="42">
        <f t="shared" si="45"/>
        <v>0.30335023997789889</v>
      </c>
      <c r="AL36" s="42">
        <f t="shared" si="46"/>
        <v>10.260146020335405</v>
      </c>
      <c r="AM36" s="42">
        <f t="shared" si="47"/>
        <v>3.999906337224747</v>
      </c>
      <c r="AN36" s="42">
        <f t="shared" si="48"/>
        <v>6.5164069965418783</v>
      </c>
      <c r="AQ36" s="41" t="s">
        <v>492</v>
      </c>
      <c r="AR36" s="42">
        <f t="shared" si="49"/>
        <v>0.19405714148187436</v>
      </c>
      <c r="AS36" s="42">
        <f t="shared" si="50"/>
        <v>5.9554943869476608E-2</v>
      </c>
      <c r="AT36" s="42">
        <f t="shared" si="51"/>
        <v>0.81036836461516937</v>
      </c>
      <c r="AU36" s="42">
        <f t="shared" si="52"/>
        <v>8.1543300924269446E-4</v>
      </c>
      <c r="AV36" s="42">
        <f t="shared" si="53"/>
        <v>6.250405776225465E-2</v>
      </c>
      <c r="AW36" s="42">
        <f t="shared" si="54"/>
        <v>1.0923606069491672E-2</v>
      </c>
    </row>
    <row r="37" spans="2:100" x14ac:dyDescent="0.35">
      <c r="B37" s="43" t="s">
        <v>495</v>
      </c>
      <c r="C37" s="44">
        <v>25.79</v>
      </c>
      <c r="D37" s="44">
        <v>24.17</v>
      </c>
      <c r="E37" s="44">
        <v>26.24</v>
      </c>
      <c r="F37" s="44">
        <v>27.71</v>
      </c>
      <c r="G37" s="44">
        <v>25.35</v>
      </c>
      <c r="H37" s="44">
        <v>34.03</v>
      </c>
      <c r="I37" s="44">
        <v>26.34</v>
      </c>
      <c r="J37" s="44">
        <v>28.95</v>
      </c>
      <c r="L37" s="41" t="s">
        <v>493</v>
      </c>
      <c r="M37" s="42">
        <f t="shared" si="37"/>
        <v>24.129112732096875</v>
      </c>
      <c r="N37" s="42">
        <f t="shared" si="19"/>
        <v>24.49</v>
      </c>
      <c r="O37" s="42">
        <f t="shared" si="20"/>
        <v>26.371879360472047</v>
      </c>
      <c r="P37" s="42">
        <f t="shared" si="21"/>
        <v>28.191186828346694</v>
      </c>
      <c r="Q37" s="42">
        <f t="shared" si="60"/>
        <v>23.871452360334384</v>
      </c>
      <c r="R37" s="42">
        <f t="shared" si="61"/>
        <v>34.680830948603813</v>
      </c>
      <c r="S37" s="42">
        <f t="shared" si="62"/>
        <v>27.965700071177256</v>
      </c>
      <c r="T37" s="42">
        <f t="shared" si="63"/>
        <v>29.581317703722412</v>
      </c>
      <c r="AH37" s="41" t="s">
        <v>493</v>
      </c>
      <c r="AI37" s="42">
        <f t="shared" si="43"/>
        <v>2.3943027647597717</v>
      </c>
      <c r="AJ37" s="42">
        <f t="shared" si="44"/>
        <v>4.0061654660301791</v>
      </c>
      <c r="AK37" s="42">
        <f t="shared" si="45"/>
        <v>1.5673433895170064E-2</v>
      </c>
      <c r="AL37" s="42">
        <f t="shared" si="46"/>
        <v>10.688641337932953</v>
      </c>
      <c r="AM37" s="42">
        <f t="shared" si="47"/>
        <v>4.0342041642048727</v>
      </c>
      <c r="AN37" s="42">
        <f t="shared" si="48"/>
        <v>5.3702250717591937</v>
      </c>
      <c r="AQ37" s="41" t="s">
        <v>493</v>
      </c>
      <c r="AR37" s="42">
        <f t="shared" si="49"/>
        <v>0.1902142499508355</v>
      </c>
      <c r="AS37" s="42">
        <f t="shared" si="50"/>
        <v>6.223347145832446E-2</v>
      </c>
      <c r="AT37" s="42">
        <f t="shared" si="51"/>
        <v>0.98919480356873102</v>
      </c>
      <c r="AU37" s="42">
        <f t="shared" si="52"/>
        <v>6.0589636134429008E-4</v>
      </c>
      <c r="AV37" s="42">
        <f t="shared" si="53"/>
        <v>6.1035644938192885E-2</v>
      </c>
      <c r="AW37" s="42">
        <f t="shared" si="54"/>
        <v>2.4176930938726325E-2</v>
      </c>
    </row>
    <row r="38" spans="2:100" x14ac:dyDescent="0.35">
      <c r="B38" s="43" t="s">
        <v>495</v>
      </c>
      <c r="C38" s="44">
        <v>25.48</v>
      </c>
      <c r="D38" s="44">
        <v>24.45</v>
      </c>
      <c r="E38" s="44">
        <v>26.29</v>
      </c>
      <c r="F38" s="44">
        <v>27.66</v>
      </c>
      <c r="G38" s="44">
        <v>25.34</v>
      </c>
      <c r="H38" s="44">
        <v>32.94</v>
      </c>
      <c r="I38" s="44">
        <v>26.43</v>
      </c>
      <c r="J38" s="44">
        <v>29.75</v>
      </c>
      <c r="L38" s="41" t="s">
        <v>493</v>
      </c>
      <c r="M38" s="42">
        <f t="shared" si="37"/>
        <v>24.008141476594652</v>
      </c>
      <c r="N38" s="42">
        <f t="shared" si="19"/>
        <v>24.31</v>
      </c>
      <c r="O38" s="42">
        <f t="shared" si="20"/>
        <v>26.31196596548423</v>
      </c>
      <c r="P38" s="42">
        <f t="shared" si="21"/>
        <v>27.97039433627705</v>
      </c>
      <c r="Q38" s="42">
        <f t="shared" si="60"/>
        <v>24.002152529690928</v>
      </c>
      <c r="R38" s="42">
        <f t="shared" si="61"/>
        <v>34.776546213411365</v>
      </c>
      <c r="S38" s="42">
        <f t="shared" si="62"/>
        <v>27.954948168035699</v>
      </c>
      <c r="T38" s="42">
        <f t="shared" si="63"/>
        <v>29.040928273410838</v>
      </c>
      <c r="AH38" s="41" t="s">
        <v>494</v>
      </c>
      <c r="AI38" s="42">
        <f t="shared" si="43"/>
        <v>2.4168284502198851</v>
      </c>
      <c r="AJ38" s="42">
        <f t="shared" si="44"/>
        <v>3.8927431359959677</v>
      </c>
      <c r="AK38" s="42">
        <f t="shared" si="45"/>
        <v>-0.28858790683369406</v>
      </c>
      <c r="AL38" s="42">
        <f t="shared" si="46"/>
        <v>10.91818467921037</v>
      </c>
      <c r="AM38" s="42">
        <f t="shared" si="47"/>
        <v>3.766900721719793</v>
      </c>
      <c r="AN38" s="42">
        <f t="shared" si="48"/>
        <v>4.8728952504398073</v>
      </c>
      <c r="AQ38" s="41" t="s">
        <v>494</v>
      </c>
      <c r="AR38" s="42">
        <f t="shared" si="49"/>
        <v>0.18726738330257631</v>
      </c>
      <c r="AS38" s="42">
        <f t="shared" si="50"/>
        <v>6.7323634051868447E-2</v>
      </c>
      <c r="AT38" s="42">
        <f t="shared" si="51"/>
        <v>1.2214441570446635</v>
      </c>
      <c r="AU38" s="42">
        <f t="shared" si="52"/>
        <v>5.1677192729160729E-4</v>
      </c>
      <c r="AV38" s="42">
        <f t="shared" si="53"/>
        <v>7.3459825450529023E-2</v>
      </c>
      <c r="AW38" s="42">
        <f t="shared" si="54"/>
        <v>3.4128119900298827E-2</v>
      </c>
    </row>
    <row r="39" spans="2:100" x14ac:dyDescent="0.35">
      <c r="B39" s="43" t="s">
        <v>496</v>
      </c>
      <c r="C39" s="44">
        <v>26.27</v>
      </c>
      <c r="D39" s="44">
        <v>25.2</v>
      </c>
      <c r="E39" s="44">
        <v>26.56</v>
      </c>
      <c r="F39" s="44">
        <v>28.01</v>
      </c>
      <c r="G39" s="44">
        <v>25.29</v>
      </c>
      <c r="H39" s="44">
        <v>32.58</v>
      </c>
      <c r="I39" s="44">
        <v>25.2</v>
      </c>
      <c r="J39" s="44">
        <v>28.3</v>
      </c>
      <c r="L39" s="41" t="s">
        <v>493</v>
      </c>
      <c r="M39" s="42">
        <f t="shared" si="37"/>
        <v>23.775504446782691</v>
      </c>
      <c r="N39" s="42">
        <f t="shared" si="19"/>
        <v>24.43</v>
      </c>
      <c r="O39" s="42">
        <f t="shared" si="20"/>
        <v>26.411821623797259</v>
      </c>
      <c r="P39" s="42">
        <f t="shared" si="21"/>
        <v>27.769673888941014</v>
      </c>
      <c r="Q39" s="42">
        <f t="shared" si="60"/>
        <v>24.086174067134419</v>
      </c>
      <c r="R39" s="42">
        <f t="shared" si="61"/>
        <v>34.521305507257885</v>
      </c>
      <c r="S39" s="42">
        <f t="shared" si="62"/>
        <v>28.094722908875877</v>
      </c>
      <c r="T39" s="42">
        <f t="shared" si="63"/>
        <v>29.401187893618555</v>
      </c>
      <c r="AH39" s="43" t="s">
        <v>495</v>
      </c>
      <c r="AI39" s="44">
        <f t="shared" si="43"/>
        <v>2.278268877615659</v>
      </c>
      <c r="AJ39" s="44">
        <f t="shared" si="44"/>
        <v>3.8821963027658946</v>
      </c>
      <c r="AK39" s="44">
        <f t="shared" si="45"/>
        <v>-0.23059079350873901</v>
      </c>
      <c r="AL39" s="44">
        <f t="shared" si="46"/>
        <v>11.765435693280132</v>
      </c>
      <c r="AM39" s="44">
        <f t="shared" si="47"/>
        <v>4.5694692525647049</v>
      </c>
      <c r="AN39" s="44">
        <f t="shared" si="48"/>
        <v>5.57722376460924</v>
      </c>
      <c r="AQ39" s="43" t="s">
        <v>495</v>
      </c>
      <c r="AR39" s="44">
        <f t="shared" si="49"/>
        <v>0.20614496397213369</v>
      </c>
      <c r="AS39" s="44">
        <f t="shared" si="50"/>
        <v>6.781760739616044E-2</v>
      </c>
      <c r="AT39" s="44">
        <f t="shared" si="51"/>
        <v>1.1733153315364371</v>
      </c>
      <c r="AU39" s="44">
        <f t="shared" si="52"/>
        <v>2.8724398573131327E-4</v>
      </c>
      <c r="AV39" s="44">
        <f t="shared" si="53"/>
        <v>4.2116540516718447E-2</v>
      </c>
      <c r="AW39" s="44">
        <f t="shared" si="54"/>
        <v>2.0945385324359501E-2</v>
      </c>
    </row>
    <row r="40" spans="2:100" x14ac:dyDescent="0.35">
      <c r="B40" s="43" t="s">
        <v>496</v>
      </c>
      <c r="C40" s="44">
        <v>26.47</v>
      </c>
      <c r="D40" s="44">
        <v>24.76</v>
      </c>
      <c r="E40" s="44">
        <v>26.35</v>
      </c>
      <c r="F40" s="44">
        <v>27.96</v>
      </c>
      <c r="G40" s="44">
        <v>26.47</v>
      </c>
      <c r="H40" s="44">
        <v>33.74</v>
      </c>
      <c r="I40" s="44">
        <v>25.24</v>
      </c>
      <c r="J40" s="44">
        <v>29.01</v>
      </c>
      <c r="L40" s="41" t="s">
        <v>494</v>
      </c>
      <c r="M40" s="42">
        <f t="shared" si="37"/>
        <v>24.203556581636704</v>
      </c>
      <c r="N40" s="42">
        <f t="shared" si="19"/>
        <v>24.59</v>
      </c>
      <c r="O40" s="42">
        <f t="shared" si="20"/>
        <v>26.341922662978138</v>
      </c>
      <c r="P40" s="42">
        <f t="shared" si="21"/>
        <v>28.03061047047786</v>
      </c>
      <c r="Q40" s="42">
        <f t="shared" si="60"/>
        <v>23.983481076925706</v>
      </c>
      <c r="R40" s="42">
        <f t="shared" si="61"/>
        <v>35.031786919564837</v>
      </c>
      <c r="S40" s="42">
        <f t="shared" si="62"/>
        <v>27.793669620912418</v>
      </c>
      <c r="T40" s="42">
        <f t="shared" si="63"/>
        <v>29.251079718532008</v>
      </c>
      <c r="AH40" s="43" t="s">
        <v>496</v>
      </c>
      <c r="AI40" s="44">
        <f t="shared" si="43"/>
        <v>1.7948871643592668</v>
      </c>
      <c r="AJ40" s="44">
        <f t="shared" si="44"/>
        <v>3.4372615850140669</v>
      </c>
      <c r="AK40" s="44">
        <f t="shared" si="45"/>
        <v>-0.29642145543975928</v>
      </c>
      <c r="AL40" s="44">
        <f t="shared" si="46"/>
        <v>10.207861760112493</v>
      </c>
      <c r="AM40" s="44">
        <f t="shared" si="47"/>
        <v>2.4804159149743583</v>
      </c>
      <c r="AN40" s="44">
        <f t="shared" si="48"/>
        <v>3.8703335875684672</v>
      </c>
      <c r="AQ40" s="43" t="s">
        <v>496</v>
      </c>
      <c r="AR40" s="44">
        <f t="shared" si="49"/>
        <v>0.28819412597260802</v>
      </c>
      <c r="AS40" s="44">
        <f t="shared" si="50"/>
        <v>9.2316888842836176E-2</v>
      </c>
      <c r="AT40" s="44">
        <f t="shared" si="51"/>
        <v>1.2280943955309638</v>
      </c>
      <c r="AU40" s="44">
        <f t="shared" si="52"/>
        <v>8.4552687976679087E-4</v>
      </c>
      <c r="AV40" s="44">
        <f t="shared" si="53"/>
        <v>0.17919273902776478</v>
      </c>
      <c r="AW40" s="44">
        <f t="shared" si="54"/>
        <v>6.8377543883843331E-2</v>
      </c>
    </row>
    <row r="41" spans="2:100" x14ac:dyDescent="0.35">
      <c r="B41" s="43" t="s">
        <v>496</v>
      </c>
      <c r="C41" s="44">
        <v>26.73</v>
      </c>
      <c r="D41" s="44">
        <v>25.08</v>
      </c>
      <c r="E41" s="44">
        <v>26.54</v>
      </c>
      <c r="F41" s="44">
        <v>27.99</v>
      </c>
      <c r="G41" s="44">
        <v>26.5</v>
      </c>
      <c r="H41" s="44">
        <v>32.01</v>
      </c>
      <c r="I41" s="44">
        <v>25.26</v>
      </c>
      <c r="J41" s="44">
        <v>28.19</v>
      </c>
      <c r="L41" s="41" t="s">
        <v>494</v>
      </c>
      <c r="M41" s="42">
        <f t="shared" si="37"/>
        <v>24.53855390456593</v>
      </c>
      <c r="N41" s="42">
        <f t="shared" si="19"/>
        <v>24.63</v>
      </c>
      <c r="O41" s="42">
        <f t="shared" si="20"/>
        <v>26.821229822880696</v>
      </c>
      <c r="P41" s="42">
        <f t="shared" si="21"/>
        <v>28.060718537578268</v>
      </c>
      <c r="Q41" s="42">
        <f t="shared" si="60"/>
        <v>23.712745011830009</v>
      </c>
      <c r="R41" s="42">
        <f t="shared" si="61"/>
        <v>34.850991419372797</v>
      </c>
      <c r="S41" s="42">
        <f t="shared" si="62"/>
        <v>28.073219102592773</v>
      </c>
      <c r="T41" s="42">
        <f t="shared" si="63"/>
        <v>28.870805674979419</v>
      </c>
      <c r="AH41" s="43" t="s">
        <v>497</v>
      </c>
      <c r="AI41" s="44">
        <f t="shared" si="43"/>
        <v>2.863469565201779</v>
      </c>
      <c r="AJ41" s="44">
        <f t="shared" si="44"/>
        <v>4.5916639554515335</v>
      </c>
      <c r="AK41" s="44">
        <f t="shared" si="45"/>
        <v>0.88403713169853759</v>
      </c>
      <c r="AL41" s="44">
        <f t="shared" si="46"/>
        <v>13.35714826191542</v>
      </c>
      <c r="AM41" s="44">
        <f t="shared" si="47"/>
        <v>4.4997020006734481</v>
      </c>
      <c r="AN41" s="44">
        <f t="shared" si="48"/>
        <v>5.2300631133607425</v>
      </c>
      <c r="AQ41" s="43" t="s">
        <v>497</v>
      </c>
      <c r="AR41" s="44">
        <f t="shared" si="49"/>
        <v>0.13740728836402388</v>
      </c>
      <c r="AS41" s="44">
        <f t="shared" si="50"/>
        <v>4.1473569888089368E-2</v>
      </c>
      <c r="AT41" s="44">
        <f t="shared" si="51"/>
        <v>0.5418490372775322</v>
      </c>
      <c r="AU41" s="44">
        <f t="shared" si="52"/>
        <v>9.5301056810076176E-5</v>
      </c>
      <c r="AV41" s="44">
        <f t="shared" si="53"/>
        <v>4.4203303400348753E-2</v>
      </c>
      <c r="AW41" s="44">
        <f t="shared" si="54"/>
        <v>2.6643674765461551E-2</v>
      </c>
    </row>
    <row r="42" spans="2:100" x14ac:dyDescent="0.35">
      <c r="B42" s="43" t="s">
        <v>497</v>
      </c>
      <c r="C42" s="44">
        <v>25.68</v>
      </c>
      <c r="D42" s="44">
        <v>24.75</v>
      </c>
      <c r="E42" s="44">
        <v>26.83</v>
      </c>
      <c r="F42" s="44">
        <v>28.35</v>
      </c>
      <c r="G42" s="44">
        <v>26.53</v>
      </c>
      <c r="H42" s="44">
        <v>34.71</v>
      </c>
      <c r="I42" s="44">
        <v>26.42</v>
      </c>
      <c r="J42" s="44">
        <v>29.67</v>
      </c>
      <c r="L42" s="41" t="s">
        <v>494</v>
      </c>
      <c r="M42" s="42">
        <f t="shared" si="37"/>
        <v>23.822031852745084</v>
      </c>
      <c r="N42" s="42">
        <f t="shared" si="19"/>
        <v>24.38</v>
      </c>
      <c r="O42" s="42">
        <f t="shared" si="20"/>
        <v>26.651475203748543</v>
      </c>
      <c r="P42" s="42">
        <f t="shared" si="21"/>
        <v>28.151042738879486</v>
      </c>
      <c r="Q42" s="42">
        <f t="shared" si="60"/>
        <v>24.002152529690928</v>
      </c>
      <c r="R42" s="42">
        <f t="shared" si="61"/>
        <v>35.43591803764118</v>
      </c>
      <c r="S42" s="42">
        <f t="shared" si="62"/>
        <v>27.997955780601909</v>
      </c>
      <c r="T42" s="42">
        <f>J35*((LOG(2.001)/LOG(2)))</f>
        <v>29.06094269675571</v>
      </c>
      <c r="AH42" s="45" t="s">
        <v>190</v>
      </c>
      <c r="AI42" s="46">
        <f t="shared" si="43"/>
        <v>1.8705982174990048</v>
      </c>
      <c r="AJ42" s="46">
        <f t="shared" si="44"/>
        <v>3.6340488508691706</v>
      </c>
      <c r="AK42" s="46">
        <f t="shared" si="45"/>
        <v>0.5535295244282068</v>
      </c>
      <c r="AL42" s="46">
        <f t="shared" si="46"/>
        <v>10.903163940686529</v>
      </c>
      <c r="AM42" s="46">
        <f t="shared" si="47"/>
        <v>2.6789113872644172</v>
      </c>
      <c r="AN42" s="46">
        <f t="shared" si="48"/>
        <v>3.2567930011258071</v>
      </c>
      <c r="AQ42" s="45" t="s">
        <v>190</v>
      </c>
      <c r="AR42" s="46">
        <f t="shared" si="49"/>
        <v>0.27346001085125043</v>
      </c>
      <c r="AS42" s="46">
        <f t="shared" si="50"/>
        <v>8.05456870143373E-2</v>
      </c>
      <c r="AT42" s="46">
        <f t="shared" si="51"/>
        <v>0.68135117571963855</v>
      </c>
      <c r="AU42" s="46">
        <f t="shared" si="52"/>
        <v>5.2218044764686458E-4</v>
      </c>
      <c r="AV42" s="46">
        <f t="shared" si="53"/>
        <v>0.15615910696491031</v>
      </c>
      <c r="AW42" s="46">
        <f t="shared" si="54"/>
        <v>0.10461828996261707</v>
      </c>
      <c r="CB42" s="160" t="s">
        <v>197</v>
      </c>
      <c r="CC42" s="160"/>
      <c r="CD42" s="160"/>
      <c r="CE42" s="160"/>
      <c r="CF42" s="160"/>
      <c r="CG42" s="160"/>
      <c r="CH42" s="160"/>
      <c r="CQ42" s="160" t="s">
        <v>480</v>
      </c>
      <c r="CR42" s="160"/>
      <c r="CS42" s="160"/>
      <c r="CT42" s="160"/>
      <c r="CU42" s="160"/>
      <c r="CV42" s="160"/>
    </row>
    <row r="43" spans="2:100" x14ac:dyDescent="0.35">
      <c r="B43" s="43" t="s">
        <v>497</v>
      </c>
      <c r="C43" s="44">
        <v>25.75</v>
      </c>
      <c r="D43" s="44">
        <v>24.33</v>
      </c>
      <c r="E43" s="44">
        <v>26.98</v>
      </c>
      <c r="F43" s="44">
        <v>28.62</v>
      </c>
      <c r="G43" s="44">
        <v>26.68</v>
      </c>
      <c r="H43" s="44">
        <v>34.97</v>
      </c>
      <c r="I43" s="44">
        <v>26.53</v>
      </c>
      <c r="J43" s="44">
        <v>29.08</v>
      </c>
      <c r="L43" s="43" t="s">
        <v>495</v>
      </c>
      <c r="M43" s="44">
        <f t="shared" si="37"/>
        <v>23.840642815130039</v>
      </c>
      <c r="N43" s="44">
        <f t="shared" si="19"/>
        <v>24.28</v>
      </c>
      <c r="O43" s="44">
        <f t="shared" si="20"/>
        <v>25.902557766400793</v>
      </c>
      <c r="P43" s="44">
        <f t="shared" si="21"/>
        <v>27.599061508705379</v>
      </c>
      <c r="Q43" s="44">
        <f>G36*((LOG(1.91)/LOG(2)))</f>
        <v>23.507359031412584</v>
      </c>
      <c r="R43" s="44">
        <f>H36*((LOG(2.09)/LOG(2)))</f>
        <v>35.595443478987107</v>
      </c>
      <c r="S43" s="44">
        <f>I36*((LOG(2.107)/LOG(2)))</f>
        <v>28.49254332511331</v>
      </c>
      <c r="T43" s="44">
        <f>J36*((LOG(2.001)/LOG(2)))</f>
        <v>29.511267222015356</v>
      </c>
      <c r="AH43" s="45" t="s">
        <v>194</v>
      </c>
      <c r="AI43" s="46">
        <f t="shared" si="43"/>
        <v>3.5005723890896476</v>
      </c>
      <c r="AJ43" s="46">
        <f t="shared" si="44"/>
        <v>4.8591190550826404</v>
      </c>
      <c r="AK43" s="46">
        <f t="shared" si="45"/>
        <v>1.889388652616482</v>
      </c>
      <c r="AL43" s="46">
        <f t="shared" si="46"/>
        <v>13.045649119344379</v>
      </c>
      <c r="AM43" s="46">
        <f t="shared" si="47"/>
        <v>3.8806052805162459</v>
      </c>
      <c r="AN43" s="46">
        <f t="shared" si="48"/>
        <v>5.2569834976339536</v>
      </c>
      <c r="AQ43" s="45" t="s">
        <v>194</v>
      </c>
      <c r="AR43" s="46">
        <f t="shared" si="49"/>
        <v>8.8353286537376716E-2</v>
      </c>
      <c r="AS43" s="46">
        <f t="shared" si="50"/>
        <v>3.445556786226614E-2</v>
      </c>
      <c r="AT43" s="46">
        <f t="shared" si="51"/>
        <v>0.26992141509747891</v>
      </c>
      <c r="AU43" s="46">
        <f t="shared" si="52"/>
        <v>1.1826828581335341E-4</v>
      </c>
      <c r="AV43" s="46">
        <f t="shared" si="53"/>
        <v>6.7892438762088766E-2</v>
      </c>
      <c r="AW43" s="46">
        <f t="shared" si="54"/>
        <v>2.6151119213513593E-2</v>
      </c>
      <c r="CC43" s="1" t="s">
        <v>167</v>
      </c>
      <c r="CD43" s="1" t="s">
        <v>168</v>
      </c>
      <c r="CE43" s="1" t="s">
        <v>247</v>
      </c>
      <c r="CF43" s="1" t="s">
        <v>254</v>
      </c>
      <c r="CG43" s="1" t="s">
        <v>249</v>
      </c>
      <c r="CH43" s="1" t="s">
        <v>255</v>
      </c>
      <c r="CQ43" s="140" t="s">
        <v>256</v>
      </c>
      <c r="CR43" s="141" t="s">
        <v>257</v>
      </c>
      <c r="CS43" s="141" t="s">
        <v>258</v>
      </c>
      <c r="CT43" s="141" t="s">
        <v>259</v>
      </c>
      <c r="CU43" s="141" t="s">
        <v>54</v>
      </c>
      <c r="CV43" s="141" t="s">
        <v>260</v>
      </c>
    </row>
    <row r="44" spans="2:100" x14ac:dyDescent="0.35">
      <c r="B44" s="43" t="s">
        <v>497</v>
      </c>
      <c r="C44" s="44">
        <v>25.99</v>
      </c>
      <c r="D44" s="44">
        <v>24.27</v>
      </c>
      <c r="E44" s="44">
        <v>26.94</v>
      </c>
      <c r="F44" s="44">
        <v>28.54</v>
      </c>
      <c r="G44" s="44">
        <v>26.8</v>
      </c>
      <c r="H44" s="44">
        <v>35.74</v>
      </c>
      <c r="I44" s="44">
        <v>26.61</v>
      </c>
      <c r="J44" s="44">
        <v>28.92</v>
      </c>
      <c r="L44" s="43" t="s">
        <v>495</v>
      </c>
      <c r="M44" s="44">
        <f t="shared" si="37"/>
        <v>23.998835995402175</v>
      </c>
      <c r="N44" s="44">
        <f t="shared" si="19"/>
        <v>24.17</v>
      </c>
      <c r="O44" s="44">
        <f t="shared" si="20"/>
        <v>26.20212474133989</v>
      </c>
      <c r="P44" s="44">
        <f t="shared" si="21"/>
        <v>27.809817978408219</v>
      </c>
      <c r="Q44" s="44">
        <f t="shared" ref="Q44:Q51" si="64">G37*((LOG(1.91)/LOG(2)))</f>
        <v>23.666066379916959</v>
      </c>
      <c r="R44" s="44">
        <f t="shared" ref="R44:R51" si="65">H37*((LOG(2.09)/LOG(2)))</f>
        <v>36.191005126678554</v>
      </c>
      <c r="S44" s="44">
        <f t="shared" ref="S44:S51" si="66">I37*((LOG(2.107)/LOG(2)))</f>
        <v>28.320512874848475</v>
      </c>
      <c r="T44" s="44">
        <f t="shared" ref="T44:T51" si="67">J37*((LOG(2.001)/LOG(2)))</f>
        <v>28.970877791703781</v>
      </c>
      <c r="AH44" s="45" t="s">
        <v>195</v>
      </c>
      <c r="AI44" s="46">
        <f t="shared" si="43"/>
        <v>5.2837135257363173</v>
      </c>
      <c r="AJ44" s="46">
        <f t="shared" si="44"/>
        <v>6.4487838384624787</v>
      </c>
      <c r="AK44" s="46">
        <f t="shared" si="45"/>
        <v>3.0145319109834681</v>
      </c>
      <c r="AL44" s="46">
        <f t="shared" si="46"/>
        <v>14.895658555003347</v>
      </c>
      <c r="AM44" s="46">
        <f t="shared" si="47"/>
        <v>5.6822698704646086</v>
      </c>
      <c r="AN44" s="46">
        <f t="shared" si="48"/>
        <v>7.4458868390836699</v>
      </c>
      <c r="AQ44" s="45" t="s">
        <v>195</v>
      </c>
      <c r="AR44" s="46">
        <f t="shared" si="49"/>
        <v>2.5671056364016284E-2</v>
      </c>
      <c r="AS44" s="46">
        <f t="shared" si="50"/>
        <v>1.1447815700786091E-2</v>
      </c>
      <c r="AT44" s="46">
        <f t="shared" si="51"/>
        <v>0.12374722589358042</v>
      </c>
      <c r="AU44" s="46">
        <f t="shared" si="52"/>
        <v>3.2806505297971167E-5</v>
      </c>
      <c r="AV44" s="46">
        <f t="shared" si="53"/>
        <v>1.9474500420699592E-2</v>
      </c>
      <c r="AW44" s="46">
        <f t="shared" si="54"/>
        <v>5.7354132739520138E-3</v>
      </c>
      <c r="CB44" s="35" t="s">
        <v>243</v>
      </c>
      <c r="CC44" s="36">
        <v>7.5871297597045189</v>
      </c>
      <c r="CD44" s="36">
        <v>3.7952367698229201</v>
      </c>
      <c r="CE44" s="36">
        <v>9.5540593665789508</v>
      </c>
      <c r="CF44" s="36">
        <v>7.2092335564162839</v>
      </c>
      <c r="CG44" s="36">
        <v>4.8721584450884965</v>
      </c>
      <c r="CH44" s="36">
        <v>0.59955423812817488</v>
      </c>
      <c r="CQ44" s="142"/>
      <c r="CR44" s="143"/>
      <c r="CS44" s="143"/>
      <c r="CT44" s="143"/>
      <c r="CU44" s="143"/>
      <c r="CV44" s="143"/>
    </row>
    <row r="45" spans="2:100" x14ac:dyDescent="0.35">
      <c r="B45" s="45" t="s">
        <v>190</v>
      </c>
      <c r="C45" s="46">
        <v>31.33</v>
      </c>
      <c r="D45" s="46">
        <v>23.63</v>
      </c>
      <c r="E45" s="46">
        <v>29.13</v>
      </c>
      <c r="F45" s="46">
        <v>30</v>
      </c>
      <c r="G45" s="46">
        <v>29.98</v>
      </c>
      <c r="H45" s="46">
        <v>35.33</v>
      </c>
      <c r="I45" s="46">
        <v>27.55</v>
      </c>
      <c r="J45" s="46">
        <v>29.92</v>
      </c>
      <c r="L45" s="43" t="s">
        <v>495</v>
      </c>
      <c r="M45" s="44">
        <f t="shared" si="37"/>
        <v>23.710366078435339</v>
      </c>
      <c r="N45" s="44">
        <f t="shared" si="19"/>
        <v>24.45</v>
      </c>
      <c r="O45" s="44">
        <f t="shared" si="20"/>
        <v>26.252052570496407</v>
      </c>
      <c r="P45" s="44">
        <f t="shared" si="21"/>
        <v>27.759637866574209</v>
      </c>
      <c r="Q45" s="44">
        <f t="shared" si="64"/>
        <v>23.656730653534346</v>
      </c>
      <c r="R45" s="44">
        <f t="shared" si="65"/>
        <v>35.031786919564837</v>
      </c>
      <c r="S45" s="44">
        <f t="shared" si="66"/>
        <v>28.417280003122446</v>
      </c>
      <c r="T45" s="44">
        <f t="shared" si="67"/>
        <v>29.771454725498707</v>
      </c>
      <c r="CB45" s="39" t="s">
        <v>261</v>
      </c>
      <c r="CC45" s="40">
        <v>28.31961182747121</v>
      </c>
      <c r="CD45" s="40">
        <v>22.217718941638321</v>
      </c>
      <c r="CE45" s="40">
        <v>11.250369520001552</v>
      </c>
      <c r="CF45" s="40">
        <v>20.249929494794884</v>
      </c>
      <c r="CG45" s="40">
        <v>4.2649950671614247</v>
      </c>
      <c r="CH45" s="40">
        <v>2.6405523689416897</v>
      </c>
      <c r="CQ45" s="140" t="s">
        <v>167</v>
      </c>
      <c r="CR45" s="143"/>
      <c r="CS45" s="143"/>
      <c r="CT45" s="143"/>
      <c r="CU45" s="143"/>
      <c r="CV45" s="143"/>
    </row>
    <row r="46" spans="2:100" x14ac:dyDescent="0.35">
      <c r="B46" s="45" t="s">
        <v>190</v>
      </c>
      <c r="C46" s="46">
        <v>28.37</v>
      </c>
      <c r="D46" s="46">
        <v>32.11</v>
      </c>
      <c r="E46" s="46">
        <v>28.78</v>
      </c>
      <c r="F46" s="46">
        <v>30.18</v>
      </c>
      <c r="G46" s="46">
        <v>29</v>
      </c>
      <c r="H46" s="46">
        <v>35.61</v>
      </c>
      <c r="I46" s="46">
        <v>27.2</v>
      </c>
      <c r="J46" s="46">
        <v>29.96</v>
      </c>
      <c r="L46" s="43" t="s">
        <v>496</v>
      </c>
      <c r="M46" s="44">
        <f t="shared" si="37"/>
        <v>24.445499092641143</v>
      </c>
      <c r="N46" s="44">
        <f t="shared" si="19"/>
        <v>25.2</v>
      </c>
      <c r="O46" s="44">
        <f t="shared" si="20"/>
        <v>26.521662847941595</v>
      </c>
      <c r="P46" s="44">
        <f t="shared" si="21"/>
        <v>28.110898649412277</v>
      </c>
      <c r="Q46" s="44">
        <f t="shared" si="64"/>
        <v>23.610052021621296</v>
      </c>
      <c r="R46" s="44">
        <f t="shared" si="65"/>
        <v>34.648925860334622</v>
      </c>
      <c r="S46" s="44">
        <f t="shared" si="66"/>
        <v>27.094795916711526</v>
      </c>
      <c r="T46" s="44">
        <f t="shared" si="67"/>
        <v>28.320409032995411</v>
      </c>
      <c r="CB46" s="41" t="s">
        <v>498</v>
      </c>
      <c r="CC46" s="42">
        <v>5.1197875213048363</v>
      </c>
      <c r="CD46" s="42">
        <v>4.1208894930171169</v>
      </c>
      <c r="CE46" s="42">
        <v>7.2379470769432954</v>
      </c>
      <c r="CF46" s="42">
        <v>13.917145670040165</v>
      </c>
      <c r="CG46" s="42">
        <v>2.3576138181307038</v>
      </c>
      <c r="CH46" s="42">
        <v>2.0887204311307075</v>
      </c>
      <c r="CQ46" s="142" t="s">
        <v>262</v>
      </c>
      <c r="CR46" s="144">
        <v>-17.260000000000002</v>
      </c>
      <c r="CS46" s="144" t="s">
        <v>263</v>
      </c>
      <c r="CT46" s="144" t="s">
        <v>264</v>
      </c>
      <c r="CU46" s="144" t="s">
        <v>265</v>
      </c>
      <c r="CV46" s="144">
        <v>9.5999999999999992E-3</v>
      </c>
    </row>
    <row r="47" spans="2:100" x14ac:dyDescent="0.35">
      <c r="B47" s="45" t="s">
        <v>190</v>
      </c>
      <c r="C47" s="46">
        <v>26.34</v>
      </c>
      <c r="D47" s="46">
        <v>23.59</v>
      </c>
      <c r="E47" s="46">
        <v>27.89</v>
      </c>
      <c r="F47" s="46">
        <v>30.46</v>
      </c>
      <c r="G47" s="46">
        <v>28.56</v>
      </c>
      <c r="H47" s="46">
        <v>35.1</v>
      </c>
      <c r="I47" s="46">
        <v>27.19</v>
      </c>
      <c r="J47" s="46">
        <v>29.89</v>
      </c>
      <c r="L47" s="43" t="s">
        <v>496</v>
      </c>
      <c r="M47" s="44">
        <f t="shared" si="37"/>
        <v>24.631608716490714</v>
      </c>
      <c r="N47" s="44">
        <f t="shared" si="19"/>
        <v>24.76</v>
      </c>
      <c r="O47" s="44">
        <f t="shared" si="20"/>
        <v>26.31196596548423</v>
      </c>
      <c r="P47" s="44">
        <f t="shared" si="21"/>
        <v>28.060718537578268</v>
      </c>
      <c r="Q47" s="44">
        <f t="shared" si="64"/>
        <v>24.711667734769303</v>
      </c>
      <c r="R47" s="44">
        <f t="shared" si="65"/>
        <v>35.882589273409771</v>
      </c>
      <c r="S47" s="44">
        <f t="shared" si="66"/>
        <v>27.137803529277733</v>
      </c>
      <c r="T47" s="44">
        <f t="shared" si="67"/>
        <v>29.030921061738404</v>
      </c>
      <c r="CB47" s="43" t="s">
        <v>499</v>
      </c>
      <c r="CC47" s="44">
        <v>5.8749665686305672</v>
      </c>
      <c r="CD47" s="44">
        <v>4.6487517039718824</v>
      </c>
      <c r="CE47" s="44">
        <v>7.7854880783400517</v>
      </c>
      <c r="CF47" s="44">
        <v>7.3569524973065201</v>
      </c>
      <c r="CG47" s="44">
        <v>2.7304878953484835</v>
      </c>
      <c r="CH47" s="44">
        <v>3.363494415290027</v>
      </c>
      <c r="CQ47" s="142" t="s">
        <v>266</v>
      </c>
      <c r="CR47" s="144">
        <v>6.0979999999999999</v>
      </c>
      <c r="CS47" s="144" t="s">
        <v>267</v>
      </c>
      <c r="CT47" s="144" t="s">
        <v>268</v>
      </c>
      <c r="CU47" s="144" t="s">
        <v>269</v>
      </c>
      <c r="CV47" s="144">
        <v>0.54100000000000004</v>
      </c>
    </row>
    <row r="48" spans="2:100" x14ac:dyDescent="0.35">
      <c r="B48" s="45" t="s">
        <v>194</v>
      </c>
      <c r="C48" s="46">
        <v>28.16</v>
      </c>
      <c r="D48" s="46">
        <v>24.57</v>
      </c>
      <c r="E48" s="46">
        <v>28.78</v>
      </c>
      <c r="F48" s="46">
        <v>29.89</v>
      </c>
      <c r="G48" s="46">
        <v>29.56</v>
      </c>
      <c r="H48" s="46">
        <v>36.96</v>
      </c>
      <c r="I48" s="46">
        <v>27.16</v>
      </c>
      <c r="J48" s="46">
        <v>30.83</v>
      </c>
      <c r="L48" s="43" t="s">
        <v>496</v>
      </c>
      <c r="M48" s="44">
        <f t="shared" si="37"/>
        <v>24.873551227495156</v>
      </c>
      <c r="N48" s="44">
        <f t="shared" si="19"/>
        <v>25.08</v>
      </c>
      <c r="O48" s="44">
        <f t="shared" si="20"/>
        <v>26.501691716278991</v>
      </c>
      <c r="P48" s="44">
        <f t="shared" si="21"/>
        <v>28.090826604678671</v>
      </c>
      <c r="Q48" s="44">
        <f t="shared" si="64"/>
        <v>24.739674913917135</v>
      </c>
      <c r="R48" s="44">
        <f t="shared" si="65"/>
        <v>34.042729183220111</v>
      </c>
      <c r="S48" s="44">
        <f t="shared" si="66"/>
        <v>27.15930733556084</v>
      </c>
      <c r="T48" s="44">
        <f t="shared" si="67"/>
        <v>28.210329704598607</v>
      </c>
      <c r="BI48" s="160" t="s">
        <v>489</v>
      </c>
      <c r="BJ48" s="160"/>
      <c r="BK48" s="160"/>
      <c r="BL48" s="160"/>
      <c r="BM48" s="160"/>
      <c r="BN48" s="160"/>
      <c r="BO48" s="160"/>
      <c r="CQ48" s="142" t="s">
        <v>270</v>
      </c>
      <c r="CR48" s="144">
        <v>6.0890000000000004</v>
      </c>
      <c r="CS48" s="144" t="s">
        <v>271</v>
      </c>
      <c r="CT48" s="144" t="s">
        <v>268</v>
      </c>
      <c r="CU48" s="144" t="s">
        <v>269</v>
      </c>
      <c r="CV48" s="144">
        <v>0.54210000000000003</v>
      </c>
    </row>
    <row r="49" spans="2:100" x14ac:dyDescent="0.35">
      <c r="B49" s="45" t="s">
        <v>194</v>
      </c>
      <c r="C49" s="46">
        <v>26.94</v>
      </c>
      <c r="D49" s="46">
        <v>23.69</v>
      </c>
      <c r="E49" s="46">
        <v>28.72</v>
      </c>
      <c r="F49" s="46">
        <v>29.69</v>
      </c>
      <c r="G49" s="46">
        <v>28.64</v>
      </c>
      <c r="H49" s="46">
        <v>35.340000000000003</v>
      </c>
      <c r="I49" s="46">
        <v>26.96</v>
      </c>
      <c r="J49" s="46">
        <v>30.5</v>
      </c>
      <c r="L49" s="43" t="s">
        <v>497</v>
      </c>
      <c r="M49" s="44">
        <f t="shared" si="37"/>
        <v>23.89647570228491</v>
      </c>
      <c r="N49" s="44">
        <f t="shared" si="19"/>
        <v>24.75</v>
      </c>
      <c r="O49" s="44">
        <f t="shared" si="20"/>
        <v>26.791273125386784</v>
      </c>
      <c r="P49" s="44">
        <f t="shared" si="21"/>
        <v>28.452123409883544</v>
      </c>
      <c r="Q49" s="44">
        <f t="shared" si="64"/>
        <v>24.767682093064966</v>
      </c>
      <c r="R49" s="44">
        <f t="shared" si="65"/>
        <v>36.914187127446745</v>
      </c>
      <c r="S49" s="44">
        <f t="shared" si="66"/>
        <v>28.406528099980896</v>
      </c>
      <c r="T49" s="44">
        <f t="shared" si="67"/>
        <v>29.691397032119216</v>
      </c>
      <c r="AQ49" s="160" t="s">
        <v>486</v>
      </c>
      <c r="AR49" s="160"/>
      <c r="AS49" s="160"/>
      <c r="AT49" s="160"/>
      <c r="AU49" s="160"/>
      <c r="AV49" s="160"/>
      <c r="AW49" s="160"/>
      <c r="AZ49" s="160" t="s">
        <v>488</v>
      </c>
      <c r="BA49" s="160"/>
      <c r="BB49" s="160"/>
      <c r="BC49" s="160"/>
      <c r="BD49" s="160"/>
      <c r="BE49" s="160"/>
      <c r="BF49" s="160"/>
      <c r="BI49" s="1"/>
      <c r="BJ49" s="1" t="s">
        <v>199</v>
      </c>
      <c r="BR49" t="s">
        <v>198</v>
      </c>
      <c r="BS49" s="1" t="s">
        <v>168</v>
      </c>
      <c r="CQ49" s="142"/>
      <c r="CR49" s="143"/>
      <c r="CS49" s="143"/>
      <c r="CT49" s="143"/>
      <c r="CU49" s="143"/>
      <c r="CV49" s="143"/>
    </row>
    <row r="50" spans="2:100" x14ac:dyDescent="0.35">
      <c r="B50" s="45" t="s">
        <v>194</v>
      </c>
      <c r="C50" s="46">
        <v>25.61</v>
      </c>
      <c r="D50" s="46">
        <v>23.92</v>
      </c>
      <c r="E50" s="46">
        <v>28.23</v>
      </c>
      <c r="F50" s="46">
        <v>29.78</v>
      </c>
      <c r="G50" s="46">
        <v>28.32</v>
      </c>
      <c r="H50" s="46">
        <v>35.119999999999997</v>
      </c>
      <c r="I50" s="46">
        <v>26.56</v>
      </c>
      <c r="J50" s="46">
        <v>29.48</v>
      </c>
      <c r="L50" s="43" t="s">
        <v>497</v>
      </c>
      <c r="M50" s="44">
        <f t="shared" si="37"/>
        <v>23.961614070632258</v>
      </c>
      <c r="N50" s="44">
        <f t="shared" si="19"/>
        <v>24.33</v>
      </c>
      <c r="O50" s="44">
        <f t="shared" si="20"/>
        <v>26.941056612856336</v>
      </c>
      <c r="P50" s="44">
        <f t="shared" si="21"/>
        <v>28.723096013787199</v>
      </c>
      <c r="Q50" s="44">
        <f t="shared" si="64"/>
        <v>24.907717988804119</v>
      </c>
      <c r="R50" s="44">
        <f t="shared" si="65"/>
        <v>37.190697892446344</v>
      </c>
      <c r="S50" s="44">
        <f t="shared" si="66"/>
        <v>28.524799034537967</v>
      </c>
      <c r="T50" s="44">
        <f t="shared" si="67"/>
        <v>29.100971543445457</v>
      </c>
      <c r="AQ50" s="1" t="s">
        <v>183</v>
      </c>
      <c r="AR50" s="1" t="s">
        <v>167</v>
      </c>
      <c r="AS50" s="1" t="s">
        <v>168</v>
      </c>
      <c r="AT50" s="27" t="s">
        <v>247</v>
      </c>
      <c r="AU50" s="27" t="s">
        <v>248</v>
      </c>
      <c r="AV50" s="27" t="s">
        <v>249</v>
      </c>
      <c r="AW50" s="27" t="s">
        <v>250</v>
      </c>
      <c r="AZ50" s="1" t="s">
        <v>183</v>
      </c>
      <c r="BA50" s="1" t="s">
        <v>167</v>
      </c>
      <c r="BB50" s="1" t="s">
        <v>168</v>
      </c>
      <c r="BC50" s="27" t="s">
        <v>247</v>
      </c>
      <c r="BD50" s="27" t="s">
        <v>248</v>
      </c>
      <c r="BE50" s="27" t="s">
        <v>249</v>
      </c>
      <c r="BF50" s="27" t="s">
        <v>250</v>
      </c>
      <c r="BI50" s="1" t="s">
        <v>176</v>
      </c>
      <c r="BJ50" s="27" t="s">
        <v>177</v>
      </c>
      <c r="BK50" s="27" t="s">
        <v>178</v>
      </c>
      <c r="BL50" s="27" t="s">
        <v>179</v>
      </c>
      <c r="BM50" s="37" t="s">
        <v>180</v>
      </c>
      <c r="BN50" s="27" t="s">
        <v>181</v>
      </c>
      <c r="BO50" s="27" t="s">
        <v>182</v>
      </c>
      <c r="BR50" s="1" t="s">
        <v>176</v>
      </c>
      <c r="BS50" s="27" t="s">
        <v>177</v>
      </c>
      <c r="BT50" s="27" t="s">
        <v>178</v>
      </c>
      <c r="BU50" s="27" t="s">
        <v>179</v>
      </c>
      <c r="BV50" s="37" t="s">
        <v>180</v>
      </c>
      <c r="BW50" s="27" t="s">
        <v>181</v>
      </c>
      <c r="BX50" s="27" t="s">
        <v>182</v>
      </c>
      <c r="CQ50" s="140" t="s">
        <v>168</v>
      </c>
      <c r="CR50" s="143"/>
      <c r="CS50" s="143"/>
      <c r="CT50" s="143"/>
      <c r="CU50" s="143"/>
      <c r="CV50" s="143"/>
    </row>
    <row r="51" spans="2:100" x14ac:dyDescent="0.35">
      <c r="B51" s="45" t="s">
        <v>195</v>
      </c>
      <c r="C51" s="46">
        <v>24.48</v>
      </c>
      <c r="D51" s="46">
        <v>23.46</v>
      </c>
      <c r="E51" s="46">
        <v>27.89</v>
      </c>
      <c r="F51" s="46">
        <v>29.47</v>
      </c>
      <c r="G51" s="46">
        <v>27.52</v>
      </c>
      <c r="H51" s="46">
        <v>35.19</v>
      </c>
      <c r="I51" s="46">
        <v>26.5</v>
      </c>
      <c r="J51" s="46">
        <v>30.47</v>
      </c>
      <c r="L51" s="43" t="s">
        <v>497</v>
      </c>
      <c r="M51" s="44">
        <f t="shared" si="37"/>
        <v>24.184945619251742</v>
      </c>
      <c r="N51" s="44">
        <f t="shared" si="19"/>
        <v>24.27</v>
      </c>
      <c r="O51" s="44">
        <f t="shared" si="20"/>
        <v>26.901114349531124</v>
      </c>
      <c r="P51" s="44">
        <f t="shared" si="21"/>
        <v>28.642807834852778</v>
      </c>
      <c r="Q51" s="44">
        <f t="shared" si="64"/>
        <v>25.019746705395445</v>
      </c>
      <c r="R51" s="44">
        <f t="shared" si="65"/>
        <v>38.009595158022087</v>
      </c>
      <c r="S51" s="44">
        <f t="shared" si="66"/>
        <v>28.610814259670384</v>
      </c>
      <c r="T51" s="44">
        <f t="shared" si="67"/>
        <v>28.940856156686475</v>
      </c>
      <c r="AQ51" s="35" t="s">
        <v>171</v>
      </c>
      <c r="AR51" s="36">
        <f t="shared" ref="AR51:AW65" si="68">(AR12+AR30)/2</f>
        <v>0.36615068016324559</v>
      </c>
      <c r="AS51" s="36">
        <f t="shared" si="68"/>
        <v>5.9924009339765119E-2</v>
      </c>
      <c r="AT51" s="36">
        <f t="shared" si="68"/>
        <v>1.6911791010143395</v>
      </c>
      <c r="AU51" s="36">
        <f t="shared" si="68"/>
        <v>8.1860000062986709E-4</v>
      </c>
      <c r="AV51" s="36">
        <f t="shared" si="68"/>
        <v>0.15418463031533836</v>
      </c>
      <c r="AW51" s="36">
        <f t="shared" si="68"/>
        <v>1.0100084927209159E-2</v>
      </c>
      <c r="AZ51" s="35" t="s">
        <v>171</v>
      </c>
      <c r="BA51" s="36">
        <f>AVERAGEA(AR51)</f>
        <v>0.36615068016324559</v>
      </c>
      <c r="BB51" s="36">
        <f>AVERAGEA(AS51:AS52)</f>
        <v>7.4984871531536296E-2</v>
      </c>
      <c r="BC51" s="36">
        <f>AVERAGEA(AT51)</f>
        <v>1.6911791010143395</v>
      </c>
      <c r="BD51" s="36">
        <f>AVERAGEA(AU52:AU53)</f>
        <v>4.5838905813311623E-4</v>
      </c>
      <c r="BE51" s="36">
        <f>AVERAGEA(AV51:AV52)</f>
        <v>0.17987663980763247</v>
      </c>
      <c r="BF51" s="36">
        <f>AVERAGEA(AW51:AW53)</f>
        <v>1.9382561035324455E-2</v>
      </c>
      <c r="BI51" s="35" t="s">
        <v>171</v>
      </c>
      <c r="BJ51" s="36">
        <f>STDEV(AR51:AR53)</f>
        <v>0.86168177813601621</v>
      </c>
      <c r="BK51" s="36">
        <f>BA51-CONFIDENCE(0.05,BJ51,3)</f>
        <v>-0.60891612728885913</v>
      </c>
      <c r="BL51" s="36">
        <f>BA51+CONFIDENCE(0.05,BJ51,3)</f>
        <v>1.3412174876153502</v>
      </c>
      <c r="BM51" s="125">
        <f>BA51/BA55</f>
        <v>7.5871297597045189</v>
      </c>
      <c r="BN51" s="36">
        <f>BK51/BA51</f>
        <v>-1.6630206094861775</v>
      </c>
      <c r="BO51" s="36">
        <f>BL51/BA51</f>
        <v>3.663020609486177</v>
      </c>
      <c r="BR51" s="35" t="s">
        <v>171</v>
      </c>
      <c r="BS51" s="36">
        <f>STDEV(AS51:AS53)</f>
        <v>0.1688583048048081</v>
      </c>
      <c r="BT51" s="36">
        <f>BB51-CONFIDENCE(0.05,BS51,3)</f>
        <v>-0.11609277726587039</v>
      </c>
      <c r="BU51" s="36">
        <f>BB51+CONFIDENCE(0.05,BS51,3)</f>
        <v>0.26606252032894295</v>
      </c>
      <c r="BV51" s="125">
        <f>BB51/BB55</f>
        <v>3.7952367698229161</v>
      </c>
      <c r="BW51" s="36">
        <f>BT51/BB54</f>
        <v>-1.2639621633441114</v>
      </c>
      <c r="BX51" s="36">
        <f>BU51/BB54</f>
        <v>2.8967603902660932</v>
      </c>
      <c r="CC51" s="1"/>
      <c r="CD51" s="1"/>
      <c r="CQ51" s="142" t="s">
        <v>262</v>
      </c>
      <c r="CR51" s="144">
        <v>-18.420000000000002</v>
      </c>
      <c r="CS51" s="144" t="s">
        <v>272</v>
      </c>
      <c r="CT51" s="144" t="s">
        <v>264</v>
      </c>
      <c r="CU51" s="144" t="s">
        <v>265</v>
      </c>
      <c r="CV51" s="144">
        <v>5.4999999999999997E-3</v>
      </c>
    </row>
    <row r="52" spans="2:100" x14ac:dyDescent="0.35">
      <c r="B52" s="45" t="s">
        <v>195</v>
      </c>
      <c r="C52" s="46">
        <v>24.91</v>
      </c>
      <c r="D52" s="46">
        <v>23.26</v>
      </c>
      <c r="E52" s="46">
        <v>28.06</v>
      </c>
      <c r="F52" s="46">
        <v>28.11</v>
      </c>
      <c r="G52" s="46">
        <v>27.65</v>
      </c>
      <c r="H52" s="46">
        <v>35.78</v>
      </c>
      <c r="I52" s="46">
        <v>26.31</v>
      </c>
      <c r="J52" s="46">
        <v>29.96</v>
      </c>
      <c r="L52" s="45" t="s">
        <v>190</v>
      </c>
      <c r="M52" s="46">
        <f t="shared" si="37"/>
        <v>29.154072576035286</v>
      </c>
      <c r="N52" s="46">
        <f t="shared" si="19"/>
        <v>23.63</v>
      </c>
      <c r="O52" s="46">
        <f t="shared" si="20"/>
        <v>29.087953266586549</v>
      </c>
      <c r="P52" s="46">
        <f t="shared" si="21"/>
        <v>30.108067100405865</v>
      </c>
      <c r="Q52" s="46">
        <f>G45*((LOG(1.91)/LOG(2)))</f>
        <v>27.988507695065501</v>
      </c>
      <c r="R52" s="46">
        <f>H45*((LOG(2.09)/LOG(2)))</f>
        <v>37.57355895167656</v>
      </c>
      <c r="S52" s="46">
        <f>I45*((LOG(2.107)/LOG(2)))</f>
        <v>29.621493154976292</v>
      </c>
      <c r="T52" s="46">
        <f>J45*((LOG(2.001)/LOG(2)))</f>
        <v>29.941577323930129</v>
      </c>
      <c r="AQ52" s="35" t="s">
        <v>187</v>
      </c>
      <c r="AR52" s="36">
        <f t="shared" si="68"/>
        <v>0.70118290251773474</v>
      </c>
      <c r="AS52" s="36">
        <f t="shared" si="68"/>
        <v>9.0045733723307472E-2</v>
      </c>
      <c r="AT52" s="36">
        <f t="shared" si="68"/>
        <v>6.3511523662640323</v>
      </c>
      <c r="AU52" s="36">
        <f t="shared" si="68"/>
        <v>3.6857190804241886E-4</v>
      </c>
      <c r="AV52" s="36">
        <f t="shared" si="68"/>
        <v>0.2055686492999266</v>
      </c>
      <c r="AW52" s="36">
        <f t="shared" si="68"/>
        <v>5.5702251277569108E-3</v>
      </c>
      <c r="AZ52" s="39" t="s">
        <v>186</v>
      </c>
      <c r="BA52" s="40">
        <f>AVERAGEA(AR54:AR56)</f>
        <v>1.3666887823191136</v>
      </c>
      <c r="BB52" s="40">
        <f>AVERAGEA(AS54:AS56)</f>
        <v>0.43896939811748936</v>
      </c>
      <c r="BC52" s="40">
        <f t="shared" ref="BC52:BF52" si="69">AVERAGEA(AT54:AT56)</f>
        <v>1.9914456338288573</v>
      </c>
      <c r="BD52" s="40">
        <f>AVERAGEA(AU54:AU56)</f>
        <v>1.2875635163906798E-3</v>
      </c>
      <c r="BE52" s="40">
        <f t="shared" si="69"/>
        <v>0.15746059782815422</v>
      </c>
      <c r="BF52" s="40">
        <f t="shared" si="69"/>
        <v>3.4507532184974259E-2</v>
      </c>
      <c r="BI52" s="39" t="s">
        <v>186</v>
      </c>
      <c r="BJ52" s="40">
        <f>STDEV(AR54:AR56)</f>
        <v>0.49493912996834999</v>
      </c>
      <c r="BK52" s="40">
        <f>BA52-CONFIDENCE(0.05,BJ52,3)</f>
        <v>0.80662272361085663</v>
      </c>
      <c r="BL52" s="40">
        <f>BA52+CONFIDENCE(0.05,BJ52,3)</f>
        <v>1.9267548410273707</v>
      </c>
      <c r="BM52" s="125">
        <f>BA52/BA55</f>
        <v>28.31961182747121</v>
      </c>
      <c r="BN52" s="40">
        <f>BK52/BA52</f>
        <v>0.59020219822256148</v>
      </c>
      <c r="BO52" s="40">
        <f>BL52/BA52</f>
        <v>1.4097978017774386</v>
      </c>
      <c r="BR52" s="39" t="s">
        <v>186</v>
      </c>
      <c r="BS52" s="40">
        <f>STDEV(AS54:AS56)</f>
        <v>7.063792288655725E-2</v>
      </c>
      <c r="BT52" s="40">
        <f>BB52-CONFIDENCE(0.05,BS52,3)</f>
        <v>0.35903653229428845</v>
      </c>
      <c r="BU52" s="40">
        <f>BB52+CONFIDENCE(0.05,BS52,3)</f>
        <v>0.51890226394069028</v>
      </c>
      <c r="BV52" s="125">
        <f>BB52/BB55</f>
        <v>22.217718941638321</v>
      </c>
      <c r="BW52" s="40">
        <f>BT52/BB54</f>
        <v>3.9090165879912147</v>
      </c>
      <c r="BX52" s="40">
        <f>BU52/BB54</f>
        <v>5.6495575654339101</v>
      </c>
      <c r="CB52" s="1"/>
      <c r="CQ52" s="142" t="s">
        <v>266</v>
      </c>
      <c r="CR52" s="144">
        <v>-0.18870000000000001</v>
      </c>
      <c r="CS52" s="144" t="s">
        <v>273</v>
      </c>
      <c r="CT52" s="144" t="s">
        <v>268</v>
      </c>
      <c r="CU52" s="144" t="s">
        <v>269</v>
      </c>
      <c r="CV52" s="144" t="s">
        <v>88</v>
      </c>
    </row>
    <row r="53" spans="2:100" x14ac:dyDescent="0.35">
      <c r="B53" s="45" t="s">
        <v>195</v>
      </c>
      <c r="C53" s="46">
        <v>23.79</v>
      </c>
      <c r="D53" s="46">
        <v>23.44</v>
      </c>
      <c r="E53" s="46">
        <v>28.12</v>
      </c>
      <c r="F53" s="46">
        <v>29.55</v>
      </c>
      <c r="G53" s="46">
        <v>27.46</v>
      </c>
      <c r="H53" s="46">
        <v>35.08</v>
      </c>
      <c r="I53" s="46">
        <v>26.38</v>
      </c>
      <c r="J53" s="46">
        <v>29.94</v>
      </c>
      <c r="L53" s="45" t="s">
        <v>190</v>
      </c>
      <c r="M53" s="46">
        <f t="shared" si="37"/>
        <v>26.399650143061638</v>
      </c>
      <c r="N53" s="46">
        <f t="shared" si="19"/>
        <v>32.11</v>
      </c>
      <c r="O53" s="46">
        <f t="shared" si="20"/>
        <v>28.738458462490936</v>
      </c>
      <c r="P53" s="46">
        <f t="shared" si="21"/>
        <v>30.288715503008302</v>
      </c>
      <c r="Q53" s="46">
        <f t="shared" ref="Q53:Q60" si="70">G46*((LOG(1.91)/LOG(2)))</f>
        <v>27.073606509569696</v>
      </c>
      <c r="R53" s="46">
        <f t="shared" ref="R53:R60" si="71">H46*((LOG(2.09)/LOG(2)))</f>
        <v>37.871339775522287</v>
      </c>
      <c r="S53" s="46">
        <f t="shared" ref="S53:S60" si="72">I46*((LOG(2.107)/LOG(2)))</f>
        <v>29.245176545021963</v>
      </c>
      <c r="T53" s="46">
        <f t="shared" ref="T53:T60" si="73">J46*((LOG(2.001)/LOG(2)))</f>
        <v>29.981606170619877</v>
      </c>
      <c r="AQ53" s="35" t="s">
        <v>188</v>
      </c>
      <c r="AR53" s="36">
        <f t="shared" si="68"/>
        <v>1.9976686758348714</v>
      </c>
      <c r="AS53" s="36">
        <f t="shared" si="68"/>
        <v>0.36629036855275948</v>
      </c>
      <c r="AT53" s="36">
        <f t="shared" si="68"/>
        <v>9.2057569623192084</v>
      </c>
      <c r="AU53" s="36">
        <f t="shared" si="68"/>
        <v>5.482062082238136E-4</v>
      </c>
      <c r="AV53" s="36">
        <f t="shared" si="68"/>
        <v>1.0094664398152109</v>
      </c>
      <c r="AW53" s="36">
        <f t="shared" si="68"/>
        <v>4.2477373051007287E-2</v>
      </c>
      <c r="AZ53" s="41" t="s">
        <v>492</v>
      </c>
      <c r="BA53" s="42">
        <f>AVERAGEA(AR57:AR59)</f>
        <v>0.23940129061889184</v>
      </c>
      <c r="BB53" s="42">
        <f>AVERAGEA(AS57:AS59)</f>
        <v>7.871364321232209E-2</v>
      </c>
      <c r="BC53" s="42">
        <f>AVERAGEA(AT57:AT59)</f>
        <v>1.2425145589451552</v>
      </c>
      <c r="BD53" s="42">
        <f t="shared" ref="BD53:BF53" si="74">AVERAGEA(AU57:AU59)</f>
        <v>8.2782390251903302E-4</v>
      </c>
      <c r="BE53" s="42">
        <f t="shared" si="74"/>
        <v>8.1991639417981613E-2</v>
      </c>
      <c r="BF53" s="42">
        <f t="shared" si="74"/>
        <v>2.7689777925357692E-2</v>
      </c>
      <c r="BI53" s="41" t="s">
        <v>492</v>
      </c>
      <c r="BJ53" s="42">
        <f>STDEV(AR57:AR59)</f>
        <v>3.6966112525927693E-2</v>
      </c>
      <c r="BK53" s="42">
        <f>BA53-CONFIDENCE(0.05,BJ53,3)</f>
        <v>0.19757096504029759</v>
      </c>
      <c r="BL53" s="42">
        <f>BA53+CONFIDENCE(0.05,BJ53,3)</f>
        <v>0.2812316161974861</v>
      </c>
      <c r="BM53" s="125">
        <f>BA53/BA55</f>
        <v>4.9607135940767613</v>
      </c>
      <c r="BN53" s="42">
        <f>BK53/BA53</f>
        <v>0.82527109410957655</v>
      </c>
      <c r="BO53" s="42">
        <f>BL53/BA53</f>
        <v>1.1747289058904233</v>
      </c>
      <c r="BR53" s="41" t="s">
        <v>492</v>
      </c>
      <c r="BS53" s="42">
        <f>STDEV(AS57:AS59)</f>
        <v>6.8474825806348226E-3</v>
      </c>
      <c r="BT53" s="42">
        <f>BB53-CONFIDENCE(0.05,BS53,3)</f>
        <v>7.0965129609740635E-2</v>
      </c>
      <c r="BU53" s="42">
        <f>BB53+CONFIDENCE(0.05,BS53,3)</f>
        <v>8.6462156814903546E-2</v>
      </c>
      <c r="BV53" s="125">
        <f>BB53/BB55</f>
        <v>3.9839624567535248</v>
      </c>
      <c r="BW53" s="42">
        <f>BT53/BB54</f>
        <v>0.77263410227582452</v>
      </c>
      <c r="BX53" s="42">
        <f>BU53/BB54</f>
        <v>0.94135825973810583</v>
      </c>
      <c r="CB53" s="1"/>
      <c r="CQ53" s="142" t="s">
        <v>270</v>
      </c>
      <c r="CR53" s="144">
        <v>-8.0240000000000006E-2</v>
      </c>
      <c r="CS53" s="144" t="s">
        <v>274</v>
      </c>
      <c r="CT53" s="144" t="s">
        <v>268</v>
      </c>
      <c r="CU53" s="144" t="s">
        <v>269</v>
      </c>
      <c r="CV53" s="144" t="s">
        <v>88</v>
      </c>
    </row>
    <row r="54" spans="2:100" x14ac:dyDescent="0.35">
      <c r="B54" s="1" t="s">
        <v>200</v>
      </c>
      <c r="C54" t="s">
        <v>193</v>
      </c>
      <c r="D54">
        <v>34.99</v>
      </c>
      <c r="E54">
        <v>29.65</v>
      </c>
      <c r="F54">
        <v>31.54</v>
      </c>
      <c r="G54" t="s">
        <v>193</v>
      </c>
      <c r="H54">
        <v>36.130000000000003</v>
      </c>
      <c r="I54">
        <v>28.34</v>
      </c>
      <c r="J54">
        <v>30.55</v>
      </c>
      <c r="L54" s="45" t="s">
        <v>190</v>
      </c>
      <c r="M54" s="46">
        <f t="shared" si="37"/>
        <v>24.510637460988494</v>
      </c>
      <c r="N54" s="46">
        <f t="shared" si="19"/>
        <v>23.59</v>
      </c>
      <c r="O54" s="46">
        <f t="shared" si="20"/>
        <v>27.849743103504938</v>
      </c>
      <c r="P54" s="46">
        <f t="shared" si="21"/>
        <v>30.569724129278757</v>
      </c>
      <c r="Q54" s="46">
        <f t="shared" si="70"/>
        <v>26.662834548734843</v>
      </c>
      <c r="R54" s="46">
        <f t="shared" si="71"/>
        <v>37.328953274946144</v>
      </c>
      <c r="S54" s="46">
        <f t="shared" si="72"/>
        <v>29.234424641880413</v>
      </c>
      <c r="T54" s="46">
        <f t="shared" si="73"/>
        <v>29.91155568891282</v>
      </c>
      <c r="AQ54" s="39" t="s">
        <v>186</v>
      </c>
      <c r="AR54" s="40">
        <f t="shared" si="68"/>
        <v>0.91002952648922864</v>
      </c>
      <c r="AS54" s="40">
        <f t="shared" si="68"/>
        <v>0.38974958194483406</v>
      </c>
      <c r="AT54" s="40">
        <f t="shared" si="68"/>
        <v>2.3690091059158611</v>
      </c>
      <c r="AU54" s="40">
        <f t="shared" si="68"/>
        <v>6.4052803188852851E-4</v>
      </c>
      <c r="AV54" s="40">
        <f t="shared" si="68"/>
        <v>0.11244675344026968</v>
      </c>
      <c r="AW54" s="40">
        <f t="shared" si="68"/>
        <v>3.3499779237084956E-2</v>
      </c>
      <c r="AZ54" s="43" t="s">
        <v>495</v>
      </c>
      <c r="BA54" s="44">
        <f>AVERAGEA(AR60:AR61)</f>
        <v>0.28352263282290124</v>
      </c>
      <c r="BB54" s="44">
        <f>AVERAGEA(AS60:AS61)</f>
        <v>9.1848301027239176E-2</v>
      </c>
      <c r="BC54" s="44">
        <f>AVERAGEA(AT60:AT61)</f>
        <v>1.3781215108776959</v>
      </c>
      <c r="BD54" s="44">
        <f>AVERAGEA(AU60:AU62)</f>
        <v>4.6778156090795448E-4</v>
      </c>
      <c r="BE54" s="44">
        <f>AVERAGEA(AV60:AV62)</f>
        <v>0.10080767963238489</v>
      </c>
      <c r="BF54" s="44">
        <f>AVERAGEA(AW60:AW62)</f>
        <v>4.3955156184279726E-2</v>
      </c>
      <c r="BI54" s="43" t="s">
        <v>495</v>
      </c>
      <c r="BJ54" s="44">
        <f>STDEV(AR60:AR62)</f>
        <v>8.8512736175956924E-2</v>
      </c>
      <c r="BK54" s="44">
        <f>BA54-CONFIDENCE(0.05,BJ54,3)</f>
        <v>0.18336288328214051</v>
      </c>
      <c r="BL54" s="44">
        <f>BA54+CONFIDENCE(0.05,BJ54,3)</f>
        <v>0.38368238236366198</v>
      </c>
      <c r="BM54" s="125">
        <f>BA54/BA55</f>
        <v>5.8749665686305672</v>
      </c>
      <c r="BN54" s="44">
        <f>BK54/BA54</f>
        <v>0.64673102621996237</v>
      </c>
      <c r="BO54" s="44">
        <f>BL54/BA54</f>
        <v>1.3532689737800376</v>
      </c>
      <c r="BR54" s="43" t="s">
        <v>495</v>
      </c>
      <c r="BS54" s="44">
        <f>STDEV(AS60:AS62)</f>
        <v>2.9788808893601144E-2</v>
      </c>
      <c r="BT54" s="44">
        <f>BB54-CONFIDENCE(0.05,BS54,3)</f>
        <v>5.813970984811874E-2</v>
      </c>
      <c r="BU54" s="44">
        <f>BB54+CONFIDENCE(0.05,BS54,3)</f>
        <v>0.12555689220635963</v>
      </c>
      <c r="BV54" s="125">
        <f>BB54/BB55</f>
        <v>4.6487517039718824</v>
      </c>
      <c r="BW54" s="44">
        <f>BT54/BB54</f>
        <v>0.63299711805095249</v>
      </c>
      <c r="BX54" s="44">
        <f>BU54/BB54</f>
        <v>1.3670028819490476</v>
      </c>
      <c r="CB54" s="1"/>
      <c r="CQ54" s="142"/>
      <c r="CR54" s="143"/>
      <c r="CS54" s="143"/>
      <c r="CT54" s="143"/>
      <c r="CU54" s="143"/>
      <c r="CV54" s="143"/>
    </row>
    <row r="55" spans="2:100" x14ac:dyDescent="0.35">
      <c r="L55" s="45" t="s">
        <v>194</v>
      </c>
      <c r="M55" s="46">
        <f t="shared" si="37"/>
        <v>26.20423503801959</v>
      </c>
      <c r="N55" s="46">
        <f t="shared" si="19"/>
        <v>24.57</v>
      </c>
      <c r="O55" s="46">
        <f t="shared" si="20"/>
        <v>28.738458462490936</v>
      </c>
      <c r="P55" s="46">
        <f t="shared" si="21"/>
        <v>29.997670854371044</v>
      </c>
      <c r="Q55" s="46">
        <f t="shared" si="70"/>
        <v>27.596407186995869</v>
      </c>
      <c r="R55" s="46">
        <f t="shared" si="71"/>
        <v>39.307068747635597</v>
      </c>
      <c r="S55" s="46">
        <f t="shared" si="72"/>
        <v>29.202168932455756</v>
      </c>
      <c r="T55" s="46">
        <f t="shared" si="73"/>
        <v>30.852233586121852</v>
      </c>
      <c r="AQ55" s="39" t="s">
        <v>191</v>
      </c>
      <c r="AR55" s="40">
        <f t="shared" si="68"/>
        <v>1.2974255920705473</v>
      </c>
      <c r="AS55" s="40">
        <f t="shared" si="68"/>
        <v>0.40725192900875579</v>
      </c>
      <c r="AT55" s="40">
        <f t="shared" si="68"/>
        <v>1.9913533572953224</v>
      </c>
      <c r="AU55" s="40">
        <f t="shared" si="68"/>
        <v>2.0902940099221172E-4</v>
      </c>
      <c r="AV55" s="40">
        <f t="shared" si="68"/>
        <v>0.21757022482557364</v>
      </c>
      <c r="AW55" s="40">
        <f t="shared" si="68"/>
        <v>3.4713075190144313E-2</v>
      </c>
      <c r="AZ55" s="45" t="s">
        <v>190</v>
      </c>
      <c r="BA55" s="46">
        <f>AVERAGEA(AR64:AR65)</f>
        <v>4.8259446162089277E-2</v>
      </c>
      <c r="BB55" s="46">
        <f>AVERAGEA(AS64:AS65)</f>
        <v>1.9757626751449042E-2</v>
      </c>
      <c r="BC55" s="46">
        <f>AVERAGEA(AT64:AT65)</f>
        <v>0.17701157551210661</v>
      </c>
      <c r="BD55" s="46">
        <f>AVERAGEA(AU64:AU65)</f>
        <v>6.3583604906952386E-5</v>
      </c>
      <c r="BE55" s="46">
        <f t="shared" ref="BE55:BF55" si="75">AVERAGEA(AV64:AV65)</f>
        <v>3.6919291898021442E-2</v>
      </c>
      <c r="BF55" s="46">
        <f t="shared" si="75"/>
        <v>1.3068300629388607E-2</v>
      </c>
      <c r="BI55" s="45" t="s">
        <v>190</v>
      </c>
      <c r="BJ55" s="46">
        <f>STDEV(AR63:AR65)</f>
        <v>0.118621032529049</v>
      </c>
      <c r="BK55" s="46">
        <f>BA55-CONFIDENCE(0.05,BJ55,3)</f>
        <v>-8.5970422009168074E-2</v>
      </c>
      <c r="BL55" s="46">
        <f>BA55+CONFIDENCE(0.05,BJ55,3)</f>
        <v>0.18248931433334661</v>
      </c>
      <c r="BM55" s="125">
        <f>BA55/BA55</f>
        <v>1</v>
      </c>
      <c r="BN55" s="46">
        <f>BK55/BA55</f>
        <v>-1.7814216458352781</v>
      </c>
      <c r="BO55" s="46">
        <f>BL55/BA55</f>
        <v>3.7814216458352776</v>
      </c>
      <c r="BR55" s="45" t="s">
        <v>190</v>
      </c>
      <c r="BS55" s="46">
        <f>STDEV(AS63:AS65)</f>
        <v>3.183370168657898E-2</v>
      </c>
      <c r="BT55" s="46">
        <f>BB55-CONFIDENCE(0.05,BS55,3)</f>
        <v>-1.6264935939920296E-2</v>
      </c>
      <c r="BU55" s="46">
        <f>BB55+CONFIDENCE(0.05,BS55,3)</f>
        <v>5.578018944281838E-2</v>
      </c>
      <c r="BV55" s="125">
        <f>BB55/BB55</f>
        <v>1</v>
      </c>
      <c r="BW55" s="46">
        <f>BT55/BB55</f>
        <v>-0.8232231605816428</v>
      </c>
      <c r="BX55" s="46">
        <f>BU55/BB55</f>
        <v>2.8232231605816427</v>
      </c>
      <c r="CB55" s="1"/>
      <c r="CQ55" s="140" t="s">
        <v>247</v>
      </c>
      <c r="CR55" s="143"/>
      <c r="CS55" s="143"/>
      <c r="CT55" s="143"/>
      <c r="CU55" s="143"/>
      <c r="CV55" s="143"/>
    </row>
    <row r="56" spans="2:100" x14ac:dyDescent="0.35">
      <c r="L56" s="45" t="s">
        <v>194</v>
      </c>
      <c r="M56" s="46">
        <f t="shared" si="37"/>
        <v>25.068966332537208</v>
      </c>
      <c r="N56" s="46">
        <f t="shared" si="19"/>
        <v>23.69</v>
      </c>
      <c r="O56" s="46">
        <f t="shared" si="20"/>
        <v>28.678545067503112</v>
      </c>
      <c r="P56" s="46">
        <f t="shared" si="21"/>
        <v>29.796950407035006</v>
      </c>
      <c r="Q56" s="46">
        <f t="shared" si="70"/>
        <v>26.737520359795727</v>
      </c>
      <c r="R56" s="46">
        <f t="shared" si="71"/>
        <v>37.584193981099624</v>
      </c>
      <c r="S56" s="46">
        <f t="shared" si="72"/>
        <v>28.987130869624711</v>
      </c>
      <c r="T56" s="46">
        <f t="shared" si="73"/>
        <v>30.521995600931447</v>
      </c>
      <c r="AQ56" s="39" t="s">
        <v>192</v>
      </c>
      <c r="AR56" s="40">
        <f t="shared" si="68"/>
        <v>1.8926112283975649</v>
      </c>
      <c r="AS56" s="40">
        <f t="shared" si="68"/>
        <v>0.51990668339887824</v>
      </c>
      <c r="AT56" s="40">
        <f t="shared" si="68"/>
        <v>1.6139744382753882</v>
      </c>
      <c r="AU56" s="40">
        <f t="shared" si="68"/>
        <v>3.0131331162912989E-3</v>
      </c>
      <c r="AV56" s="40">
        <f t="shared" si="68"/>
        <v>0.14236481521861932</v>
      </c>
      <c r="AW56" s="40">
        <f t="shared" si="68"/>
        <v>3.5309742127693514E-2</v>
      </c>
      <c r="CQ56" s="142" t="s">
        <v>262</v>
      </c>
      <c r="CR56" s="144">
        <v>-1.696</v>
      </c>
      <c r="CS56" s="144" t="s">
        <v>275</v>
      </c>
      <c r="CT56" s="144" t="s">
        <v>268</v>
      </c>
      <c r="CU56" s="144" t="s">
        <v>269</v>
      </c>
      <c r="CV56" s="144">
        <v>0.98350000000000004</v>
      </c>
    </row>
    <row r="57" spans="2:100" x14ac:dyDescent="0.35">
      <c r="L57" s="45" t="s">
        <v>194</v>
      </c>
      <c r="M57" s="46">
        <f t="shared" si="37"/>
        <v>23.831337333937558</v>
      </c>
      <c r="N57" s="46">
        <f t="shared" si="19"/>
        <v>23.92</v>
      </c>
      <c r="O57" s="46">
        <f t="shared" si="20"/>
        <v>28.189252341769251</v>
      </c>
      <c r="P57" s="46">
        <f t="shared" si="21"/>
        <v>29.887274608336224</v>
      </c>
      <c r="Q57" s="46">
        <f t="shared" si="70"/>
        <v>26.438777115552199</v>
      </c>
      <c r="R57" s="46">
        <f t="shared" si="71"/>
        <v>37.350223333792265</v>
      </c>
      <c r="S57" s="46">
        <f t="shared" si="72"/>
        <v>28.557054743962624</v>
      </c>
      <c r="T57" s="46">
        <f t="shared" si="73"/>
        <v>29.501260010342921</v>
      </c>
      <c r="AQ57" s="41" t="s">
        <v>492</v>
      </c>
      <c r="AR57" s="42">
        <f t="shared" si="68"/>
        <v>0.28157003388780755</v>
      </c>
      <c r="AS57" s="42">
        <f t="shared" si="68"/>
        <v>8.6412112615197309E-2</v>
      </c>
      <c r="AT57" s="42">
        <f t="shared" si="68"/>
        <v>1.1758157733536068</v>
      </c>
      <c r="AU57" s="42">
        <f t="shared" si="68"/>
        <v>1.1831643931905901E-3</v>
      </c>
      <c r="AV57" s="42">
        <f t="shared" si="68"/>
        <v>9.0691172341561876E-2</v>
      </c>
      <c r="AW57" s="42">
        <f t="shared" si="68"/>
        <v>1.5849765216968927E-2</v>
      </c>
      <c r="BI57" s="1" t="s">
        <v>198</v>
      </c>
      <c r="BJ57" s="1" t="s">
        <v>247</v>
      </c>
      <c r="CQ57" s="142" t="s">
        <v>266</v>
      </c>
      <c r="CR57" s="144">
        <v>2.5350000000000001</v>
      </c>
      <c r="CS57" s="144" t="s">
        <v>276</v>
      </c>
      <c r="CT57" s="144" t="s">
        <v>268</v>
      </c>
      <c r="CU57" s="144" t="s">
        <v>269</v>
      </c>
      <c r="CV57" s="144">
        <v>0.95009999999999994</v>
      </c>
    </row>
    <row r="58" spans="2:100" x14ac:dyDescent="0.35">
      <c r="L58" s="45" t="s">
        <v>195</v>
      </c>
      <c r="M58" s="46">
        <f t="shared" si="37"/>
        <v>22.779817959187483</v>
      </c>
      <c r="N58" s="46">
        <f t="shared" si="19"/>
        <v>23.46</v>
      </c>
      <c r="O58" s="46">
        <f t="shared" si="20"/>
        <v>27.849743103504938</v>
      </c>
      <c r="P58" s="46">
        <f t="shared" si="21"/>
        <v>29.576157914965361</v>
      </c>
      <c r="Q58" s="46">
        <f t="shared" si="70"/>
        <v>25.691919004943379</v>
      </c>
      <c r="R58" s="46">
        <f t="shared" si="71"/>
        <v>37.424668539753696</v>
      </c>
      <c r="S58" s="46">
        <f t="shared" si="72"/>
        <v>28.49254332511331</v>
      </c>
      <c r="T58" s="46">
        <f t="shared" si="73"/>
        <v>30.491973965914138</v>
      </c>
      <c r="AQ58" s="41" t="s">
        <v>493</v>
      </c>
      <c r="AR58" s="42">
        <f t="shared" si="68"/>
        <v>0.22404765136518107</v>
      </c>
      <c r="AS58" s="42">
        <f t="shared" si="68"/>
        <v>7.3302936662965723E-2</v>
      </c>
      <c r="AT58" s="42">
        <f t="shared" si="68"/>
        <v>1.1651428457095063</v>
      </c>
      <c r="AU58" s="42">
        <f t="shared" si="68"/>
        <v>7.1366712412442512E-4</v>
      </c>
      <c r="AV58" s="42">
        <f t="shared" si="68"/>
        <v>7.1892052785192256E-2</v>
      </c>
      <c r="AW58" s="42">
        <f t="shared" si="68"/>
        <v>2.8477280726548544E-2</v>
      </c>
      <c r="BI58" s="1" t="s">
        <v>176</v>
      </c>
      <c r="BJ58" s="27" t="s">
        <v>177</v>
      </c>
      <c r="BK58" s="27" t="s">
        <v>178</v>
      </c>
      <c r="BL58" s="27" t="s">
        <v>179</v>
      </c>
      <c r="BM58" s="37" t="s">
        <v>180</v>
      </c>
      <c r="BN58" s="27" t="s">
        <v>181</v>
      </c>
      <c r="BO58" s="27" t="s">
        <v>182</v>
      </c>
      <c r="BR58" t="s">
        <v>198</v>
      </c>
      <c r="BS58" s="1" t="s">
        <v>254</v>
      </c>
      <c r="CG58" s="1"/>
      <c r="CH58" s="1"/>
      <c r="CQ58" s="142" t="s">
        <v>270</v>
      </c>
      <c r="CR58" s="144">
        <v>3.2320000000000002</v>
      </c>
      <c r="CS58" s="144" t="s">
        <v>277</v>
      </c>
      <c r="CT58" s="144" t="s">
        <v>268</v>
      </c>
      <c r="CU58" s="144" t="s">
        <v>269</v>
      </c>
      <c r="CV58" s="144">
        <v>0.90690000000000004</v>
      </c>
    </row>
    <row r="59" spans="2:100" x14ac:dyDescent="0.35">
      <c r="L59" s="45" t="s">
        <v>195</v>
      </c>
      <c r="M59" s="46">
        <f t="shared" si="37"/>
        <v>23.179953650464061</v>
      </c>
      <c r="N59" s="46">
        <f t="shared" si="19"/>
        <v>23.26</v>
      </c>
      <c r="O59" s="46">
        <f t="shared" si="20"/>
        <v>28.019497722637094</v>
      </c>
      <c r="P59" s="46">
        <f t="shared" si="21"/>
        <v>28.211258873080297</v>
      </c>
      <c r="Q59" s="46">
        <f t="shared" si="70"/>
        <v>25.813283447917311</v>
      </c>
      <c r="R59" s="46">
        <f t="shared" si="71"/>
        <v>38.052135275714335</v>
      </c>
      <c r="S59" s="46">
        <f t="shared" si="72"/>
        <v>28.288257165423818</v>
      </c>
      <c r="T59" s="46">
        <f t="shared" si="73"/>
        <v>29.981606170619877</v>
      </c>
      <c r="AQ59" s="41" t="s">
        <v>494</v>
      </c>
      <c r="AR59" s="42">
        <f t="shared" si="68"/>
        <v>0.212586186603687</v>
      </c>
      <c r="AS59" s="42">
        <f t="shared" si="68"/>
        <v>7.6425880358803211E-2</v>
      </c>
      <c r="AT59" s="42">
        <f t="shared" si="68"/>
        <v>1.3865850577723522</v>
      </c>
      <c r="AU59" s="42">
        <f t="shared" si="68"/>
        <v>5.8664019024208384E-4</v>
      </c>
      <c r="AV59" s="42">
        <f t="shared" si="68"/>
        <v>8.3391693127190691E-2</v>
      </c>
      <c r="AW59" s="42">
        <f t="shared" si="68"/>
        <v>3.8742287832555608E-2</v>
      </c>
      <c r="BI59" s="35" t="s">
        <v>171</v>
      </c>
      <c r="BJ59" s="36">
        <f>STDEV(AT51,AT53)</f>
        <v>5.3136089634829755</v>
      </c>
      <c r="BK59" s="36">
        <f>BC51-CONFIDENCE(0.05,BJ59,3)</f>
        <v>-4.3216249985222674</v>
      </c>
      <c r="BL59" s="36">
        <f>BA59+CONFIDENCE(0.05,BJ59,3)</f>
        <v>6.0128040995366074</v>
      </c>
      <c r="BM59" s="125">
        <f>BC51/BC55</f>
        <v>9.5540593665789508</v>
      </c>
      <c r="BN59" s="36">
        <f>BK59/BC51</f>
        <v>-2.5553916766889047</v>
      </c>
      <c r="BO59" s="36">
        <f>BL59/BC51</f>
        <v>3.5553916766889047</v>
      </c>
      <c r="BR59" s="1" t="s">
        <v>176</v>
      </c>
      <c r="BS59" s="27" t="s">
        <v>177</v>
      </c>
      <c r="BT59" s="27" t="s">
        <v>178</v>
      </c>
      <c r="BU59" s="27" t="s">
        <v>179</v>
      </c>
      <c r="BV59" s="37" t="s">
        <v>180</v>
      </c>
      <c r="BW59" s="27" t="s">
        <v>181</v>
      </c>
      <c r="BX59" s="27" t="s">
        <v>182</v>
      </c>
      <c r="CG59" s="1"/>
      <c r="CH59" s="25"/>
      <c r="CQ59" s="142"/>
      <c r="CR59" s="143"/>
      <c r="CS59" s="143"/>
      <c r="CT59" s="143"/>
      <c r="CU59" s="143"/>
      <c r="CV59" s="143"/>
    </row>
    <row r="60" spans="2:100" x14ac:dyDescent="0.35">
      <c r="L60" s="45" t="s">
        <v>195</v>
      </c>
      <c r="M60" s="46">
        <f t="shared" si="37"/>
        <v>22.137739756906463</v>
      </c>
      <c r="N60" s="46">
        <f t="shared" si="19"/>
        <v>23.44</v>
      </c>
      <c r="O60" s="46">
        <f t="shared" si="20"/>
        <v>28.079411117624915</v>
      </c>
      <c r="P60" s="46">
        <f t="shared" si="21"/>
        <v>29.656446093899778</v>
      </c>
      <c r="Q60" s="46">
        <f t="shared" si="70"/>
        <v>25.63590464664772</v>
      </c>
      <c r="R60" s="46">
        <f t="shared" si="71"/>
        <v>37.307683216100017</v>
      </c>
      <c r="S60" s="46">
        <f t="shared" si="72"/>
        <v>28.363520487414682</v>
      </c>
      <c r="T60" s="46">
        <f t="shared" si="73"/>
        <v>29.961591747275001</v>
      </c>
      <c r="AQ60" s="43" t="s">
        <v>495</v>
      </c>
      <c r="AR60" s="44">
        <f t="shared" si="68"/>
        <v>0.23761073240814207</v>
      </c>
      <c r="AS60" s="44">
        <f t="shared" si="68"/>
        <v>7.8169221566566152E-2</v>
      </c>
      <c r="AT60" s="44">
        <f t="shared" si="68"/>
        <v>1.352409051863918</v>
      </c>
      <c r="AU60" s="44">
        <f t="shared" si="68"/>
        <v>3.3108863061373387E-4</v>
      </c>
      <c r="AV60" s="44">
        <f t="shared" si="68"/>
        <v>4.8545168632047865E-2</v>
      </c>
      <c r="AW60" s="44">
        <f t="shared" si="68"/>
        <v>2.4142468734596755E-2</v>
      </c>
      <c r="BI60" s="39" t="s">
        <v>186</v>
      </c>
      <c r="BJ60" s="40">
        <f>STDEV(AT54:AT56)</f>
        <v>0.37751734227841799</v>
      </c>
      <c r="BK60" s="40">
        <f>BC52-CONFIDENCE(0.05,BJ60,3)</f>
        <v>1.5642523949402483</v>
      </c>
      <c r="BL60" s="40">
        <f>BC52+CONFIDENCE(0.05,BJ60,3)</f>
        <v>2.4186388727174664</v>
      </c>
      <c r="BM60" s="125">
        <f>BC52/BC55</f>
        <v>11.250369520001552</v>
      </c>
      <c r="BN60" s="40">
        <f>BK60/BC52</f>
        <v>0.78548586432296164</v>
      </c>
      <c r="BO60" s="40">
        <f>BL60/BC52</f>
        <v>1.2145141356770384</v>
      </c>
      <c r="BR60" s="35" t="s">
        <v>171</v>
      </c>
      <c r="BS60" s="36">
        <f>STDEV(AU51:AU53)</f>
        <v>2.2653423909396283E-4</v>
      </c>
      <c r="BT60" s="36">
        <f>BD51-CONFIDENCE(0.05,BS60,3)</f>
        <v>2.0204614489458737E-4</v>
      </c>
      <c r="BU60" s="36">
        <f>BD51+CONFIDENCE(0.05,BS60,3)</f>
        <v>7.1473197137164515E-4</v>
      </c>
      <c r="BV60" s="125">
        <f>BD51/BD55</f>
        <v>7.2092335564162839</v>
      </c>
      <c r="BW60" s="36">
        <f>BT60/BD51</f>
        <v>0.44077436254142249</v>
      </c>
      <c r="BX60" s="36">
        <f>BU60/BF51</f>
        <v>3.6875001712573269E-2</v>
      </c>
      <c r="CG60" s="1"/>
      <c r="CH60" s="25"/>
      <c r="CQ60" s="140" t="s">
        <v>248</v>
      </c>
      <c r="CR60" s="143"/>
      <c r="CS60" s="143"/>
      <c r="CT60" s="143"/>
      <c r="CU60" s="143"/>
      <c r="CV60" s="143"/>
    </row>
    <row r="61" spans="2:100" x14ac:dyDescent="0.35">
      <c r="AQ61" s="43" t="s">
        <v>496</v>
      </c>
      <c r="AR61" s="44">
        <f t="shared" si="68"/>
        <v>0.32943453323766037</v>
      </c>
      <c r="AS61" s="44">
        <f t="shared" si="68"/>
        <v>0.10552738048791221</v>
      </c>
      <c r="AT61" s="44">
        <f t="shared" si="68"/>
        <v>1.4038339698914735</v>
      </c>
      <c r="AU61" s="44">
        <f t="shared" si="68"/>
        <v>9.6652127115992364E-4</v>
      </c>
      <c r="AV61" s="44">
        <f t="shared" si="68"/>
        <v>0.20483511293634216</v>
      </c>
      <c r="AW61" s="44">
        <f t="shared" si="68"/>
        <v>7.8162329566191735E-2</v>
      </c>
      <c r="BI61" s="41" t="s">
        <v>492</v>
      </c>
      <c r="BJ61" s="42">
        <f>STDEV(AT57:AT59)</f>
        <v>0.1248827823215118</v>
      </c>
      <c r="BK61" s="42">
        <f>BA67-CONFIDENCE(0.05,BJ61,3)</f>
        <v>7.4458141847977561</v>
      </c>
      <c r="BL61" s="42">
        <f>BA67+CONFIDENCE(0.05,BJ61,3)</f>
        <v>7.7284453346112816</v>
      </c>
      <c r="BM61" s="125">
        <f>BC53/BC55</f>
        <v>7.0193972080666223</v>
      </c>
      <c r="BN61" s="42">
        <f>BK61/BC53</f>
        <v>5.9925367724616061</v>
      </c>
      <c r="BO61" s="42">
        <f>BL61/BC53</f>
        <v>6.2200038454055786</v>
      </c>
      <c r="BR61" s="39" t="s">
        <v>186</v>
      </c>
      <c r="BS61" s="40">
        <f>STDEV(AU54:AU56)</f>
        <v>1.5098809887511785E-3</v>
      </c>
      <c r="BT61" s="40">
        <f>BD52-CONFIDENCE(0.05,BS61,3)</f>
        <v>-4.2099627063297814E-4</v>
      </c>
      <c r="BU61" s="40">
        <f>BD52+CONFIDENCE(0.05,BS61,3)</f>
        <v>2.9961233034143378E-3</v>
      </c>
      <c r="BV61" s="125">
        <f>BD52/BD55</f>
        <v>20.249929494794884</v>
      </c>
      <c r="BW61" s="40">
        <f>BT61/BD52</f>
        <v>-0.32697126415411498</v>
      </c>
      <c r="BX61" s="40">
        <f>BU61/BF52</f>
        <v>8.6825197680144475E-2</v>
      </c>
      <c r="CG61" s="1"/>
      <c r="CH61" s="25"/>
      <c r="CQ61" s="142" t="s">
        <v>262</v>
      </c>
      <c r="CR61" s="144">
        <v>-11.15</v>
      </c>
      <c r="CS61" s="144" t="s">
        <v>278</v>
      </c>
      <c r="CT61" s="144" t="s">
        <v>268</v>
      </c>
      <c r="CU61" s="144" t="s">
        <v>269</v>
      </c>
      <c r="CV61" s="144">
        <v>8.1699999999999995E-2</v>
      </c>
    </row>
    <row r="62" spans="2:100" x14ac:dyDescent="0.35">
      <c r="AQ62" s="43" t="s">
        <v>497</v>
      </c>
      <c r="AR62" s="44">
        <f t="shared" si="68"/>
        <v>0.15245087538835922</v>
      </c>
      <c r="AS62" s="44">
        <f t="shared" si="68"/>
        <v>4.6014167881468303E-2</v>
      </c>
      <c r="AT62" s="44">
        <f t="shared" si="68"/>
        <v>0.60117160483116905</v>
      </c>
      <c r="AU62" s="44">
        <f t="shared" si="68"/>
        <v>1.0573478095020612E-4</v>
      </c>
      <c r="AV62" s="44">
        <f t="shared" si="68"/>
        <v>4.9042757328764605E-2</v>
      </c>
      <c r="AW62" s="44">
        <f t="shared" si="68"/>
        <v>2.9560670252050676E-2</v>
      </c>
      <c r="BI62" s="43" t="s">
        <v>495</v>
      </c>
      <c r="BJ62" s="44">
        <f>STDEV(AT60:AT62)</f>
        <v>0.44930856069866248</v>
      </c>
      <c r="BK62" s="44">
        <f>BA68-CONFIDENCE(0.05,BJ62,3)</f>
        <v>14.021012470248984</v>
      </c>
      <c r="BL62" s="44">
        <f>BA68+CONFIDENCE(0.05,BJ62,3)</f>
        <v>15.037874785218794</v>
      </c>
      <c r="BM62" s="125">
        <f>BC54/BC55</f>
        <v>7.7854880783400517</v>
      </c>
      <c r="BN62" s="44">
        <f>BK62/BC54</f>
        <v>10.17400306110838</v>
      </c>
      <c r="BO62" s="44">
        <f>BL62/BC54</f>
        <v>10.911864205385994</v>
      </c>
      <c r="BR62" s="41" t="s">
        <v>492</v>
      </c>
      <c r="BS62" s="42">
        <f>STDEV(AU57:AU59)</f>
        <v>3.1421984137847565E-4</v>
      </c>
      <c r="BT62" s="42">
        <f>BD53-CONFIDENCE(0.05,BS62,3)</f>
        <v>4.7225721265147251E-4</v>
      </c>
      <c r="BU62" s="42">
        <f>BD53+CONFIDENCE(0.05,BS62,3)</f>
        <v>1.1833905923865936E-3</v>
      </c>
      <c r="BV62" s="125">
        <f>BD53/BD55</f>
        <v>13.019455309752605</v>
      </c>
      <c r="BW62" s="42">
        <f>BT62/BD53</f>
        <v>0.57048028114966698</v>
      </c>
      <c r="BX62" s="42">
        <f>BU62/BF53</f>
        <v>4.2737453351074747E-2</v>
      </c>
      <c r="CG62" s="1"/>
      <c r="CH62" s="1"/>
      <c r="CI62" s="25"/>
      <c r="CQ62" s="142" t="s">
        <v>266</v>
      </c>
      <c r="CR62" s="144">
        <v>-3.9220000000000002</v>
      </c>
      <c r="CS62" s="144" t="s">
        <v>279</v>
      </c>
      <c r="CT62" s="144" t="s">
        <v>268</v>
      </c>
      <c r="CU62" s="144" t="s">
        <v>269</v>
      </c>
      <c r="CV62" s="144">
        <v>0.78090000000000004</v>
      </c>
    </row>
    <row r="63" spans="2:100" x14ac:dyDescent="0.35">
      <c r="AQ63" s="45" t="s">
        <v>190</v>
      </c>
      <c r="AR63" s="46">
        <f t="shared" si="68"/>
        <v>0.25212200092236153</v>
      </c>
      <c r="AS63" s="46">
        <f t="shared" si="68"/>
        <v>7.42607290642113E-2</v>
      </c>
      <c r="AT63" s="46">
        <f t="shared" si="68"/>
        <v>0.62818552964470242</v>
      </c>
      <c r="AU63" s="46">
        <f t="shared" si="68"/>
        <v>4.8143484999302202E-4</v>
      </c>
      <c r="AV63" s="46">
        <f t="shared" si="68"/>
        <v>0.1439740545159941</v>
      </c>
      <c r="AW63" s="46">
        <f t="shared" si="68"/>
        <v>9.6454953381825401E-2</v>
      </c>
      <c r="BI63" s="45" t="s">
        <v>190</v>
      </c>
      <c r="BJ63" s="46">
        <f>STDEV(AT63:AT65)</f>
        <v>0.26094564211102461</v>
      </c>
      <c r="BK63" s="46">
        <f>BC55-CONFIDENCE(0.05,BJ63,3)</f>
        <v>-0.1182707904700751</v>
      </c>
      <c r="BL63" s="46">
        <f>BC55+CONFIDENCE(0.05,BJ63,3)</f>
        <v>0.47229394149428833</v>
      </c>
      <c r="BM63" s="125">
        <f>BC55/BC55</f>
        <v>1</v>
      </c>
      <c r="BN63" s="46">
        <f>BK63/BC55</f>
        <v>-0.66815286021781117</v>
      </c>
      <c r="BO63" s="46">
        <f>BL63/BC55</f>
        <v>2.6681528602178113</v>
      </c>
      <c r="BR63" s="43" t="s">
        <v>495</v>
      </c>
      <c r="BS63" s="44">
        <f>STDEV(AU60:AU62)</f>
        <v>4.4637659361374064E-4</v>
      </c>
      <c r="BT63" s="44">
        <f>BD54-CONFIDENCE(0.05,BS63,3)</f>
        <v>-3.7331824450871165E-5</v>
      </c>
      <c r="BU63" s="44">
        <f>BD54+CONFIDENCE(0.05,BS63,3)</f>
        <v>9.7289494626678018E-4</v>
      </c>
      <c r="BV63" s="125">
        <f>BD54/BD55</f>
        <v>7.3569524973065201</v>
      </c>
      <c r="BW63" s="44">
        <f>BT63/BD54</f>
        <v>-7.9806105179543313E-2</v>
      </c>
      <c r="BX63" s="44">
        <f>BU63/BF54</f>
        <v>2.2133807059812695E-2</v>
      </c>
      <c r="CG63" s="1"/>
      <c r="CH63" s="1"/>
      <c r="CI63" s="25"/>
      <c r="CQ63" s="142" t="s">
        <v>270</v>
      </c>
      <c r="CR63" s="144">
        <v>-1.1060000000000001</v>
      </c>
      <c r="CS63" s="144" t="s">
        <v>280</v>
      </c>
      <c r="CT63" s="144" t="s">
        <v>268</v>
      </c>
      <c r="CU63" s="144" t="s">
        <v>269</v>
      </c>
      <c r="CV63" s="144">
        <v>0.99480000000000002</v>
      </c>
    </row>
    <row r="64" spans="2:100" x14ac:dyDescent="0.35">
      <c r="AQ64" s="45" t="s">
        <v>194</v>
      </c>
      <c r="AR64" s="46">
        <f t="shared" si="68"/>
        <v>6.301192438766319E-2</v>
      </c>
      <c r="AS64" s="46">
        <f t="shared" si="68"/>
        <v>2.4573071607841675E-2</v>
      </c>
      <c r="AT64" s="46">
        <f t="shared" si="68"/>
        <v>0.19250294431931814</v>
      </c>
      <c r="AU64" s="46">
        <f t="shared" si="68"/>
        <v>8.43467467390357E-5</v>
      </c>
      <c r="AV64" s="46">
        <f t="shared" si="68"/>
        <v>4.8419627446014968E-2</v>
      </c>
      <c r="AW64" s="46">
        <f t="shared" si="68"/>
        <v>1.8650492937097366E-2</v>
      </c>
      <c r="BR64" s="45" t="s">
        <v>190</v>
      </c>
      <c r="BS64" s="46">
        <f>STDEV(AU64:AU65)</f>
        <v>2.9363516776408378E-5</v>
      </c>
      <c r="BT64" s="46">
        <f>BD55-CONFIDENCE(0.05,BS64,3)</f>
        <v>3.0356268220462332E-5</v>
      </c>
      <c r="BU64" s="46">
        <f>BD55+CONFIDENCE(0.05,BS64,3)</f>
        <v>9.6810941593442447E-5</v>
      </c>
      <c r="BV64" s="125">
        <f>BD55/BD55</f>
        <v>1</v>
      </c>
      <c r="BW64" s="46">
        <f>BT64/BD55</f>
        <v>0.47742288699870655</v>
      </c>
      <c r="BX64" s="46">
        <f>BU64/BD55</f>
        <v>1.5225771130012935</v>
      </c>
      <c r="CG64" s="1"/>
      <c r="CH64" s="1"/>
      <c r="CI64" s="25"/>
      <c r="CQ64" s="142"/>
      <c r="CR64" s="143"/>
      <c r="CS64" s="143"/>
      <c r="CT64" s="143"/>
      <c r="CU64" s="143"/>
      <c r="CV64" s="143"/>
    </row>
    <row r="65" spans="43:100" x14ac:dyDescent="0.35">
      <c r="AQ65" s="45" t="s">
        <v>195</v>
      </c>
      <c r="AR65" s="46">
        <f t="shared" si="68"/>
        <v>3.3506967936515364E-2</v>
      </c>
      <c r="AS65" s="46">
        <f t="shared" si="68"/>
        <v>1.494218189505641E-2</v>
      </c>
      <c r="AT65" s="46">
        <f t="shared" si="68"/>
        <v>0.16152020670489506</v>
      </c>
      <c r="AU65" s="46">
        <f t="shared" si="68"/>
        <v>4.2820463074869066E-5</v>
      </c>
      <c r="AV65" s="46">
        <f t="shared" si="68"/>
        <v>2.5418956350027912E-2</v>
      </c>
      <c r="AW65" s="46">
        <f t="shared" si="68"/>
        <v>7.4861083216798486E-3</v>
      </c>
      <c r="BI65" s="1" t="s">
        <v>198</v>
      </c>
      <c r="BJ65" s="1" t="s">
        <v>249</v>
      </c>
      <c r="CG65" s="1"/>
      <c r="CQ65" s="140" t="s">
        <v>249</v>
      </c>
      <c r="CR65" s="143"/>
      <c r="CS65" s="143"/>
      <c r="CT65" s="143"/>
      <c r="CU65" s="143"/>
      <c r="CV65" s="143"/>
    </row>
    <row r="66" spans="43:100" x14ac:dyDescent="0.35">
      <c r="AZ66" s="1" t="s">
        <v>183</v>
      </c>
      <c r="BA66" s="1" t="s">
        <v>167</v>
      </c>
      <c r="BB66" s="1" t="s">
        <v>168</v>
      </c>
      <c r="BC66" s="27" t="s">
        <v>247</v>
      </c>
      <c r="BD66" s="27" t="s">
        <v>248</v>
      </c>
      <c r="BE66" s="27" t="s">
        <v>249</v>
      </c>
      <c r="BF66" s="27" t="s">
        <v>250</v>
      </c>
      <c r="BI66" s="1" t="s">
        <v>176</v>
      </c>
      <c r="BJ66" s="27" t="s">
        <v>177</v>
      </c>
      <c r="BK66" s="27" t="s">
        <v>178</v>
      </c>
      <c r="BL66" s="27" t="s">
        <v>179</v>
      </c>
      <c r="BM66" s="37" t="s">
        <v>180</v>
      </c>
      <c r="BN66" s="27" t="s">
        <v>181</v>
      </c>
      <c r="BO66" s="27" t="s">
        <v>182</v>
      </c>
      <c r="BR66" t="s">
        <v>198</v>
      </c>
      <c r="BS66" s="1" t="s">
        <v>255</v>
      </c>
      <c r="CG66" s="1"/>
      <c r="CQ66" s="142" t="s">
        <v>262</v>
      </c>
      <c r="CR66" s="144">
        <v>0.60719999999999996</v>
      </c>
      <c r="CS66" s="144" t="s">
        <v>281</v>
      </c>
      <c r="CT66" s="144" t="s">
        <v>268</v>
      </c>
      <c r="CU66" s="144" t="s">
        <v>269</v>
      </c>
      <c r="CV66" s="144">
        <v>0.99890000000000001</v>
      </c>
    </row>
    <row r="67" spans="43:100" x14ac:dyDescent="0.35">
      <c r="AZ67" s="35" t="s">
        <v>171</v>
      </c>
      <c r="BA67" s="36">
        <f t="shared" ref="BA67:BA78" si="76">AR51/$BA$55</f>
        <v>7.5871297597045189</v>
      </c>
      <c r="BB67" s="36">
        <f t="shared" ref="BB67:BB78" si="77">AS51/$BB$55</f>
        <v>3.0329558349091821</v>
      </c>
      <c r="BC67" s="36">
        <f t="shared" ref="BC67:BC78" si="78">AT51/$BC$55</f>
        <v>9.5540593665789508</v>
      </c>
      <c r="BD67" s="36">
        <f t="shared" ref="BD67:BD78" si="79">AU51/$BD$55</f>
        <v>12.874388009736128</v>
      </c>
      <c r="BE67" s="36">
        <f t="shared" ref="BE67:BE78" si="80">AV51/$BE$55</f>
        <v>4.1762618508834759</v>
      </c>
      <c r="BF67" s="36">
        <f t="shared" ref="BF67:BF78" si="81">AW51/$BF$55</f>
        <v>0.77286903734794821</v>
      </c>
      <c r="BI67" s="35" t="s">
        <v>171</v>
      </c>
      <c r="BJ67" s="36">
        <f>STDEV(AV52:AV53)</f>
        <v>0.56844157905423998</v>
      </c>
      <c r="BK67" s="36">
        <f>BE51-CONFIDENCE(0.05,BJ67,3)</f>
        <v>-0.46336374170587769</v>
      </c>
      <c r="BL67" s="36">
        <f>BE51+CONFIDENCE(0.05,BJ67,3)</f>
        <v>0.82311702132114262</v>
      </c>
      <c r="BM67" s="125">
        <f>BE51/BE55</f>
        <v>4.8721584450884965</v>
      </c>
      <c r="BN67" s="36">
        <f>BK67/BE51</f>
        <v>-2.5760084366787042</v>
      </c>
      <c r="BO67" s="36">
        <f>BL67/BE51</f>
        <v>4.5760084366787046</v>
      </c>
      <c r="BR67" s="1" t="s">
        <v>176</v>
      </c>
      <c r="BS67" s="27" t="s">
        <v>177</v>
      </c>
      <c r="BT67" s="27" t="s">
        <v>178</v>
      </c>
      <c r="BU67" s="27" t="s">
        <v>179</v>
      </c>
      <c r="BV67" s="37" t="s">
        <v>180</v>
      </c>
      <c r="BW67" s="27" t="s">
        <v>181</v>
      </c>
      <c r="BX67" s="27" t="s">
        <v>182</v>
      </c>
      <c r="CG67" s="1"/>
      <c r="CQ67" s="142" t="s">
        <v>266</v>
      </c>
      <c r="CR67" s="144">
        <v>2.6509999999999998</v>
      </c>
      <c r="CS67" s="144" t="s">
        <v>282</v>
      </c>
      <c r="CT67" s="144" t="s">
        <v>268</v>
      </c>
      <c r="CU67" s="144" t="s">
        <v>269</v>
      </c>
      <c r="CV67" s="144">
        <v>0.92490000000000006</v>
      </c>
    </row>
    <row r="68" spans="43:100" x14ac:dyDescent="0.35">
      <c r="AZ68" s="35" t="s">
        <v>187</v>
      </c>
      <c r="BA68" s="36">
        <f t="shared" si="76"/>
        <v>14.529443627733889</v>
      </c>
      <c r="BB68" s="36">
        <f t="shared" si="77"/>
        <v>4.5575177047366502</v>
      </c>
      <c r="BC68" s="36">
        <f t="shared" si="78"/>
        <v>35.879870273397167</v>
      </c>
      <c r="BD68" s="36">
        <f t="shared" si="79"/>
        <v>5.7966500732662665</v>
      </c>
      <c r="BE68" s="36">
        <f t="shared" si="80"/>
        <v>5.5680550392935171</v>
      </c>
      <c r="BF68" s="36">
        <f t="shared" si="81"/>
        <v>0.42623943890840155</v>
      </c>
      <c r="BI68" s="39" t="s">
        <v>186</v>
      </c>
      <c r="BJ68" s="40">
        <f>STDEV(AV54:AV56)</f>
        <v>5.4163161359635954E-2</v>
      </c>
      <c r="BK68" s="40">
        <f>BE52-CONFIDENCE(0.05,BJ68,3)</f>
        <v>9.6170337121124438E-2</v>
      </c>
      <c r="BL68" s="40">
        <f>BE52+CONFIDENCE(0.05,BJ68,3)</f>
        <v>0.218750858535184</v>
      </c>
      <c r="BM68" s="125">
        <f>BE52/BE55</f>
        <v>4.2649950671614247</v>
      </c>
      <c r="BN68" s="40">
        <f>BK68/BE52</f>
        <v>0.61075810995002477</v>
      </c>
      <c r="BO68" s="40">
        <f>BL68/BE52</f>
        <v>1.3892418900499752</v>
      </c>
      <c r="BR68" s="35" t="s">
        <v>171</v>
      </c>
      <c r="BS68" s="36">
        <f>STDEV(AW51:AW53)</f>
        <v>2.0128528609425714E-2</v>
      </c>
      <c r="BT68" s="36">
        <f>BF51-CONFIDENCE(0.05,BS68,3)</f>
        <v>-3.3945947870457627E-3</v>
      </c>
      <c r="BU68" s="36">
        <f>BF51+CONFIDENCE(0.05,BS68,3)</f>
        <v>4.2159716857694672E-2</v>
      </c>
      <c r="BV68" s="125">
        <f>BF51/BF55</f>
        <v>1.483173794742374</v>
      </c>
      <c r="BW68" s="36">
        <f>BT68/BF51</f>
        <v>-0.17513654572577689</v>
      </c>
      <c r="BX68" s="36">
        <f>BU68/BF51</f>
        <v>2.1751365457257767</v>
      </c>
      <c r="CG68" s="1"/>
      <c r="CQ68" s="142" t="s">
        <v>270</v>
      </c>
      <c r="CR68" s="144">
        <v>2.1419999999999999</v>
      </c>
      <c r="CS68" s="144" t="s">
        <v>283</v>
      </c>
      <c r="CT68" s="144" t="s">
        <v>268</v>
      </c>
      <c r="CU68" s="144" t="s">
        <v>269</v>
      </c>
      <c r="CV68" s="144">
        <v>0.95760000000000001</v>
      </c>
    </row>
    <row r="69" spans="43:100" x14ac:dyDescent="0.35">
      <c r="AZ69" s="35" t="s">
        <v>188</v>
      </c>
      <c r="BA69" s="36">
        <f t="shared" si="76"/>
        <v>41.394355607092756</v>
      </c>
      <c r="BB69" s="36">
        <f t="shared" si="77"/>
        <v>18.539188595912481</v>
      </c>
      <c r="BC69" s="36">
        <f t="shared" si="78"/>
        <v>52.006525198627962</v>
      </c>
      <c r="BD69" s="36">
        <f t="shared" si="79"/>
        <v>8.6218170395663023</v>
      </c>
      <c r="BE69" s="36">
        <f t="shared" si="80"/>
        <v>27.342518989897247</v>
      </c>
      <c r="BF69" s="36">
        <f t="shared" si="81"/>
        <v>3.2504129079707718</v>
      </c>
      <c r="BI69" s="41" t="s">
        <v>492</v>
      </c>
      <c r="BJ69" s="42">
        <f>STDEV(AV57:AV59)</f>
        <v>9.4774383044772311E-3</v>
      </c>
      <c r="BK69" s="42">
        <f>BE53-CONFIDENCE(0.05,BJ69,3)</f>
        <v>7.1267105437048117E-2</v>
      </c>
      <c r="BL69" s="42">
        <f>BE53+CONFIDENCE(0.05,BJ69,3)</f>
        <v>9.2716173398915108E-2</v>
      </c>
      <c r="BM69" s="125">
        <f>BE53/BE55</f>
        <v>2.2208345610869005</v>
      </c>
      <c r="BN69" s="42">
        <f>BK69/BE53</f>
        <v>0.86919966405036297</v>
      </c>
      <c r="BO69" s="42">
        <f>BL69/BE53</f>
        <v>1.130800335949637</v>
      </c>
      <c r="BR69" s="39" t="s">
        <v>186</v>
      </c>
      <c r="BS69" s="40">
        <f>STDEV(AW54:AW56)</f>
        <v>9.2232172346517636E-4</v>
      </c>
      <c r="BT69" s="40">
        <f>BF52-CONFIDENCE(0.05,BS69,3)</f>
        <v>3.3463846080472516E-2</v>
      </c>
      <c r="BU69" s="40">
        <f>BF52+CONFIDENCE(0.05,BS69,3)</f>
        <v>3.5551218289476001E-2</v>
      </c>
      <c r="BV69" s="125">
        <f>BF52/BF55</f>
        <v>2.6405523689416897</v>
      </c>
      <c r="BW69" s="40">
        <f>BT69/BF52</f>
        <v>0.96975483210717117</v>
      </c>
      <c r="BX69" s="40">
        <f>BU69/BF52</f>
        <v>1.0302451678928288</v>
      </c>
      <c r="CG69" s="1"/>
      <c r="CQ69" s="142"/>
      <c r="CR69" s="143"/>
      <c r="CS69" s="143"/>
      <c r="CT69" s="143"/>
      <c r="CU69" s="143"/>
      <c r="CV69" s="143"/>
    </row>
    <row r="70" spans="43:100" x14ac:dyDescent="0.35">
      <c r="AZ70" s="39" t="s">
        <v>186</v>
      </c>
      <c r="BA70" s="40">
        <f t="shared" si="76"/>
        <v>18.85702383389787</v>
      </c>
      <c r="BB70" s="40">
        <f t="shared" si="77"/>
        <v>19.726538356447566</v>
      </c>
      <c r="BC70" s="40">
        <f t="shared" si="78"/>
        <v>13.383356987034071</v>
      </c>
      <c r="BD70" s="40">
        <f t="shared" si="79"/>
        <v>10.073792337283658</v>
      </c>
      <c r="BE70" s="40">
        <f t="shared" si="80"/>
        <v>3.0457451283429373</v>
      </c>
      <c r="BF70" s="40">
        <f t="shared" si="81"/>
        <v>2.5634380618509098</v>
      </c>
      <c r="BI70" s="43" t="s">
        <v>495</v>
      </c>
      <c r="BJ70" s="44">
        <f>STDEV(AV60:AV62)</f>
        <v>9.0090743467265991E-2</v>
      </c>
      <c r="BK70" s="44">
        <f>BE54-CONFIDENCE(0.05,BJ70,3)</f>
        <v>-1.137720447489346E-3</v>
      </c>
      <c r="BL70" s="44">
        <f>BE54+CONFIDENCE(0.05,BJ70,3)</f>
        <v>0.20275307971225914</v>
      </c>
      <c r="BM70" s="125">
        <f>BE54/BE55</f>
        <v>2.7304878953484835</v>
      </c>
      <c r="BN70" s="44">
        <f>BK70/BE54</f>
        <v>-1.1286049352968626E-2</v>
      </c>
      <c r="BO70" s="44">
        <f>BL70/BE54</f>
        <v>2.011286049352969</v>
      </c>
      <c r="BR70" s="41" t="s">
        <v>492</v>
      </c>
      <c r="BS70" s="42">
        <f>STDEV(AW57:AW59)</f>
        <v>1.1466560880346801E-2</v>
      </c>
      <c r="BT70" s="42">
        <f>BF53-CONFIDENCE(0.05,BS70,3)</f>
        <v>1.4714381214241345E-2</v>
      </c>
      <c r="BU70" s="42">
        <f>BF53+CONFIDENCE(0.05,BS70,3)</f>
        <v>4.0665174636474039E-2</v>
      </c>
      <c r="BV70" s="125">
        <f>BF53/BF55</f>
        <v>2.1188506991557587</v>
      </c>
      <c r="BW70" s="42">
        <f>BT70/BF53</f>
        <v>0.53140119989067292</v>
      </c>
      <c r="BX70" s="42">
        <f>BU70/BF53</f>
        <v>1.4685988001093271</v>
      </c>
      <c r="CG70" s="1"/>
      <c r="CQ70" s="140" t="s">
        <v>284</v>
      </c>
      <c r="CR70" s="143"/>
      <c r="CS70" s="143"/>
      <c r="CT70" s="143"/>
      <c r="CU70" s="143"/>
      <c r="CV70" s="143"/>
    </row>
    <row r="71" spans="43:100" x14ac:dyDescent="0.35">
      <c r="AZ71" s="39" t="s">
        <v>191</v>
      </c>
      <c r="BA71" s="40">
        <f t="shared" si="76"/>
        <v>26.88438627565009</v>
      </c>
      <c r="BB71" s="40">
        <f t="shared" si="77"/>
        <v>20.612391059512628</v>
      </c>
      <c r="BC71" s="40">
        <f t="shared" si="78"/>
        <v>11.249848217746216</v>
      </c>
      <c r="BD71" s="40">
        <f t="shared" si="79"/>
        <v>3.2874732613557107</v>
      </c>
      <c r="BE71" s="40">
        <f t="shared" si="80"/>
        <v>5.8931310336760152</v>
      </c>
      <c r="BF71" s="40">
        <f t="shared" si="81"/>
        <v>2.6562807341667609</v>
      </c>
      <c r="BI71" s="45" t="s">
        <v>190</v>
      </c>
      <c r="BJ71" s="46">
        <f>STDEV(AV63:AV65)</f>
        <v>6.2868898914963806E-2</v>
      </c>
      <c r="BK71" s="46">
        <f>BE55-CONFIDENCE(0.05,BJ71,3)</f>
        <v>-3.4222257231228501E-2</v>
      </c>
      <c r="BL71" s="46">
        <f>BE55+CONFIDENCE(0.05,BJ71,3)</f>
        <v>0.10806084102727138</v>
      </c>
      <c r="BM71" s="125">
        <f>BE55/BE55</f>
        <v>1</v>
      </c>
      <c r="BN71" s="46">
        <f>BK71/BE55</f>
        <v>-0.92694782244895979</v>
      </c>
      <c r="BO71" s="46">
        <f>BL71/BE55</f>
        <v>2.9269478224489598</v>
      </c>
      <c r="BR71" s="43" t="s">
        <v>495</v>
      </c>
      <c r="BS71" s="44">
        <f>STDEV(AW60:AW62)</f>
        <v>2.9747895051685198E-2</v>
      </c>
      <c r="BT71" s="44">
        <f>BF54-CONFIDENCE(0.05,BS71,3)</f>
        <v>1.0292862524997622E-2</v>
      </c>
      <c r="BU71" s="44">
        <f>BF54+CONFIDENCE(0.05,BS71,3)</f>
        <v>7.7617449843561837E-2</v>
      </c>
      <c r="BV71" s="125">
        <f>BF54/BF55</f>
        <v>3.363494415290027</v>
      </c>
      <c r="BW71" s="44">
        <f>BT71/BF54</f>
        <v>0.23416735187665644</v>
      </c>
      <c r="BX71" s="44">
        <f>BU71/BF54</f>
        <v>1.7658326481233437</v>
      </c>
      <c r="CQ71" s="142" t="s">
        <v>262</v>
      </c>
      <c r="CR71" s="144">
        <v>-1.157</v>
      </c>
      <c r="CS71" s="144" t="s">
        <v>285</v>
      </c>
      <c r="CT71" s="144" t="s">
        <v>268</v>
      </c>
      <c r="CU71" s="144" t="s">
        <v>269</v>
      </c>
      <c r="CV71" s="144">
        <v>0.99139999999999995</v>
      </c>
    </row>
    <row r="72" spans="43:100" x14ac:dyDescent="0.35">
      <c r="AZ72" s="39" t="s">
        <v>192</v>
      </c>
      <c r="BA72" s="40">
        <f t="shared" si="76"/>
        <v>39.217425372865669</v>
      </c>
      <c r="BB72" s="40">
        <f t="shared" si="77"/>
        <v>26.314227408954764</v>
      </c>
      <c r="BC72" s="40">
        <f t="shared" si="78"/>
        <v>9.1179033552243673</v>
      </c>
      <c r="BD72" s="40">
        <f t="shared" si="79"/>
        <v>47.388522885745282</v>
      </c>
      <c r="BE72" s="40">
        <f t="shared" si="80"/>
        <v>3.8561090394653226</v>
      </c>
      <c r="BF72" s="40">
        <f t="shared" si="81"/>
        <v>2.7019383108073982</v>
      </c>
      <c r="BR72" s="45" t="s">
        <v>190</v>
      </c>
      <c r="BS72" s="46">
        <f>STDEV(AW63:AW65)</f>
        <v>4.8465852137136042E-2</v>
      </c>
      <c r="BT72" s="46">
        <f>BF55-CONFIDENCE(0.05,BS72,3)</f>
        <v>-4.1774966238839667E-2</v>
      </c>
      <c r="BU72" s="46">
        <f>BF55+CONFIDENCE(0.05,BS72,3)</f>
        <v>6.7911567497616884E-2</v>
      </c>
      <c r="BV72" s="125">
        <f>BF55/BF55</f>
        <v>1</v>
      </c>
      <c r="BW72" s="46">
        <f>BT72/BF55</f>
        <v>-3.1966640057923188</v>
      </c>
      <c r="BX72" s="46">
        <f>BU72/BF55</f>
        <v>5.1966640057923188</v>
      </c>
      <c r="CQ72" s="142" t="s">
        <v>266</v>
      </c>
      <c r="CR72" s="144">
        <v>-0.63570000000000004</v>
      </c>
      <c r="CS72" s="144" t="s">
        <v>286</v>
      </c>
      <c r="CT72" s="144" t="s">
        <v>268</v>
      </c>
      <c r="CU72" s="144" t="s">
        <v>269</v>
      </c>
      <c r="CV72" s="144">
        <v>0.99850000000000005</v>
      </c>
    </row>
    <row r="73" spans="43:100" x14ac:dyDescent="0.35">
      <c r="AZ73" s="41" t="s">
        <v>492</v>
      </c>
      <c r="BA73" s="42">
        <f t="shared" si="76"/>
        <v>5.834506118078866</v>
      </c>
      <c r="BB73" s="42">
        <f t="shared" si="77"/>
        <v>4.3736079085945772</v>
      </c>
      <c r="BC73" s="42">
        <f t="shared" si="78"/>
        <v>6.6425925533507693</v>
      </c>
      <c r="BD73" s="42">
        <f t="shared" si="79"/>
        <v>18.608010585779482</v>
      </c>
      <c r="BE73" s="42">
        <f t="shared" si="80"/>
        <v>2.4564710664567797</v>
      </c>
      <c r="BF73" s="42">
        <f t="shared" si="81"/>
        <v>1.2128405725014646</v>
      </c>
      <c r="BJ73" s="1"/>
      <c r="CQ73" s="142" t="s">
        <v>270</v>
      </c>
      <c r="CR73" s="144">
        <v>-1.88</v>
      </c>
      <c r="CS73" s="144" t="s">
        <v>287</v>
      </c>
      <c r="CT73" s="144" t="s">
        <v>268</v>
      </c>
      <c r="CU73" s="144" t="s">
        <v>269</v>
      </c>
      <c r="CV73" s="144">
        <v>0.96550000000000002</v>
      </c>
    </row>
    <row r="74" spans="43:100" x14ac:dyDescent="0.35">
      <c r="AZ74" s="41" t="s">
        <v>493</v>
      </c>
      <c r="BA74" s="42">
        <f t="shared" si="76"/>
        <v>4.6425657396206113</v>
      </c>
      <c r="BB74" s="42">
        <f t="shared" si="77"/>
        <v>3.7101083842263405</v>
      </c>
      <c r="BC74" s="42">
        <f t="shared" si="78"/>
        <v>6.5822974703132733</v>
      </c>
      <c r="BD74" s="42">
        <f t="shared" si="79"/>
        <v>11.224074589177485</v>
      </c>
      <c r="BE74" s="42">
        <f t="shared" si="80"/>
        <v>1.947276046999294</v>
      </c>
      <c r="BF74" s="42">
        <f t="shared" si="81"/>
        <v>2.1791112352058617</v>
      </c>
      <c r="BI74" s="1"/>
      <c r="BJ74" s="27"/>
      <c r="BK74" s="27"/>
      <c r="BL74" s="27"/>
      <c r="BM74" s="27"/>
      <c r="BN74" s="27"/>
      <c r="BO74" s="27"/>
    </row>
    <row r="75" spans="43:100" x14ac:dyDescent="0.35">
      <c r="AZ75" s="41" t="s">
        <v>494</v>
      </c>
      <c r="BA75" s="42">
        <f t="shared" si="76"/>
        <v>4.4050689245308075</v>
      </c>
      <c r="BB75" s="42">
        <f t="shared" si="77"/>
        <v>3.8681710774396558</v>
      </c>
      <c r="BC75" s="42">
        <f t="shared" si="78"/>
        <v>7.8333016005358216</v>
      </c>
      <c r="BD75" s="42">
        <f t="shared" si="79"/>
        <v>9.2262807543008485</v>
      </c>
      <c r="BE75" s="42">
        <f t="shared" si="80"/>
        <v>2.2587565698046275</v>
      </c>
      <c r="BF75" s="42">
        <f t="shared" si="81"/>
        <v>2.9646002897599506</v>
      </c>
      <c r="BI75" s="1"/>
    </row>
    <row r="76" spans="43:100" x14ac:dyDescent="0.35">
      <c r="AZ76" s="43" t="s">
        <v>495</v>
      </c>
      <c r="BA76" s="44">
        <f t="shared" si="76"/>
        <v>4.9236108431513603</v>
      </c>
      <c r="BB76" s="44">
        <f t="shared" si="77"/>
        <v>3.9564074445749489</v>
      </c>
      <c r="BC76" s="44">
        <f t="shared" si="78"/>
        <v>7.6402294479968669</v>
      </c>
      <c r="BD76" s="44">
        <f t="shared" si="79"/>
        <v>5.2071383983063821</v>
      </c>
      <c r="BE76" s="44">
        <f t="shared" si="80"/>
        <v>1.3148997756007739</v>
      </c>
      <c r="BF76" s="44">
        <f t="shared" si="81"/>
        <v>1.847406898514719</v>
      </c>
      <c r="BI76" s="1"/>
    </row>
    <row r="77" spans="43:100" x14ac:dyDescent="0.35">
      <c r="AZ77" s="43" t="s">
        <v>496</v>
      </c>
      <c r="BA77" s="44">
        <f t="shared" si="76"/>
        <v>6.8263222941097732</v>
      </c>
      <c r="BB77" s="44">
        <f t="shared" si="77"/>
        <v>5.341095963368816</v>
      </c>
      <c r="BC77" s="44">
        <f t="shared" si="78"/>
        <v>7.9307467086832348</v>
      </c>
      <c r="BD77" s="44">
        <f t="shared" si="79"/>
        <v>15.200793861472958</v>
      </c>
      <c r="BE77" s="44">
        <f t="shared" si="80"/>
        <v>5.5481863926897139</v>
      </c>
      <c r="BF77" s="44">
        <f t="shared" si="81"/>
        <v>5.9810630152184157</v>
      </c>
      <c r="BI77" s="1"/>
    </row>
    <row r="78" spans="43:100" x14ac:dyDescent="0.35">
      <c r="AZ78" s="43" t="s">
        <v>497</v>
      </c>
      <c r="BA78" s="44">
        <f t="shared" si="76"/>
        <v>3.1589851834669131</v>
      </c>
      <c r="BB78" s="44">
        <f t="shared" si="77"/>
        <v>2.3289319339982764</v>
      </c>
      <c r="BC78" s="44">
        <f t="shared" si="78"/>
        <v>3.3962276370454214</v>
      </c>
      <c r="BD78" s="44">
        <f t="shared" si="79"/>
        <v>1.6629252321402246</v>
      </c>
      <c r="BE78" s="44">
        <f t="shared" si="80"/>
        <v>1.3283775177549622</v>
      </c>
      <c r="BF78" s="44">
        <f t="shared" si="81"/>
        <v>2.2620133321369464</v>
      </c>
      <c r="BI78" s="1"/>
    </row>
    <row r="79" spans="43:100" x14ac:dyDescent="0.35">
      <c r="BI79" s="1"/>
    </row>
    <row r="81" spans="61:67" x14ac:dyDescent="0.35">
      <c r="BJ81" s="1"/>
    </row>
    <row r="82" spans="61:67" x14ac:dyDescent="0.35">
      <c r="BI82" s="1"/>
      <c r="BJ82" s="27"/>
      <c r="BK82" s="27"/>
      <c r="BL82" s="27"/>
      <c r="BM82" s="27"/>
      <c r="BN82" s="27"/>
      <c r="BO82" s="27"/>
    </row>
    <row r="83" spans="61:67" x14ac:dyDescent="0.35">
      <c r="BI83" s="1"/>
    </row>
    <row r="84" spans="61:67" x14ac:dyDescent="0.35">
      <c r="BI84" s="1"/>
    </row>
    <row r="85" spans="61:67" x14ac:dyDescent="0.35">
      <c r="BI85" s="1"/>
    </row>
    <row r="86" spans="61:67" x14ac:dyDescent="0.35">
      <c r="BI86" s="1"/>
    </row>
    <row r="87" spans="61:67" x14ac:dyDescent="0.35">
      <c r="BI87" s="1"/>
    </row>
  </sheetData>
  <mergeCells count="16">
    <mergeCell ref="BQ10:BQ34"/>
    <mergeCell ref="CQ42:CV42"/>
    <mergeCell ref="CB42:CH42"/>
    <mergeCell ref="AZ9:BF9"/>
    <mergeCell ref="AQ28:AW28"/>
    <mergeCell ref="AQ9:AW9"/>
    <mergeCell ref="AQ49:AW49"/>
    <mergeCell ref="AZ28:BF28"/>
    <mergeCell ref="AZ49:BF49"/>
    <mergeCell ref="BI48:BO48"/>
    <mergeCell ref="BH11:BH34"/>
    <mergeCell ref="B7:J7"/>
    <mergeCell ref="L8:R8"/>
    <mergeCell ref="L14:T14"/>
    <mergeCell ref="W10:AE10"/>
    <mergeCell ref="AH9:AN9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5122" r:id="rId4">
          <objectPr defaultSize="0" autoPict="0" r:id="rId5">
            <anchor moveWithCells="1">
              <from>
                <xdr:col>86</xdr:col>
                <xdr:colOff>298450</xdr:colOff>
                <xdr:row>55</xdr:row>
                <xdr:rowOff>31750</xdr:rowOff>
              </from>
              <to>
                <xdr:col>93</xdr:col>
                <xdr:colOff>1384300</xdr:colOff>
                <xdr:row>77</xdr:row>
                <xdr:rowOff>146050</xdr:rowOff>
              </to>
            </anchor>
          </objectPr>
        </oleObject>
      </mc:Choice>
      <mc:Fallback>
        <oleObject progId="Prism8.Document" shapeId="51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076C-0551-45CC-A73E-535D55B07D49}">
  <dimension ref="B2:N50"/>
  <sheetViews>
    <sheetView zoomScale="25" zoomScaleNormal="25" workbookViewId="0">
      <selection activeCell="B2" sqref="B2"/>
    </sheetView>
  </sheetViews>
  <sheetFormatPr defaultRowHeight="14.5" x14ac:dyDescent="0.35"/>
  <cols>
    <col min="3" max="3" width="14.7265625" customWidth="1"/>
    <col min="4" max="4" width="10.7265625" customWidth="1"/>
    <col min="5" max="5" width="29.54296875" customWidth="1"/>
    <col min="6" max="6" width="13.1796875" customWidth="1"/>
    <col min="8" max="8" width="15.08984375" customWidth="1"/>
    <col min="9" max="9" width="15.1796875" customWidth="1"/>
    <col min="10" max="10" width="14.90625" customWidth="1"/>
    <col min="11" max="11" width="6.26953125" customWidth="1"/>
    <col min="12" max="12" width="14.81640625" customWidth="1"/>
    <col min="13" max="13" width="19" customWidth="1"/>
  </cols>
  <sheetData>
    <row r="2" spans="2:14" ht="19.5" x14ac:dyDescent="0.45">
      <c r="B2" s="106" t="s">
        <v>337</v>
      </c>
    </row>
    <row r="3" spans="2:14" ht="19.5" x14ac:dyDescent="0.45">
      <c r="B3" s="91"/>
    </row>
    <row r="4" spans="2:14" x14ac:dyDescent="0.35">
      <c r="B4" s="27" t="s">
        <v>0</v>
      </c>
      <c r="C4" s="27" t="s">
        <v>316</v>
      </c>
      <c r="D4" s="27" t="s">
        <v>317</v>
      </c>
      <c r="E4" s="27" t="s">
        <v>318</v>
      </c>
      <c r="F4" s="27" t="s">
        <v>319</v>
      </c>
      <c r="G4" s="27" t="s">
        <v>3</v>
      </c>
      <c r="H4" s="27" t="s">
        <v>320</v>
      </c>
      <c r="I4" s="27" t="s">
        <v>321</v>
      </c>
      <c r="J4" s="27" t="s">
        <v>322</v>
      </c>
      <c r="K4" s="27" t="s">
        <v>8</v>
      </c>
      <c r="L4" s="27" t="s">
        <v>323</v>
      </c>
      <c r="M4" s="27" t="s">
        <v>328</v>
      </c>
      <c r="N4" s="1"/>
    </row>
    <row r="5" spans="2:14" x14ac:dyDescent="0.35">
      <c r="B5" s="147" t="s">
        <v>324</v>
      </c>
      <c r="C5" s="147" t="s">
        <v>13</v>
      </c>
      <c r="D5" s="148">
        <v>1</v>
      </c>
      <c r="E5" s="27" t="s">
        <v>14</v>
      </c>
      <c r="F5" s="2">
        <v>2</v>
      </c>
      <c r="G5" s="97" t="s">
        <v>15</v>
      </c>
      <c r="H5" s="147" t="s">
        <v>329</v>
      </c>
      <c r="I5" s="2">
        <f>SUM(Bioassay_Hybrids_raw!I5:I6)</f>
        <v>41</v>
      </c>
      <c r="J5" s="2">
        <f>SUM(Bioassay_Hybrids_raw!H5:H6)</f>
        <v>0</v>
      </c>
      <c r="K5" s="2">
        <f>SUM(I5:J5)</f>
        <v>41</v>
      </c>
      <c r="L5" s="2">
        <f>J5/K5*100</f>
        <v>0</v>
      </c>
      <c r="M5" s="2">
        <v>0</v>
      </c>
    </row>
    <row r="6" spans="2:14" x14ac:dyDescent="0.35">
      <c r="B6" s="147"/>
      <c r="C6" s="147"/>
      <c r="D6" s="148"/>
      <c r="E6" s="92" t="s">
        <v>23</v>
      </c>
      <c r="F6" s="6">
        <v>4</v>
      </c>
      <c r="G6" s="98" t="s">
        <v>15</v>
      </c>
      <c r="H6" s="147"/>
      <c r="I6" s="6">
        <f>SUM(Bioassay_Hybrids_raw!I9:I12)</f>
        <v>10</v>
      </c>
      <c r="J6" s="6">
        <f>SUM(Bioassay_Hybrids_raw!H9:H12)</f>
        <v>81</v>
      </c>
      <c r="K6" s="6">
        <f t="shared" ref="K6:K12" si="0">SUM(I6:J6)</f>
        <v>91</v>
      </c>
      <c r="L6" s="6">
        <f t="shared" ref="L6:L12" si="1">J6/K6*100</f>
        <v>89.010989010989007</v>
      </c>
      <c r="M6" s="6">
        <v>89.010989010989007</v>
      </c>
    </row>
    <row r="7" spans="2:14" x14ac:dyDescent="0.35">
      <c r="B7" s="147"/>
      <c r="C7" s="147"/>
      <c r="D7" s="148"/>
      <c r="E7" s="93" t="s">
        <v>330</v>
      </c>
      <c r="F7" s="12">
        <v>4</v>
      </c>
      <c r="G7" s="99" t="s">
        <v>15</v>
      </c>
      <c r="H7" s="147"/>
      <c r="I7" s="12">
        <f>SUM(Bioassay_Hybrids_raw!I18:I21)</f>
        <v>25</v>
      </c>
      <c r="J7" s="12">
        <f>SUM(Bioassay_Hybrids_raw!H18:H21)</f>
        <v>71</v>
      </c>
      <c r="K7" s="12">
        <f t="shared" si="0"/>
        <v>96</v>
      </c>
      <c r="L7" s="12">
        <f t="shared" si="1"/>
        <v>73.958333333333343</v>
      </c>
      <c r="M7" s="12">
        <v>73.958333333333343</v>
      </c>
    </row>
    <row r="8" spans="2:14" x14ac:dyDescent="0.35">
      <c r="B8" s="147"/>
      <c r="C8" s="147"/>
      <c r="D8" s="148"/>
      <c r="E8" s="94" t="s">
        <v>331</v>
      </c>
      <c r="F8" s="19">
        <v>4</v>
      </c>
      <c r="G8" s="100" t="s">
        <v>15</v>
      </c>
      <c r="H8" s="147"/>
      <c r="I8" s="19">
        <f>SUM(Bioassay_Hybrids_raw!I27:I30)</f>
        <v>11</v>
      </c>
      <c r="J8" s="19">
        <f>SUM(Bioassay_Hybrids_raw!H27:H30)</f>
        <v>83</v>
      </c>
      <c r="K8" s="19">
        <f t="shared" si="0"/>
        <v>94</v>
      </c>
      <c r="L8" s="19">
        <f t="shared" si="1"/>
        <v>88.297872340425528</v>
      </c>
      <c r="M8" s="19">
        <v>88.297872340425528</v>
      </c>
    </row>
    <row r="9" spans="2:14" x14ac:dyDescent="0.35">
      <c r="B9" s="147" t="s">
        <v>315</v>
      </c>
      <c r="C9" s="147" t="s">
        <v>17</v>
      </c>
      <c r="D9" s="147">
        <v>2</v>
      </c>
      <c r="E9" s="27" t="s">
        <v>14</v>
      </c>
      <c r="F9" s="2">
        <v>2</v>
      </c>
      <c r="G9" s="97" t="s">
        <v>15</v>
      </c>
      <c r="H9" s="147"/>
      <c r="I9" s="2">
        <f>SUM(Bioassay_Hybrids_raw!I7:I8)</f>
        <v>45</v>
      </c>
      <c r="J9" s="2">
        <f>SUM(Bioassay_Hybrids_raw!H7:H8)</f>
        <v>4</v>
      </c>
      <c r="K9" s="2">
        <f t="shared" si="0"/>
        <v>49</v>
      </c>
      <c r="L9" s="2">
        <f t="shared" si="1"/>
        <v>8.1632653061224492</v>
      </c>
      <c r="M9" s="2">
        <f>(L9-L9)/(100-L9)*100</f>
        <v>0</v>
      </c>
    </row>
    <row r="10" spans="2:14" x14ac:dyDescent="0.35">
      <c r="B10" s="147"/>
      <c r="C10" s="147"/>
      <c r="D10" s="147"/>
      <c r="E10" s="92" t="s">
        <v>23</v>
      </c>
      <c r="F10" s="6">
        <v>5</v>
      </c>
      <c r="G10" s="98" t="s">
        <v>15</v>
      </c>
      <c r="H10" s="147"/>
      <c r="I10" s="6">
        <f>SUM(Bioassay_Hybrids_raw!I13:I17)</f>
        <v>41</v>
      </c>
      <c r="J10" s="6">
        <f>SUM(Bioassay_Hybrids_raw!H13:H17)</f>
        <v>65</v>
      </c>
      <c r="K10" s="6">
        <f t="shared" si="0"/>
        <v>106</v>
      </c>
      <c r="L10" s="6">
        <f t="shared" si="1"/>
        <v>61.320754716981128</v>
      </c>
      <c r="M10" s="6">
        <f>(L10-L9)/(100-L9)*100</f>
        <v>57.882599580712792</v>
      </c>
    </row>
    <row r="11" spans="2:14" x14ac:dyDescent="0.35">
      <c r="B11" s="147"/>
      <c r="C11" s="147"/>
      <c r="D11" s="147"/>
      <c r="E11" s="93" t="s">
        <v>330</v>
      </c>
      <c r="F11" s="12">
        <v>5</v>
      </c>
      <c r="G11" s="12" t="s">
        <v>15</v>
      </c>
      <c r="H11" s="147"/>
      <c r="I11" s="12">
        <f>SUM(Bioassay_Hybrids_raw!I22:I26)</f>
        <v>36</v>
      </c>
      <c r="J11" s="12">
        <f>SUM(Bioassay_Hybrids_raw!H22:H26)</f>
        <v>61</v>
      </c>
      <c r="K11" s="12">
        <f t="shared" si="0"/>
        <v>97</v>
      </c>
      <c r="L11" s="12">
        <f t="shared" si="1"/>
        <v>62.886597938144327</v>
      </c>
      <c r="M11" s="12">
        <f>(L11-L9)/(100-L9)*100</f>
        <v>59.587628865979383</v>
      </c>
    </row>
    <row r="12" spans="2:14" x14ac:dyDescent="0.35">
      <c r="B12" s="147"/>
      <c r="C12" s="147"/>
      <c r="D12" s="147"/>
      <c r="E12" s="94" t="s">
        <v>331</v>
      </c>
      <c r="F12" s="19">
        <v>5</v>
      </c>
      <c r="G12" s="19" t="s">
        <v>15</v>
      </c>
      <c r="H12" s="147"/>
      <c r="I12" s="19">
        <f>SUM(Bioassay_Hybrids_raw!I31:I35)</f>
        <v>31</v>
      </c>
      <c r="J12" s="19">
        <f>SUM(Bioassay_Hybrids_raw!H31:H35)</f>
        <v>92</v>
      </c>
      <c r="K12" s="19">
        <f t="shared" si="0"/>
        <v>123</v>
      </c>
      <c r="L12" s="19">
        <f t="shared" si="1"/>
        <v>74.796747967479675</v>
      </c>
      <c r="M12" s="19">
        <f>(L12-L9)/(100-L9)*100</f>
        <v>72.556458897922312</v>
      </c>
    </row>
    <row r="13" spans="2:14" x14ac:dyDescent="0.35">
      <c r="E13" s="2"/>
    </row>
    <row r="14" spans="2:14" x14ac:dyDescent="0.35">
      <c r="E14" s="4" t="s">
        <v>325</v>
      </c>
      <c r="F14" s="1"/>
      <c r="G14" s="1"/>
      <c r="H14" s="1"/>
      <c r="I14" s="1"/>
      <c r="J14" s="1"/>
    </row>
    <row r="15" spans="2:14" x14ac:dyDescent="0.35">
      <c r="E15" s="27" t="s">
        <v>318</v>
      </c>
      <c r="F15" s="27" t="s">
        <v>326</v>
      </c>
      <c r="G15" s="27" t="s">
        <v>312</v>
      </c>
      <c r="H15" s="27" t="s">
        <v>321</v>
      </c>
      <c r="I15" s="27" t="s">
        <v>327</v>
      </c>
      <c r="J15" s="1"/>
    </row>
    <row r="16" spans="2:14" x14ac:dyDescent="0.35">
      <c r="E16" s="27" t="s">
        <v>14</v>
      </c>
      <c r="F16" s="2">
        <f>AVERAGE(M5,M9)</f>
        <v>0</v>
      </c>
      <c r="G16" s="2">
        <v>2.3584952830141508</v>
      </c>
      <c r="H16" s="2">
        <f>SUM(I5,I9)</f>
        <v>86</v>
      </c>
      <c r="I16" s="2">
        <f>SUM(J5,J9)</f>
        <v>4</v>
      </c>
    </row>
    <row r="17" spans="2:13" x14ac:dyDescent="0.35">
      <c r="E17" s="92" t="s">
        <v>23</v>
      </c>
      <c r="F17" s="6">
        <f>AVERAGE(M6,M10)</f>
        <v>73.446794295850907</v>
      </c>
      <c r="G17" s="6">
        <v>6.2112153398790113</v>
      </c>
      <c r="H17" s="6">
        <f t="shared" ref="H17" si="2">SUM(I6,I10)</f>
        <v>51</v>
      </c>
      <c r="I17" s="6">
        <f>SUM(J6,J10)</f>
        <v>146</v>
      </c>
    </row>
    <row r="18" spans="2:13" x14ac:dyDescent="0.35">
      <c r="E18" s="93" t="s">
        <v>330</v>
      </c>
      <c r="F18" s="12">
        <f>AVERAGE(M7,M11)</f>
        <v>66.772981099656363</v>
      </c>
      <c r="G18" s="12">
        <v>4.5805716797385516</v>
      </c>
      <c r="H18" s="12">
        <f t="shared" ref="H18:I18" si="3">SUM(I7,I11)</f>
        <v>61</v>
      </c>
      <c r="I18" s="12">
        <f t="shared" si="3"/>
        <v>132</v>
      </c>
    </row>
    <row r="19" spans="2:13" x14ac:dyDescent="0.35">
      <c r="E19" s="94" t="s">
        <v>331</v>
      </c>
      <c r="F19" s="19">
        <f t="shared" ref="F19" si="4">AVERAGE(M8,M12)</f>
        <v>80.42716561917392</v>
      </c>
      <c r="G19" s="19">
        <v>5.0673952994673668</v>
      </c>
      <c r="H19" s="19">
        <f t="shared" ref="H19:I19" si="5">SUM(I8,I12)</f>
        <v>42</v>
      </c>
      <c r="I19" s="19">
        <f t="shared" si="5"/>
        <v>175</v>
      </c>
    </row>
    <row r="21" spans="2:13" ht="21" x14ac:dyDescent="0.5">
      <c r="B21" s="105" t="s">
        <v>338</v>
      </c>
      <c r="C21" s="96"/>
      <c r="D21" s="96"/>
      <c r="E21" s="96"/>
      <c r="F21" s="96"/>
      <c r="G21" s="96"/>
      <c r="H21" s="96"/>
      <c r="I21" s="96"/>
    </row>
    <row r="22" spans="2:13" ht="21" x14ac:dyDescent="0.5">
      <c r="B22" s="95"/>
      <c r="C22" s="96"/>
      <c r="D22" s="96"/>
      <c r="E22" s="96"/>
      <c r="F22" s="96"/>
      <c r="G22" s="96"/>
      <c r="H22" s="96"/>
      <c r="I22" s="96"/>
    </row>
    <row r="23" spans="2:13" x14ac:dyDescent="0.35">
      <c r="B23" s="27" t="s">
        <v>0</v>
      </c>
      <c r="C23" s="27" t="s">
        <v>316</v>
      </c>
      <c r="D23" s="27" t="s">
        <v>317</v>
      </c>
      <c r="E23" s="27" t="s">
        <v>318</v>
      </c>
      <c r="F23" s="27" t="s">
        <v>319</v>
      </c>
      <c r="G23" s="27" t="s">
        <v>3</v>
      </c>
      <c r="H23" s="27" t="s">
        <v>320</v>
      </c>
      <c r="I23" s="27" t="s">
        <v>321</v>
      </c>
      <c r="J23" s="27" t="s">
        <v>322</v>
      </c>
      <c r="K23" s="27" t="s">
        <v>8</v>
      </c>
      <c r="L23" s="27" t="s">
        <v>323</v>
      </c>
      <c r="M23" s="27" t="s">
        <v>328</v>
      </c>
    </row>
    <row r="24" spans="2:13" x14ac:dyDescent="0.35">
      <c r="B24" s="147" t="s">
        <v>324</v>
      </c>
      <c r="C24" s="147" t="s">
        <v>33</v>
      </c>
      <c r="D24" s="148">
        <v>1</v>
      </c>
      <c r="E24" s="27" t="s">
        <v>14</v>
      </c>
      <c r="F24" s="2">
        <v>2</v>
      </c>
      <c r="G24" s="97" t="s">
        <v>15</v>
      </c>
      <c r="H24" s="147" t="s">
        <v>332</v>
      </c>
      <c r="I24" s="2">
        <f>SUM(Bioassay_Hybrids_raw!I40:I41)</f>
        <v>41</v>
      </c>
      <c r="J24" s="2">
        <f>SUM(Bioassay_Hybrids_raw!H40:H41)</f>
        <v>0</v>
      </c>
      <c r="K24" s="2">
        <f>SUM(I24:J24)</f>
        <v>41</v>
      </c>
      <c r="L24" s="2">
        <f>J24/K24*100</f>
        <v>0</v>
      </c>
      <c r="M24" s="2">
        <v>0</v>
      </c>
    </row>
    <row r="25" spans="2:13" x14ac:dyDescent="0.35">
      <c r="B25" s="147"/>
      <c r="C25" s="147"/>
      <c r="D25" s="148"/>
      <c r="E25" s="92" t="s">
        <v>23</v>
      </c>
      <c r="F25" s="6">
        <v>6</v>
      </c>
      <c r="G25" s="98" t="s">
        <v>15</v>
      </c>
      <c r="H25" s="147"/>
      <c r="I25" s="6">
        <f>SUM(Bioassay_Hybrids_raw!I50:I55)</f>
        <v>8</v>
      </c>
      <c r="J25" s="6">
        <f>SUM(Bioassay_Hybrids_raw!H50:H55)</f>
        <v>118</v>
      </c>
      <c r="K25" s="6">
        <f t="shared" ref="K25:K43" si="6">SUM(I25:J25)</f>
        <v>126</v>
      </c>
      <c r="L25" s="6">
        <f t="shared" ref="L25:L43" si="7">J25/K25*100</f>
        <v>93.650793650793645</v>
      </c>
      <c r="M25" s="6">
        <v>93.650793650793645</v>
      </c>
    </row>
    <row r="26" spans="2:13" x14ac:dyDescent="0.35">
      <c r="B26" s="147"/>
      <c r="C26" s="147"/>
      <c r="D26" s="148"/>
      <c r="E26" s="93" t="s">
        <v>330</v>
      </c>
      <c r="F26" s="12">
        <v>6</v>
      </c>
      <c r="G26" s="99" t="s">
        <v>15</v>
      </c>
      <c r="H26" s="147"/>
      <c r="I26" s="12">
        <f>SUM(Bioassay_Hybrids_raw!I77:I82)</f>
        <v>7</v>
      </c>
      <c r="J26" s="12">
        <f>SUM(Bioassay_Hybrids_raw!H77:H82)</f>
        <v>117</v>
      </c>
      <c r="K26" s="12">
        <f t="shared" si="6"/>
        <v>124</v>
      </c>
      <c r="L26" s="12">
        <f t="shared" si="7"/>
        <v>94.354838709677423</v>
      </c>
      <c r="M26" s="12">
        <v>94.354838709677423</v>
      </c>
    </row>
    <row r="27" spans="2:13" x14ac:dyDescent="0.35">
      <c r="B27" s="147"/>
      <c r="C27" s="147"/>
      <c r="D27" s="148"/>
      <c r="E27" s="94" t="s">
        <v>331</v>
      </c>
      <c r="F27" s="19">
        <v>6</v>
      </c>
      <c r="G27" s="100" t="s">
        <v>15</v>
      </c>
      <c r="H27" s="147"/>
      <c r="I27" s="19">
        <f>SUM(Bioassay_Hybrids_raw!I104:I109)</f>
        <v>2</v>
      </c>
      <c r="J27" s="19">
        <f>SUM(Bioassay_Hybrids_raw!H104:H109)</f>
        <v>119</v>
      </c>
      <c r="K27" s="19">
        <f t="shared" si="6"/>
        <v>121</v>
      </c>
      <c r="L27" s="19">
        <f t="shared" si="7"/>
        <v>98.347107438016536</v>
      </c>
      <c r="M27" s="19">
        <v>98.347107438016536</v>
      </c>
    </row>
    <row r="28" spans="2:13" x14ac:dyDescent="0.35">
      <c r="B28" s="147" t="s">
        <v>315</v>
      </c>
      <c r="C28" s="147" t="s">
        <v>36</v>
      </c>
      <c r="D28" s="147">
        <v>2</v>
      </c>
      <c r="E28" s="27" t="s">
        <v>14</v>
      </c>
      <c r="F28" s="2">
        <v>2</v>
      </c>
      <c r="G28" s="97" t="s">
        <v>15</v>
      </c>
      <c r="H28" s="147"/>
      <c r="I28" s="2">
        <f>SUM(Bioassay_Hybrids_raw!I42:I43)</f>
        <v>41</v>
      </c>
      <c r="J28" s="2">
        <f>SUM(Bioassay_Hybrids_raw!H42:H43)</f>
        <v>3</v>
      </c>
      <c r="K28" s="2">
        <f t="shared" si="6"/>
        <v>44</v>
      </c>
      <c r="L28" s="2">
        <f t="shared" si="7"/>
        <v>6.8181818181818175</v>
      </c>
      <c r="M28" s="2">
        <f>(L28-L28)/(100-L28)*100</f>
        <v>0</v>
      </c>
    </row>
    <row r="29" spans="2:13" x14ac:dyDescent="0.35">
      <c r="B29" s="147"/>
      <c r="C29" s="147"/>
      <c r="D29" s="147"/>
      <c r="E29" s="92" t="s">
        <v>23</v>
      </c>
      <c r="F29" s="6">
        <v>6</v>
      </c>
      <c r="G29" s="98" t="s">
        <v>15</v>
      </c>
      <c r="H29" s="147"/>
      <c r="I29" s="6">
        <f>SUM(Bioassay_Hybrids_raw!I56:I61)</f>
        <v>8</v>
      </c>
      <c r="J29" s="6">
        <f>SUM(Bioassay_Hybrids_raw!H56:H61)</f>
        <v>145</v>
      </c>
      <c r="K29" s="6">
        <f t="shared" si="6"/>
        <v>153</v>
      </c>
      <c r="L29" s="6">
        <f t="shared" si="7"/>
        <v>94.77124183006535</v>
      </c>
      <c r="M29" s="6">
        <f>(L29-L28)/(100-L28)*100</f>
        <v>94.388649768850613</v>
      </c>
    </row>
    <row r="30" spans="2:13" x14ac:dyDescent="0.35">
      <c r="B30" s="147"/>
      <c r="C30" s="147"/>
      <c r="D30" s="147"/>
      <c r="E30" s="93" t="s">
        <v>330</v>
      </c>
      <c r="F30" s="12">
        <v>6</v>
      </c>
      <c r="G30" s="99" t="s">
        <v>15</v>
      </c>
      <c r="H30" s="147"/>
      <c r="I30" s="12">
        <f>SUM(Bioassay_Hybrids_raw!I83:I88)</f>
        <v>9</v>
      </c>
      <c r="J30" s="12">
        <f>SUM(Bioassay_Hybrids_raw!H83:H88)</f>
        <v>137</v>
      </c>
      <c r="K30" s="12">
        <f t="shared" si="6"/>
        <v>146</v>
      </c>
      <c r="L30" s="12">
        <f t="shared" si="7"/>
        <v>93.835616438356169</v>
      </c>
      <c r="M30" s="12">
        <f>(L30-L28)/(100-L28)*100</f>
        <v>93.384563982626133</v>
      </c>
    </row>
    <row r="31" spans="2:13" x14ac:dyDescent="0.35">
      <c r="B31" s="147"/>
      <c r="C31" s="147"/>
      <c r="D31" s="147"/>
      <c r="E31" s="94" t="s">
        <v>331</v>
      </c>
      <c r="F31" s="19">
        <v>6</v>
      </c>
      <c r="G31" s="100" t="s">
        <v>15</v>
      </c>
      <c r="H31" s="147"/>
      <c r="I31" s="19">
        <f>SUM(Bioassay_Hybrids_raw!I110:I115)</f>
        <v>9</v>
      </c>
      <c r="J31" s="19">
        <f>SUM(Bioassay_Hybrids_raw!H110:H115)</f>
        <v>141</v>
      </c>
      <c r="K31" s="19">
        <f t="shared" si="6"/>
        <v>150</v>
      </c>
      <c r="L31" s="19">
        <f t="shared" si="7"/>
        <v>94</v>
      </c>
      <c r="M31" s="19">
        <f>(L31-L28)/(100-L28)*100</f>
        <v>93.560975609756099</v>
      </c>
    </row>
    <row r="32" spans="2:13" x14ac:dyDescent="0.35">
      <c r="B32" s="147" t="s">
        <v>324</v>
      </c>
      <c r="C32" s="147" t="s">
        <v>37</v>
      </c>
      <c r="D32" s="148">
        <v>3</v>
      </c>
      <c r="E32" s="27" t="s">
        <v>14</v>
      </c>
      <c r="F32" s="2">
        <v>3</v>
      </c>
      <c r="G32" s="97" t="s">
        <v>15</v>
      </c>
      <c r="H32" s="147"/>
      <c r="I32" s="2">
        <f>SUM(Bioassay_Hybrids_raw!I44:I46)</f>
        <v>57</v>
      </c>
      <c r="J32" s="2">
        <f>SUM(Bioassay_Hybrids_raw!H44:H46)</f>
        <v>7</v>
      </c>
      <c r="K32" s="2">
        <f t="shared" si="6"/>
        <v>64</v>
      </c>
      <c r="L32" s="2">
        <f t="shared" si="7"/>
        <v>10.9375</v>
      </c>
      <c r="M32" s="2">
        <f>(L32-L32)/(100-L32)*100</f>
        <v>0</v>
      </c>
    </row>
    <row r="33" spans="2:13" x14ac:dyDescent="0.35">
      <c r="B33" s="147"/>
      <c r="C33" s="147"/>
      <c r="D33" s="148"/>
      <c r="E33" s="92" t="s">
        <v>23</v>
      </c>
      <c r="F33" s="6">
        <v>8</v>
      </c>
      <c r="G33" s="98" t="s">
        <v>15</v>
      </c>
      <c r="H33" s="147"/>
      <c r="I33" s="6">
        <f>SUM(Bioassay_Hybrids_raw!I62:I69)</f>
        <v>17</v>
      </c>
      <c r="J33" s="6">
        <f>SUM(Bioassay_Hybrids_raw!H62:H69)</f>
        <v>237</v>
      </c>
      <c r="K33" s="6">
        <f t="shared" si="6"/>
        <v>254</v>
      </c>
      <c r="L33" s="6">
        <f t="shared" si="7"/>
        <v>93.30708661417323</v>
      </c>
      <c r="M33" s="6">
        <f>(L33-L32)/(100-L32)*100</f>
        <v>92.485149882580458</v>
      </c>
    </row>
    <row r="34" spans="2:13" x14ac:dyDescent="0.35">
      <c r="B34" s="147"/>
      <c r="C34" s="147"/>
      <c r="D34" s="148"/>
      <c r="E34" s="93" t="s">
        <v>330</v>
      </c>
      <c r="F34" s="12">
        <v>7</v>
      </c>
      <c r="G34" s="99" t="s">
        <v>15</v>
      </c>
      <c r="H34" s="147"/>
      <c r="I34" s="12">
        <f>SUM(Bioassay_Hybrids_raw!I89:I91,Bioassay_Hybrids_raw!I93:I96)</f>
        <v>14</v>
      </c>
      <c r="J34" s="12">
        <f>SUM(Bioassay_Hybrids_raw!H89:H91,Bioassay_Hybrids_raw!H93:H96)</f>
        <v>168</v>
      </c>
      <c r="K34" s="12">
        <f t="shared" si="6"/>
        <v>182</v>
      </c>
      <c r="L34" s="12">
        <f t="shared" si="7"/>
        <v>92.307692307692307</v>
      </c>
      <c r="M34" s="12">
        <f>(L34-L32)/(100-L32)*100</f>
        <v>91.3630229419703</v>
      </c>
    </row>
    <row r="35" spans="2:13" x14ac:dyDescent="0.35">
      <c r="B35" s="147"/>
      <c r="C35" s="147"/>
      <c r="D35" s="148"/>
      <c r="E35" s="94" t="s">
        <v>331</v>
      </c>
      <c r="F35" s="19">
        <v>8</v>
      </c>
      <c r="G35" s="100" t="s">
        <v>15</v>
      </c>
      <c r="H35" s="147"/>
      <c r="I35" s="19">
        <f>SUM(Bioassay_Hybrids_raw!I116:I123)</f>
        <v>3</v>
      </c>
      <c r="J35" s="19">
        <f>SUM(Bioassay_Hybrids_raw!H116:H123)</f>
        <v>231</v>
      </c>
      <c r="K35" s="19">
        <f t="shared" si="6"/>
        <v>234</v>
      </c>
      <c r="L35" s="19">
        <f t="shared" si="7"/>
        <v>98.71794871794873</v>
      </c>
      <c r="M35" s="19">
        <f>(L35-L32)/(100-L32)*100</f>
        <v>98.560503823661733</v>
      </c>
    </row>
    <row r="36" spans="2:13" x14ac:dyDescent="0.35">
      <c r="B36" s="147" t="s">
        <v>315</v>
      </c>
      <c r="C36" s="147" t="s">
        <v>38</v>
      </c>
      <c r="D36" s="147">
        <v>4</v>
      </c>
      <c r="E36" s="27" t="s">
        <v>14</v>
      </c>
      <c r="F36" s="2">
        <v>2</v>
      </c>
      <c r="G36" s="97" t="s">
        <v>15</v>
      </c>
      <c r="H36" s="147"/>
      <c r="I36" s="2">
        <f>SUM(Bioassay_Hybrids_raw!I47:I48)</f>
        <v>47</v>
      </c>
      <c r="J36" s="2">
        <f>SUM(Bioassay_Hybrids_raw!H47:H48)</f>
        <v>3</v>
      </c>
      <c r="K36" s="2">
        <f t="shared" si="6"/>
        <v>50</v>
      </c>
      <c r="L36" s="2">
        <f t="shared" si="7"/>
        <v>6</v>
      </c>
      <c r="M36" s="2">
        <f>(L36-L36)/(100-L36)*100</f>
        <v>0</v>
      </c>
    </row>
    <row r="37" spans="2:13" x14ac:dyDescent="0.35">
      <c r="B37" s="147"/>
      <c r="C37" s="147"/>
      <c r="D37" s="147"/>
      <c r="E37" s="92" t="s">
        <v>23</v>
      </c>
      <c r="F37" s="6">
        <v>5</v>
      </c>
      <c r="G37" s="98" t="s">
        <v>15</v>
      </c>
      <c r="H37" s="147"/>
      <c r="I37" s="6">
        <f>SUM(Bioassay_Hybrids_raw!I70:I74)</f>
        <v>11</v>
      </c>
      <c r="J37" s="6">
        <f>SUM(Bioassay_Hybrids_raw!H70:H74)</f>
        <v>112</v>
      </c>
      <c r="K37" s="6">
        <f t="shared" si="6"/>
        <v>123</v>
      </c>
      <c r="L37" s="6">
        <f t="shared" si="7"/>
        <v>91.056910569105682</v>
      </c>
      <c r="M37" s="6">
        <f>(L37-L36)/(100-L36)*100</f>
        <v>90.486075073516687</v>
      </c>
    </row>
    <row r="38" spans="2:13" x14ac:dyDescent="0.35">
      <c r="B38" s="147"/>
      <c r="C38" s="147"/>
      <c r="D38" s="147"/>
      <c r="E38" s="93" t="s">
        <v>330</v>
      </c>
      <c r="F38" s="12">
        <v>5</v>
      </c>
      <c r="G38" s="99" t="s">
        <v>15</v>
      </c>
      <c r="H38" s="147"/>
      <c r="I38" s="12">
        <f>SUM(Bioassay_Hybrids_raw!I97:I101)</f>
        <v>10</v>
      </c>
      <c r="J38" s="12">
        <f>SUM(Bioassay_Hybrids_raw!H97:H101)</f>
        <v>112</v>
      </c>
      <c r="K38" s="12">
        <f t="shared" si="6"/>
        <v>122</v>
      </c>
      <c r="L38" s="12">
        <f t="shared" si="7"/>
        <v>91.803278688524586</v>
      </c>
      <c r="M38" s="12">
        <f>(L38-L36)/(100-L36)*100</f>
        <v>91.280083711196369</v>
      </c>
    </row>
    <row r="39" spans="2:13" x14ac:dyDescent="0.35">
      <c r="B39" s="147"/>
      <c r="C39" s="147"/>
      <c r="D39" s="147"/>
      <c r="E39" s="94" t="s">
        <v>331</v>
      </c>
      <c r="F39" s="19">
        <v>5</v>
      </c>
      <c r="G39" s="100" t="s">
        <v>15</v>
      </c>
      <c r="H39" s="147"/>
      <c r="I39" s="19">
        <f>SUM(Bioassay_Hybrids_raw!I124:I128)</f>
        <v>5</v>
      </c>
      <c r="J39" s="19">
        <f>SUM(Bioassay_Hybrids_raw!H124:H128)</f>
        <v>109</v>
      </c>
      <c r="K39" s="19">
        <f t="shared" si="6"/>
        <v>114</v>
      </c>
      <c r="L39" s="19">
        <f t="shared" si="7"/>
        <v>95.614035087719301</v>
      </c>
      <c r="M39" s="19">
        <f>(L39-L36)/(100-L36)*100</f>
        <v>95.334079880552451</v>
      </c>
    </row>
    <row r="40" spans="2:13" x14ac:dyDescent="0.35">
      <c r="B40" s="147" t="s">
        <v>315</v>
      </c>
      <c r="C40" s="147" t="s">
        <v>17</v>
      </c>
      <c r="D40" s="147">
        <v>5</v>
      </c>
      <c r="E40" s="27" t="s">
        <v>14</v>
      </c>
      <c r="F40" s="2">
        <v>1</v>
      </c>
      <c r="G40" s="97" t="s">
        <v>15</v>
      </c>
      <c r="H40" s="147"/>
      <c r="I40" s="2">
        <f>SUM(Bioassay_Hybrids_raw!I49)</f>
        <v>30</v>
      </c>
      <c r="J40" s="2">
        <f>SUM(Bioassay_Hybrids_raw!H49)</f>
        <v>2</v>
      </c>
      <c r="K40" s="2">
        <f t="shared" si="6"/>
        <v>32</v>
      </c>
      <c r="L40" s="2">
        <f t="shared" si="7"/>
        <v>6.25</v>
      </c>
      <c r="M40" s="2">
        <f>(L40-L40)/(100-L40)*100</f>
        <v>0</v>
      </c>
    </row>
    <row r="41" spans="2:13" x14ac:dyDescent="0.35">
      <c r="B41" s="147"/>
      <c r="C41" s="147"/>
      <c r="D41" s="147"/>
      <c r="E41" s="92" t="s">
        <v>23</v>
      </c>
      <c r="F41" s="6">
        <v>2</v>
      </c>
      <c r="G41" s="98" t="s">
        <v>15</v>
      </c>
      <c r="H41" s="147"/>
      <c r="I41" s="6">
        <f>SUM(Bioassay_Hybrids_raw!I75:I76)</f>
        <v>5</v>
      </c>
      <c r="J41" s="6">
        <f>SUM(Bioassay_Hybrids_raw!H75:H76)</f>
        <v>41</v>
      </c>
      <c r="K41" s="6">
        <f t="shared" si="6"/>
        <v>46</v>
      </c>
      <c r="L41" s="6">
        <f t="shared" si="7"/>
        <v>89.130434782608688</v>
      </c>
      <c r="M41" s="6">
        <f>(L41-L40)/(100-L40)*100</f>
        <v>88.405797101449267</v>
      </c>
    </row>
    <row r="42" spans="2:13" x14ac:dyDescent="0.35">
      <c r="B42" s="147"/>
      <c r="C42" s="147"/>
      <c r="D42" s="147"/>
      <c r="E42" s="93" t="s">
        <v>330</v>
      </c>
      <c r="F42" s="12">
        <v>2</v>
      </c>
      <c r="G42" s="99" t="s">
        <v>15</v>
      </c>
      <c r="H42" s="147"/>
      <c r="I42" s="12">
        <f>SUM(Bioassay_Hybrids_raw!I102:I103)</f>
        <v>2</v>
      </c>
      <c r="J42" s="12">
        <f>SUM(Bioassay_Hybrids_raw!H102:H103)</f>
        <v>42</v>
      </c>
      <c r="K42" s="12">
        <f t="shared" si="6"/>
        <v>44</v>
      </c>
      <c r="L42" s="12">
        <f t="shared" si="7"/>
        <v>95.454545454545453</v>
      </c>
      <c r="M42" s="12">
        <f>(L42-L40)/(100-L40)*100</f>
        <v>95.151515151515156</v>
      </c>
    </row>
    <row r="43" spans="2:13" x14ac:dyDescent="0.35">
      <c r="B43" s="147"/>
      <c r="C43" s="147"/>
      <c r="D43" s="147"/>
      <c r="E43" s="94" t="s">
        <v>331</v>
      </c>
      <c r="F43" s="19">
        <v>2</v>
      </c>
      <c r="G43" s="100" t="s">
        <v>15</v>
      </c>
      <c r="H43" s="147"/>
      <c r="I43" s="19">
        <f>SUM(Bioassay_Hybrids_raw!I129:I130)</f>
        <v>1</v>
      </c>
      <c r="J43" s="19">
        <f>SUM(Bioassay_Hybrids_raw!H129:H130)</f>
        <v>46</v>
      </c>
      <c r="K43" s="19">
        <f t="shared" si="6"/>
        <v>47</v>
      </c>
      <c r="L43" s="19">
        <f t="shared" si="7"/>
        <v>97.872340425531917</v>
      </c>
      <c r="M43" s="19">
        <f>(L43-L40)/(100-L40)*100</f>
        <v>97.730496453900713</v>
      </c>
    </row>
    <row r="45" spans="2:13" x14ac:dyDescent="0.35">
      <c r="E45" s="4" t="s">
        <v>325</v>
      </c>
      <c r="F45" s="1"/>
      <c r="G45" s="1"/>
      <c r="H45" s="1"/>
      <c r="I45" s="1"/>
    </row>
    <row r="46" spans="2:13" x14ac:dyDescent="0.35">
      <c r="E46" s="27" t="s">
        <v>318</v>
      </c>
      <c r="F46" s="27" t="s">
        <v>326</v>
      </c>
      <c r="G46" s="27" t="s">
        <v>312</v>
      </c>
      <c r="H46" s="27" t="s">
        <v>321</v>
      </c>
      <c r="I46" s="27" t="s">
        <v>327</v>
      </c>
    </row>
    <row r="47" spans="2:13" x14ac:dyDescent="0.35">
      <c r="E47" s="27" t="s">
        <v>14</v>
      </c>
      <c r="F47" s="2">
        <f>AVERAGE(M24,M28,M32,M36,M40)</f>
        <v>0</v>
      </c>
      <c r="G47" s="2">
        <f>STDEV(M24,M28,M32,M36,M40)/SQRT(COUNT(M24,M28,M32,M36,M40))</f>
        <v>0</v>
      </c>
      <c r="H47" s="2">
        <f>SUM(I24,I28,I32,I36,I40)</f>
        <v>216</v>
      </c>
      <c r="I47" s="2">
        <f>SUM(J24,J28,J32,J36,J40)</f>
        <v>15</v>
      </c>
    </row>
    <row r="48" spans="2:13" x14ac:dyDescent="0.35">
      <c r="E48" s="92" t="s">
        <v>23</v>
      </c>
      <c r="F48" s="6">
        <f>AVERAGE(M25,M29,M33,M37,M41)</f>
        <v>91.883293095438134</v>
      </c>
      <c r="G48" s="6">
        <f>STDEV(M25,M29,M33,M37,M41)/SQRT(COUNT(M25,M29,M33,M37,M41))</f>
        <v>1.0910613744289197</v>
      </c>
      <c r="H48" s="6">
        <f>SUM(I25,I29,I33,I37,I41)</f>
        <v>49</v>
      </c>
      <c r="I48" s="6">
        <f t="shared" ref="I48:I50" si="8">SUM(J25,J29,J33,J37,J41)</f>
        <v>653</v>
      </c>
    </row>
    <row r="49" spans="5:9" x14ac:dyDescent="0.35">
      <c r="E49" s="93" t="s">
        <v>330</v>
      </c>
      <c r="F49" s="12">
        <f>AVERAGE(M26,M30,M34,M38,M42)</f>
        <v>93.106804899397076</v>
      </c>
      <c r="G49" s="12">
        <f>STDEV(M26,M30,M34,M38,M42)/SQRT(COUNT(M26,M30,M34,M38,M42))</f>
        <v>0.7808093342649175</v>
      </c>
      <c r="H49" s="12">
        <f>SUM(I26,I30,I34,I38,I42)</f>
        <v>42</v>
      </c>
      <c r="I49" s="12">
        <f t="shared" si="8"/>
        <v>576</v>
      </c>
    </row>
    <row r="50" spans="5:9" x14ac:dyDescent="0.35">
      <c r="E50" s="94" t="s">
        <v>331</v>
      </c>
      <c r="F50" s="19">
        <f>AVERAGE(M27,M31,M35,M39,M43)</f>
        <v>96.706632641177492</v>
      </c>
      <c r="G50" s="19">
        <f>STDEV(M27,M31,M35,M39,M43)/SQRT(COUNT(M27,M31,M35,M39,M43))</f>
        <v>0.97353357074484137</v>
      </c>
      <c r="H50" s="19">
        <f>SUM(I27,I31,I35,I39,I43)</f>
        <v>20</v>
      </c>
      <c r="I50" s="19">
        <f t="shared" si="8"/>
        <v>646</v>
      </c>
    </row>
  </sheetData>
  <mergeCells count="23">
    <mergeCell ref="H5:H12"/>
    <mergeCell ref="B24:B27"/>
    <mergeCell ref="C24:C27"/>
    <mergeCell ref="D24:D27"/>
    <mergeCell ref="B28:B31"/>
    <mergeCell ref="C28:C31"/>
    <mergeCell ref="D28:D31"/>
    <mergeCell ref="D5:D8"/>
    <mergeCell ref="D9:D12"/>
    <mergeCell ref="C9:C12"/>
    <mergeCell ref="C5:C8"/>
    <mergeCell ref="B5:B8"/>
    <mergeCell ref="B9:B12"/>
    <mergeCell ref="B40:B43"/>
    <mergeCell ref="C40:C43"/>
    <mergeCell ref="D40:D43"/>
    <mergeCell ref="H24:H43"/>
    <mergeCell ref="B32:B35"/>
    <mergeCell ref="C32:C35"/>
    <mergeCell ref="D32:D35"/>
    <mergeCell ref="B36:B39"/>
    <mergeCell ref="C36:C39"/>
    <mergeCell ref="D36:D3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22529" r:id="rId3">
          <objectPr defaultSize="0" autoPict="0" r:id="rId4">
            <anchor moveWithCells="1">
              <from>
                <xdr:col>14</xdr:col>
                <xdr:colOff>95250</xdr:colOff>
                <xdr:row>24</xdr:row>
                <xdr:rowOff>146050</xdr:rowOff>
              </from>
              <to>
                <xdr:col>21</xdr:col>
                <xdr:colOff>400050</xdr:colOff>
                <xdr:row>39</xdr:row>
                <xdr:rowOff>0</xdr:rowOff>
              </to>
            </anchor>
          </objectPr>
        </oleObject>
      </mc:Choice>
      <mc:Fallback>
        <oleObject progId="Prism8.Document" shapeId="2252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7982-1FB4-4CCD-A4C0-4BAF78EC19B6}">
  <dimension ref="C2:M32"/>
  <sheetViews>
    <sheetView zoomScale="25" zoomScaleNormal="25" workbookViewId="0">
      <selection activeCell="H10" sqref="H10"/>
    </sheetView>
  </sheetViews>
  <sheetFormatPr defaultRowHeight="14.5" x14ac:dyDescent="0.35"/>
  <cols>
    <col min="3" max="3" width="8.7265625" customWidth="1"/>
    <col min="4" max="4" width="12.36328125" customWidth="1"/>
    <col min="5" max="5" width="10.54296875" customWidth="1"/>
    <col min="6" max="6" width="11.453125" customWidth="1"/>
    <col min="8" max="8" width="13.54296875" customWidth="1"/>
    <col min="9" max="9" width="33.81640625" customWidth="1"/>
    <col min="10" max="10" width="15.453125" customWidth="1"/>
    <col min="11" max="11" width="18.6328125" customWidth="1"/>
  </cols>
  <sheetData>
    <row r="2" spans="3:13" ht="19" x14ac:dyDescent="0.4">
      <c r="C2" s="102" t="s">
        <v>340</v>
      </c>
    </row>
    <row r="4" spans="3:13" x14ac:dyDescent="0.35">
      <c r="C4" s="25"/>
    </row>
    <row r="6" spans="3:13" x14ac:dyDescent="0.35">
      <c r="D6" s="50" t="s">
        <v>288</v>
      </c>
      <c r="E6" s="51" t="s">
        <v>304</v>
      </c>
    </row>
    <row r="7" spans="3:13" x14ac:dyDescent="0.35">
      <c r="D7" s="50" t="s">
        <v>289</v>
      </c>
      <c r="E7" s="52" t="s">
        <v>305</v>
      </c>
    </row>
    <row r="8" spans="3:13" x14ac:dyDescent="0.35">
      <c r="D8" s="50" t="s">
        <v>291</v>
      </c>
      <c r="E8" s="89"/>
    </row>
    <row r="9" spans="3:13" x14ac:dyDescent="0.35">
      <c r="E9" s="54"/>
    </row>
    <row r="10" spans="3:13" ht="58" x14ac:dyDescent="0.35">
      <c r="D10" s="55" t="s">
        <v>293</v>
      </c>
      <c r="E10" s="56" t="s">
        <v>294</v>
      </c>
      <c r="F10" s="57" t="s">
        <v>295</v>
      </c>
      <c r="G10" s="58"/>
      <c r="H10" s="59" t="s">
        <v>296</v>
      </c>
      <c r="I10" s="90"/>
    </row>
    <row r="11" spans="3:13" ht="15" thickBot="1" x14ac:dyDescent="0.4">
      <c r="C11" s="60" t="s">
        <v>1</v>
      </c>
      <c r="D11" s="61"/>
      <c r="E11" s="62"/>
      <c r="F11" s="61"/>
      <c r="G11" s="61"/>
      <c r="H11" s="61">
        <v>24</v>
      </c>
      <c r="I11" s="63" t="s">
        <v>298</v>
      </c>
      <c r="J11" t="s">
        <v>299</v>
      </c>
      <c r="K11" t="s">
        <v>313</v>
      </c>
      <c r="L11" t="s">
        <v>312</v>
      </c>
    </row>
    <row r="12" spans="3:13" ht="15" thickTop="1" x14ac:dyDescent="0.35">
      <c r="C12" s="64"/>
      <c r="D12" s="149" t="s">
        <v>14</v>
      </c>
      <c r="E12" s="66">
        <v>1</v>
      </c>
      <c r="F12" s="67">
        <v>0</v>
      </c>
      <c r="G12" s="68"/>
      <c r="H12" s="69">
        <v>0</v>
      </c>
      <c r="I12" s="67">
        <v>22</v>
      </c>
      <c r="J12">
        <f>H12/I12*100</f>
        <v>0</v>
      </c>
      <c r="K12">
        <f>AVERAGE(J12:J14)</f>
        <v>1.5151515151515154</v>
      </c>
      <c r="L12">
        <f>STDEV(J12:J14)/SQRT(COUNT(J12:J14))</f>
        <v>1.5151515151515154</v>
      </c>
    </row>
    <row r="13" spans="3:13" x14ac:dyDescent="0.35">
      <c r="C13" s="70"/>
      <c r="D13" s="150"/>
      <c r="E13" s="66">
        <v>2</v>
      </c>
      <c r="F13" s="72">
        <v>0</v>
      </c>
      <c r="G13" s="73"/>
      <c r="H13" s="72">
        <v>1</v>
      </c>
      <c r="I13" s="74">
        <v>22</v>
      </c>
      <c r="J13">
        <f>H13/I13*100</f>
        <v>4.5454545454545459</v>
      </c>
    </row>
    <row r="14" spans="3:13" x14ac:dyDescent="0.35">
      <c r="C14" s="75"/>
      <c r="D14" s="151"/>
      <c r="E14" s="77">
        <v>3</v>
      </c>
      <c r="F14" s="78">
        <v>0</v>
      </c>
      <c r="G14" s="79"/>
      <c r="H14" s="78">
        <v>0</v>
      </c>
      <c r="I14" s="78">
        <v>24</v>
      </c>
      <c r="J14">
        <f>H14/I14*100</f>
        <v>0</v>
      </c>
    </row>
    <row r="15" spans="3:13" x14ac:dyDescent="0.35">
      <c r="D15" s="2"/>
      <c r="E15" s="2"/>
      <c r="F15" s="2"/>
      <c r="G15" s="2"/>
      <c r="H15" s="2"/>
      <c r="M15" s="54"/>
    </row>
    <row r="16" spans="3:13" ht="15" thickBot="1" x14ac:dyDescent="0.4">
      <c r="C16" s="60" t="s">
        <v>1</v>
      </c>
      <c r="D16" s="61" t="s">
        <v>293</v>
      </c>
      <c r="E16" s="62" t="s">
        <v>301</v>
      </c>
      <c r="F16" s="61"/>
      <c r="G16" s="61"/>
      <c r="H16" s="61">
        <v>24</v>
      </c>
      <c r="I16" s="63" t="s">
        <v>298</v>
      </c>
      <c r="J16" t="s">
        <v>299</v>
      </c>
      <c r="K16" t="s">
        <v>314</v>
      </c>
      <c r="L16" t="s">
        <v>312</v>
      </c>
    </row>
    <row r="17" spans="3:12" ht="15.75" customHeight="1" thickTop="1" x14ac:dyDescent="0.35">
      <c r="C17" s="64"/>
      <c r="D17" s="149" t="s">
        <v>261</v>
      </c>
      <c r="E17" s="66">
        <v>1</v>
      </c>
      <c r="F17" s="67">
        <v>17</v>
      </c>
      <c r="G17" s="68"/>
      <c r="H17" s="69">
        <v>22</v>
      </c>
      <c r="I17" s="69">
        <v>23</v>
      </c>
      <c r="J17">
        <f>H17/I17*100</f>
        <v>95.652173913043484</v>
      </c>
      <c r="K17">
        <f>AVERAGE(J17:J19)</f>
        <v>82.608695652173921</v>
      </c>
      <c r="L17">
        <f>STDEV(J17:J19)/SQRT(COUNT(J17:J19))</f>
        <v>9.050721736809253</v>
      </c>
    </row>
    <row r="18" spans="3:12" x14ac:dyDescent="0.35">
      <c r="C18" s="70"/>
      <c r="D18" s="150"/>
      <c r="E18" s="66">
        <v>2</v>
      </c>
      <c r="F18" s="72">
        <v>14</v>
      </c>
      <c r="G18" s="73"/>
      <c r="H18" s="72">
        <v>20</v>
      </c>
      <c r="I18" s="87">
        <v>23</v>
      </c>
      <c r="J18">
        <f>H18/I18*100</f>
        <v>86.956521739130437</v>
      </c>
    </row>
    <row r="19" spans="3:12" x14ac:dyDescent="0.35">
      <c r="C19" s="75"/>
      <c r="D19" s="151"/>
      <c r="E19" s="77">
        <v>3</v>
      </c>
      <c r="F19" s="78">
        <v>14</v>
      </c>
      <c r="G19" s="79"/>
      <c r="H19" s="78">
        <v>15</v>
      </c>
      <c r="I19" s="88">
        <v>23</v>
      </c>
      <c r="J19">
        <f>H19/I19*100</f>
        <v>65.217391304347828</v>
      </c>
    </row>
    <row r="20" spans="3:12" x14ac:dyDescent="0.35">
      <c r="D20" s="2"/>
      <c r="E20" s="2"/>
      <c r="F20" s="2"/>
      <c r="G20" s="2"/>
      <c r="H20" s="2"/>
    </row>
    <row r="21" spans="3:12" ht="15" thickBot="1" x14ac:dyDescent="0.4">
      <c r="C21" s="60" t="s">
        <v>1</v>
      </c>
      <c r="D21" s="61" t="s">
        <v>293</v>
      </c>
      <c r="E21" s="62" t="s">
        <v>301</v>
      </c>
      <c r="F21" s="61"/>
      <c r="G21" s="61"/>
      <c r="H21" s="61">
        <v>24</v>
      </c>
      <c r="I21" s="63" t="s">
        <v>298</v>
      </c>
      <c r="J21" t="s">
        <v>299</v>
      </c>
      <c r="K21" t="s">
        <v>313</v>
      </c>
      <c r="L21" t="s">
        <v>312</v>
      </c>
    </row>
    <row r="22" spans="3:12" ht="15.75" customHeight="1" thickTop="1" x14ac:dyDescent="0.35">
      <c r="C22" s="64"/>
      <c r="D22" s="149" t="s">
        <v>302</v>
      </c>
      <c r="E22" s="66">
        <v>1</v>
      </c>
      <c r="F22" s="67">
        <v>23</v>
      </c>
      <c r="G22" s="68"/>
      <c r="H22" s="69">
        <v>21</v>
      </c>
      <c r="I22" s="69">
        <v>23</v>
      </c>
      <c r="J22">
        <f>H22/I22*100</f>
        <v>91.304347826086953</v>
      </c>
      <c r="K22">
        <f>AVERAGE(J22:J24)</f>
        <v>84.835937009850056</v>
      </c>
      <c r="L22">
        <f>STDEV(J22:J24)/SQRT(COUNT(J22:J24))</f>
        <v>6.0590503705936003</v>
      </c>
    </row>
    <row r="23" spans="3:12" x14ac:dyDescent="0.35">
      <c r="C23" s="70"/>
      <c r="D23" s="150"/>
      <c r="E23" s="66">
        <v>2</v>
      </c>
      <c r="F23" s="72">
        <v>21</v>
      </c>
      <c r="G23" s="73"/>
      <c r="H23" s="72">
        <v>19</v>
      </c>
      <c r="I23" s="87">
        <v>21</v>
      </c>
      <c r="J23">
        <f>H23/I23*100</f>
        <v>90.476190476190482</v>
      </c>
    </row>
    <row r="24" spans="3:12" x14ac:dyDescent="0.35">
      <c r="C24" s="75"/>
      <c r="D24" s="151"/>
      <c r="E24" s="77">
        <v>3</v>
      </c>
      <c r="F24" s="78">
        <v>22</v>
      </c>
      <c r="G24" s="79"/>
      <c r="H24" s="78">
        <v>16</v>
      </c>
      <c r="I24" s="88">
        <v>22</v>
      </c>
      <c r="J24">
        <f>H24/I24*100</f>
        <v>72.727272727272734</v>
      </c>
    </row>
    <row r="26" spans="3:12" ht="15" thickBot="1" x14ac:dyDescent="0.4">
      <c r="C26" s="60" t="s">
        <v>1</v>
      </c>
      <c r="D26" s="61" t="s">
        <v>293</v>
      </c>
      <c r="E26" s="62" t="s">
        <v>301</v>
      </c>
      <c r="F26" s="61"/>
      <c r="G26" s="61"/>
      <c r="H26" s="61">
        <v>24</v>
      </c>
      <c r="I26" s="63" t="s">
        <v>298</v>
      </c>
      <c r="J26" t="s">
        <v>299</v>
      </c>
      <c r="K26" t="s">
        <v>313</v>
      </c>
      <c r="L26" t="s">
        <v>312</v>
      </c>
    </row>
    <row r="27" spans="3:12" ht="15.75" customHeight="1" thickTop="1" x14ac:dyDescent="0.35">
      <c r="C27" s="64"/>
      <c r="D27" s="149" t="s">
        <v>303</v>
      </c>
      <c r="E27" s="66">
        <v>1</v>
      </c>
      <c r="F27" s="67">
        <v>24</v>
      </c>
      <c r="G27" s="68"/>
      <c r="H27" s="69"/>
      <c r="I27" s="69">
        <v>24</v>
      </c>
      <c r="J27">
        <f>H27/I27*100</f>
        <v>0</v>
      </c>
      <c r="K27">
        <f>AVERAGE(J28:J29)</f>
        <v>66.600790513833985</v>
      </c>
      <c r="L27">
        <f>STDEV(J28:J29)/SQRT(COUNT(J28:J29))</f>
        <v>2.9644268774703559</v>
      </c>
    </row>
    <row r="28" spans="3:12" x14ac:dyDescent="0.35">
      <c r="C28" s="70"/>
      <c r="D28" s="150"/>
      <c r="E28" s="66">
        <v>2</v>
      </c>
      <c r="F28" s="72">
        <v>23</v>
      </c>
      <c r="G28" s="73"/>
      <c r="H28" s="72">
        <v>16</v>
      </c>
      <c r="I28" s="87">
        <v>23</v>
      </c>
      <c r="J28">
        <f>H28/I28*100</f>
        <v>69.565217391304344</v>
      </c>
    </row>
    <row r="29" spans="3:12" x14ac:dyDescent="0.35">
      <c r="C29" s="75"/>
      <c r="D29" s="151"/>
      <c r="E29" s="77">
        <v>3</v>
      </c>
      <c r="F29" s="78">
        <v>22</v>
      </c>
      <c r="G29" s="79"/>
      <c r="H29" s="78">
        <v>14</v>
      </c>
      <c r="I29" s="88">
        <v>22</v>
      </c>
      <c r="J29">
        <f>H29/I29*100</f>
        <v>63.636363636363633</v>
      </c>
    </row>
    <row r="32" spans="3:12" ht="15.75" customHeight="1" x14ac:dyDescent="0.35"/>
  </sheetData>
  <mergeCells count="4">
    <mergeCell ref="D12:D14"/>
    <mergeCell ref="D17:D19"/>
    <mergeCell ref="D22:D24"/>
    <mergeCell ref="D27:D29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4337" r:id="rId4">
          <objectPr defaultSize="0" autoPict="0" r:id="rId5">
            <anchor moveWithCells="1">
              <from>
                <xdr:col>13</xdr:col>
                <xdr:colOff>514350</xdr:colOff>
                <xdr:row>14</xdr:row>
                <xdr:rowOff>0</xdr:rowOff>
              </from>
              <to>
                <xdr:col>20</xdr:col>
                <xdr:colOff>419100</xdr:colOff>
                <xdr:row>26</xdr:row>
                <xdr:rowOff>12700</xdr:rowOff>
              </to>
            </anchor>
          </objectPr>
        </oleObject>
      </mc:Choice>
      <mc:Fallback>
        <oleObject progId="Prism8.Document" shapeId="1433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7328-A6BA-4B35-9DF8-38901358FC5A}">
  <dimension ref="C2:M37"/>
  <sheetViews>
    <sheetView zoomScale="40" zoomScaleNormal="40" workbookViewId="0">
      <selection activeCell="C2" sqref="C2"/>
    </sheetView>
  </sheetViews>
  <sheetFormatPr defaultRowHeight="14.5" x14ac:dyDescent="0.35"/>
  <cols>
    <col min="5" max="6" width="10.81640625" customWidth="1"/>
    <col min="7" max="7" width="11.26953125" customWidth="1"/>
    <col min="9" max="9" width="13.81640625" customWidth="1"/>
    <col min="10" max="10" width="35.453125" customWidth="1"/>
    <col min="11" max="11" width="15" customWidth="1"/>
    <col min="12" max="12" width="18.36328125" customWidth="1"/>
  </cols>
  <sheetData>
    <row r="2" spans="3:13" ht="19" x14ac:dyDescent="0.4">
      <c r="C2" s="102" t="s">
        <v>339</v>
      </c>
    </row>
    <row r="4" spans="3:13" x14ac:dyDescent="0.35">
      <c r="C4" s="25"/>
    </row>
    <row r="6" spans="3:13" x14ac:dyDescent="0.35">
      <c r="D6" s="50" t="s">
        <v>288</v>
      </c>
      <c r="E6" s="51" t="s">
        <v>333</v>
      </c>
    </row>
    <row r="7" spans="3:13" x14ac:dyDescent="0.35">
      <c r="D7" s="50" t="s">
        <v>289</v>
      </c>
      <c r="E7" s="52" t="s">
        <v>290</v>
      </c>
    </row>
    <row r="8" spans="3:13" x14ac:dyDescent="0.35">
      <c r="D8" s="50" t="s">
        <v>291</v>
      </c>
      <c r="E8" s="53" t="s">
        <v>292</v>
      </c>
    </row>
    <row r="9" spans="3:13" x14ac:dyDescent="0.35">
      <c r="E9" s="54"/>
    </row>
    <row r="10" spans="3:13" ht="58" x14ac:dyDescent="0.35">
      <c r="E10" s="55" t="s">
        <v>293</v>
      </c>
      <c r="F10" s="56" t="s">
        <v>294</v>
      </c>
      <c r="G10" s="57" t="s">
        <v>295</v>
      </c>
      <c r="H10" s="58"/>
      <c r="I10" s="59" t="s">
        <v>296</v>
      </c>
    </row>
    <row r="11" spans="3:13" ht="15" thickBot="1" x14ac:dyDescent="0.4">
      <c r="D11" s="60" t="s">
        <v>1</v>
      </c>
      <c r="E11" s="61"/>
      <c r="F11" s="62"/>
      <c r="G11" s="61">
        <v>1</v>
      </c>
      <c r="H11" s="61"/>
      <c r="I11" s="61" t="s">
        <v>297</v>
      </c>
      <c r="J11" s="63" t="s">
        <v>298</v>
      </c>
      <c r="K11" t="s">
        <v>299</v>
      </c>
      <c r="L11" t="s">
        <v>314</v>
      </c>
      <c r="M11" t="s">
        <v>312</v>
      </c>
    </row>
    <row r="12" spans="3:13" ht="15" thickTop="1" x14ac:dyDescent="0.35">
      <c r="D12" s="64"/>
      <c r="E12" s="149" t="s">
        <v>14</v>
      </c>
      <c r="F12" s="66">
        <v>1</v>
      </c>
      <c r="G12" s="67">
        <v>0</v>
      </c>
      <c r="H12" s="68"/>
      <c r="I12" s="69">
        <v>1</v>
      </c>
      <c r="J12" s="67">
        <v>24</v>
      </c>
      <c r="K12">
        <f>I12/J12*100</f>
        <v>4.1666666666666661</v>
      </c>
      <c r="L12">
        <f>AVERAGE(K12:K14)</f>
        <v>4.28743961352657</v>
      </c>
      <c r="M12">
        <f>STDEV(K12:K14)/SQRT(COUNT(K12:K14))</f>
        <v>2.5109447930304096</v>
      </c>
    </row>
    <row r="13" spans="3:13" x14ac:dyDescent="0.35">
      <c r="D13" s="70"/>
      <c r="E13" s="150"/>
      <c r="F13" s="66">
        <v>2</v>
      </c>
      <c r="G13" s="72">
        <v>0</v>
      </c>
      <c r="H13" s="73"/>
      <c r="I13" s="72">
        <v>2</v>
      </c>
      <c r="J13" s="74">
        <v>23</v>
      </c>
      <c r="K13">
        <f>I13/J13*100</f>
        <v>8.695652173913043</v>
      </c>
    </row>
    <row r="14" spans="3:13" x14ac:dyDescent="0.35">
      <c r="D14" s="75"/>
      <c r="E14" s="151"/>
      <c r="F14" s="77">
        <v>3</v>
      </c>
      <c r="G14" s="78">
        <v>0</v>
      </c>
      <c r="H14" s="79"/>
      <c r="I14" s="78">
        <v>0</v>
      </c>
      <c r="J14" s="78">
        <v>25</v>
      </c>
      <c r="K14">
        <f>I14/J14*100</f>
        <v>0</v>
      </c>
    </row>
    <row r="15" spans="3:13" x14ac:dyDescent="0.35">
      <c r="D15" s="80"/>
      <c r="E15" s="81"/>
      <c r="F15" s="82" t="s">
        <v>222</v>
      </c>
      <c r="G15" s="81">
        <v>0</v>
      </c>
      <c r="H15" s="81"/>
      <c r="I15" s="81">
        <v>1</v>
      </c>
      <c r="J15" s="82">
        <v>24</v>
      </c>
    </row>
    <row r="16" spans="3:13" x14ac:dyDescent="0.35">
      <c r="D16" s="83"/>
      <c r="E16" s="84"/>
      <c r="F16" s="85" t="s">
        <v>300</v>
      </c>
      <c r="G16" s="84">
        <v>0</v>
      </c>
      <c r="H16" s="84"/>
      <c r="I16" s="84">
        <v>4.1666666666666661</v>
      </c>
      <c r="J16" s="86"/>
    </row>
    <row r="17" spans="4:13" x14ac:dyDescent="0.35">
      <c r="E17" s="2"/>
      <c r="F17" s="2"/>
      <c r="G17" s="2"/>
      <c r="H17" s="2"/>
      <c r="I17" s="2"/>
    </row>
    <row r="18" spans="4:13" ht="15" thickBot="1" x14ac:dyDescent="0.4">
      <c r="D18" s="60" t="s">
        <v>1</v>
      </c>
      <c r="E18" s="61" t="s">
        <v>293</v>
      </c>
      <c r="F18" s="62" t="s">
        <v>301</v>
      </c>
      <c r="G18" s="61">
        <v>1</v>
      </c>
      <c r="H18" s="61"/>
      <c r="I18" s="61" t="s">
        <v>297</v>
      </c>
      <c r="J18" s="63" t="s">
        <v>298</v>
      </c>
      <c r="K18" t="s">
        <v>299</v>
      </c>
      <c r="L18" t="s">
        <v>314</v>
      </c>
      <c r="M18" t="s">
        <v>312</v>
      </c>
    </row>
    <row r="19" spans="4:13" ht="15.75" customHeight="1" thickTop="1" x14ac:dyDescent="0.35">
      <c r="D19" s="64"/>
      <c r="E19" s="65" t="s">
        <v>261</v>
      </c>
      <c r="F19" s="66">
        <v>1</v>
      </c>
      <c r="G19" s="67">
        <v>4</v>
      </c>
      <c r="H19" s="68"/>
      <c r="I19" s="69">
        <v>6</v>
      </c>
      <c r="J19" s="69">
        <v>22</v>
      </c>
      <c r="K19">
        <f>I19/J19*100</f>
        <v>27.27272727272727</v>
      </c>
      <c r="L19">
        <f>AVERAGE(K19:K21)</f>
        <v>45.496706192358367</v>
      </c>
      <c r="M19">
        <f>STDEV(K19:K21)/SQRT(COUNT(K19:K21))</f>
        <v>10.979214895850903</v>
      </c>
    </row>
    <row r="20" spans="4:13" x14ac:dyDescent="0.35">
      <c r="D20" s="70"/>
      <c r="E20" s="71"/>
      <c r="F20" s="66">
        <v>2</v>
      </c>
      <c r="G20" s="72">
        <v>7</v>
      </c>
      <c r="H20" s="73"/>
      <c r="I20" s="72">
        <v>11</v>
      </c>
      <c r="J20" s="87">
        <v>25</v>
      </c>
      <c r="K20">
        <f>I20/J20*100</f>
        <v>44</v>
      </c>
    </row>
    <row r="21" spans="4:13" x14ac:dyDescent="0.35">
      <c r="D21" s="75"/>
      <c r="E21" s="76"/>
      <c r="F21" s="77">
        <v>3</v>
      </c>
      <c r="G21" s="78">
        <v>6</v>
      </c>
      <c r="H21" s="79"/>
      <c r="I21" s="78">
        <v>15</v>
      </c>
      <c r="J21" s="88">
        <v>23</v>
      </c>
      <c r="K21">
        <f>I21/J21*100</f>
        <v>65.217391304347828</v>
      </c>
    </row>
    <row r="22" spans="4:13" x14ac:dyDescent="0.35">
      <c r="D22" s="80"/>
      <c r="E22" s="81"/>
      <c r="F22" s="82" t="s">
        <v>222</v>
      </c>
      <c r="G22" s="81">
        <v>5.666666666666667</v>
      </c>
      <c r="H22" s="81"/>
      <c r="I22" s="81">
        <v>10.666666666666666</v>
      </c>
      <c r="J22" s="82">
        <v>23.333333333333332</v>
      </c>
    </row>
    <row r="23" spans="4:13" x14ac:dyDescent="0.35">
      <c r="D23" s="83"/>
      <c r="E23" s="84"/>
      <c r="F23" s="85" t="s">
        <v>300</v>
      </c>
      <c r="G23" s="84">
        <v>24.285714285714288</v>
      </c>
      <c r="H23" s="84"/>
      <c r="I23" s="84">
        <v>45.714285714285715</v>
      </c>
      <c r="J23" s="86"/>
    </row>
    <row r="24" spans="4:13" x14ac:dyDescent="0.35">
      <c r="E24" s="2"/>
      <c r="F24" s="2"/>
      <c r="G24" s="2"/>
      <c r="H24" s="2"/>
      <c r="I24" s="2"/>
    </row>
    <row r="25" spans="4:13" ht="15" thickBot="1" x14ac:dyDescent="0.4">
      <c r="D25" s="60" t="s">
        <v>1</v>
      </c>
      <c r="E25" s="61" t="s">
        <v>293</v>
      </c>
      <c r="F25" s="62" t="s">
        <v>301</v>
      </c>
      <c r="G25" s="61">
        <v>1</v>
      </c>
      <c r="H25" s="61"/>
      <c r="I25" s="61" t="s">
        <v>297</v>
      </c>
      <c r="J25" s="63" t="s">
        <v>298</v>
      </c>
      <c r="K25" t="s">
        <v>299</v>
      </c>
      <c r="L25" t="s">
        <v>314</v>
      </c>
      <c r="M25" t="s">
        <v>312</v>
      </c>
    </row>
    <row r="26" spans="4:13" ht="15.75" customHeight="1" thickTop="1" x14ac:dyDescent="0.35">
      <c r="D26" s="64"/>
      <c r="E26" s="149" t="s">
        <v>302</v>
      </c>
      <c r="F26" s="66">
        <v>1</v>
      </c>
      <c r="G26" s="67">
        <v>22</v>
      </c>
      <c r="H26" s="68"/>
      <c r="I26" s="69">
        <v>22</v>
      </c>
      <c r="J26" s="69">
        <v>22</v>
      </c>
      <c r="K26">
        <f>I26/J26*100</f>
        <v>100</v>
      </c>
      <c r="L26">
        <f>AVERAGE(K26:K28)</f>
        <v>100</v>
      </c>
      <c r="M26">
        <f>STDEV(K26:K28)/SQRT(COUNT(K26:K28))</f>
        <v>0</v>
      </c>
    </row>
    <row r="27" spans="4:13" x14ac:dyDescent="0.35">
      <c r="D27" s="70"/>
      <c r="E27" s="150"/>
      <c r="F27" s="66">
        <v>2</v>
      </c>
      <c r="G27" s="72">
        <v>21</v>
      </c>
      <c r="H27" s="73"/>
      <c r="I27" s="72">
        <v>21</v>
      </c>
      <c r="J27" s="87">
        <v>21</v>
      </c>
      <c r="K27">
        <f>I27/J27*100</f>
        <v>100</v>
      </c>
    </row>
    <row r="28" spans="4:13" x14ac:dyDescent="0.35">
      <c r="D28" s="75"/>
      <c r="E28" s="151"/>
      <c r="F28" s="77">
        <v>3</v>
      </c>
      <c r="G28" s="78">
        <v>24</v>
      </c>
      <c r="H28" s="79"/>
      <c r="I28" s="78">
        <v>24</v>
      </c>
      <c r="J28" s="88">
        <v>24</v>
      </c>
      <c r="K28">
        <f>I28/J28*100</f>
        <v>100</v>
      </c>
    </row>
    <row r="29" spans="4:13" x14ac:dyDescent="0.35">
      <c r="D29" s="80"/>
      <c r="E29" s="81"/>
      <c r="F29" s="82" t="s">
        <v>222</v>
      </c>
      <c r="G29" s="81">
        <v>22.333333333333332</v>
      </c>
      <c r="H29" s="81"/>
      <c r="I29" s="81">
        <v>22.333333333333332</v>
      </c>
      <c r="J29" s="82">
        <v>22.333333333333332</v>
      </c>
    </row>
    <row r="30" spans="4:13" x14ac:dyDescent="0.35">
      <c r="D30" s="83"/>
      <c r="E30" s="84"/>
      <c r="F30" s="85" t="s">
        <v>300</v>
      </c>
      <c r="G30" s="84">
        <v>100</v>
      </c>
      <c r="H30" s="84"/>
      <c r="I30" s="84">
        <v>100</v>
      </c>
      <c r="J30" s="86"/>
    </row>
    <row r="32" spans="4:13" ht="15" thickBot="1" x14ac:dyDescent="0.4">
      <c r="D32" s="60" t="s">
        <v>1</v>
      </c>
      <c r="E32" s="61" t="s">
        <v>293</v>
      </c>
      <c r="F32" s="62" t="s">
        <v>301</v>
      </c>
      <c r="G32" s="61">
        <v>1</v>
      </c>
      <c r="H32" s="61"/>
      <c r="I32" s="61" t="s">
        <v>297</v>
      </c>
      <c r="J32" s="63" t="s">
        <v>298</v>
      </c>
      <c r="K32" t="s">
        <v>299</v>
      </c>
      <c r="L32" t="s">
        <v>314</v>
      </c>
      <c r="M32" t="s">
        <v>312</v>
      </c>
    </row>
    <row r="33" spans="4:13" ht="15.75" customHeight="1" thickTop="1" x14ac:dyDescent="0.35">
      <c r="D33" s="64"/>
      <c r="E33" s="149" t="s">
        <v>303</v>
      </c>
      <c r="F33" s="66">
        <v>1</v>
      </c>
      <c r="G33" s="67">
        <v>19</v>
      </c>
      <c r="H33" s="68"/>
      <c r="I33" s="69">
        <v>19</v>
      </c>
      <c r="J33" s="69">
        <v>19</v>
      </c>
      <c r="K33">
        <f>I33/J33*100</f>
        <v>100</v>
      </c>
      <c r="L33">
        <f>AVERAGE(K33:K35)</f>
        <v>100</v>
      </c>
      <c r="M33">
        <f>STDEV(K33:K35)/SQRT(COUNT(K33:K35))</f>
        <v>0</v>
      </c>
    </row>
    <row r="34" spans="4:13" x14ac:dyDescent="0.35">
      <c r="D34" s="70"/>
      <c r="E34" s="150"/>
      <c r="F34" s="66">
        <v>2</v>
      </c>
      <c r="G34" s="72">
        <v>23</v>
      </c>
      <c r="H34" s="73"/>
      <c r="I34" s="72">
        <v>23</v>
      </c>
      <c r="J34" s="87">
        <v>23</v>
      </c>
      <c r="K34">
        <f>I34/J34*100</f>
        <v>100</v>
      </c>
    </row>
    <row r="35" spans="4:13" x14ac:dyDescent="0.35">
      <c r="D35" s="75"/>
      <c r="E35" s="151"/>
      <c r="F35" s="77">
        <v>3</v>
      </c>
      <c r="G35" s="78">
        <v>20</v>
      </c>
      <c r="H35" s="79"/>
      <c r="I35" s="78">
        <v>20</v>
      </c>
      <c r="J35" s="88">
        <v>20</v>
      </c>
      <c r="K35">
        <f>I35/J35*100</f>
        <v>100</v>
      </c>
    </row>
    <row r="36" spans="4:13" x14ac:dyDescent="0.35">
      <c r="D36" s="80"/>
      <c r="E36" s="81"/>
      <c r="F36" s="82" t="s">
        <v>222</v>
      </c>
      <c r="G36" s="81">
        <v>20.666666666666668</v>
      </c>
      <c r="H36" s="81"/>
      <c r="I36" s="81">
        <v>20.666666666666668</v>
      </c>
      <c r="J36" s="82">
        <v>20.666666666666668</v>
      </c>
    </row>
    <row r="37" spans="4:13" x14ac:dyDescent="0.35">
      <c r="D37" s="83"/>
      <c r="E37" s="84"/>
      <c r="F37" s="85" t="s">
        <v>300</v>
      </c>
      <c r="G37" s="84">
        <v>100</v>
      </c>
      <c r="H37" s="84"/>
      <c r="I37" s="84">
        <v>100</v>
      </c>
      <c r="J37" s="86"/>
    </row>
  </sheetData>
  <mergeCells count="3">
    <mergeCell ref="E12:E14"/>
    <mergeCell ref="E26:E28"/>
    <mergeCell ref="E33:E3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15361" r:id="rId3">
          <objectPr defaultSize="0" autoPict="0" r:id="rId4">
            <anchor moveWithCells="1">
              <from>
                <xdr:col>14</xdr:col>
                <xdr:colOff>184150</xdr:colOff>
                <xdr:row>16</xdr:row>
                <xdr:rowOff>6350</xdr:rowOff>
              </from>
              <to>
                <xdr:col>21</xdr:col>
                <xdr:colOff>88900</xdr:colOff>
                <xdr:row>28</xdr:row>
                <xdr:rowOff>25400</xdr:rowOff>
              </to>
            </anchor>
          </objectPr>
        </oleObject>
      </mc:Choice>
      <mc:Fallback>
        <oleObject progId="Prism8.Document" shapeId="15361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A12E-8DCC-4734-B006-34395841A114}">
  <dimension ref="C3:S70"/>
  <sheetViews>
    <sheetView zoomScale="25" zoomScaleNormal="25" workbookViewId="0">
      <selection activeCell="E5" sqref="E5"/>
    </sheetView>
  </sheetViews>
  <sheetFormatPr defaultRowHeight="14.5" x14ac:dyDescent="0.35"/>
  <cols>
    <col min="3" max="3" width="17.81640625" customWidth="1"/>
    <col min="4" max="4" width="11" customWidth="1"/>
    <col min="5" max="5" width="20.54296875" customWidth="1"/>
    <col min="12" max="12" width="12.81640625" customWidth="1"/>
    <col min="13" max="13" width="20.453125" customWidth="1"/>
    <col min="16" max="16" width="18.453125" customWidth="1"/>
    <col min="17" max="17" width="12.54296875" customWidth="1"/>
    <col min="19" max="19" width="19.7265625" customWidth="1"/>
  </cols>
  <sheetData>
    <row r="3" spans="3:13" ht="23.5" x14ac:dyDescent="0.55000000000000004">
      <c r="C3" s="104" t="s">
        <v>341</v>
      </c>
    </row>
    <row r="5" spans="3:13" x14ac:dyDescent="0.35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312</v>
      </c>
    </row>
    <row r="6" spans="3:13" x14ac:dyDescent="0.35">
      <c r="C6" s="101" t="s">
        <v>240</v>
      </c>
      <c r="D6" s="1" t="s">
        <v>241</v>
      </c>
      <c r="E6" s="1" t="s">
        <v>14</v>
      </c>
      <c r="F6" t="s">
        <v>15</v>
      </c>
      <c r="G6" s="145" t="s">
        <v>42</v>
      </c>
      <c r="H6" s="2">
        <v>0</v>
      </c>
      <c r="I6">
        <v>0</v>
      </c>
      <c r="J6">
        <v>15</v>
      </c>
      <c r="K6">
        <f t="shared" ref="K6:K9" si="0">SUM(I6:J6)</f>
        <v>15</v>
      </c>
      <c r="L6" s="3">
        <f t="shared" ref="L6:L27" si="1">(I6/K6)*100</f>
        <v>0</v>
      </c>
      <c r="M6">
        <f>STDEV(L6:L9)/SQRT(COUNT(L6:L9))</f>
        <v>1.5532964294691058</v>
      </c>
    </row>
    <row r="7" spans="3:13" x14ac:dyDescent="0.35">
      <c r="C7" s="1" t="s">
        <v>242</v>
      </c>
      <c r="E7" s="1"/>
      <c r="F7" t="s">
        <v>15</v>
      </c>
      <c r="G7" s="152"/>
      <c r="H7" s="2">
        <v>1</v>
      </c>
      <c r="I7">
        <v>1</v>
      </c>
      <c r="J7">
        <v>20</v>
      </c>
      <c r="K7">
        <f t="shared" si="0"/>
        <v>21</v>
      </c>
      <c r="L7" s="3">
        <f t="shared" si="1"/>
        <v>4.7619047619047619</v>
      </c>
    </row>
    <row r="8" spans="3:13" x14ac:dyDescent="0.35">
      <c r="E8" s="1" t="s">
        <v>14</v>
      </c>
      <c r="F8" t="s">
        <v>15</v>
      </c>
      <c r="G8" s="152"/>
      <c r="H8" s="2">
        <v>1</v>
      </c>
      <c r="I8">
        <v>1</v>
      </c>
      <c r="J8">
        <v>16</v>
      </c>
      <c r="K8">
        <f t="shared" si="0"/>
        <v>17</v>
      </c>
      <c r="L8" s="3">
        <f t="shared" si="1"/>
        <v>5.8823529411764701</v>
      </c>
    </row>
    <row r="9" spans="3:13" x14ac:dyDescent="0.35">
      <c r="E9" s="1"/>
      <c r="F9" t="s">
        <v>15</v>
      </c>
      <c r="G9" s="152"/>
      <c r="H9" s="2">
        <v>1</v>
      </c>
      <c r="I9">
        <v>0</v>
      </c>
      <c r="J9">
        <v>24</v>
      </c>
      <c r="K9">
        <f t="shared" si="0"/>
        <v>24</v>
      </c>
      <c r="L9" s="3">
        <f t="shared" si="1"/>
        <v>0</v>
      </c>
    </row>
    <row r="10" spans="3:13" x14ac:dyDescent="0.35">
      <c r="E10" s="4" t="s">
        <v>23</v>
      </c>
      <c r="F10" s="5" t="s">
        <v>15</v>
      </c>
      <c r="G10" s="152"/>
      <c r="H10" s="6">
        <v>3</v>
      </c>
      <c r="I10" s="5">
        <v>1</v>
      </c>
      <c r="J10" s="5">
        <v>20</v>
      </c>
      <c r="K10" s="5">
        <f>SUM(I10:J10)</f>
        <v>21</v>
      </c>
      <c r="L10" s="5">
        <f t="shared" si="1"/>
        <v>4.7619047619047619</v>
      </c>
      <c r="M10">
        <f>STDEV(L10:L15)/SQRT(COUNT(L10:L15))</f>
        <v>9.627790816898969</v>
      </c>
    </row>
    <row r="11" spans="3:13" x14ac:dyDescent="0.35">
      <c r="E11" s="4"/>
      <c r="F11" s="5" t="s">
        <v>15</v>
      </c>
      <c r="G11" s="152"/>
      <c r="H11" s="6">
        <v>6</v>
      </c>
      <c r="I11" s="5">
        <v>4</v>
      </c>
      <c r="J11" s="5">
        <v>14</v>
      </c>
      <c r="K11" s="5">
        <f>SUM(I11:J11)</f>
        <v>18</v>
      </c>
      <c r="L11" s="5">
        <f t="shared" si="1"/>
        <v>22.222222222222221</v>
      </c>
    </row>
    <row r="12" spans="3:13" x14ac:dyDescent="0.35">
      <c r="E12" s="4"/>
      <c r="F12" s="5" t="s">
        <v>15</v>
      </c>
      <c r="G12" s="152"/>
      <c r="H12" s="6">
        <v>5</v>
      </c>
      <c r="I12" s="5">
        <v>3</v>
      </c>
      <c r="J12" s="5">
        <v>25</v>
      </c>
      <c r="K12" s="5">
        <f t="shared" ref="K12:K22" si="2">SUM(I12:J12)</f>
        <v>28</v>
      </c>
      <c r="L12" s="5">
        <f t="shared" si="1"/>
        <v>10.714285714285714</v>
      </c>
    </row>
    <row r="13" spans="3:13" x14ac:dyDescent="0.35">
      <c r="E13" s="4" t="s">
        <v>23</v>
      </c>
      <c r="F13" s="5" t="s">
        <v>15</v>
      </c>
      <c r="G13" s="152"/>
      <c r="H13" s="6">
        <v>10</v>
      </c>
      <c r="I13" s="5">
        <v>17</v>
      </c>
      <c r="J13" s="5">
        <v>7</v>
      </c>
      <c r="K13" s="5">
        <f t="shared" si="2"/>
        <v>24</v>
      </c>
      <c r="L13" s="5">
        <f t="shared" si="1"/>
        <v>70.833333333333343</v>
      </c>
    </row>
    <row r="14" spans="3:13" x14ac:dyDescent="0.35">
      <c r="E14" s="4"/>
      <c r="F14" s="5" t="s">
        <v>15</v>
      </c>
      <c r="G14" s="152"/>
      <c r="H14" s="6">
        <v>8</v>
      </c>
      <c r="I14" s="5">
        <v>7</v>
      </c>
      <c r="J14" s="5">
        <v>16</v>
      </c>
      <c r="K14" s="5">
        <f t="shared" si="2"/>
        <v>23</v>
      </c>
      <c r="L14" s="5">
        <f t="shared" si="1"/>
        <v>30.434782608695656</v>
      </c>
    </row>
    <row r="15" spans="3:13" x14ac:dyDescent="0.35">
      <c r="E15" s="4" t="s">
        <v>23</v>
      </c>
      <c r="F15" s="5" t="s">
        <v>15</v>
      </c>
      <c r="G15" s="152"/>
      <c r="H15" s="6" t="s">
        <v>244</v>
      </c>
      <c r="I15" s="5">
        <v>7</v>
      </c>
      <c r="J15" s="5">
        <v>12</v>
      </c>
      <c r="K15" s="5">
        <f t="shared" si="2"/>
        <v>19</v>
      </c>
      <c r="L15" s="5">
        <f t="shared" si="1"/>
        <v>36.84210526315789</v>
      </c>
    </row>
    <row r="16" spans="3:13" x14ac:dyDescent="0.35">
      <c r="E16" s="8" t="s">
        <v>30</v>
      </c>
      <c r="F16" s="11" t="s">
        <v>15</v>
      </c>
      <c r="G16" s="152"/>
      <c r="H16" s="12" t="s">
        <v>24</v>
      </c>
      <c r="I16" s="11">
        <v>29</v>
      </c>
      <c r="J16" s="11">
        <v>1</v>
      </c>
      <c r="K16" s="11">
        <f t="shared" si="2"/>
        <v>30</v>
      </c>
      <c r="L16" s="13">
        <f t="shared" si="1"/>
        <v>96.666666666666671</v>
      </c>
      <c r="M16">
        <f>STDEV(L16:L27)/SQRT(COUNT(L16:L27))</f>
        <v>4.0566352313314233</v>
      </c>
    </row>
    <row r="17" spans="5:13" x14ac:dyDescent="0.35">
      <c r="E17" s="8"/>
      <c r="F17" s="11" t="s">
        <v>15</v>
      </c>
      <c r="G17" s="152"/>
      <c r="H17" s="12" t="s">
        <v>24</v>
      </c>
      <c r="I17" s="11">
        <v>21</v>
      </c>
      <c r="J17" s="11">
        <v>2</v>
      </c>
      <c r="K17" s="11">
        <f t="shared" si="2"/>
        <v>23</v>
      </c>
      <c r="L17" s="13">
        <f t="shared" si="1"/>
        <v>91.304347826086953</v>
      </c>
    </row>
    <row r="18" spans="5:13" x14ac:dyDescent="0.35">
      <c r="E18" s="8"/>
      <c r="F18" s="11" t="s">
        <v>15</v>
      </c>
      <c r="G18" s="152"/>
      <c r="H18" s="12" t="s">
        <v>24</v>
      </c>
      <c r="I18" s="11">
        <v>22</v>
      </c>
      <c r="J18" s="11">
        <v>2</v>
      </c>
      <c r="K18" s="11">
        <f t="shared" si="2"/>
        <v>24</v>
      </c>
      <c r="L18" s="13">
        <f t="shared" si="1"/>
        <v>91.666666666666657</v>
      </c>
    </row>
    <row r="19" spans="5:13" x14ac:dyDescent="0.35">
      <c r="E19" s="8"/>
      <c r="F19" s="11" t="s">
        <v>15</v>
      </c>
      <c r="G19" s="152"/>
      <c r="H19" s="12" t="s">
        <v>24</v>
      </c>
      <c r="I19" s="11">
        <v>19</v>
      </c>
      <c r="J19" s="11">
        <v>0</v>
      </c>
      <c r="K19" s="11">
        <f t="shared" si="2"/>
        <v>19</v>
      </c>
      <c r="L19" s="13">
        <f t="shared" si="1"/>
        <v>100</v>
      </c>
    </row>
    <row r="20" spans="5:13" x14ac:dyDescent="0.35">
      <c r="E20" s="8" t="s">
        <v>30</v>
      </c>
      <c r="F20" s="11" t="s">
        <v>15</v>
      </c>
      <c r="G20" s="152"/>
      <c r="H20" s="12" t="s">
        <v>24</v>
      </c>
      <c r="I20" s="11">
        <v>23</v>
      </c>
      <c r="J20" s="11">
        <v>7</v>
      </c>
      <c r="K20" s="11">
        <f t="shared" si="2"/>
        <v>30</v>
      </c>
      <c r="L20" s="13">
        <f t="shared" si="1"/>
        <v>76.666666666666671</v>
      </c>
    </row>
    <row r="21" spans="5:13" x14ac:dyDescent="0.35">
      <c r="E21" s="8"/>
      <c r="F21" s="11" t="s">
        <v>15</v>
      </c>
      <c r="G21" s="152"/>
      <c r="H21" s="12" t="s">
        <v>24</v>
      </c>
      <c r="I21" s="11">
        <v>25</v>
      </c>
      <c r="J21" s="11">
        <v>3</v>
      </c>
      <c r="K21" s="11">
        <f t="shared" si="2"/>
        <v>28</v>
      </c>
      <c r="L21" s="13">
        <f t="shared" si="1"/>
        <v>89.285714285714292</v>
      </c>
    </row>
    <row r="22" spans="5:13" x14ac:dyDescent="0.35">
      <c r="E22" s="8"/>
      <c r="F22" s="11" t="s">
        <v>15</v>
      </c>
      <c r="G22" s="152"/>
      <c r="H22" s="12" t="s">
        <v>24</v>
      </c>
      <c r="I22" s="11">
        <v>26</v>
      </c>
      <c r="J22" s="11">
        <v>4</v>
      </c>
      <c r="K22" s="11">
        <f t="shared" si="2"/>
        <v>30</v>
      </c>
      <c r="L22" s="13">
        <f t="shared" si="1"/>
        <v>86.666666666666671</v>
      </c>
    </row>
    <row r="23" spans="5:13" x14ac:dyDescent="0.35">
      <c r="E23" s="8" t="s">
        <v>30</v>
      </c>
      <c r="F23" s="11" t="s">
        <v>15</v>
      </c>
      <c r="G23" s="152"/>
      <c r="H23" s="12" t="s">
        <v>24</v>
      </c>
      <c r="I23" s="11">
        <v>9</v>
      </c>
      <c r="J23" s="11">
        <v>9</v>
      </c>
      <c r="K23" s="11">
        <f>SUM(I23:J23)</f>
        <v>18</v>
      </c>
      <c r="L23" s="13">
        <f t="shared" si="1"/>
        <v>50</v>
      </c>
    </row>
    <row r="24" spans="5:13" x14ac:dyDescent="0.35">
      <c r="E24" s="8"/>
      <c r="F24" s="11" t="s">
        <v>15</v>
      </c>
      <c r="G24" s="152"/>
      <c r="H24" s="12" t="s">
        <v>24</v>
      </c>
      <c r="I24" s="11">
        <v>19</v>
      </c>
      <c r="J24" s="11">
        <v>3</v>
      </c>
      <c r="K24" s="11">
        <f>SUM(I24:J24)</f>
        <v>22</v>
      </c>
      <c r="L24" s="13">
        <f t="shared" si="1"/>
        <v>86.36363636363636</v>
      </c>
    </row>
    <row r="25" spans="5:13" x14ac:dyDescent="0.35">
      <c r="E25" s="8" t="s">
        <v>30</v>
      </c>
      <c r="F25" s="11" t="s">
        <v>15</v>
      </c>
      <c r="G25" s="152"/>
      <c r="H25" s="12" t="s">
        <v>24</v>
      </c>
      <c r="I25" s="11">
        <v>26</v>
      </c>
      <c r="J25" s="11">
        <v>1</v>
      </c>
      <c r="K25" s="11">
        <f>SUM(I25:J25)</f>
        <v>27</v>
      </c>
      <c r="L25" s="13">
        <f t="shared" si="1"/>
        <v>96.296296296296291</v>
      </c>
    </row>
    <row r="26" spans="5:13" x14ac:dyDescent="0.35">
      <c r="E26" s="8"/>
      <c r="F26" s="11" t="s">
        <v>15</v>
      </c>
      <c r="G26" s="152"/>
      <c r="H26" s="12" t="s">
        <v>24</v>
      </c>
      <c r="I26" s="11">
        <v>20</v>
      </c>
      <c r="J26" s="11">
        <v>0</v>
      </c>
      <c r="K26" s="11">
        <f>SUM(I26:J26)</f>
        <v>20</v>
      </c>
      <c r="L26" s="13">
        <f t="shared" si="1"/>
        <v>100</v>
      </c>
    </row>
    <row r="27" spans="5:13" x14ac:dyDescent="0.35">
      <c r="E27" s="8"/>
      <c r="F27" s="11" t="s">
        <v>15</v>
      </c>
      <c r="G27" s="152"/>
      <c r="H27" s="12" t="s">
        <v>24</v>
      </c>
      <c r="I27" s="11">
        <v>8</v>
      </c>
      <c r="J27" s="11">
        <v>0</v>
      </c>
      <c r="K27" s="11">
        <f t="shared" ref="K27" si="3">SUM(I27:J27)</f>
        <v>8</v>
      </c>
      <c r="L27" s="13">
        <f t="shared" si="1"/>
        <v>100</v>
      </c>
    </row>
    <row r="28" spans="5:13" x14ac:dyDescent="0.35">
      <c r="E28" s="10" t="s">
        <v>32</v>
      </c>
      <c r="F28" s="18" t="s">
        <v>15</v>
      </c>
      <c r="G28" s="152"/>
      <c r="H28" s="19" t="s">
        <v>24</v>
      </c>
      <c r="I28" s="18">
        <v>24</v>
      </c>
      <c r="J28" s="18">
        <v>3</v>
      </c>
      <c r="K28" s="18">
        <f>SUM(I28:J28)</f>
        <v>27</v>
      </c>
      <c r="L28" s="18">
        <f t="shared" ref="L28:L41" si="4">I28/K28*100</f>
        <v>88.888888888888886</v>
      </c>
      <c r="M28">
        <f>STDEV(L28:L41)/SQRT(COUNT(L28:L41))</f>
        <v>1.5657499963173711</v>
      </c>
    </row>
    <row r="29" spans="5:13" x14ac:dyDescent="0.35">
      <c r="E29" s="10"/>
      <c r="F29" s="18" t="s">
        <v>15</v>
      </c>
      <c r="G29" s="152"/>
      <c r="H29" s="19" t="s">
        <v>24</v>
      </c>
      <c r="I29" s="18">
        <v>18</v>
      </c>
      <c r="J29" s="18">
        <v>4</v>
      </c>
      <c r="K29" s="18">
        <f t="shared" ref="K29:K33" si="5">SUM(I29:J29)</f>
        <v>22</v>
      </c>
      <c r="L29" s="18">
        <f t="shared" si="4"/>
        <v>81.818181818181827</v>
      </c>
    </row>
    <row r="30" spans="5:13" x14ac:dyDescent="0.35">
      <c r="E30" s="10"/>
      <c r="F30" s="18" t="s">
        <v>15</v>
      </c>
      <c r="G30" s="152"/>
      <c r="H30" s="19" t="s">
        <v>24</v>
      </c>
      <c r="I30" s="18">
        <v>23</v>
      </c>
      <c r="J30" s="18">
        <v>1</v>
      </c>
      <c r="K30" s="18">
        <f t="shared" si="5"/>
        <v>24</v>
      </c>
      <c r="L30" s="18">
        <f t="shared" si="4"/>
        <v>95.833333333333343</v>
      </c>
    </row>
    <row r="31" spans="5:13" x14ac:dyDescent="0.35">
      <c r="E31" s="10"/>
      <c r="F31" s="18" t="s">
        <v>15</v>
      </c>
      <c r="G31" s="152"/>
      <c r="H31" s="19" t="s">
        <v>24</v>
      </c>
      <c r="I31" s="18">
        <v>21</v>
      </c>
      <c r="J31" s="18">
        <v>2</v>
      </c>
      <c r="K31" s="18">
        <f t="shared" si="5"/>
        <v>23</v>
      </c>
      <c r="L31" s="18">
        <f t="shared" si="4"/>
        <v>91.304347826086953</v>
      </c>
    </row>
    <row r="32" spans="5:13" x14ac:dyDescent="0.35">
      <c r="E32" s="10"/>
      <c r="F32" s="18" t="s">
        <v>15</v>
      </c>
      <c r="G32" s="152"/>
      <c r="H32" s="19" t="s">
        <v>24</v>
      </c>
      <c r="I32" s="18">
        <v>21</v>
      </c>
      <c r="J32" s="18">
        <v>0</v>
      </c>
      <c r="K32" s="18">
        <f t="shared" si="5"/>
        <v>21</v>
      </c>
      <c r="L32" s="18">
        <f t="shared" si="4"/>
        <v>100</v>
      </c>
    </row>
    <row r="33" spans="3:19" x14ac:dyDescent="0.35">
      <c r="E33" s="10"/>
      <c r="F33" s="18" t="s">
        <v>15</v>
      </c>
      <c r="G33" s="152"/>
      <c r="H33" s="19" t="s">
        <v>24</v>
      </c>
      <c r="I33" s="18">
        <v>21</v>
      </c>
      <c r="J33" s="18">
        <v>1</v>
      </c>
      <c r="K33" s="18">
        <f t="shared" si="5"/>
        <v>22</v>
      </c>
      <c r="L33" s="18">
        <f t="shared" si="4"/>
        <v>95.454545454545453</v>
      </c>
    </row>
    <row r="34" spans="3:19" x14ac:dyDescent="0.35">
      <c r="E34" s="10" t="s">
        <v>32</v>
      </c>
      <c r="F34" s="18" t="s">
        <v>15</v>
      </c>
      <c r="G34" s="152"/>
      <c r="H34" s="19" t="s">
        <v>24</v>
      </c>
      <c r="I34" s="18">
        <v>47</v>
      </c>
      <c r="J34" s="18">
        <v>4</v>
      </c>
      <c r="K34" s="18">
        <f>SUM(I34:J34)</f>
        <v>51</v>
      </c>
      <c r="L34" s="18">
        <f t="shared" si="4"/>
        <v>92.156862745098039</v>
      </c>
    </row>
    <row r="35" spans="3:19" x14ac:dyDescent="0.35">
      <c r="E35" s="10"/>
      <c r="F35" s="18" t="s">
        <v>15</v>
      </c>
      <c r="G35" s="152"/>
      <c r="H35" s="19" t="s">
        <v>24</v>
      </c>
      <c r="I35" s="18">
        <v>30</v>
      </c>
      <c r="J35" s="18">
        <v>1</v>
      </c>
      <c r="K35" s="18">
        <f t="shared" ref="K35:K36" si="6">SUM(I35:J35)</f>
        <v>31</v>
      </c>
      <c r="L35" s="18">
        <f t="shared" si="4"/>
        <v>96.774193548387103</v>
      </c>
    </row>
    <row r="36" spans="3:19" x14ac:dyDescent="0.35">
      <c r="E36" s="10"/>
      <c r="F36" s="18" t="s">
        <v>15</v>
      </c>
      <c r="G36" s="152"/>
      <c r="H36" s="19" t="s">
        <v>24</v>
      </c>
      <c r="I36" s="18">
        <v>25</v>
      </c>
      <c r="J36" s="18">
        <v>6</v>
      </c>
      <c r="K36" s="18">
        <f t="shared" si="6"/>
        <v>31</v>
      </c>
      <c r="L36" s="18">
        <f t="shared" si="4"/>
        <v>80.645161290322577</v>
      </c>
    </row>
    <row r="37" spans="3:19" x14ac:dyDescent="0.35">
      <c r="E37" s="10" t="s">
        <v>32</v>
      </c>
      <c r="F37" s="18" t="s">
        <v>15</v>
      </c>
      <c r="G37" s="152"/>
      <c r="H37" s="19" t="s">
        <v>24</v>
      </c>
      <c r="I37" s="18">
        <v>19</v>
      </c>
      <c r="J37" s="18">
        <v>1</v>
      </c>
      <c r="K37" s="18">
        <f>SUM(I37:J37)</f>
        <v>20</v>
      </c>
      <c r="L37" s="18">
        <f t="shared" si="4"/>
        <v>95</v>
      </c>
    </row>
    <row r="38" spans="3:19" x14ac:dyDescent="0.35">
      <c r="E38" s="10"/>
      <c r="F38" s="18" t="s">
        <v>15</v>
      </c>
      <c r="G38" s="152"/>
      <c r="H38" s="19" t="s">
        <v>24</v>
      </c>
      <c r="I38" s="18">
        <v>17</v>
      </c>
      <c r="J38" s="18">
        <v>2</v>
      </c>
      <c r="K38" s="18">
        <f>SUM(I38:J38)</f>
        <v>19</v>
      </c>
      <c r="L38" s="18">
        <f t="shared" si="4"/>
        <v>89.473684210526315</v>
      </c>
    </row>
    <row r="39" spans="3:19" x14ac:dyDescent="0.35">
      <c r="E39" s="10" t="s">
        <v>32</v>
      </c>
      <c r="F39" s="18" t="s">
        <v>15</v>
      </c>
      <c r="G39" s="152"/>
      <c r="H39" s="19" t="s">
        <v>24</v>
      </c>
      <c r="I39" s="18">
        <v>18</v>
      </c>
      <c r="J39" s="18">
        <v>1</v>
      </c>
      <c r="K39" s="18">
        <f>SUM(I39:J39)</f>
        <v>19</v>
      </c>
      <c r="L39" s="18">
        <f t="shared" si="4"/>
        <v>94.73684210526315</v>
      </c>
    </row>
    <row r="40" spans="3:19" x14ac:dyDescent="0.35">
      <c r="E40" s="10"/>
      <c r="F40" s="18" t="s">
        <v>15</v>
      </c>
      <c r="G40" s="152"/>
      <c r="H40" s="19" t="s">
        <v>24</v>
      </c>
      <c r="I40" s="18">
        <v>21</v>
      </c>
      <c r="J40" s="18">
        <v>0</v>
      </c>
      <c r="K40" s="18">
        <f t="shared" ref="K40:K41" si="7">SUM(I40:J40)</f>
        <v>21</v>
      </c>
      <c r="L40" s="18">
        <f t="shared" si="4"/>
        <v>100</v>
      </c>
    </row>
    <row r="41" spans="3:19" x14ac:dyDescent="0.35">
      <c r="E41" s="10"/>
      <c r="F41" s="18" t="s">
        <v>15</v>
      </c>
      <c r="G41" s="152"/>
      <c r="H41" s="19" t="s">
        <v>24</v>
      </c>
      <c r="I41" s="18">
        <v>19</v>
      </c>
      <c r="J41" s="18">
        <v>1</v>
      </c>
      <c r="K41" s="18">
        <f t="shared" si="7"/>
        <v>20</v>
      </c>
      <c r="L41" s="18">
        <f t="shared" si="4"/>
        <v>95</v>
      </c>
    </row>
    <row r="43" spans="3:19" ht="23.5" x14ac:dyDescent="0.55000000000000004">
      <c r="C43" s="104" t="s">
        <v>342</v>
      </c>
    </row>
    <row r="44" spans="3:19" x14ac:dyDescent="0.35">
      <c r="C44" s="1" t="s">
        <v>0</v>
      </c>
      <c r="D44" s="1" t="s">
        <v>1</v>
      </c>
      <c r="E44" s="1" t="s">
        <v>2</v>
      </c>
      <c r="F44" s="1" t="s">
        <v>3</v>
      </c>
      <c r="G44" s="1" t="s">
        <v>4</v>
      </c>
      <c r="H44" s="1" t="s">
        <v>5</v>
      </c>
      <c r="I44" s="1" t="s">
        <v>6</v>
      </c>
      <c r="J44" s="1" t="s">
        <v>7</v>
      </c>
      <c r="K44" s="1" t="s">
        <v>8</v>
      </c>
      <c r="L44" s="1" t="s">
        <v>9</v>
      </c>
      <c r="M44" s="1" t="s">
        <v>21</v>
      </c>
    </row>
    <row r="45" spans="3:19" x14ac:dyDescent="0.35">
      <c r="C45" s="1" t="s">
        <v>240</v>
      </c>
      <c r="D45" s="1" t="s">
        <v>245</v>
      </c>
      <c r="E45" s="1" t="s">
        <v>14</v>
      </c>
      <c r="F45" t="s">
        <v>15</v>
      </c>
      <c r="G45" s="145" t="s">
        <v>41</v>
      </c>
      <c r="H45" s="2">
        <v>3</v>
      </c>
      <c r="I45">
        <v>3</v>
      </c>
      <c r="J45">
        <v>12</v>
      </c>
      <c r="K45">
        <f t="shared" ref="K45:K46" si="8">SUM(I45:J45)</f>
        <v>15</v>
      </c>
      <c r="L45" s="3">
        <f t="shared" ref="L45:L63" si="9">(I45/K45)*100</f>
        <v>20</v>
      </c>
    </row>
    <row r="46" spans="3:19" x14ac:dyDescent="0.35">
      <c r="C46" s="1" t="s">
        <v>242</v>
      </c>
      <c r="E46" s="1" t="s">
        <v>14</v>
      </c>
      <c r="F46" t="s">
        <v>15</v>
      </c>
      <c r="G46" s="152"/>
      <c r="H46" s="2">
        <v>1</v>
      </c>
      <c r="I46">
        <v>0</v>
      </c>
      <c r="J46">
        <v>20</v>
      </c>
      <c r="K46">
        <f t="shared" si="8"/>
        <v>20</v>
      </c>
      <c r="L46" s="3">
        <f t="shared" si="9"/>
        <v>0</v>
      </c>
    </row>
    <row r="47" spans="3:19" x14ac:dyDescent="0.35">
      <c r="E47" s="1" t="s">
        <v>14</v>
      </c>
      <c r="F47" t="s">
        <v>15</v>
      </c>
      <c r="G47" s="152"/>
      <c r="H47" s="2">
        <v>2</v>
      </c>
      <c r="I47">
        <v>0</v>
      </c>
      <c r="J47">
        <v>18</v>
      </c>
      <c r="K47">
        <f t="shared" ref="K47" si="10">SUM(I47:J47)</f>
        <v>18</v>
      </c>
      <c r="L47" s="3">
        <f t="shared" si="9"/>
        <v>0</v>
      </c>
    </row>
    <row r="48" spans="3:19" x14ac:dyDescent="0.35">
      <c r="E48" s="1" t="s">
        <v>14</v>
      </c>
      <c r="F48" t="s">
        <v>15</v>
      </c>
      <c r="G48" s="152"/>
      <c r="H48" s="2">
        <v>1</v>
      </c>
      <c r="I48">
        <v>0</v>
      </c>
      <c r="J48">
        <v>22</v>
      </c>
      <c r="K48">
        <f>SUM(I48:J48)</f>
        <v>22</v>
      </c>
      <c r="L48" s="3">
        <f t="shared" si="9"/>
        <v>0</v>
      </c>
      <c r="S48" s="3"/>
    </row>
    <row r="49" spans="5:19" x14ac:dyDescent="0.35">
      <c r="E49" s="1" t="s">
        <v>14</v>
      </c>
      <c r="F49" t="s">
        <v>15</v>
      </c>
      <c r="G49" s="152"/>
      <c r="H49" s="2">
        <v>1</v>
      </c>
      <c r="I49">
        <v>2</v>
      </c>
      <c r="J49">
        <v>18</v>
      </c>
      <c r="K49">
        <f>SUM(I49:J49)</f>
        <v>20</v>
      </c>
      <c r="L49" s="3">
        <f t="shared" si="9"/>
        <v>10</v>
      </c>
      <c r="O49" t="s">
        <v>312</v>
      </c>
      <c r="S49" s="9"/>
    </row>
    <row r="50" spans="5:19" x14ac:dyDescent="0.35">
      <c r="E50" s="4" t="s">
        <v>23</v>
      </c>
      <c r="F50" s="5" t="s">
        <v>15</v>
      </c>
      <c r="G50" s="152"/>
      <c r="H50" s="6" t="s">
        <v>29</v>
      </c>
      <c r="I50" s="5">
        <v>7</v>
      </c>
      <c r="J50" s="5">
        <v>8</v>
      </c>
      <c r="K50" s="5">
        <f t="shared" ref="K50:K52" si="11">SUM(I50:J50)</f>
        <v>15</v>
      </c>
      <c r="L50" s="5">
        <f t="shared" si="9"/>
        <v>46.666666666666664</v>
      </c>
      <c r="M50">
        <f>(L50-$R$9)/(100-$R$9)*100</f>
        <v>46.666666666666664</v>
      </c>
      <c r="O50">
        <f>STDEV(M50:M56)/SQRT(COUNT(M50:M56))</f>
        <v>7.1695861467057904</v>
      </c>
    </row>
    <row r="51" spans="5:19" x14ac:dyDescent="0.35">
      <c r="E51" s="4" t="s">
        <v>23</v>
      </c>
      <c r="F51" s="5" t="s">
        <v>15</v>
      </c>
      <c r="G51" s="152"/>
      <c r="H51" s="6" t="s">
        <v>29</v>
      </c>
      <c r="I51" s="5">
        <v>5</v>
      </c>
      <c r="J51" s="5">
        <v>12</v>
      </c>
      <c r="K51" s="5">
        <f t="shared" si="11"/>
        <v>17</v>
      </c>
      <c r="L51" s="5">
        <f t="shared" si="9"/>
        <v>29.411764705882355</v>
      </c>
      <c r="M51">
        <f t="shared" ref="M51:M70" si="12">(L51-$R$9)/(100-$R$9)*100</f>
        <v>29.411764705882355</v>
      </c>
    </row>
    <row r="52" spans="5:19" x14ac:dyDescent="0.35">
      <c r="E52" s="4" t="s">
        <v>23</v>
      </c>
      <c r="F52" s="5" t="s">
        <v>15</v>
      </c>
      <c r="G52" s="152"/>
      <c r="H52" s="6" t="s">
        <v>246</v>
      </c>
      <c r="I52" s="5">
        <v>13</v>
      </c>
      <c r="J52" s="5">
        <v>14</v>
      </c>
      <c r="K52" s="5">
        <f t="shared" si="11"/>
        <v>27</v>
      </c>
      <c r="L52" s="5">
        <f t="shared" si="9"/>
        <v>48.148148148148145</v>
      </c>
      <c r="M52">
        <f t="shared" si="12"/>
        <v>48.148148148148145</v>
      </c>
    </row>
    <row r="53" spans="5:19" x14ac:dyDescent="0.35">
      <c r="E53" s="4" t="s">
        <v>23</v>
      </c>
      <c r="F53" s="5" t="s">
        <v>15</v>
      </c>
      <c r="G53" s="152"/>
      <c r="H53" s="6" t="s">
        <v>244</v>
      </c>
      <c r="I53" s="5">
        <v>12</v>
      </c>
      <c r="J53" s="5">
        <v>8</v>
      </c>
      <c r="K53" s="5">
        <f>SUM(I53:J53)</f>
        <v>20</v>
      </c>
      <c r="L53" s="5">
        <f t="shared" si="9"/>
        <v>60</v>
      </c>
      <c r="M53">
        <f t="shared" si="12"/>
        <v>60</v>
      </c>
    </row>
    <row r="54" spans="5:19" x14ac:dyDescent="0.35">
      <c r="E54" s="4" t="s">
        <v>23</v>
      </c>
      <c r="F54" s="5" t="s">
        <v>15</v>
      </c>
      <c r="G54" s="152"/>
      <c r="H54" s="6" t="s">
        <v>244</v>
      </c>
      <c r="I54" s="5">
        <v>19</v>
      </c>
      <c r="J54" s="5">
        <v>4</v>
      </c>
      <c r="K54" s="5">
        <f>SUM(I54:J54)</f>
        <v>23</v>
      </c>
      <c r="L54" s="5">
        <f t="shared" si="9"/>
        <v>82.608695652173907</v>
      </c>
      <c r="M54">
        <f t="shared" si="12"/>
        <v>82.608695652173907</v>
      </c>
    </row>
    <row r="55" spans="5:19" x14ac:dyDescent="0.35">
      <c r="E55" s="4" t="s">
        <v>23</v>
      </c>
      <c r="F55" s="5" t="s">
        <v>15</v>
      </c>
      <c r="G55" s="152"/>
      <c r="H55" s="6" t="s">
        <v>27</v>
      </c>
      <c r="I55" s="5">
        <v>20</v>
      </c>
      <c r="J55" s="5">
        <v>6</v>
      </c>
      <c r="K55" s="5">
        <f>SUM(I55:J55)</f>
        <v>26</v>
      </c>
      <c r="L55" s="5">
        <f t="shared" si="9"/>
        <v>76.923076923076934</v>
      </c>
      <c r="M55">
        <f t="shared" si="12"/>
        <v>76.923076923076934</v>
      </c>
    </row>
    <row r="56" spans="5:19" x14ac:dyDescent="0.35">
      <c r="E56" s="4" t="s">
        <v>23</v>
      </c>
      <c r="F56" s="5" t="s">
        <v>15</v>
      </c>
      <c r="G56" s="152"/>
      <c r="H56" s="6" t="s">
        <v>246</v>
      </c>
      <c r="I56" s="5">
        <v>11</v>
      </c>
      <c r="J56" s="5">
        <v>14</v>
      </c>
      <c r="K56" s="5">
        <f>SUM(I56:J56)</f>
        <v>25</v>
      </c>
      <c r="L56" s="5">
        <f t="shared" si="9"/>
        <v>44</v>
      </c>
      <c r="M56">
        <f t="shared" si="12"/>
        <v>44</v>
      </c>
    </row>
    <row r="57" spans="5:19" x14ac:dyDescent="0.35">
      <c r="E57" s="8" t="s">
        <v>30</v>
      </c>
      <c r="F57" s="11" t="s">
        <v>15</v>
      </c>
      <c r="G57" s="152"/>
      <c r="H57" s="12" t="s">
        <v>24</v>
      </c>
      <c r="I57" s="11">
        <v>21</v>
      </c>
      <c r="J57" s="11">
        <v>0</v>
      </c>
      <c r="K57" s="11">
        <f t="shared" ref="K57:K59" si="13">SUM(I57:J57)</f>
        <v>21</v>
      </c>
      <c r="L57" s="13">
        <f t="shared" si="9"/>
        <v>100</v>
      </c>
      <c r="M57">
        <f t="shared" si="12"/>
        <v>100</v>
      </c>
      <c r="O57">
        <f>STDEV(M57:M63)/SQRT(COUNT(M57:M63))</f>
        <v>0.92568138065536665</v>
      </c>
    </row>
    <row r="58" spans="5:19" x14ac:dyDescent="0.35">
      <c r="E58" s="8" t="s">
        <v>30</v>
      </c>
      <c r="F58" s="11" t="s">
        <v>15</v>
      </c>
      <c r="G58" s="152"/>
      <c r="H58" s="12" t="s">
        <v>24</v>
      </c>
      <c r="I58" s="11">
        <v>22</v>
      </c>
      <c r="J58" s="11">
        <v>0</v>
      </c>
      <c r="K58" s="11">
        <f t="shared" si="13"/>
        <v>22</v>
      </c>
      <c r="L58" s="13">
        <f t="shared" si="9"/>
        <v>100</v>
      </c>
      <c r="M58">
        <f t="shared" si="12"/>
        <v>100</v>
      </c>
    </row>
    <row r="59" spans="5:19" x14ac:dyDescent="0.35">
      <c r="E59" s="8" t="s">
        <v>30</v>
      </c>
      <c r="F59" s="11" t="s">
        <v>15</v>
      </c>
      <c r="G59" s="152"/>
      <c r="H59" s="12" t="s">
        <v>24</v>
      </c>
      <c r="I59" s="11">
        <v>19</v>
      </c>
      <c r="J59" s="11">
        <v>0</v>
      </c>
      <c r="K59" s="11">
        <f t="shared" si="13"/>
        <v>19</v>
      </c>
      <c r="L59" s="13">
        <f t="shared" si="9"/>
        <v>100</v>
      </c>
      <c r="M59">
        <f t="shared" si="12"/>
        <v>100</v>
      </c>
    </row>
    <row r="60" spans="5:19" x14ac:dyDescent="0.35">
      <c r="E60" s="8" t="s">
        <v>30</v>
      </c>
      <c r="F60" s="11" t="s">
        <v>15</v>
      </c>
      <c r="G60" s="152"/>
      <c r="H60" s="12" t="s">
        <v>24</v>
      </c>
      <c r="I60" s="11">
        <v>14</v>
      </c>
      <c r="J60" s="11">
        <v>0</v>
      </c>
      <c r="K60" s="11">
        <f>SUM(I60:J60)</f>
        <v>14</v>
      </c>
      <c r="L60" s="13">
        <f t="shared" si="9"/>
        <v>100</v>
      </c>
      <c r="M60">
        <f t="shared" si="12"/>
        <v>100</v>
      </c>
    </row>
    <row r="61" spans="5:19" x14ac:dyDescent="0.35">
      <c r="E61" s="8" t="s">
        <v>30</v>
      </c>
      <c r="F61" s="11" t="s">
        <v>15</v>
      </c>
      <c r="G61" s="152"/>
      <c r="H61" s="12" t="s">
        <v>24</v>
      </c>
      <c r="I61" s="11">
        <v>18</v>
      </c>
      <c r="J61" s="11">
        <v>1</v>
      </c>
      <c r="K61" s="11">
        <f>SUM(I61:J61)</f>
        <v>19</v>
      </c>
      <c r="L61" s="13">
        <f t="shared" si="9"/>
        <v>94.73684210526315</v>
      </c>
      <c r="M61">
        <f t="shared" si="12"/>
        <v>94.73684210526315</v>
      </c>
    </row>
    <row r="62" spans="5:19" x14ac:dyDescent="0.35">
      <c r="E62" s="8" t="s">
        <v>30</v>
      </c>
      <c r="F62" s="11" t="s">
        <v>15</v>
      </c>
      <c r="G62" s="152"/>
      <c r="H62" s="12" t="s">
        <v>24</v>
      </c>
      <c r="I62" s="11">
        <v>19</v>
      </c>
      <c r="J62" s="11">
        <v>1</v>
      </c>
      <c r="K62" s="11">
        <f t="shared" ref="K62:K66" si="14">SUM(I62:J62)</f>
        <v>20</v>
      </c>
      <c r="L62" s="13">
        <f t="shared" si="9"/>
        <v>95</v>
      </c>
      <c r="M62">
        <f t="shared" si="12"/>
        <v>95</v>
      </c>
    </row>
    <row r="63" spans="5:19" x14ac:dyDescent="0.35">
      <c r="E63" s="8" t="s">
        <v>30</v>
      </c>
      <c r="F63" s="11" t="s">
        <v>15</v>
      </c>
      <c r="G63" s="152"/>
      <c r="H63" s="12" t="s">
        <v>24</v>
      </c>
      <c r="I63" s="11">
        <v>36</v>
      </c>
      <c r="J63" s="11">
        <v>1</v>
      </c>
      <c r="K63" s="11">
        <f t="shared" si="14"/>
        <v>37</v>
      </c>
      <c r="L63" s="13">
        <f t="shared" si="9"/>
        <v>97.297297297297305</v>
      </c>
      <c r="M63">
        <f t="shared" si="12"/>
        <v>97.297297297297305</v>
      </c>
    </row>
    <row r="64" spans="5:19" x14ac:dyDescent="0.35">
      <c r="E64" s="10" t="s">
        <v>32</v>
      </c>
      <c r="F64" s="18" t="s">
        <v>15</v>
      </c>
      <c r="G64" s="152"/>
      <c r="H64" s="19" t="s">
        <v>24</v>
      </c>
      <c r="I64" s="18">
        <v>19</v>
      </c>
      <c r="J64" s="18">
        <v>0</v>
      </c>
      <c r="K64" s="18">
        <f t="shared" si="14"/>
        <v>19</v>
      </c>
      <c r="L64" s="18">
        <f t="shared" ref="L64:L70" si="15">I64/K64*100</f>
        <v>100</v>
      </c>
      <c r="M64">
        <f t="shared" si="12"/>
        <v>100</v>
      </c>
      <c r="O64">
        <f>STDEV(M64:M70)/SQRT(COUNT(M64:M70))</f>
        <v>1.1091515283992068</v>
      </c>
    </row>
    <row r="65" spans="5:13" x14ac:dyDescent="0.35">
      <c r="E65" s="10" t="s">
        <v>32</v>
      </c>
      <c r="F65" s="18" t="s">
        <v>15</v>
      </c>
      <c r="G65" s="152"/>
      <c r="H65" s="19" t="s">
        <v>24</v>
      </c>
      <c r="I65" s="18">
        <v>22</v>
      </c>
      <c r="J65" s="18">
        <v>0</v>
      </c>
      <c r="K65" s="18">
        <f t="shared" si="14"/>
        <v>22</v>
      </c>
      <c r="L65" s="18">
        <f t="shared" si="15"/>
        <v>100</v>
      </c>
      <c r="M65">
        <f t="shared" si="12"/>
        <v>100</v>
      </c>
    </row>
    <row r="66" spans="5:13" x14ac:dyDescent="0.35">
      <c r="E66" s="10" t="s">
        <v>32</v>
      </c>
      <c r="F66" s="18" t="s">
        <v>15</v>
      </c>
      <c r="G66" s="152"/>
      <c r="H66" s="19" t="s">
        <v>24</v>
      </c>
      <c r="I66" s="18">
        <v>23</v>
      </c>
      <c r="J66" s="18">
        <v>0</v>
      </c>
      <c r="K66" s="18">
        <f t="shared" si="14"/>
        <v>23</v>
      </c>
      <c r="L66" s="18">
        <f t="shared" si="15"/>
        <v>100</v>
      </c>
      <c r="M66">
        <f t="shared" si="12"/>
        <v>100</v>
      </c>
    </row>
    <row r="67" spans="5:13" x14ac:dyDescent="0.35">
      <c r="E67" s="10" t="s">
        <v>32</v>
      </c>
      <c r="F67" s="18" t="s">
        <v>15</v>
      </c>
      <c r="G67" s="152"/>
      <c r="H67" s="19" t="s">
        <v>24</v>
      </c>
      <c r="I67" s="18">
        <v>23</v>
      </c>
      <c r="J67" s="18">
        <v>0</v>
      </c>
      <c r="K67" s="18">
        <f>SUM(I67:J67)</f>
        <v>23</v>
      </c>
      <c r="L67" s="18">
        <f t="shared" si="15"/>
        <v>100</v>
      </c>
      <c r="M67">
        <f t="shared" si="12"/>
        <v>100</v>
      </c>
    </row>
    <row r="68" spans="5:13" x14ac:dyDescent="0.35">
      <c r="E68" s="10" t="s">
        <v>32</v>
      </c>
      <c r="F68" s="18" t="s">
        <v>15</v>
      </c>
      <c r="G68" s="152"/>
      <c r="H68" s="19" t="s">
        <v>24</v>
      </c>
      <c r="I68" s="18">
        <v>24</v>
      </c>
      <c r="J68" s="18">
        <v>2</v>
      </c>
      <c r="K68" s="18">
        <f>SUM(I68:J68)</f>
        <v>26</v>
      </c>
      <c r="L68" s="18">
        <f t="shared" si="15"/>
        <v>92.307692307692307</v>
      </c>
      <c r="M68">
        <f t="shared" si="12"/>
        <v>92.307692307692307</v>
      </c>
    </row>
    <row r="69" spans="5:13" x14ac:dyDescent="0.35">
      <c r="E69" s="10" t="s">
        <v>32</v>
      </c>
      <c r="F69" s="18" t="s">
        <v>15</v>
      </c>
      <c r="G69" s="152"/>
      <c r="H69" s="19" t="s">
        <v>24</v>
      </c>
      <c r="I69" s="18">
        <v>33</v>
      </c>
      <c r="J69" s="18">
        <v>1</v>
      </c>
      <c r="K69" s="18">
        <f t="shared" ref="K69:K70" si="16">SUM(I69:J69)</f>
        <v>34</v>
      </c>
      <c r="L69" s="18">
        <f t="shared" si="15"/>
        <v>97.058823529411768</v>
      </c>
      <c r="M69">
        <f t="shared" si="12"/>
        <v>97.058823529411768</v>
      </c>
    </row>
    <row r="70" spans="5:13" x14ac:dyDescent="0.35">
      <c r="E70" s="10" t="s">
        <v>32</v>
      </c>
      <c r="F70" s="18" t="s">
        <v>15</v>
      </c>
      <c r="G70" s="152"/>
      <c r="H70" s="19" t="s">
        <v>24</v>
      </c>
      <c r="I70" s="18">
        <v>34</v>
      </c>
      <c r="J70" s="18">
        <v>0</v>
      </c>
      <c r="K70" s="18">
        <f t="shared" si="16"/>
        <v>34</v>
      </c>
      <c r="L70" s="18">
        <f t="shared" si="15"/>
        <v>100</v>
      </c>
      <c r="M70">
        <f t="shared" si="12"/>
        <v>100</v>
      </c>
    </row>
  </sheetData>
  <mergeCells count="2">
    <mergeCell ref="G6:G41"/>
    <mergeCell ref="G45:G7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4097" r:id="rId3">
          <objectPr defaultSize="0" autoPict="0" r:id="rId4">
            <anchor moveWithCells="1">
              <from>
                <xdr:col>19</xdr:col>
                <xdr:colOff>304800</xdr:colOff>
                <xdr:row>30</xdr:row>
                <xdr:rowOff>146050</xdr:rowOff>
              </from>
              <to>
                <xdr:col>24</xdr:col>
                <xdr:colOff>361950</xdr:colOff>
                <xdr:row>45</xdr:row>
                <xdr:rowOff>0</xdr:rowOff>
              </to>
            </anchor>
          </objectPr>
        </oleObject>
      </mc:Choice>
      <mc:Fallback>
        <oleObject progId="Prism8.Document" shapeId="4097" r:id="rId3"/>
      </mc:Fallback>
    </mc:AlternateContent>
    <mc:AlternateContent xmlns:mc="http://schemas.openxmlformats.org/markup-compatibility/2006">
      <mc:Choice Requires="x14">
        <oleObject progId="Prism8.Document" shapeId="4098" r:id="rId5">
          <objectPr defaultSize="0" autoPict="0" r:id="rId6">
            <anchor moveWithCells="1">
              <from>
                <xdr:col>15</xdr:col>
                <xdr:colOff>209550</xdr:colOff>
                <xdr:row>30</xdr:row>
                <xdr:rowOff>114300</xdr:rowOff>
              </from>
              <to>
                <xdr:col>18</xdr:col>
                <xdr:colOff>736600</xdr:colOff>
                <xdr:row>44</xdr:row>
                <xdr:rowOff>177800</xdr:rowOff>
              </to>
            </anchor>
          </objectPr>
        </oleObject>
      </mc:Choice>
      <mc:Fallback>
        <oleObject progId="Prism8.Document" shapeId="4098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9828-5078-4B8C-AF8C-F9D0DDB99626}">
  <dimension ref="B2:N23"/>
  <sheetViews>
    <sheetView zoomScale="40" zoomScaleNormal="40" workbookViewId="0">
      <selection activeCell="H5" sqref="H5:H8"/>
    </sheetView>
  </sheetViews>
  <sheetFormatPr defaultRowHeight="14.5" x14ac:dyDescent="0.35"/>
  <cols>
    <col min="2" max="2" width="25.36328125" customWidth="1"/>
    <col min="3" max="3" width="15.1796875" customWidth="1"/>
    <col min="4" max="4" width="10.54296875" customWidth="1"/>
    <col min="5" max="5" width="16.90625" customWidth="1"/>
    <col min="6" max="6" width="14.81640625" customWidth="1"/>
    <col min="8" max="8" width="18.7265625" customWidth="1"/>
    <col min="9" max="9" width="14.08984375" customWidth="1"/>
    <col min="10" max="10" width="13.81640625" customWidth="1"/>
    <col min="11" max="11" width="7.26953125" customWidth="1"/>
    <col min="12" max="12" width="14.26953125" customWidth="1"/>
    <col min="13" max="13" width="18.54296875" customWidth="1"/>
  </cols>
  <sheetData>
    <row r="2" spans="2:14" ht="19" x14ac:dyDescent="0.4">
      <c r="B2" s="102" t="s">
        <v>343</v>
      </c>
    </row>
    <row r="3" spans="2:14" ht="19" x14ac:dyDescent="0.4">
      <c r="B3" s="102"/>
    </row>
    <row r="4" spans="2:14" x14ac:dyDescent="0.35">
      <c r="B4" s="27" t="s">
        <v>0</v>
      </c>
      <c r="C4" s="27" t="s">
        <v>316</v>
      </c>
      <c r="D4" s="27" t="s">
        <v>317</v>
      </c>
      <c r="E4" s="27" t="s">
        <v>318</v>
      </c>
      <c r="F4" s="27" t="s">
        <v>319</v>
      </c>
      <c r="G4" s="27" t="s">
        <v>3</v>
      </c>
      <c r="H4" s="27" t="s">
        <v>320</v>
      </c>
      <c r="I4" s="27" t="s">
        <v>321</v>
      </c>
      <c r="J4" s="27" t="s">
        <v>322</v>
      </c>
      <c r="K4" s="27" t="s">
        <v>8</v>
      </c>
      <c r="L4" s="27" t="s">
        <v>323</v>
      </c>
      <c r="M4" s="27" t="s">
        <v>328</v>
      </c>
      <c r="N4" s="1"/>
    </row>
    <row r="5" spans="2:14" x14ac:dyDescent="0.35">
      <c r="B5" s="153" t="s">
        <v>335</v>
      </c>
      <c r="C5" s="147" t="s">
        <v>245</v>
      </c>
      <c r="D5" s="148">
        <v>1</v>
      </c>
      <c r="E5" s="27" t="s">
        <v>14</v>
      </c>
      <c r="F5" s="2">
        <v>5</v>
      </c>
      <c r="G5" s="97" t="s">
        <v>15</v>
      </c>
      <c r="H5" s="147" t="s">
        <v>332</v>
      </c>
      <c r="I5" s="2">
        <f>SUM(Bioassay_Mibellon_raw!J45:J49)</f>
        <v>90</v>
      </c>
      <c r="J5" s="2">
        <f>SUM(Bioassay_Mibellon_raw!I45:I49)</f>
        <v>5</v>
      </c>
      <c r="K5" s="2">
        <f>SUM(I5:J5)</f>
        <v>95</v>
      </c>
      <c r="L5" s="2">
        <f>J5/K5*100</f>
        <v>5.2631578947368416</v>
      </c>
      <c r="M5" s="2">
        <v>0</v>
      </c>
    </row>
    <row r="6" spans="2:14" x14ac:dyDescent="0.35">
      <c r="B6" s="153"/>
      <c r="C6" s="147"/>
      <c r="D6" s="148"/>
      <c r="E6" s="92" t="s">
        <v>23</v>
      </c>
      <c r="F6" s="6">
        <v>7</v>
      </c>
      <c r="G6" s="98" t="s">
        <v>15</v>
      </c>
      <c r="H6" s="147"/>
      <c r="I6" s="6">
        <f>SUM(Bioassay_Mibellon_raw!J50:J56)</f>
        <v>66</v>
      </c>
      <c r="J6" s="6">
        <f>SUM(Bioassay_Mibellon_raw!I50:I56)</f>
        <v>87</v>
      </c>
      <c r="K6" s="6">
        <f t="shared" ref="K6:K12" si="0">SUM(I6:J6)</f>
        <v>153</v>
      </c>
      <c r="L6" s="6">
        <f>J6/K6*100</f>
        <v>56.862745098039213</v>
      </c>
      <c r="M6" s="6">
        <f>(L6-L5)/(100-L5)*100</f>
        <v>54.466230936819159</v>
      </c>
    </row>
    <row r="7" spans="2:14" x14ac:dyDescent="0.35">
      <c r="B7" s="153"/>
      <c r="C7" s="147"/>
      <c r="D7" s="148"/>
      <c r="E7" s="93" t="s">
        <v>330</v>
      </c>
      <c r="F7" s="12">
        <v>7</v>
      </c>
      <c r="G7" s="99" t="s">
        <v>15</v>
      </c>
      <c r="H7" s="147"/>
      <c r="I7" s="12">
        <f>SUM(Bioassay_Mibellon_raw!J57:J63)</f>
        <v>3</v>
      </c>
      <c r="J7" s="12">
        <f>SUM(Bioassay_Mibellon_raw!I57:I63)</f>
        <v>149</v>
      </c>
      <c r="K7" s="12">
        <f t="shared" si="0"/>
        <v>152</v>
      </c>
      <c r="L7" s="12">
        <f t="shared" ref="L7:L12" si="1">J7/K7*100</f>
        <v>98.026315789473685</v>
      </c>
      <c r="M7" s="12">
        <f>(L7-L5)/(100-L5)*100</f>
        <v>97.916666666666657</v>
      </c>
    </row>
    <row r="8" spans="2:14" x14ac:dyDescent="0.35">
      <c r="B8" s="153"/>
      <c r="C8" s="147"/>
      <c r="D8" s="148"/>
      <c r="E8" s="94" t="s">
        <v>331</v>
      </c>
      <c r="F8" s="19">
        <v>7</v>
      </c>
      <c r="G8" s="100" t="s">
        <v>15</v>
      </c>
      <c r="H8" s="147"/>
      <c r="I8" s="19">
        <f>SUM(Bioassay_Mibellon_raw!J64:J70)</f>
        <v>3</v>
      </c>
      <c r="J8" s="19">
        <f>SUM(Bioassay_Mibellon_raw!I64:I70)</f>
        <v>178</v>
      </c>
      <c r="K8" s="19">
        <f t="shared" si="0"/>
        <v>181</v>
      </c>
      <c r="L8" s="19">
        <f t="shared" si="1"/>
        <v>98.342541436464089</v>
      </c>
      <c r="M8" s="19">
        <f>(L8-L5)/(100-L5)*100</f>
        <v>98.250460405156531</v>
      </c>
    </row>
    <row r="9" spans="2:14" x14ac:dyDescent="0.35">
      <c r="B9" s="153" t="s">
        <v>336</v>
      </c>
      <c r="C9" s="147" t="s">
        <v>334</v>
      </c>
      <c r="D9" s="147">
        <v>2</v>
      </c>
      <c r="E9" s="27" t="s">
        <v>14</v>
      </c>
      <c r="F9" s="2">
        <v>4</v>
      </c>
      <c r="G9" s="97" t="s">
        <v>15</v>
      </c>
      <c r="H9" s="147" t="s">
        <v>329</v>
      </c>
      <c r="I9" s="2">
        <f>SUM(Bioassay_Mibellon_raw!J6:J9)</f>
        <v>75</v>
      </c>
      <c r="J9" s="2">
        <f>SUM(Bioassay_Mibellon_raw!I6:I9)</f>
        <v>2</v>
      </c>
      <c r="K9" s="2">
        <f t="shared" si="0"/>
        <v>77</v>
      </c>
      <c r="L9" s="2">
        <f t="shared" si="1"/>
        <v>2.5974025974025974</v>
      </c>
      <c r="M9" s="2"/>
    </row>
    <row r="10" spans="2:14" x14ac:dyDescent="0.35">
      <c r="B10" s="153"/>
      <c r="C10" s="147"/>
      <c r="D10" s="147"/>
      <c r="E10" s="92" t="s">
        <v>23</v>
      </c>
      <c r="F10" s="6">
        <v>6</v>
      </c>
      <c r="G10" s="98" t="s">
        <v>15</v>
      </c>
      <c r="H10" s="147"/>
      <c r="I10" s="6">
        <f>SUM(Bioassay_Mibellon_raw!J10:J15)</f>
        <v>94</v>
      </c>
      <c r="J10" s="6">
        <f>SUM(Bioassay_Mibellon_raw!I10:I15)</f>
        <v>39</v>
      </c>
      <c r="K10" s="6">
        <f t="shared" si="0"/>
        <v>133</v>
      </c>
      <c r="L10" s="6">
        <f t="shared" si="1"/>
        <v>29.323308270676691</v>
      </c>
      <c r="M10" s="6"/>
    </row>
    <row r="11" spans="2:14" x14ac:dyDescent="0.35">
      <c r="B11" s="153"/>
      <c r="C11" s="147"/>
      <c r="D11" s="147"/>
      <c r="E11" s="93" t="s">
        <v>330</v>
      </c>
      <c r="F11" s="12">
        <v>12</v>
      </c>
      <c r="G11" s="12" t="s">
        <v>15</v>
      </c>
      <c r="H11" s="147"/>
      <c r="I11" s="12">
        <f>SUM(Bioassay_Mibellon_raw!J16:J27)</f>
        <v>32</v>
      </c>
      <c r="J11" s="12">
        <f>SUM(Bioassay_Mibellon_raw!I16:I27)</f>
        <v>247</v>
      </c>
      <c r="K11" s="12">
        <f t="shared" si="0"/>
        <v>279</v>
      </c>
      <c r="L11" s="12">
        <f t="shared" si="1"/>
        <v>88.530465949820794</v>
      </c>
      <c r="M11" s="12"/>
    </row>
    <row r="12" spans="2:14" x14ac:dyDescent="0.35">
      <c r="B12" s="153"/>
      <c r="C12" s="147"/>
      <c r="D12" s="147"/>
      <c r="E12" s="94" t="s">
        <v>331</v>
      </c>
      <c r="F12" s="19">
        <v>14</v>
      </c>
      <c r="G12" s="19" t="s">
        <v>15</v>
      </c>
      <c r="H12" s="147"/>
      <c r="I12" s="19">
        <f>SUM(Bioassay_Mibellon_raw!J28:J41)</f>
        <v>27</v>
      </c>
      <c r="J12" s="19">
        <f>SUM(Bioassay_Mibellon_raw!I28:I41)</f>
        <v>324</v>
      </c>
      <c r="K12" s="19">
        <f t="shared" si="0"/>
        <v>351</v>
      </c>
      <c r="L12" s="19">
        <f t="shared" si="1"/>
        <v>92.307692307692307</v>
      </c>
      <c r="M12" s="19"/>
    </row>
    <row r="13" spans="2:14" x14ac:dyDescent="0.35">
      <c r="E13" s="2"/>
    </row>
    <row r="14" spans="2:14" x14ac:dyDescent="0.35">
      <c r="E14" s="4" t="s">
        <v>325</v>
      </c>
      <c r="F14" s="1"/>
      <c r="G14" s="1"/>
      <c r="H14" s="1"/>
      <c r="I14" s="1"/>
      <c r="J14" s="1"/>
    </row>
    <row r="15" spans="2:14" x14ac:dyDescent="0.35">
      <c r="E15" s="27" t="s">
        <v>318</v>
      </c>
      <c r="F15" s="27" t="s">
        <v>326</v>
      </c>
      <c r="G15" s="27" t="s">
        <v>312</v>
      </c>
      <c r="H15" s="27" t="s">
        <v>321</v>
      </c>
      <c r="I15" s="27" t="s">
        <v>327</v>
      </c>
      <c r="J15" s="1"/>
    </row>
    <row r="16" spans="2:14" x14ac:dyDescent="0.35">
      <c r="D16" t="s">
        <v>332</v>
      </c>
      <c r="E16" s="27" t="s">
        <v>14</v>
      </c>
      <c r="F16" s="2">
        <f>AVERAGE(M5)</f>
        <v>0</v>
      </c>
      <c r="G16" s="2">
        <v>0</v>
      </c>
      <c r="H16" s="2">
        <v>90</v>
      </c>
      <c r="I16" s="2">
        <v>5</v>
      </c>
    </row>
    <row r="17" spans="4:9" x14ac:dyDescent="0.35">
      <c r="E17" s="92" t="s">
        <v>23</v>
      </c>
      <c r="F17" s="6">
        <f>AVERAGE(M6,M10)</f>
        <v>54.466230936819159</v>
      </c>
      <c r="G17" s="6">
        <v>7.1695861467057904</v>
      </c>
      <c r="H17" s="6">
        <v>66</v>
      </c>
      <c r="I17" s="6">
        <v>87</v>
      </c>
    </row>
    <row r="18" spans="4:9" x14ac:dyDescent="0.35">
      <c r="E18" s="93" t="s">
        <v>330</v>
      </c>
      <c r="F18" s="12">
        <f>AVERAGE(M7,M11)</f>
        <v>97.916666666666657</v>
      </c>
      <c r="G18" s="12">
        <v>0.92568138065536665</v>
      </c>
      <c r="H18" s="12">
        <v>3</v>
      </c>
      <c r="I18" s="12">
        <v>149</v>
      </c>
    </row>
    <row r="19" spans="4:9" x14ac:dyDescent="0.35">
      <c r="E19" s="94" t="s">
        <v>331</v>
      </c>
      <c r="F19" s="19">
        <f t="shared" ref="F19" si="2">AVERAGE(M8,M12)</f>
        <v>98.250460405156531</v>
      </c>
      <c r="G19" s="19">
        <v>1.1091515283992068</v>
      </c>
      <c r="H19" s="19">
        <v>3</v>
      </c>
      <c r="I19" s="19">
        <v>178</v>
      </c>
    </row>
    <row r="20" spans="4:9" x14ac:dyDescent="0.35">
      <c r="D20" t="s">
        <v>329</v>
      </c>
      <c r="E20" s="27" t="s">
        <v>14</v>
      </c>
      <c r="F20" s="2">
        <v>2.5974025974025974</v>
      </c>
      <c r="G20" s="2">
        <v>1.5532964294691058</v>
      </c>
      <c r="H20" s="2">
        <v>75</v>
      </c>
      <c r="I20" s="2">
        <v>2</v>
      </c>
    </row>
    <row r="21" spans="4:9" x14ac:dyDescent="0.35">
      <c r="E21" s="92" t="s">
        <v>23</v>
      </c>
      <c r="F21" s="6">
        <v>29.323308270676691</v>
      </c>
      <c r="G21" s="6">
        <v>9.627790816898969</v>
      </c>
      <c r="H21" s="6">
        <v>94</v>
      </c>
      <c r="I21" s="6">
        <v>39</v>
      </c>
    </row>
    <row r="22" spans="4:9" x14ac:dyDescent="0.35">
      <c r="E22" s="93" t="s">
        <v>330</v>
      </c>
      <c r="F22" s="12">
        <v>88.530465949820794</v>
      </c>
      <c r="G22" s="12">
        <v>4.0566352313314233</v>
      </c>
      <c r="H22" s="12">
        <v>32</v>
      </c>
      <c r="I22" s="12">
        <v>247</v>
      </c>
    </row>
    <row r="23" spans="4:9" x14ac:dyDescent="0.35">
      <c r="E23" s="94" t="s">
        <v>331</v>
      </c>
      <c r="F23" s="19">
        <v>92.307692307692307</v>
      </c>
      <c r="G23" s="19">
        <v>1.5657499963173711</v>
      </c>
      <c r="H23" s="19">
        <v>27</v>
      </c>
      <c r="I23" s="19">
        <v>324</v>
      </c>
    </row>
  </sheetData>
  <mergeCells count="8">
    <mergeCell ref="H5:H8"/>
    <mergeCell ref="H9:H12"/>
    <mergeCell ref="B5:B8"/>
    <mergeCell ref="C5:C8"/>
    <mergeCell ref="D5:D8"/>
    <mergeCell ref="B9:B12"/>
    <mergeCell ref="C9:C12"/>
    <mergeCell ref="D9:D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6BEC-B56A-47B0-97D0-4C7C0B9DECE4}">
  <dimension ref="B1:AX69"/>
  <sheetViews>
    <sheetView topLeftCell="Q1" zoomScale="30" zoomScaleNormal="10" workbookViewId="0">
      <selection activeCell="AH38" sqref="AH38:AK38"/>
    </sheetView>
  </sheetViews>
  <sheetFormatPr defaultColWidth="9.1796875" defaultRowHeight="14.5" x14ac:dyDescent="0.35"/>
  <cols>
    <col min="1" max="12" width="9.1796875" style="2"/>
    <col min="13" max="13" width="12.81640625" style="2" customWidth="1"/>
    <col min="14" max="14" width="27.36328125" style="2" customWidth="1"/>
    <col min="15" max="15" width="14.7265625" style="2" customWidth="1"/>
    <col min="16" max="16" width="41.1796875" style="2" customWidth="1"/>
    <col min="17" max="17" width="10.54296875" style="2" bestFit="1" customWidth="1"/>
    <col min="18" max="19" width="9.1796875" style="2"/>
    <col min="20" max="20" width="12.54296875" style="2" customWidth="1"/>
    <col min="21" max="21" width="21" style="2" customWidth="1"/>
    <col min="22" max="22" width="15.36328125" style="2" customWidth="1"/>
    <col min="23" max="23" width="43.453125" style="2" customWidth="1"/>
    <col min="24" max="24" width="12.81640625" style="2" customWidth="1"/>
    <col min="25" max="26" width="9.1796875" style="2"/>
    <col min="27" max="27" width="13.7265625" style="2" customWidth="1"/>
    <col min="28" max="28" width="21.36328125" style="2" customWidth="1"/>
    <col min="29" max="29" width="13.7265625" style="2" customWidth="1"/>
    <col min="30" max="30" width="42.453125" style="2" customWidth="1"/>
    <col min="31" max="31" width="14.1796875" style="2" customWidth="1"/>
    <col min="32" max="32" width="12.453125" style="2" customWidth="1"/>
    <col min="33" max="33" width="9.1796875" style="2"/>
    <col min="34" max="34" width="26.1796875" style="2" customWidth="1"/>
    <col min="35" max="35" width="20.08984375" style="2" customWidth="1"/>
    <col min="36" max="36" width="18.453125" style="2" customWidth="1"/>
    <col min="37" max="37" width="41.6328125" style="2" customWidth="1"/>
    <col min="38" max="39" width="9.1796875" style="2"/>
    <col min="40" max="41" width="10" style="2" customWidth="1"/>
    <col min="42" max="42" width="10.26953125" style="2" customWidth="1"/>
    <col min="43" max="43" width="7.81640625" style="2" customWidth="1"/>
    <col min="44" max="44" width="30.81640625" style="2" customWidth="1"/>
    <col min="45" max="45" width="13.1796875" style="2" customWidth="1"/>
    <col min="46" max="46" width="17.453125" style="2" customWidth="1"/>
    <col min="47" max="47" width="15.1796875" style="2" customWidth="1"/>
    <col min="48" max="48" width="22.453125" style="2" customWidth="1"/>
    <col min="49" max="49" width="16.26953125" style="2" customWidth="1"/>
    <col min="50" max="50" width="15.7265625" style="2" customWidth="1"/>
    <col min="51" max="51" width="11" style="2" customWidth="1"/>
    <col min="52" max="52" width="10.81640625" style="2" customWidth="1"/>
    <col min="53" max="53" width="11.453125" style="2" customWidth="1"/>
    <col min="54" max="54" width="10.81640625" style="2" customWidth="1"/>
    <col min="55" max="16384" width="9.1796875" style="2"/>
  </cols>
  <sheetData>
    <row r="1" spans="2:50" ht="23.5" x14ac:dyDescent="0.55000000000000004">
      <c r="T1" s="108"/>
      <c r="U1" s="108"/>
      <c r="V1" s="108"/>
      <c r="W1" s="108"/>
    </row>
    <row r="2" spans="2:50" ht="23.5" x14ac:dyDescent="0.55000000000000004">
      <c r="B2" s="109" t="s">
        <v>345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8"/>
      <c r="P2" s="108"/>
      <c r="Q2" s="108"/>
      <c r="R2" s="108"/>
      <c r="S2" s="108"/>
      <c r="T2" s="107"/>
      <c r="U2" s="107"/>
      <c r="V2" s="107"/>
      <c r="W2" s="107"/>
    </row>
    <row r="3" spans="2:50" ht="23.5" x14ac:dyDescent="0.55000000000000004">
      <c r="B3" s="110"/>
      <c r="C3" s="110"/>
      <c r="D3" s="109" t="s">
        <v>344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7"/>
      <c r="P3" s="107"/>
      <c r="Q3" s="107"/>
      <c r="R3" s="107"/>
      <c r="S3" s="107"/>
      <c r="T3"/>
      <c r="U3"/>
      <c r="V3"/>
      <c r="W3"/>
    </row>
    <row r="4" spans="2:50" ht="23.5" x14ac:dyDescent="0.55000000000000004">
      <c r="B4" s="26"/>
    </row>
    <row r="5" spans="2:50" ht="23.5" customHeight="1" x14ac:dyDescent="0.45">
      <c r="B5" s="155" t="s">
        <v>346</v>
      </c>
      <c r="C5" s="155"/>
      <c r="D5" s="155"/>
      <c r="E5" s="155"/>
      <c r="F5" s="155"/>
      <c r="G5" s="155"/>
      <c r="H5" s="155"/>
      <c r="I5" s="155"/>
      <c r="J5" s="155"/>
    </row>
    <row r="6" spans="2:50" x14ac:dyDescent="0.35">
      <c r="B6" s="154" t="s">
        <v>45</v>
      </c>
      <c r="C6" s="154"/>
      <c r="D6" s="154"/>
      <c r="E6" s="154"/>
      <c r="G6" s="154" t="s">
        <v>46</v>
      </c>
      <c r="H6" s="154"/>
      <c r="I6" s="154"/>
      <c r="J6" s="154"/>
    </row>
    <row r="7" spans="2:50" x14ac:dyDescent="0.35">
      <c r="B7" s="27" t="s">
        <v>47</v>
      </c>
      <c r="C7" s="27" t="s">
        <v>48</v>
      </c>
      <c r="D7" s="27" t="s">
        <v>49</v>
      </c>
      <c r="E7" s="27" t="s">
        <v>50</v>
      </c>
      <c r="G7" s="27" t="s">
        <v>47</v>
      </c>
      <c r="H7" s="27" t="s">
        <v>51</v>
      </c>
      <c r="I7" s="27" t="s">
        <v>49</v>
      </c>
      <c r="J7" s="27" t="s">
        <v>50</v>
      </c>
    </row>
    <row r="8" spans="2:50" x14ac:dyDescent="0.35">
      <c r="B8" s="1" t="s">
        <v>435</v>
      </c>
      <c r="C8" s="28" t="s">
        <v>52</v>
      </c>
      <c r="D8" s="28" t="s">
        <v>52</v>
      </c>
      <c r="E8" s="28" t="s">
        <v>52</v>
      </c>
      <c r="G8" s="1" t="s">
        <v>382</v>
      </c>
      <c r="H8" s="28" t="s">
        <v>52</v>
      </c>
      <c r="I8" s="6" t="s">
        <v>53</v>
      </c>
      <c r="J8" s="28" t="s">
        <v>52</v>
      </c>
      <c r="M8" s="156" t="s">
        <v>347</v>
      </c>
      <c r="N8" s="156"/>
      <c r="O8" s="156"/>
      <c r="P8" s="156"/>
      <c r="Q8" s="156"/>
      <c r="T8" s="156" t="s">
        <v>355</v>
      </c>
      <c r="U8" s="156"/>
      <c r="V8" s="156"/>
      <c r="W8" s="156"/>
      <c r="X8" s="156"/>
      <c r="AA8" s="156" t="s">
        <v>360</v>
      </c>
      <c r="AB8" s="156"/>
      <c r="AC8" s="156"/>
      <c r="AD8" s="156"/>
      <c r="AE8" s="156"/>
      <c r="AH8" s="156" t="s">
        <v>363</v>
      </c>
      <c r="AI8" s="156"/>
      <c r="AJ8" s="156"/>
      <c r="AK8" s="156"/>
      <c r="AL8" s="156"/>
      <c r="AM8" s="156"/>
      <c r="AN8" s="156"/>
      <c r="AO8" s="156"/>
      <c r="AP8" s="156"/>
    </row>
    <row r="9" spans="2:50" x14ac:dyDescent="0.35">
      <c r="B9" s="1" t="s">
        <v>436</v>
      </c>
      <c r="C9" s="28" t="s">
        <v>52</v>
      </c>
      <c r="D9" s="28" t="s">
        <v>52</v>
      </c>
      <c r="E9" s="28" t="s">
        <v>52</v>
      </c>
      <c r="G9" s="1" t="s">
        <v>383</v>
      </c>
      <c r="H9" s="29" t="s">
        <v>55</v>
      </c>
      <c r="I9" s="6" t="s">
        <v>53</v>
      </c>
      <c r="J9" s="29" t="s">
        <v>55</v>
      </c>
      <c r="M9" s="154" t="s">
        <v>348</v>
      </c>
      <c r="N9" s="154"/>
      <c r="O9" s="154"/>
      <c r="P9" s="154"/>
      <c r="Q9" s="154"/>
      <c r="T9" s="154" t="s">
        <v>356</v>
      </c>
      <c r="U9" s="154"/>
      <c r="V9" s="154"/>
      <c r="W9" s="154"/>
      <c r="X9" s="154"/>
      <c r="AA9" s="154" t="s">
        <v>361</v>
      </c>
      <c r="AB9" s="154"/>
      <c r="AC9" s="154"/>
      <c r="AD9" s="154"/>
      <c r="AE9" s="154"/>
      <c r="AH9" s="154" t="s">
        <v>364</v>
      </c>
      <c r="AI9" s="154"/>
      <c r="AJ9" s="154"/>
      <c r="AK9" s="154"/>
      <c r="AL9" s="154"/>
      <c r="AM9" s="154"/>
      <c r="AN9" s="154"/>
      <c r="AO9" s="154"/>
      <c r="AP9" s="154"/>
    </row>
    <row r="10" spans="2:50" x14ac:dyDescent="0.35">
      <c r="B10" s="1" t="s">
        <v>437</v>
      </c>
      <c r="C10" s="28" t="s">
        <v>52</v>
      </c>
      <c r="D10" s="6" t="s">
        <v>53</v>
      </c>
      <c r="E10" s="6" t="s">
        <v>53</v>
      </c>
      <c r="G10" s="1" t="s">
        <v>384</v>
      </c>
      <c r="H10" s="6" t="s">
        <v>53</v>
      </c>
      <c r="I10" s="6" t="s">
        <v>53</v>
      </c>
      <c r="J10" s="6" t="s">
        <v>53</v>
      </c>
      <c r="M10" s="27"/>
      <c r="N10" s="111" t="s">
        <v>52</v>
      </c>
      <c r="O10" s="92" t="s">
        <v>53</v>
      </c>
      <c r="P10" s="115" t="s">
        <v>55</v>
      </c>
      <c r="Q10" s="27" t="s">
        <v>8</v>
      </c>
      <c r="T10" s="27"/>
      <c r="U10" s="111" t="s">
        <v>52</v>
      </c>
      <c r="V10" s="121" t="s">
        <v>53</v>
      </c>
      <c r="W10" s="115" t="s">
        <v>55</v>
      </c>
      <c r="X10" s="27" t="s">
        <v>8</v>
      </c>
      <c r="AA10" s="27"/>
      <c r="AB10" s="111" t="s">
        <v>52</v>
      </c>
      <c r="AC10" s="121" t="s">
        <v>53</v>
      </c>
      <c r="AD10" s="115" t="s">
        <v>55</v>
      </c>
      <c r="AE10" s="27" t="s">
        <v>8</v>
      </c>
      <c r="AI10" s="27" t="s">
        <v>58</v>
      </c>
      <c r="AJ10" s="27" t="s">
        <v>59</v>
      </c>
      <c r="AK10" s="27" t="s">
        <v>60</v>
      </c>
      <c r="AL10" s="27" t="s">
        <v>61</v>
      </c>
      <c r="AM10" s="27" t="s">
        <v>62</v>
      </c>
      <c r="AN10" s="27" t="s">
        <v>63</v>
      </c>
      <c r="AO10" s="27" t="s">
        <v>64</v>
      </c>
    </row>
    <row r="11" spans="2:50" x14ac:dyDescent="0.35">
      <c r="B11" s="1" t="s">
        <v>438</v>
      </c>
      <c r="C11" s="28" t="s">
        <v>52</v>
      </c>
      <c r="D11" s="28" t="s">
        <v>52</v>
      </c>
      <c r="E11" s="28" t="s">
        <v>52</v>
      </c>
      <c r="G11" s="1" t="s">
        <v>385</v>
      </c>
      <c r="H11" s="29" t="s">
        <v>55</v>
      </c>
      <c r="I11" s="29" t="s">
        <v>55</v>
      </c>
      <c r="J11" s="29" t="s">
        <v>55</v>
      </c>
      <c r="M11" s="27" t="s">
        <v>19</v>
      </c>
      <c r="N11" s="112">
        <f>COUNTIF(H8:H62,"RR")</f>
        <v>13</v>
      </c>
      <c r="O11" s="6">
        <f>COUNTIF(H8:H62,"RS")</f>
        <v>28</v>
      </c>
      <c r="P11" s="116">
        <f>COUNTIF(H8:H62,"SS")</f>
        <v>14</v>
      </c>
      <c r="Q11" s="2">
        <f>SUM(N11:P11)</f>
        <v>55</v>
      </c>
      <c r="T11" s="27" t="s">
        <v>19</v>
      </c>
      <c r="U11" s="112">
        <f>COUNTIF(I8:I62,"RR")</f>
        <v>7</v>
      </c>
      <c r="V11" s="122">
        <f>COUNTIF(I8:I62,"RS")</f>
        <v>35</v>
      </c>
      <c r="W11" s="116">
        <f>COUNTIF(I8:I62,"SS")</f>
        <v>12</v>
      </c>
      <c r="X11" s="2">
        <f>SUM(U11:W11)</f>
        <v>54</v>
      </c>
      <c r="AA11" s="27" t="s">
        <v>19</v>
      </c>
      <c r="AB11" s="112">
        <f>COUNTIF(J8:J62,"RR")</f>
        <v>10</v>
      </c>
      <c r="AC11" s="122">
        <f>COUNTIF(J8:J62,"RS")</f>
        <v>29</v>
      </c>
      <c r="AD11" s="116">
        <f>COUNTIF(J8:J62,"SS")</f>
        <v>9</v>
      </c>
      <c r="AE11" s="2">
        <f>SUM(AB11:AD11)</f>
        <v>48</v>
      </c>
      <c r="AH11" s="27" t="s">
        <v>19</v>
      </c>
      <c r="AI11" s="2">
        <v>5</v>
      </c>
      <c r="AJ11" s="2">
        <v>0</v>
      </c>
      <c r="AK11" s="2">
        <v>6</v>
      </c>
      <c r="AL11" s="2">
        <v>20</v>
      </c>
      <c r="AM11" s="2">
        <v>2</v>
      </c>
      <c r="AN11" s="2">
        <v>7</v>
      </c>
      <c r="AO11" s="2">
        <f>COUNTIFS(H8:H65, "SS", I8:I65, "SS", J8:J65, "SS")</f>
        <v>7</v>
      </c>
      <c r="AP11" s="2">
        <f>SUM(AI11:AO11)</f>
        <v>47</v>
      </c>
    </row>
    <row r="12" spans="2:50" x14ac:dyDescent="0.35">
      <c r="B12" s="1" t="s">
        <v>439</v>
      </c>
      <c r="C12" s="28" t="s">
        <v>52</v>
      </c>
      <c r="D12" s="28" t="s">
        <v>52</v>
      </c>
      <c r="E12" s="6" t="s">
        <v>53</v>
      </c>
      <c r="G12" s="1" t="s">
        <v>386</v>
      </c>
      <c r="H12" s="29" t="s">
        <v>55</v>
      </c>
      <c r="I12" s="29" t="s">
        <v>55</v>
      </c>
      <c r="J12" s="29" t="s">
        <v>55</v>
      </c>
      <c r="M12" s="27" t="s">
        <v>18</v>
      </c>
      <c r="N12" s="112">
        <f>COUNTIF(C8:C45,"RR")</f>
        <v>34</v>
      </c>
      <c r="O12" s="6">
        <f>COUNTIF(C8:C45,"RS")</f>
        <v>3</v>
      </c>
      <c r="P12" s="116">
        <f>COUNTIF(C8:C45,"SS")</f>
        <v>1</v>
      </c>
      <c r="Q12" s="2">
        <f>SUM(N12:P12)</f>
        <v>38</v>
      </c>
      <c r="T12" s="27" t="s">
        <v>18</v>
      </c>
      <c r="U12" s="112">
        <f>COUNTIF(D8:D45,"RR")</f>
        <v>30</v>
      </c>
      <c r="V12" s="122">
        <f>COUNTIF(D8:D45,"RS")</f>
        <v>7</v>
      </c>
      <c r="W12" s="116">
        <f>COUNTIF(D8:D45,"SS")</f>
        <v>1</v>
      </c>
      <c r="X12" s="2">
        <f>SUM(U12:W12)</f>
        <v>38</v>
      </c>
      <c r="AA12" s="27" t="s">
        <v>18</v>
      </c>
      <c r="AB12" s="112">
        <f>COUNTIF(E8:E45,"RR")</f>
        <v>29</v>
      </c>
      <c r="AC12" s="122">
        <f>COUNTIF(E8:E45,"RS")</f>
        <v>7</v>
      </c>
      <c r="AD12" s="116">
        <f>COUNTIF(E8:E45,"SS")</f>
        <v>1</v>
      </c>
      <c r="AE12" s="2">
        <f>SUM(AB12:AD12)</f>
        <v>37</v>
      </c>
      <c r="AH12" s="27" t="s">
        <v>18</v>
      </c>
      <c r="AI12" s="2">
        <v>28</v>
      </c>
      <c r="AJ12" s="2">
        <v>1</v>
      </c>
      <c r="AK12" s="2">
        <v>3</v>
      </c>
      <c r="AL12" s="2">
        <v>3</v>
      </c>
      <c r="AM12" s="2">
        <v>0</v>
      </c>
      <c r="AN12" s="2">
        <v>1</v>
      </c>
      <c r="AO12" s="2">
        <f>COUNTIFS(C8:C65, "SS", D8:D65, "SS", E8:E65, "SS")</f>
        <v>1</v>
      </c>
      <c r="AP12" s="2">
        <f>SUM(AI12:AO12)</f>
        <v>37</v>
      </c>
    </row>
    <row r="13" spans="2:50" x14ac:dyDescent="0.35">
      <c r="B13" s="1" t="s">
        <v>440</v>
      </c>
      <c r="C13" s="28" t="s">
        <v>52</v>
      </c>
      <c r="D13" s="28" t="s">
        <v>52</v>
      </c>
      <c r="E13" s="28" t="s">
        <v>52</v>
      </c>
      <c r="G13" s="1" t="s">
        <v>387</v>
      </c>
      <c r="H13" s="28" t="s">
        <v>52</v>
      </c>
      <c r="I13" s="6" t="s">
        <v>53</v>
      </c>
      <c r="J13" s="6" t="s">
        <v>53</v>
      </c>
      <c r="M13" s="27" t="s">
        <v>8</v>
      </c>
      <c r="N13" s="112">
        <f>SUM(N11:N12)</f>
        <v>47</v>
      </c>
      <c r="O13" s="6">
        <f t="shared" ref="O13:P13" si="0">SUM(O11:O12)</f>
        <v>31</v>
      </c>
      <c r="P13" s="116">
        <f t="shared" si="0"/>
        <v>15</v>
      </c>
      <c r="U13" s="112">
        <f>SUM(U11:U12)</f>
        <v>37</v>
      </c>
      <c r="V13" s="122">
        <f t="shared" ref="V13:W13" si="1">SUM(V11:V12)</f>
        <v>42</v>
      </c>
      <c r="W13" s="116">
        <f t="shared" si="1"/>
        <v>13</v>
      </c>
      <c r="AB13" s="112">
        <f>SUM(AB11:AB12)</f>
        <v>39</v>
      </c>
      <c r="AC13" s="122">
        <f t="shared" ref="AC13:AD13" si="2">SUM(AC11:AC12)</f>
        <v>36</v>
      </c>
      <c r="AD13" s="116">
        <f t="shared" si="2"/>
        <v>10</v>
      </c>
      <c r="AI13" s="2">
        <f>SUM(AI11:AI12)</f>
        <v>33</v>
      </c>
      <c r="AJ13" s="2">
        <f t="shared" ref="AJ13:AO13" si="3">SUM(AJ11:AJ12)</f>
        <v>1</v>
      </c>
      <c r="AK13" s="2">
        <f t="shared" si="3"/>
        <v>9</v>
      </c>
      <c r="AL13" s="2">
        <f t="shared" si="3"/>
        <v>23</v>
      </c>
      <c r="AM13" s="2">
        <f t="shared" si="3"/>
        <v>2</v>
      </c>
      <c r="AN13" s="2">
        <f t="shared" si="3"/>
        <v>8</v>
      </c>
      <c r="AO13" s="2">
        <f t="shared" si="3"/>
        <v>8</v>
      </c>
    </row>
    <row r="14" spans="2:50" x14ac:dyDescent="0.35">
      <c r="B14" s="1" t="s">
        <v>441</v>
      </c>
      <c r="C14" s="28" t="s">
        <v>52</v>
      </c>
      <c r="D14" s="28" t="s">
        <v>52</v>
      </c>
      <c r="E14" s="28" t="s">
        <v>52</v>
      </c>
      <c r="G14" s="1" t="s">
        <v>388</v>
      </c>
      <c r="H14" s="28" t="s">
        <v>52</v>
      </c>
      <c r="I14" s="28" t="s">
        <v>52</v>
      </c>
      <c r="J14" s="28" t="s">
        <v>52</v>
      </c>
      <c r="M14" s="154" t="s">
        <v>349</v>
      </c>
      <c r="N14" s="154"/>
      <c r="O14" s="154"/>
      <c r="P14" s="154"/>
      <c r="Q14" s="154"/>
      <c r="T14" s="154" t="s">
        <v>357</v>
      </c>
      <c r="U14" s="154"/>
      <c r="V14" s="154"/>
      <c r="W14" s="154"/>
      <c r="X14" s="154"/>
      <c r="AA14" s="154" t="s">
        <v>362</v>
      </c>
      <c r="AB14" s="154"/>
      <c r="AC14" s="154"/>
      <c r="AD14" s="154"/>
      <c r="AE14" s="154"/>
      <c r="AH14" s="154" t="s">
        <v>365</v>
      </c>
      <c r="AI14" s="154"/>
      <c r="AJ14" s="154"/>
      <c r="AK14" s="154"/>
      <c r="AL14" s="154"/>
      <c r="AM14" s="154"/>
      <c r="AN14" s="154"/>
      <c r="AO14" s="154"/>
      <c r="AP14" s="154"/>
      <c r="AS14" s="27"/>
      <c r="AT14" s="27"/>
      <c r="AU14" s="27"/>
      <c r="AV14" s="27"/>
      <c r="AW14" s="27"/>
      <c r="AX14" s="27"/>
    </row>
    <row r="15" spans="2:50" x14ac:dyDescent="0.35">
      <c r="B15" s="1" t="s">
        <v>442</v>
      </c>
      <c r="C15" s="28" t="s">
        <v>52</v>
      </c>
      <c r="D15" s="6" t="s">
        <v>53</v>
      </c>
      <c r="E15" s="6" t="s">
        <v>53</v>
      </c>
      <c r="G15" s="1" t="s">
        <v>389</v>
      </c>
      <c r="H15" s="29" t="s">
        <v>55</v>
      </c>
      <c r="I15" s="29" t="s">
        <v>55</v>
      </c>
      <c r="J15" s="29" t="s">
        <v>55</v>
      </c>
      <c r="M15" s="27"/>
      <c r="N15" s="111" t="s">
        <v>52</v>
      </c>
      <c r="O15" s="92" t="s">
        <v>53</v>
      </c>
      <c r="P15" s="115" t="s">
        <v>55</v>
      </c>
      <c r="Q15" s="27" t="s">
        <v>65</v>
      </c>
      <c r="T15" s="27"/>
      <c r="U15" s="111" t="s">
        <v>52</v>
      </c>
      <c r="V15" s="121" t="s">
        <v>53</v>
      </c>
      <c r="W15" s="115" t="s">
        <v>55</v>
      </c>
      <c r="X15" s="27" t="s">
        <v>65</v>
      </c>
      <c r="AA15" s="27"/>
      <c r="AB15" s="111" t="s">
        <v>52</v>
      </c>
      <c r="AC15" s="121" t="s">
        <v>53</v>
      </c>
      <c r="AD15" s="115" t="s">
        <v>55</v>
      </c>
      <c r="AE15" s="27" t="s">
        <v>65</v>
      </c>
      <c r="AI15" s="27" t="s">
        <v>58</v>
      </c>
      <c r="AJ15" s="27" t="s">
        <v>59</v>
      </c>
      <c r="AK15" s="27" t="s">
        <v>60</v>
      </c>
      <c r="AL15" s="27" t="s">
        <v>61</v>
      </c>
      <c r="AM15" s="27" t="s">
        <v>62</v>
      </c>
      <c r="AN15" s="27" t="s">
        <v>63</v>
      </c>
      <c r="AO15" s="27" t="s">
        <v>64</v>
      </c>
      <c r="AR15" s="27"/>
    </row>
    <row r="16" spans="2:50" x14ac:dyDescent="0.35">
      <c r="B16" s="1" t="s">
        <v>443</v>
      </c>
      <c r="C16" s="28" t="s">
        <v>52</v>
      </c>
      <c r="D16" s="28" t="s">
        <v>52</v>
      </c>
      <c r="E16" s="28" t="s">
        <v>52</v>
      </c>
      <c r="G16" s="1" t="s">
        <v>390</v>
      </c>
      <c r="H16" s="28" t="s">
        <v>52</v>
      </c>
      <c r="I16" s="28" t="s">
        <v>52</v>
      </c>
      <c r="J16" s="28" t="s">
        <v>52</v>
      </c>
      <c r="M16" s="27" t="s">
        <v>19</v>
      </c>
      <c r="N16" s="113">
        <f>N11/$Q$11*100</f>
        <v>23.636363636363637</v>
      </c>
      <c r="O16" s="114">
        <f>O11/$Q$11*100</f>
        <v>50.909090909090907</v>
      </c>
      <c r="P16" s="117">
        <f>P11/$Q$11*100</f>
        <v>25.454545454545453</v>
      </c>
      <c r="Q16" s="30">
        <v>100</v>
      </c>
      <c r="T16" s="27" t="s">
        <v>19</v>
      </c>
      <c r="U16" s="113">
        <f>U11/$X$11*100</f>
        <v>12.962962962962962</v>
      </c>
      <c r="V16" s="123">
        <f>V11/$X$11*100</f>
        <v>64.81481481481481</v>
      </c>
      <c r="W16" s="117">
        <f>W11/$X$11*100</f>
        <v>22.222222222222221</v>
      </c>
      <c r="X16" s="30">
        <v>100</v>
      </c>
      <c r="AA16" s="27" t="s">
        <v>19</v>
      </c>
      <c r="AB16" s="113">
        <f>AB11/$AE$11*100</f>
        <v>20.833333333333336</v>
      </c>
      <c r="AC16" s="123">
        <f>AC11/$AE$11*100</f>
        <v>60.416666666666664</v>
      </c>
      <c r="AD16" s="117">
        <f>AD11/$AE$11*100</f>
        <v>18.75</v>
      </c>
      <c r="AE16" s="30">
        <v>100</v>
      </c>
      <c r="AH16" s="2" t="s">
        <v>19</v>
      </c>
      <c r="AI16" s="30">
        <f t="shared" ref="AI16:AO16" si="4">AI11/AI13*100</f>
        <v>15.151515151515152</v>
      </c>
      <c r="AJ16" s="2">
        <f t="shared" si="4"/>
        <v>0</v>
      </c>
      <c r="AK16" s="30">
        <f t="shared" si="4"/>
        <v>66.666666666666657</v>
      </c>
      <c r="AL16" s="2">
        <f t="shared" si="4"/>
        <v>86.956521739130437</v>
      </c>
      <c r="AM16" s="30">
        <f t="shared" si="4"/>
        <v>100</v>
      </c>
      <c r="AN16" s="2">
        <f t="shared" si="4"/>
        <v>87.5</v>
      </c>
      <c r="AO16" s="30">
        <f t="shared" si="4"/>
        <v>87.5</v>
      </c>
      <c r="AR16" s="27"/>
    </row>
    <row r="17" spans="2:50" x14ac:dyDescent="0.35">
      <c r="B17" s="1" t="s">
        <v>444</v>
      </c>
      <c r="C17" s="28" t="s">
        <v>52</v>
      </c>
      <c r="D17" s="28" t="s">
        <v>52</v>
      </c>
      <c r="E17" s="28" t="s">
        <v>52</v>
      </c>
      <c r="G17" s="1" t="s">
        <v>391</v>
      </c>
      <c r="H17" s="28" t="s">
        <v>52</v>
      </c>
      <c r="I17" s="28" t="s">
        <v>52</v>
      </c>
      <c r="J17" s="28" t="s">
        <v>52</v>
      </c>
      <c r="M17" s="27" t="s">
        <v>18</v>
      </c>
      <c r="N17" s="113">
        <f>N12/$Q$12*100</f>
        <v>89.473684210526315</v>
      </c>
      <c r="O17" s="114">
        <f>O12/$Q$12*100</f>
        <v>7.8947368421052628</v>
      </c>
      <c r="P17" s="117">
        <f>P12/$Q$12*100</f>
        <v>2.6315789473684208</v>
      </c>
      <c r="Q17" s="30">
        <v>100</v>
      </c>
      <c r="T17" s="27" t="s">
        <v>18</v>
      </c>
      <c r="U17" s="113">
        <f>U12/$X$12*100</f>
        <v>78.94736842105263</v>
      </c>
      <c r="V17" s="123">
        <f>V12/$X$12*100</f>
        <v>18.421052631578945</v>
      </c>
      <c r="W17" s="117">
        <f>W12/$X$12*100</f>
        <v>2.6315789473684208</v>
      </c>
      <c r="X17" s="30">
        <v>100</v>
      </c>
      <c r="AA17" s="27" t="s">
        <v>18</v>
      </c>
      <c r="AB17" s="113">
        <f>AB12/$AE$12*100</f>
        <v>78.378378378378372</v>
      </c>
      <c r="AC17" s="123">
        <f>AC12/$AE$12*100</f>
        <v>18.918918918918919</v>
      </c>
      <c r="AD17" s="117">
        <f>AD12/$AE$12*100</f>
        <v>2.7027027027027026</v>
      </c>
      <c r="AE17" s="30">
        <v>100</v>
      </c>
      <c r="AH17" s="2" t="s">
        <v>18</v>
      </c>
      <c r="AI17" s="30">
        <f t="shared" ref="AI17:AO17" si="5">AI12/AI13*100</f>
        <v>84.848484848484844</v>
      </c>
      <c r="AJ17" s="2">
        <f t="shared" si="5"/>
        <v>100</v>
      </c>
      <c r="AK17" s="30">
        <f t="shared" si="5"/>
        <v>33.333333333333329</v>
      </c>
      <c r="AL17" s="2">
        <f t="shared" si="5"/>
        <v>13.043478260869565</v>
      </c>
      <c r="AM17" s="30">
        <f t="shared" si="5"/>
        <v>0</v>
      </c>
      <c r="AN17" s="2">
        <f t="shared" si="5"/>
        <v>12.5</v>
      </c>
      <c r="AO17" s="30">
        <f t="shared" si="5"/>
        <v>12.5</v>
      </c>
    </row>
    <row r="18" spans="2:50" x14ac:dyDescent="0.35">
      <c r="B18" s="1" t="s">
        <v>445</v>
      </c>
      <c r="C18" s="28" t="s">
        <v>52</v>
      </c>
      <c r="D18" s="28" t="s">
        <v>52</v>
      </c>
      <c r="G18" s="1" t="s">
        <v>392</v>
      </c>
      <c r="H18" s="28" t="s">
        <v>52</v>
      </c>
      <c r="I18" s="6" t="s">
        <v>53</v>
      </c>
      <c r="J18" s="6" t="s">
        <v>53</v>
      </c>
      <c r="M18" s="154" t="s">
        <v>349</v>
      </c>
      <c r="N18" s="154"/>
      <c r="O18" s="154"/>
      <c r="P18" s="154"/>
      <c r="Q18" s="154"/>
      <c r="T18" s="154" t="s">
        <v>357</v>
      </c>
      <c r="U18" s="154"/>
      <c r="V18" s="154"/>
      <c r="W18" s="154"/>
      <c r="X18" s="154"/>
      <c r="AA18" s="154" t="s">
        <v>362</v>
      </c>
      <c r="AB18" s="154"/>
      <c r="AC18" s="154"/>
      <c r="AD18" s="154"/>
      <c r="AE18" s="154"/>
      <c r="AS18" s="27"/>
      <c r="AT18" s="27"/>
      <c r="AU18" s="27"/>
      <c r="AV18" s="27"/>
      <c r="AW18" s="27"/>
      <c r="AX18" s="27"/>
    </row>
    <row r="19" spans="2:50" x14ac:dyDescent="0.35">
      <c r="B19" s="1" t="s">
        <v>446</v>
      </c>
      <c r="C19" s="28" t="s">
        <v>52</v>
      </c>
      <c r="D19" s="28" t="s">
        <v>52</v>
      </c>
      <c r="E19" s="28" t="s">
        <v>52</v>
      </c>
      <c r="G19" s="1" t="s">
        <v>393</v>
      </c>
      <c r="H19" s="6" t="s">
        <v>53</v>
      </c>
      <c r="I19" s="6" t="s">
        <v>53</v>
      </c>
      <c r="J19" s="6" t="s">
        <v>53</v>
      </c>
      <c r="M19" s="27" t="s">
        <v>66</v>
      </c>
      <c r="N19" s="111" t="s">
        <v>52</v>
      </c>
      <c r="O19" s="92" t="s">
        <v>53</v>
      </c>
      <c r="P19" s="115" t="s">
        <v>55</v>
      </c>
      <c r="T19" s="27" t="s">
        <v>66</v>
      </c>
      <c r="U19" s="112" t="s">
        <v>52</v>
      </c>
      <c r="V19" s="122" t="s">
        <v>53</v>
      </c>
      <c r="W19" s="116" t="s">
        <v>55</v>
      </c>
      <c r="AA19" s="27"/>
      <c r="AB19" s="112" t="s">
        <v>52</v>
      </c>
      <c r="AC19" s="122" t="s">
        <v>53</v>
      </c>
      <c r="AD19" s="116" t="s">
        <v>55</v>
      </c>
      <c r="AR19" s="27"/>
      <c r="AS19" s="30"/>
      <c r="AT19" s="30"/>
      <c r="AU19" s="30"/>
      <c r="AV19" s="30"/>
      <c r="AW19" s="30"/>
      <c r="AX19" s="30"/>
    </row>
    <row r="20" spans="2:50" x14ac:dyDescent="0.35">
      <c r="B20" s="1" t="s">
        <v>447</v>
      </c>
      <c r="C20" s="28" t="s">
        <v>52</v>
      </c>
      <c r="D20" s="28" t="s">
        <v>52</v>
      </c>
      <c r="E20" s="28" t="s">
        <v>52</v>
      </c>
      <c r="G20" s="1" t="s">
        <v>394</v>
      </c>
      <c r="H20" s="6" t="s">
        <v>53</v>
      </c>
      <c r="I20" s="6" t="s">
        <v>53</v>
      </c>
      <c r="J20" s="6" t="s">
        <v>53</v>
      </c>
      <c r="M20" s="27" t="s">
        <v>19</v>
      </c>
      <c r="N20" s="113">
        <f>N11/N13*100</f>
        <v>27.659574468085108</v>
      </c>
      <c r="O20" s="114">
        <f>O11/O13*100</f>
        <v>90.322580645161281</v>
      </c>
      <c r="P20" s="117">
        <f>P11/P13*100</f>
        <v>93.333333333333329</v>
      </c>
      <c r="T20" s="27" t="s">
        <v>19</v>
      </c>
      <c r="U20" s="113">
        <f>U11/U13*100</f>
        <v>18.918918918918919</v>
      </c>
      <c r="V20" s="123">
        <f>V11/V13*100</f>
        <v>83.333333333333343</v>
      </c>
      <c r="W20" s="117">
        <f>W11/W13*100</f>
        <v>92.307692307692307</v>
      </c>
      <c r="AA20" s="27" t="s">
        <v>19</v>
      </c>
      <c r="AB20" s="113">
        <f>AB11/AB13*100</f>
        <v>25.641025641025639</v>
      </c>
      <c r="AC20" s="123">
        <f t="shared" ref="AC20:AD20" si="6">AC11/AC13*100</f>
        <v>80.555555555555557</v>
      </c>
      <c r="AD20" s="116">
        <f t="shared" si="6"/>
        <v>90</v>
      </c>
      <c r="AR20" s="27"/>
      <c r="AS20" s="30"/>
      <c r="AT20" s="30"/>
      <c r="AU20" s="30"/>
      <c r="AV20" s="30"/>
      <c r="AW20" s="30"/>
      <c r="AX20" s="30"/>
    </row>
    <row r="21" spans="2:50" x14ac:dyDescent="0.35">
      <c r="B21" s="1" t="s">
        <v>448</v>
      </c>
      <c r="C21" s="28" t="s">
        <v>52</v>
      </c>
      <c r="D21" s="6" t="s">
        <v>53</v>
      </c>
      <c r="E21" s="28" t="s">
        <v>52</v>
      </c>
      <c r="G21" s="1" t="s">
        <v>395</v>
      </c>
      <c r="H21" s="29" t="s">
        <v>55</v>
      </c>
      <c r="I21" s="29" t="s">
        <v>55</v>
      </c>
      <c r="J21" s="29" t="s">
        <v>55</v>
      </c>
      <c r="M21" s="27" t="s">
        <v>18</v>
      </c>
      <c r="N21" s="113">
        <f>N12/N13*100</f>
        <v>72.340425531914903</v>
      </c>
      <c r="O21" s="114">
        <f>O12/O13*100</f>
        <v>9.67741935483871</v>
      </c>
      <c r="P21" s="117">
        <f>P12/P13*100</f>
        <v>6.666666666666667</v>
      </c>
      <c r="T21" s="27" t="s">
        <v>18</v>
      </c>
      <c r="U21" s="113">
        <f>U12/U13*100</f>
        <v>81.081081081081081</v>
      </c>
      <c r="V21" s="123">
        <f>V12/V13*100</f>
        <v>16.666666666666664</v>
      </c>
      <c r="W21" s="117">
        <f>W12/W13*100</f>
        <v>7.6923076923076925</v>
      </c>
      <c r="AA21" s="27" t="s">
        <v>18</v>
      </c>
      <c r="AB21" s="113">
        <f>AB12/AB13*100</f>
        <v>74.358974358974365</v>
      </c>
      <c r="AC21" s="123">
        <f t="shared" ref="AC21:AD21" si="7">AC12/AC13*100</f>
        <v>19.444444444444446</v>
      </c>
      <c r="AD21" s="116">
        <f t="shared" si="7"/>
        <v>10</v>
      </c>
    </row>
    <row r="22" spans="2:50" x14ac:dyDescent="0.35">
      <c r="B22" s="1" t="s">
        <v>449</v>
      </c>
      <c r="C22" s="6" t="s">
        <v>53</v>
      </c>
      <c r="D22" s="6" t="s">
        <v>53</v>
      </c>
      <c r="E22" s="6" t="s">
        <v>53</v>
      </c>
      <c r="G22" s="1" t="s">
        <v>396</v>
      </c>
      <c r="H22" s="6" t="s">
        <v>53</v>
      </c>
      <c r="I22" s="6" t="s">
        <v>53</v>
      </c>
      <c r="J22" s="6" t="s">
        <v>53</v>
      </c>
      <c r="N22" s="30">
        <f>SUM(N20:N21)</f>
        <v>100.00000000000001</v>
      </c>
      <c r="O22" s="30">
        <f t="shared" ref="O22:P22" si="8">SUM(O20:O21)</f>
        <v>99.999999999999986</v>
      </c>
      <c r="P22" s="30">
        <f t="shared" si="8"/>
        <v>100</v>
      </c>
      <c r="U22" s="113">
        <f>SUM(U20:U21)</f>
        <v>100</v>
      </c>
      <c r="V22" s="123">
        <f t="shared" ref="V22:W22" si="9">SUM(V20:V21)</f>
        <v>100</v>
      </c>
      <c r="W22" s="117">
        <f t="shared" si="9"/>
        <v>100</v>
      </c>
      <c r="AB22" s="113">
        <f>SUM(AB20:AB21)</f>
        <v>100</v>
      </c>
      <c r="AC22" s="123">
        <f t="shared" ref="AC22:AD22" si="10">SUM(AC20:AC21)</f>
        <v>100</v>
      </c>
      <c r="AD22" s="117">
        <f t="shared" si="10"/>
        <v>100</v>
      </c>
    </row>
    <row r="23" spans="2:50" x14ac:dyDescent="0.35">
      <c r="B23" s="1" t="s">
        <v>450</v>
      </c>
      <c r="C23" s="6" t="s">
        <v>53</v>
      </c>
      <c r="D23" s="6" t="s">
        <v>53</v>
      </c>
      <c r="E23" s="6" t="s">
        <v>53</v>
      </c>
      <c r="G23" s="1" t="s">
        <v>397</v>
      </c>
      <c r="H23" s="28" t="s">
        <v>52</v>
      </c>
      <c r="I23" s="6" t="s">
        <v>53</v>
      </c>
      <c r="J23" s="6" t="s">
        <v>53</v>
      </c>
    </row>
    <row r="24" spans="2:50" x14ac:dyDescent="0.35">
      <c r="B24" s="1" t="s">
        <v>451</v>
      </c>
      <c r="C24" s="28" t="s">
        <v>52</v>
      </c>
      <c r="D24" s="28" t="s">
        <v>52</v>
      </c>
      <c r="E24" s="28" t="s">
        <v>52</v>
      </c>
      <c r="G24" s="1" t="s">
        <v>398</v>
      </c>
      <c r="H24" s="6" t="s">
        <v>53</v>
      </c>
      <c r="I24" s="6" t="s">
        <v>53</v>
      </c>
      <c r="J24" s="6" t="s">
        <v>53</v>
      </c>
    </row>
    <row r="25" spans="2:50" x14ac:dyDescent="0.35">
      <c r="B25" s="1" t="s">
        <v>452</v>
      </c>
      <c r="C25" s="28" t="s">
        <v>52</v>
      </c>
      <c r="D25" s="28" t="s">
        <v>52</v>
      </c>
      <c r="E25" s="28" t="s">
        <v>52</v>
      </c>
      <c r="G25" s="1" t="s">
        <v>399</v>
      </c>
      <c r="H25" s="29" t="s">
        <v>55</v>
      </c>
      <c r="I25" s="29" t="s">
        <v>55</v>
      </c>
      <c r="J25" s="29" t="s">
        <v>55</v>
      </c>
    </row>
    <row r="26" spans="2:50" x14ac:dyDescent="0.35">
      <c r="B26" s="1" t="s">
        <v>453</v>
      </c>
      <c r="C26" s="28" t="s">
        <v>52</v>
      </c>
      <c r="D26" s="6" t="s">
        <v>53</v>
      </c>
      <c r="E26" s="6" t="s">
        <v>53</v>
      </c>
      <c r="G26" s="1" t="s">
        <v>400</v>
      </c>
      <c r="H26" s="6" t="s">
        <v>53</v>
      </c>
      <c r="I26" s="6" t="s">
        <v>53</v>
      </c>
      <c r="J26" s="6" t="s">
        <v>53</v>
      </c>
    </row>
    <row r="27" spans="2:50" x14ac:dyDescent="0.35">
      <c r="B27" s="1" t="s">
        <v>454</v>
      </c>
      <c r="C27" s="28" t="s">
        <v>52</v>
      </c>
      <c r="D27" s="28" t="s">
        <v>52</v>
      </c>
      <c r="E27" s="28" t="s">
        <v>52</v>
      </c>
      <c r="G27" s="1" t="s">
        <v>401</v>
      </c>
      <c r="H27" s="6" t="s">
        <v>53</v>
      </c>
      <c r="I27" s="6" t="s">
        <v>53</v>
      </c>
      <c r="J27" s="6" t="s">
        <v>53</v>
      </c>
    </row>
    <row r="28" spans="2:50" x14ac:dyDescent="0.35">
      <c r="B28" s="1" t="s">
        <v>455</v>
      </c>
      <c r="C28" s="28" t="s">
        <v>52</v>
      </c>
      <c r="D28" s="28" t="s">
        <v>52</v>
      </c>
      <c r="E28" s="28" t="s">
        <v>52</v>
      </c>
      <c r="G28" s="1" t="s">
        <v>402</v>
      </c>
      <c r="H28" s="29" t="s">
        <v>55</v>
      </c>
      <c r="I28" s="29" t="s">
        <v>55</v>
      </c>
    </row>
    <row r="29" spans="2:50" x14ac:dyDescent="0.35">
      <c r="B29" s="1" t="s">
        <v>456</v>
      </c>
      <c r="C29" s="28" t="s">
        <v>52</v>
      </c>
      <c r="D29" s="28" t="s">
        <v>52</v>
      </c>
      <c r="E29" s="28" t="s">
        <v>52</v>
      </c>
      <c r="G29" s="1" t="s">
        <v>403</v>
      </c>
      <c r="H29" s="6" t="s">
        <v>53</v>
      </c>
      <c r="I29" s="6" t="s">
        <v>53</v>
      </c>
      <c r="J29" s="6" t="s">
        <v>53</v>
      </c>
    </row>
    <row r="30" spans="2:50" x14ac:dyDescent="0.35">
      <c r="B30" s="1" t="s">
        <v>457</v>
      </c>
      <c r="C30" s="28" t="s">
        <v>52</v>
      </c>
      <c r="D30" s="28" t="s">
        <v>52</v>
      </c>
      <c r="E30" s="28" t="s">
        <v>52</v>
      </c>
      <c r="G30" s="1" t="s">
        <v>404</v>
      </c>
      <c r="H30" s="6" t="s">
        <v>53</v>
      </c>
      <c r="I30" s="6" t="s">
        <v>53</v>
      </c>
      <c r="J30" s="6" t="s">
        <v>53</v>
      </c>
    </row>
    <row r="31" spans="2:50" x14ac:dyDescent="0.35">
      <c r="B31" s="1" t="s">
        <v>458</v>
      </c>
      <c r="C31" s="28" t="s">
        <v>52</v>
      </c>
      <c r="D31" s="28" t="s">
        <v>52</v>
      </c>
      <c r="E31" s="28" t="s">
        <v>52</v>
      </c>
      <c r="G31" s="1" t="s">
        <v>405</v>
      </c>
      <c r="H31" s="6" t="s">
        <v>53</v>
      </c>
      <c r="I31" s="6" t="s">
        <v>53</v>
      </c>
      <c r="J31" s="6" t="s">
        <v>53</v>
      </c>
    </row>
    <row r="32" spans="2:50" x14ac:dyDescent="0.35">
      <c r="B32" s="1" t="s">
        <v>459</v>
      </c>
      <c r="C32" s="28" t="s">
        <v>52</v>
      </c>
      <c r="D32" s="28" t="s">
        <v>52</v>
      </c>
      <c r="E32" s="28" t="s">
        <v>52</v>
      </c>
      <c r="G32" s="1" t="s">
        <v>406</v>
      </c>
      <c r="H32" s="6" t="s">
        <v>53</v>
      </c>
      <c r="I32" s="28" t="s">
        <v>52</v>
      </c>
      <c r="J32" s="28" t="s">
        <v>52</v>
      </c>
    </row>
    <row r="33" spans="2:44" x14ac:dyDescent="0.35">
      <c r="B33" s="1" t="s">
        <v>460</v>
      </c>
      <c r="C33" s="28" t="s">
        <v>52</v>
      </c>
      <c r="D33" s="28" t="s">
        <v>52</v>
      </c>
      <c r="E33" s="28" t="s">
        <v>52</v>
      </c>
      <c r="G33" s="1" t="s">
        <v>407</v>
      </c>
      <c r="H33" s="28" t="s">
        <v>52</v>
      </c>
      <c r="I33" s="28" t="s">
        <v>52</v>
      </c>
      <c r="J33" s="28" t="s">
        <v>52</v>
      </c>
    </row>
    <row r="34" spans="2:44" x14ac:dyDescent="0.35">
      <c r="B34" s="1" t="s">
        <v>461</v>
      </c>
      <c r="C34" s="28" t="s">
        <v>52</v>
      </c>
      <c r="D34" s="28" t="s">
        <v>52</v>
      </c>
      <c r="E34" s="28" t="s">
        <v>52</v>
      </c>
      <c r="G34" s="1" t="s">
        <v>408</v>
      </c>
      <c r="H34" s="6" t="s">
        <v>53</v>
      </c>
      <c r="I34" s="6" t="s">
        <v>53</v>
      </c>
      <c r="J34" s="28" t="s">
        <v>52</v>
      </c>
    </row>
    <row r="35" spans="2:44" x14ac:dyDescent="0.35">
      <c r="B35" s="1" t="s">
        <v>462</v>
      </c>
      <c r="C35" s="6" t="s">
        <v>53</v>
      </c>
      <c r="D35" s="6" t="s">
        <v>53</v>
      </c>
      <c r="E35" s="6" t="s">
        <v>53</v>
      </c>
      <c r="G35" s="1" t="s">
        <v>409</v>
      </c>
      <c r="H35" s="6" t="s">
        <v>53</v>
      </c>
      <c r="I35" s="6" t="s">
        <v>53</v>
      </c>
      <c r="J35" s="6" t="s">
        <v>53</v>
      </c>
    </row>
    <row r="36" spans="2:44" x14ac:dyDescent="0.35">
      <c r="B36" s="1" t="s">
        <v>463</v>
      </c>
      <c r="C36" s="28" t="s">
        <v>52</v>
      </c>
      <c r="D36" s="28" t="s">
        <v>52</v>
      </c>
      <c r="E36" s="28" t="s">
        <v>52</v>
      </c>
      <c r="G36" s="1" t="s">
        <v>410</v>
      </c>
      <c r="H36" s="6" t="s">
        <v>53</v>
      </c>
      <c r="I36" s="6" t="s">
        <v>53</v>
      </c>
    </row>
    <row r="37" spans="2:44" x14ac:dyDescent="0.35">
      <c r="B37" s="1" t="s">
        <v>464</v>
      </c>
      <c r="C37" s="28" t="s">
        <v>52</v>
      </c>
      <c r="D37" s="28" t="s">
        <v>52</v>
      </c>
      <c r="E37" s="28" t="s">
        <v>52</v>
      </c>
      <c r="G37" s="1" t="s">
        <v>411</v>
      </c>
      <c r="H37" s="6" t="s">
        <v>53</v>
      </c>
      <c r="I37" s="6" t="s">
        <v>53</v>
      </c>
      <c r="J37" s="6" t="s">
        <v>53</v>
      </c>
      <c r="AH37" s="154" t="s">
        <v>369</v>
      </c>
      <c r="AI37" s="154"/>
      <c r="AJ37" s="154"/>
      <c r="AK37" s="154"/>
    </row>
    <row r="38" spans="2:44" x14ac:dyDescent="0.35">
      <c r="B38" s="1" t="s">
        <v>465</v>
      </c>
      <c r="C38" s="29" t="s">
        <v>55</v>
      </c>
      <c r="D38" s="29" t="s">
        <v>55</v>
      </c>
      <c r="E38" s="29" t="s">
        <v>55</v>
      </c>
      <c r="G38" s="1" t="s">
        <v>412</v>
      </c>
      <c r="H38" s="28" t="s">
        <v>52</v>
      </c>
      <c r="I38" s="28" t="s">
        <v>52</v>
      </c>
      <c r="J38" s="28" t="s">
        <v>52</v>
      </c>
      <c r="M38" s="154" t="s">
        <v>350</v>
      </c>
      <c r="N38" s="154"/>
      <c r="O38" s="154"/>
      <c r="P38" s="154"/>
      <c r="T38" s="154" t="s">
        <v>358</v>
      </c>
      <c r="U38" s="154"/>
      <c r="V38" s="154"/>
      <c r="W38" s="154"/>
      <c r="X38" s="120"/>
      <c r="AA38" s="154" t="s">
        <v>366</v>
      </c>
      <c r="AB38" s="154"/>
      <c r="AC38" s="154"/>
      <c r="AD38" s="154"/>
      <c r="AE38" s="154"/>
      <c r="AH38" s="27" t="s">
        <v>67</v>
      </c>
      <c r="AI38" s="27" t="s">
        <v>351</v>
      </c>
      <c r="AJ38" s="27" t="s">
        <v>68</v>
      </c>
      <c r="AK38" s="27" t="s">
        <v>370</v>
      </c>
      <c r="AR38" s="27"/>
    </row>
    <row r="39" spans="2:44" x14ac:dyDescent="0.35">
      <c r="B39" s="1" t="s">
        <v>466</v>
      </c>
      <c r="C39" s="28" t="s">
        <v>52</v>
      </c>
      <c r="D39" s="28" t="s">
        <v>52</v>
      </c>
      <c r="E39" s="28" t="s">
        <v>52</v>
      </c>
      <c r="G39" s="1" t="s">
        <v>413</v>
      </c>
      <c r="H39" s="6" t="s">
        <v>53</v>
      </c>
      <c r="I39" s="6" t="s">
        <v>53</v>
      </c>
      <c r="J39" s="6" t="s">
        <v>53</v>
      </c>
      <c r="M39" s="27"/>
      <c r="N39" s="111" t="s">
        <v>115</v>
      </c>
      <c r="O39" s="115" t="s">
        <v>116</v>
      </c>
      <c r="P39" s="27" t="s">
        <v>117</v>
      </c>
      <c r="T39" s="27"/>
      <c r="U39" s="111" t="s">
        <v>115</v>
      </c>
      <c r="V39" s="115" t="s">
        <v>116</v>
      </c>
      <c r="W39" s="27" t="s">
        <v>117</v>
      </c>
      <c r="AA39" s="27"/>
      <c r="AB39" s="111" t="s">
        <v>115</v>
      </c>
      <c r="AC39" s="115" t="s">
        <v>116</v>
      </c>
      <c r="AD39" s="27" t="s">
        <v>117</v>
      </c>
      <c r="AH39" s="27" t="s">
        <v>70</v>
      </c>
      <c r="AI39" s="124">
        <v>38.36</v>
      </c>
      <c r="AJ39" s="124" t="s">
        <v>71</v>
      </c>
      <c r="AK39" s="124" t="s">
        <v>72</v>
      </c>
    </row>
    <row r="40" spans="2:44" x14ac:dyDescent="0.35">
      <c r="B40" s="1" t="s">
        <v>467</v>
      </c>
      <c r="C40" s="28" t="s">
        <v>52</v>
      </c>
      <c r="D40" s="28" t="s">
        <v>52</v>
      </c>
      <c r="E40" s="28" t="s">
        <v>52</v>
      </c>
      <c r="G40" s="1" t="s">
        <v>414</v>
      </c>
      <c r="H40" s="29" t="s">
        <v>55</v>
      </c>
      <c r="I40" s="29" t="s">
        <v>55</v>
      </c>
      <c r="J40" s="29" t="s">
        <v>55</v>
      </c>
      <c r="M40" s="27" t="s">
        <v>19</v>
      </c>
      <c r="N40" s="113">
        <f>((N11+0.5*(O11))/Q11*100)</f>
        <v>49.090909090909093</v>
      </c>
      <c r="O40" s="117">
        <f>((P11+0.5*(O11))/Q11*100)</f>
        <v>50.909090909090907</v>
      </c>
      <c r="P40" s="2">
        <f>SUM(N40:O40)</f>
        <v>100</v>
      </c>
      <c r="T40" s="27" t="s">
        <v>19</v>
      </c>
      <c r="U40" s="113">
        <f>((U11+0.5*(V11))/X11*100)</f>
        <v>45.370370370370374</v>
      </c>
      <c r="V40" s="117">
        <f>((W11+0.5*(V11))/X11*100)</f>
        <v>54.629629629629626</v>
      </c>
      <c r="W40" s="2">
        <f>SUM(U40:V40)</f>
        <v>100</v>
      </c>
      <c r="AA40" s="27" t="s">
        <v>19</v>
      </c>
      <c r="AB40" s="113">
        <f>((AB11+0.5*(AC11))/AE11*100)</f>
        <v>51.041666666666664</v>
      </c>
      <c r="AC40" s="117">
        <f>((AD11+0.5*(AC11))/AE11*100)</f>
        <v>48.958333333333329</v>
      </c>
      <c r="AD40" s="2">
        <f>SUM(AB40:AC40)</f>
        <v>100</v>
      </c>
      <c r="AH40" s="27" t="s">
        <v>77</v>
      </c>
      <c r="AI40" s="124" t="s">
        <v>78</v>
      </c>
      <c r="AJ40" s="124" t="s">
        <v>79</v>
      </c>
      <c r="AK40" s="124" t="s">
        <v>72</v>
      </c>
    </row>
    <row r="41" spans="2:44" x14ac:dyDescent="0.35">
      <c r="B41" s="1" t="s">
        <v>468</v>
      </c>
      <c r="C41" s="28" t="s">
        <v>52</v>
      </c>
      <c r="D41" s="28" t="s">
        <v>52</v>
      </c>
      <c r="E41" s="28" t="s">
        <v>52</v>
      </c>
      <c r="G41" s="1" t="s">
        <v>415</v>
      </c>
      <c r="H41" s="29" t="s">
        <v>55</v>
      </c>
      <c r="I41" s="29" t="s">
        <v>55</v>
      </c>
      <c r="J41" s="29" t="s">
        <v>55</v>
      </c>
      <c r="M41" s="27" t="s">
        <v>18</v>
      </c>
      <c r="N41" s="113">
        <f>((N12+0.5*(O12))/Q12*100)</f>
        <v>93.421052631578945</v>
      </c>
      <c r="O41" s="117">
        <f>((P12+0.5*(O12))/Q12*100)</f>
        <v>6.5789473684210522</v>
      </c>
      <c r="P41" s="2">
        <f>SUM(N41:O41)</f>
        <v>100</v>
      </c>
      <c r="T41" s="27" t="s">
        <v>18</v>
      </c>
      <c r="U41" s="113">
        <f>((U12+0.5*(V12))/X12*100)</f>
        <v>88.157894736842096</v>
      </c>
      <c r="V41" s="117">
        <f>((W12+0.5*(V12))/X12*100)</f>
        <v>11.842105263157894</v>
      </c>
      <c r="W41" s="2">
        <f>SUM(U41:V41)</f>
        <v>99.999999999999986</v>
      </c>
      <c r="AA41" s="27" t="s">
        <v>18</v>
      </c>
      <c r="AB41" s="113">
        <f>((AB12+0.5*(AC12))/AE12*100)</f>
        <v>87.837837837837839</v>
      </c>
      <c r="AC41" s="117">
        <f>((AD12+0.5*(AC12))/AE12*100)</f>
        <v>12.162162162162163</v>
      </c>
      <c r="AD41" s="2">
        <f>SUM(AB41:AC41)</f>
        <v>100</v>
      </c>
      <c r="AH41" s="27" t="s">
        <v>84</v>
      </c>
      <c r="AI41" s="124">
        <v>37.92</v>
      </c>
      <c r="AJ41" s="124" t="s">
        <v>85</v>
      </c>
      <c r="AK41" s="124" t="s">
        <v>72</v>
      </c>
    </row>
    <row r="42" spans="2:44" x14ac:dyDescent="0.35">
      <c r="B42" s="1" t="s">
        <v>469</v>
      </c>
      <c r="C42" s="28" t="s">
        <v>52</v>
      </c>
      <c r="D42" s="28" t="s">
        <v>52</v>
      </c>
      <c r="E42" s="28" t="s">
        <v>52</v>
      </c>
      <c r="G42" s="1" t="s">
        <v>416</v>
      </c>
      <c r="H42" s="6" t="s">
        <v>53</v>
      </c>
      <c r="I42" s="6" t="s">
        <v>53</v>
      </c>
      <c r="J42" s="6" t="s">
        <v>53</v>
      </c>
      <c r="AH42" s="27" t="s">
        <v>91</v>
      </c>
      <c r="AI42" s="124">
        <v>11.51</v>
      </c>
      <c r="AJ42" s="124" t="s">
        <v>92</v>
      </c>
      <c r="AK42" s="124" t="s">
        <v>72</v>
      </c>
    </row>
    <row r="43" spans="2:44" x14ac:dyDescent="0.35">
      <c r="B43" s="1" t="s">
        <v>470</v>
      </c>
      <c r="C43" s="28" t="s">
        <v>52</v>
      </c>
      <c r="D43" s="28" t="s">
        <v>52</v>
      </c>
      <c r="E43" s="28" t="s">
        <v>52</v>
      </c>
      <c r="G43" s="1" t="s">
        <v>417</v>
      </c>
      <c r="H43" s="6" t="s">
        <v>53</v>
      </c>
      <c r="I43" s="6" t="s">
        <v>53</v>
      </c>
      <c r="J43" s="6" t="s">
        <v>53</v>
      </c>
      <c r="AH43" s="27" t="s">
        <v>93</v>
      </c>
      <c r="AI43" s="124">
        <v>0</v>
      </c>
      <c r="AJ43" s="124" t="s">
        <v>94</v>
      </c>
      <c r="AK43" s="124" t="s">
        <v>72</v>
      </c>
    </row>
    <row r="44" spans="2:44" x14ac:dyDescent="0.35">
      <c r="B44" s="1" t="s">
        <v>471</v>
      </c>
      <c r="C44" s="28" t="s">
        <v>52</v>
      </c>
      <c r="D44" s="28" t="s">
        <v>52</v>
      </c>
      <c r="E44" s="28" t="s">
        <v>52</v>
      </c>
      <c r="G44" s="1" t="s">
        <v>418</v>
      </c>
      <c r="H44" s="28" t="s">
        <v>52</v>
      </c>
      <c r="I44" s="6" t="s">
        <v>53</v>
      </c>
      <c r="J44" s="28" t="s">
        <v>52</v>
      </c>
      <c r="AH44" s="27" t="s">
        <v>95</v>
      </c>
      <c r="AI44" s="124" t="s">
        <v>78</v>
      </c>
      <c r="AJ44" s="124" t="s">
        <v>96</v>
      </c>
      <c r="AK44" s="124" t="s">
        <v>72</v>
      </c>
    </row>
    <row r="45" spans="2:44" x14ac:dyDescent="0.35">
      <c r="B45" s="1" t="s">
        <v>472</v>
      </c>
      <c r="C45" s="28" t="s">
        <v>52</v>
      </c>
      <c r="D45" s="28" t="s">
        <v>52</v>
      </c>
      <c r="E45" s="28" t="s">
        <v>52</v>
      </c>
      <c r="G45" s="1" t="s">
        <v>419</v>
      </c>
      <c r="H45" s="28" t="s">
        <v>52</v>
      </c>
      <c r="I45" s="6" t="s">
        <v>53</v>
      </c>
      <c r="J45" s="6" t="s">
        <v>53</v>
      </c>
      <c r="T45" s="27"/>
      <c r="AA45" s="27"/>
      <c r="AH45" s="27" t="s">
        <v>97</v>
      </c>
      <c r="AI45" s="124" t="s">
        <v>78</v>
      </c>
      <c r="AJ45" s="124" t="s">
        <v>98</v>
      </c>
      <c r="AK45" s="124" t="s">
        <v>72</v>
      </c>
    </row>
    <row r="46" spans="2:44" x14ac:dyDescent="0.35">
      <c r="G46" s="1" t="s">
        <v>420</v>
      </c>
      <c r="H46" s="6" t="s">
        <v>53</v>
      </c>
      <c r="I46" s="6" t="s">
        <v>53</v>
      </c>
      <c r="J46" s="6" t="s">
        <v>53</v>
      </c>
      <c r="AH46" s="27" t="s">
        <v>99</v>
      </c>
      <c r="AI46" s="124" t="s">
        <v>78</v>
      </c>
      <c r="AJ46" s="124" t="s">
        <v>100</v>
      </c>
      <c r="AK46" s="124" t="s">
        <v>72</v>
      </c>
    </row>
    <row r="47" spans="2:44" x14ac:dyDescent="0.35">
      <c r="G47" s="1" t="s">
        <v>421</v>
      </c>
      <c r="H47" s="29" t="s">
        <v>55</v>
      </c>
      <c r="I47" s="6" t="s">
        <v>53</v>
      </c>
      <c r="J47" s="29" t="s">
        <v>55</v>
      </c>
      <c r="AH47" s="27" t="s">
        <v>101</v>
      </c>
      <c r="AI47" s="124" t="s">
        <v>78</v>
      </c>
      <c r="AJ47" s="124" t="s">
        <v>102</v>
      </c>
      <c r="AK47" s="124" t="s">
        <v>72</v>
      </c>
    </row>
    <row r="48" spans="2:44" x14ac:dyDescent="0.35">
      <c r="G48" s="1" t="s">
        <v>422</v>
      </c>
      <c r="H48" s="6" t="s">
        <v>53</v>
      </c>
      <c r="I48" s="6" t="s">
        <v>53</v>
      </c>
      <c r="AH48" s="27" t="s">
        <v>103</v>
      </c>
      <c r="AI48" s="124">
        <v>3.3340000000000001</v>
      </c>
      <c r="AJ48" s="124" t="s">
        <v>104</v>
      </c>
      <c r="AK48" s="124">
        <v>8.0000000000000004E-4</v>
      </c>
    </row>
    <row r="49" spans="7:37" x14ac:dyDescent="0.35">
      <c r="G49" s="1" t="s">
        <v>423</v>
      </c>
      <c r="H49" s="28" t="s">
        <v>52</v>
      </c>
      <c r="I49" s="6" t="s">
        <v>53</v>
      </c>
      <c r="J49" s="6" t="s">
        <v>53</v>
      </c>
      <c r="AH49" s="27" t="s">
        <v>105</v>
      </c>
      <c r="AI49" s="124" t="s">
        <v>78</v>
      </c>
      <c r="AJ49" s="124" t="s">
        <v>106</v>
      </c>
      <c r="AK49" s="124" t="s">
        <v>72</v>
      </c>
    </row>
    <row r="50" spans="7:37" x14ac:dyDescent="0.35">
      <c r="G50" s="1" t="s">
        <v>424</v>
      </c>
      <c r="H50" s="6" t="s">
        <v>53</v>
      </c>
      <c r="I50" s="6" t="s">
        <v>53</v>
      </c>
      <c r="J50" s="6" t="s">
        <v>53</v>
      </c>
      <c r="M50" s="27"/>
      <c r="N50" s="27"/>
      <c r="O50" s="27"/>
      <c r="P50" s="27"/>
      <c r="T50" s="27"/>
      <c r="U50" s="27"/>
      <c r="V50" s="27"/>
      <c r="W50" s="27"/>
      <c r="AA50" s="27"/>
      <c r="AB50" s="27"/>
      <c r="AC50" s="27"/>
      <c r="AD50" s="27"/>
      <c r="AH50" s="27" t="s">
        <v>107</v>
      </c>
      <c r="AI50" s="124">
        <v>3.2959999999999998</v>
      </c>
      <c r="AJ50" s="124" t="s">
        <v>108</v>
      </c>
      <c r="AK50" s="124">
        <v>1.2999999999999999E-3</v>
      </c>
    </row>
    <row r="51" spans="7:37" x14ac:dyDescent="0.35">
      <c r="G51" s="1" t="s">
        <v>425</v>
      </c>
      <c r="H51" s="6" t="s">
        <v>53</v>
      </c>
      <c r="I51" s="6" t="s">
        <v>53</v>
      </c>
      <c r="J51" s="6" t="s">
        <v>53</v>
      </c>
      <c r="AH51" s="27" t="s">
        <v>109</v>
      </c>
      <c r="AI51" s="124">
        <v>1.0109999999999999</v>
      </c>
      <c r="AJ51" s="124" t="s">
        <v>110</v>
      </c>
      <c r="AK51" s="124" t="s">
        <v>88</v>
      </c>
    </row>
    <row r="52" spans="7:37" x14ac:dyDescent="0.35">
      <c r="G52" s="1" t="s">
        <v>426</v>
      </c>
      <c r="H52" s="29" t="s">
        <v>55</v>
      </c>
      <c r="I52" s="29" t="s">
        <v>55</v>
      </c>
      <c r="AH52" s="27" t="s">
        <v>111</v>
      </c>
      <c r="AI52" s="124" t="s">
        <v>78</v>
      </c>
      <c r="AJ52" s="124" t="s">
        <v>112</v>
      </c>
      <c r="AK52" s="124">
        <v>2.0000000000000001E-4</v>
      </c>
    </row>
    <row r="53" spans="7:37" x14ac:dyDescent="0.35">
      <c r="G53" s="1" t="s">
        <v>427</v>
      </c>
      <c r="H53" s="28" t="s">
        <v>52</v>
      </c>
      <c r="I53" s="6" t="s">
        <v>53</v>
      </c>
      <c r="AH53" s="27" t="s">
        <v>113</v>
      </c>
      <c r="AI53" s="124">
        <v>0</v>
      </c>
      <c r="AJ53" s="124" t="s">
        <v>114</v>
      </c>
      <c r="AK53" s="124">
        <v>2.0000000000000001E-4</v>
      </c>
    </row>
    <row r="54" spans="7:37" x14ac:dyDescent="0.35">
      <c r="G54" s="1" t="s">
        <v>428</v>
      </c>
      <c r="H54" s="6" t="s">
        <v>53</v>
      </c>
      <c r="I54" s="6" t="s">
        <v>53</v>
      </c>
      <c r="J54" s="6" t="s">
        <v>53</v>
      </c>
    </row>
    <row r="55" spans="7:37" x14ac:dyDescent="0.35">
      <c r="G55" s="1" t="s">
        <v>429</v>
      </c>
      <c r="H55" s="6" t="s">
        <v>53</v>
      </c>
      <c r="I55" s="6" t="s">
        <v>53</v>
      </c>
      <c r="J55" s="6" t="s">
        <v>53</v>
      </c>
    </row>
    <row r="56" spans="7:37" x14ac:dyDescent="0.35">
      <c r="G56" s="1" t="s">
        <v>430</v>
      </c>
      <c r="H56" s="29" t="s">
        <v>55</v>
      </c>
      <c r="I56" s="6" t="s">
        <v>53</v>
      </c>
      <c r="J56" s="28" t="s">
        <v>52</v>
      </c>
      <c r="M56" s="154" t="s">
        <v>354</v>
      </c>
      <c r="N56" s="154"/>
      <c r="O56" s="154"/>
      <c r="P56" s="154"/>
      <c r="T56" s="154" t="s">
        <v>359</v>
      </c>
      <c r="U56" s="154"/>
      <c r="V56" s="154"/>
      <c r="W56" s="154"/>
      <c r="AA56" s="154" t="s">
        <v>367</v>
      </c>
      <c r="AB56" s="154"/>
      <c r="AC56" s="154"/>
      <c r="AD56" s="154"/>
      <c r="AE56" s="154"/>
    </row>
    <row r="57" spans="7:37" x14ac:dyDescent="0.35">
      <c r="G57" s="1" t="s">
        <v>431</v>
      </c>
      <c r="H57" s="6" t="s">
        <v>53</v>
      </c>
      <c r="I57" s="28" t="s">
        <v>52</v>
      </c>
      <c r="J57" s="6" t="s">
        <v>53</v>
      </c>
      <c r="M57" s="27" t="s">
        <v>69</v>
      </c>
      <c r="N57" s="27" t="s">
        <v>351</v>
      </c>
      <c r="O57" s="27" t="s">
        <v>68</v>
      </c>
      <c r="P57" s="31" t="s">
        <v>353</v>
      </c>
      <c r="T57" s="27" t="s">
        <v>69</v>
      </c>
      <c r="U57" s="27" t="s">
        <v>351</v>
      </c>
      <c r="V57" s="27" t="s">
        <v>68</v>
      </c>
      <c r="W57" s="31" t="s">
        <v>352</v>
      </c>
      <c r="AA57" s="27" t="s">
        <v>69</v>
      </c>
      <c r="AB57" s="27" t="s">
        <v>368</v>
      </c>
      <c r="AC57" s="27" t="s">
        <v>68</v>
      </c>
      <c r="AD57" s="31" t="s">
        <v>352</v>
      </c>
    </row>
    <row r="58" spans="7:37" x14ac:dyDescent="0.35">
      <c r="G58" s="1" t="s">
        <v>432</v>
      </c>
      <c r="H58" s="29" t="s">
        <v>55</v>
      </c>
      <c r="I58" s="29" t="s">
        <v>55</v>
      </c>
      <c r="J58" s="6" t="s">
        <v>53</v>
      </c>
      <c r="M58" s="27" t="s">
        <v>73</v>
      </c>
      <c r="N58" s="119">
        <v>23.64</v>
      </c>
      <c r="O58" s="119" t="s">
        <v>74</v>
      </c>
      <c r="P58" s="119" t="s">
        <v>72</v>
      </c>
      <c r="T58" s="27" t="s">
        <v>73</v>
      </c>
      <c r="U58" s="119">
        <v>21.94</v>
      </c>
      <c r="V58" s="119" t="s">
        <v>75</v>
      </c>
      <c r="W58" s="119" t="s">
        <v>72</v>
      </c>
      <c r="AA58" s="27" t="s">
        <v>73</v>
      </c>
      <c r="AB58" s="119">
        <v>11.73</v>
      </c>
      <c r="AC58" s="119" t="s">
        <v>76</v>
      </c>
      <c r="AD58" s="119" t="s">
        <v>72</v>
      </c>
    </row>
    <row r="59" spans="7:37" x14ac:dyDescent="0.35">
      <c r="G59" s="1" t="s">
        <v>433</v>
      </c>
      <c r="H59" s="6" t="s">
        <v>53</v>
      </c>
      <c r="I59" s="29" t="s">
        <v>55</v>
      </c>
      <c r="J59" s="6" t="s">
        <v>53</v>
      </c>
      <c r="M59" s="27" t="s">
        <v>80</v>
      </c>
      <c r="N59" s="119">
        <v>30.9</v>
      </c>
      <c r="O59" s="119" t="s">
        <v>81</v>
      </c>
      <c r="P59" s="119" t="s">
        <v>72</v>
      </c>
      <c r="T59" s="27" t="s">
        <v>80</v>
      </c>
      <c r="U59" s="119">
        <v>44.56</v>
      </c>
      <c r="V59" s="119" t="s">
        <v>82</v>
      </c>
      <c r="W59" s="119" t="s">
        <v>72</v>
      </c>
      <c r="AA59" s="27" t="s">
        <v>80</v>
      </c>
      <c r="AB59" s="119">
        <v>23.52</v>
      </c>
      <c r="AC59" s="119" t="s">
        <v>83</v>
      </c>
      <c r="AD59" s="119" t="s">
        <v>72</v>
      </c>
    </row>
    <row r="60" spans="7:37" x14ac:dyDescent="0.35">
      <c r="G60" s="1" t="s">
        <v>434</v>
      </c>
      <c r="H60" s="29" t="s">
        <v>55</v>
      </c>
      <c r="I60" s="29" t="s">
        <v>55</v>
      </c>
      <c r="J60" s="6" t="s">
        <v>53</v>
      </c>
      <c r="M60" s="27" t="s">
        <v>86</v>
      </c>
      <c r="N60" s="119">
        <v>1.3069999999999999</v>
      </c>
      <c r="O60" s="119" t="s">
        <v>87</v>
      </c>
      <c r="P60" s="119" t="s">
        <v>88</v>
      </c>
      <c r="T60" s="27" t="s">
        <v>86</v>
      </c>
      <c r="U60" s="119">
        <v>2.0310000000000001</v>
      </c>
      <c r="V60" s="119" t="s">
        <v>89</v>
      </c>
      <c r="W60" s="119">
        <v>0.39190000000000003</v>
      </c>
      <c r="AA60" s="27" t="s">
        <v>86</v>
      </c>
      <c r="AB60" s="119">
        <v>2.0059999999999998</v>
      </c>
      <c r="AC60" s="119" t="s">
        <v>90</v>
      </c>
      <c r="AD60" s="119">
        <v>0.38900000000000001</v>
      </c>
    </row>
    <row r="61" spans="7:37" x14ac:dyDescent="0.35">
      <c r="G61" s="1" t="s">
        <v>473</v>
      </c>
      <c r="H61" s="6" t="s">
        <v>53</v>
      </c>
      <c r="I61" s="6" t="s">
        <v>53</v>
      </c>
      <c r="M61" s="27" t="s">
        <v>118</v>
      </c>
      <c r="N61" s="119">
        <v>13.83</v>
      </c>
      <c r="O61" s="119" t="s">
        <v>119</v>
      </c>
      <c r="P61" s="119" t="s">
        <v>72</v>
      </c>
      <c r="T61" s="27" t="s">
        <v>118</v>
      </c>
      <c r="U61" s="119">
        <v>8.9629999999999992</v>
      </c>
      <c r="V61" s="119" t="s">
        <v>120</v>
      </c>
      <c r="W61" s="119" t="s">
        <v>72</v>
      </c>
      <c r="AA61" s="27" t="s">
        <v>118</v>
      </c>
      <c r="AB61" s="119">
        <v>7.0460000000000003</v>
      </c>
      <c r="AC61" s="119" t="s">
        <v>121</v>
      </c>
      <c r="AD61" s="119" t="s">
        <v>72</v>
      </c>
    </row>
    <row r="62" spans="7:37" x14ac:dyDescent="0.35">
      <c r="G62" s="1" t="s">
        <v>474</v>
      </c>
      <c r="H62" s="6" t="s">
        <v>53</v>
      </c>
    </row>
    <row r="63" spans="7:37" x14ac:dyDescent="0.35">
      <c r="G63" s="27"/>
      <c r="M63" s="27" t="s">
        <v>48</v>
      </c>
      <c r="N63" s="157" t="s">
        <v>371</v>
      </c>
      <c r="O63" s="157"/>
      <c r="P63" s="157"/>
      <c r="T63" s="27" t="s">
        <v>167</v>
      </c>
      <c r="U63" s="157" t="s">
        <v>371</v>
      </c>
      <c r="V63" s="157"/>
      <c r="W63" s="157"/>
      <c r="AA63" s="27" t="s">
        <v>168</v>
      </c>
      <c r="AB63" s="157" t="s">
        <v>371</v>
      </c>
      <c r="AC63" s="157"/>
      <c r="AD63" s="157"/>
    </row>
    <row r="64" spans="7:37" x14ac:dyDescent="0.35">
      <c r="G64" s="27"/>
      <c r="N64" s="49" t="s">
        <v>372</v>
      </c>
      <c r="O64" s="25" t="s">
        <v>373</v>
      </c>
      <c r="U64" s="49" t="s">
        <v>372</v>
      </c>
      <c r="V64" s="25" t="s">
        <v>373</v>
      </c>
      <c r="AB64" s="49" t="s">
        <v>372</v>
      </c>
      <c r="AC64" s="25" t="s">
        <v>373</v>
      </c>
    </row>
    <row r="65" spans="14:29" x14ac:dyDescent="0.35">
      <c r="N65" s="49" t="s">
        <v>374</v>
      </c>
      <c r="O65" s="25" t="s">
        <v>375</v>
      </c>
      <c r="U65" s="49" t="s">
        <v>374</v>
      </c>
      <c r="V65" s="25" t="s">
        <v>379</v>
      </c>
      <c r="AB65" s="49" t="s">
        <v>374</v>
      </c>
      <c r="AC65" s="25" t="s">
        <v>380</v>
      </c>
    </row>
    <row r="66" spans="14:29" x14ac:dyDescent="0.35">
      <c r="N66" s="49" t="s">
        <v>376</v>
      </c>
      <c r="O66" s="25" t="s">
        <v>72</v>
      </c>
      <c r="U66" s="49" t="s">
        <v>376</v>
      </c>
      <c r="V66" s="25" t="s">
        <v>72</v>
      </c>
      <c r="AB66" s="49" t="s">
        <v>376</v>
      </c>
      <c r="AC66" s="25" t="s">
        <v>72</v>
      </c>
    </row>
    <row r="67" spans="14:29" x14ac:dyDescent="0.35">
      <c r="N67" s="49" t="s">
        <v>377</v>
      </c>
      <c r="O67" s="25" t="s">
        <v>378</v>
      </c>
      <c r="U67" s="49" t="s">
        <v>377</v>
      </c>
      <c r="V67" s="25" t="s">
        <v>378</v>
      </c>
      <c r="AB67" s="49" t="s">
        <v>377</v>
      </c>
      <c r="AC67" s="25" t="s">
        <v>378</v>
      </c>
    </row>
    <row r="68" spans="14:29" x14ac:dyDescent="0.35">
      <c r="N68" s="49"/>
      <c r="O68" s="25"/>
    </row>
    <row r="69" spans="14:29" x14ac:dyDescent="0.35">
      <c r="N69" s="49"/>
      <c r="O69" s="25"/>
    </row>
  </sheetData>
  <mergeCells count="28">
    <mergeCell ref="U63:W63"/>
    <mergeCell ref="AB63:AD63"/>
    <mergeCell ref="N63:P63"/>
    <mergeCell ref="G6:J6"/>
    <mergeCell ref="T56:W56"/>
    <mergeCell ref="T38:W38"/>
    <mergeCell ref="AA56:AE56"/>
    <mergeCell ref="M14:Q14"/>
    <mergeCell ref="M18:Q18"/>
    <mergeCell ref="M38:P38"/>
    <mergeCell ref="M56:P56"/>
    <mergeCell ref="T8:X8"/>
    <mergeCell ref="T9:X9"/>
    <mergeCell ref="T14:X14"/>
    <mergeCell ref="T18:X18"/>
    <mergeCell ref="AH14:AP14"/>
    <mergeCell ref="AA38:AE38"/>
    <mergeCell ref="AH37:AK37"/>
    <mergeCell ref="AA8:AE8"/>
    <mergeCell ref="AA9:AE9"/>
    <mergeCell ref="AA14:AE14"/>
    <mergeCell ref="AA18:AE18"/>
    <mergeCell ref="B6:E6"/>
    <mergeCell ref="B5:J5"/>
    <mergeCell ref="M9:Q9"/>
    <mergeCell ref="M8:Q8"/>
    <mergeCell ref="AH8:AP8"/>
    <mergeCell ref="AH9:AP9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8193" r:id="rId4">
          <objectPr defaultSize="0" autoPict="0" r:id="rId5">
            <anchor moveWithCells="1">
              <from>
                <xdr:col>13</xdr:col>
                <xdr:colOff>336550</xdr:colOff>
                <xdr:row>22</xdr:row>
                <xdr:rowOff>190500</xdr:rowOff>
              </from>
              <to>
                <xdr:col>15</xdr:col>
                <xdr:colOff>469900</xdr:colOff>
                <xdr:row>36</xdr:row>
                <xdr:rowOff>19050</xdr:rowOff>
              </to>
            </anchor>
          </objectPr>
        </oleObject>
      </mc:Choice>
      <mc:Fallback>
        <oleObject progId="Prism8.Document" shapeId="8193" r:id="rId4"/>
      </mc:Fallback>
    </mc:AlternateContent>
    <mc:AlternateContent xmlns:mc="http://schemas.openxmlformats.org/markup-compatibility/2006">
      <mc:Choice Requires="x14">
        <oleObject progId="Prism8.Document" shapeId="8194" r:id="rId6">
          <objectPr defaultSize="0" autoPict="0" r:id="rId7">
            <anchor moveWithCells="1">
              <from>
                <xdr:col>20</xdr:col>
                <xdr:colOff>368300</xdr:colOff>
                <xdr:row>23</xdr:row>
                <xdr:rowOff>0</xdr:rowOff>
              </from>
              <to>
                <xdr:col>22</xdr:col>
                <xdr:colOff>908050</xdr:colOff>
                <xdr:row>35</xdr:row>
                <xdr:rowOff>146050</xdr:rowOff>
              </to>
            </anchor>
          </objectPr>
        </oleObject>
      </mc:Choice>
      <mc:Fallback>
        <oleObject progId="Prism8.Document" shapeId="8194" r:id="rId6"/>
      </mc:Fallback>
    </mc:AlternateContent>
    <mc:AlternateContent xmlns:mc="http://schemas.openxmlformats.org/markup-compatibility/2006">
      <mc:Choice Requires="x14">
        <oleObject progId="Prism8.Document" shapeId="8198" r:id="rId8">
          <objectPr defaultSize="0" autoPict="0" r:id="rId9">
            <anchor moveWithCells="1">
              <from>
                <xdr:col>20</xdr:col>
                <xdr:colOff>222250</xdr:colOff>
                <xdr:row>41</xdr:row>
                <xdr:rowOff>95250</xdr:rowOff>
              </from>
              <to>
                <xdr:col>22</xdr:col>
                <xdr:colOff>717550</xdr:colOff>
                <xdr:row>53</xdr:row>
                <xdr:rowOff>127000</xdr:rowOff>
              </to>
            </anchor>
          </objectPr>
        </oleObject>
      </mc:Choice>
      <mc:Fallback>
        <oleObject progId="Prism8.Document" shapeId="8198" r:id="rId8"/>
      </mc:Fallback>
    </mc:AlternateContent>
    <mc:AlternateContent xmlns:mc="http://schemas.openxmlformats.org/markup-compatibility/2006">
      <mc:Choice Requires="x14">
        <oleObject progId="Prism8.Document" shapeId="8199" r:id="rId10">
          <objectPr defaultSize="0" autoPict="0" r:id="rId11">
            <anchor moveWithCells="1">
              <from>
                <xdr:col>12</xdr:col>
                <xdr:colOff>527050</xdr:colOff>
                <xdr:row>41</xdr:row>
                <xdr:rowOff>139700</xdr:rowOff>
              </from>
              <to>
                <xdr:col>14</xdr:col>
                <xdr:colOff>755650</xdr:colOff>
                <xdr:row>53</xdr:row>
                <xdr:rowOff>63500</xdr:rowOff>
              </to>
            </anchor>
          </objectPr>
        </oleObject>
      </mc:Choice>
      <mc:Fallback>
        <oleObject progId="Prism8.Document" shapeId="8199" r:id="rId10"/>
      </mc:Fallback>
    </mc:AlternateContent>
    <mc:AlternateContent xmlns:mc="http://schemas.openxmlformats.org/markup-compatibility/2006">
      <mc:Choice Requires="x14">
        <oleObject progId="Prism8.Document" shapeId="8195" r:id="rId12">
          <objectPr defaultSize="0" autoPict="0" r:id="rId13">
            <anchor moveWithCells="1">
              <from>
                <xdr:col>26</xdr:col>
                <xdr:colOff>628650</xdr:colOff>
                <xdr:row>22</xdr:row>
                <xdr:rowOff>69850</xdr:rowOff>
              </from>
              <to>
                <xdr:col>29</xdr:col>
                <xdr:colOff>444500</xdr:colOff>
                <xdr:row>35</xdr:row>
                <xdr:rowOff>127000</xdr:rowOff>
              </to>
            </anchor>
          </objectPr>
        </oleObject>
      </mc:Choice>
      <mc:Fallback>
        <oleObject progId="Prism8.Document" shapeId="8195" r:id="rId12"/>
      </mc:Fallback>
    </mc:AlternateContent>
    <mc:AlternateContent xmlns:mc="http://schemas.openxmlformats.org/markup-compatibility/2006">
      <mc:Choice Requires="x14">
        <oleObject progId="Prism8.Document" shapeId="8197" r:id="rId14">
          <objectPr defaultSize="0" autoPict="0" r:id="rId15">
            <anchor moveWithCells="1">
              <from>
                <xdr:col>26</xdr:col>
                <xdr:colOff>406400</xdr:colOff>
                <xdr:row>41</xdr:row>
                <xdr:rowOff>133350</xdr:rowOff>
              </from>
              <to>
                <xdr:col>29</xdr:col>
                <xdr:colOff>44450</xdr:colOff>
                <xdr:row>53</xdr:row>
                <xdr:rowOff>127000</xdr:rowOff>
              </to>
            </anchor>
          </objectPr>
        </oleObject>
      </mc:Choice>
      <mc:Fallback>
        <oleObject progId="Prism8.Document" shapeId="8197" r:id="rId14"/>
      </mc:Fallback>
    </mc:AlternateContent>
    <mc:AlternateContent xmlns:mc="http://schemas.openxmlformats.org/markup-compatibility/2006">
      <mc:Choice Requires="x14">
        <oleObject progId="Prism8.Document" shapeId="8196" r:id="rId16">
          <objectPr defaultSize="0" autoPict="0" r:id="rId17">
            <anchor moveWithCells="1">
              <from>
                <xdr:col>33</xdr:col>
                <xdr:colOff>1377950</xdr:colOff>
                <xdr:row>17</xdr:row>
                <xdr:rowOff>133350</xdr:rowOff>
              </from>
              <to>
                <xdr:col>36</xdr:col>
                <xdr:colOff>1847850</xdr:colOff>
                <xdr:row>33</xdr:row>
                <xdr:rowOff>82550</xdr:rowOff>
              </to>
            </anchor>
          </objectPr>
        </oleObject>
      </mc:Choice>
      <mc:Fallback>
        <oleObject progId="Prism8.Document" shapeId="8196" r:id="rId1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00E4-FC3F-41F4-B171-0A6838271634}">
  <dimension ref="B2:AX60"/>
  <sheetViews>
    <sheetView zoomScale="25" zoomScaleNormal="25" workbookViewId="0">
      <selection activeCell="AP37" sqref="AP37:AS38"/>
    </sheetView>
  </sheetViews>
  <sheetFormatPr defaultColWidth="9.1796875" defaultRowHeight="14.5" x14ac:dyDescent="0.35"/>
  <cols>
    <col min="1" max="12" width="9.1796875" style="2"/>
    <col min="13" max="13" width="12.453125" style="2" customWidth="1"/>
    <col min="14" max="14" width="13.7265625" style="2" customWidth="1"/>
    <col min="15" max="15" width="14.453125" style="2" customWidth="1"/>
    <col min="16" max="16" width="27.7265625" style="2" customWidth="1"/>
    <col min="17" max="18" width="9.1796875" style="2"/>
    <col min="19" max="19" width="12.81640625" style="2" customWidth="1"/>
    <col min="20" max="20" width="15.81640625" style="2" customWidth="1"/>
    <col min="21" max="21" width="14.453125" style="2" customWidth="1"/>
    <col min="22" max="22" width="41.81640625" style="2" customWidth="1"/>
    <col min="23" max="23" width="9.1796875" style="2"/>
    <col min="24" max="24" width="13.81640625" style="2" customWidth="1"/>
    <col min="25" max="25" width="14.453125" style="2" customWidth="1"/>
    <col min="26" max="26" width="13.26953125" style="2" customWidth="1"/>
    <col min="27" max="27" width="14" style="2" customWidth="1"/>
    <col min="28" max="28" width="14.1796875" style="2" customWidth="1"/>
    <col min="29" max="29" width="39.6328125" style="2" customWidth="1"/>
    <col min="30" max="33" width="9.1796875" style="2"/>
    <col min="34" max="34" width="13.26953125" style="2" customWidth="1"/>
    <col min="35" max="38" width="9.1796875" style="2"/>
    <col min="39" max="39" width="11.7265625" style="2" customWidth="1"/>
    <col min="40" max="40" width="12" style="2" customWidth="1"/>
    <col min="41" max="41" width="10.453125" style="2" customWidth="1"/>
    <col min="42" max="42" width="33.453125" style="2" customWidth="1"/>
    <col min="43" max="43" width="13.81640625" style="2" customWidth="1"/>
    <col min="44" max="44" width="15" style="2" customWidth="1"/>
    <col min="45" max="45" width="37.26953125" style="2" customWidth="1"/>
    <col min="46" max="46" width="15.1796875" style="2" customWidth="1"/>
    <col min="47" max="47" width="13.453125" style="2" customWidth="1"/>
    <col min="48" max="48" width="9.1796875" style="2"/>
    <col min="49" max="49" width="18.1796875" style="2" customWidth="1"/>
    <col min="50" max="50" width="11.81640625" style="2" customWidth="1"/>
    <col min="51" max="51" width="11.453125" style="2" customWidth="1"/>
    <col min="52" max="16384" width="9.1796875" style="2"/>
  </cols>
  <sheetData>
    <row r="2" spans="2:50" ht="23.5" x14ac:dyDescent="0.55000000000000004">
      <c r="B2" s="109" t="s">
        <v>381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8"/>
      <c r="P2" s="108"/>
      <c r="Q2" s="108"/>
      <c r="R2" s="108"/>
      <c r="S2" s="107"/>
      <c r="T2" s="107"/>
      <c r="U2" s="107"/>
    </row>
    <row r="3" spans="2:50" ht="23.5" x14ac:dyDescent="0.55000000000000004">
      <c r="B3" s="110"/>
      <c r="C3" s="110"/>
      <c r="D3" s="109" t="s">
        <v>344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7"/>
      <c r="P3" s="107"/>
      <c r="Q3" s="107"/>
      <c r="R3" s="107"/>
      <c r="S3"/>
      <c r="T3"/>
      <c r="U3"/>
    </row>
    <row r="5" spans="2:50" ht="23.5" customHeight="1" x14ac:dyDescent="0.45">
      <c r="B5" s="155" t="s">
        <v>346</v>
      </c>
      <c r="C5" s="155"/>
      <c r="D5" s="155"/>
      <c r="E5" s="155"/>
      <c r="F5" s="155"/>
      <c r="G5" s="155"/>
      <c r="H5" s="155"/>
      <c r="I5" s="155"/>
      <c r="J5" s="155"/>
    </row>
    <row r="6" spans="2:50" x14ac:dyDescent="0.35">
      <c r="B6" s="154" t="s">
        <v>45</v>
      </c>
      <c r="C6" s="154"/>
      <c r="D6" s="154"/>
      <c r="E6" s="154"/>
      <c r="G6" s="154" t="s">
        <v>46</v>
      </c>
      <c r="H6" s="154"/>
      <c r="I6" s="154"/>
      <c r="J6" s="154"/>
    </row>
    <row r="7" spans="2:50" x14ac:dyDescent="0.35">
      <c r="B7" s="27" t="s">
        <v>47</v>
      </c>
      <c r="C7" s="27" t="s">
        <v>48</v>
      </c>
      <c r="D7" s="27" t="s">
        <v>49</v>
      </c>
      <c r="E7" s="27" t="s">
        <v>50</v>
      </c>
      <c r="G7" s="27" t="s">
        <v>47</v>
      </c>
      <c r="H7" s="27" t="s">
        <v>51</v>
      </c>
      <c r="I7" s="27" t="s">
        <v>49</v>
      </c>
      <c r="J7" s="27" t="s">
        <v>50</v>
      </c>
    </row>
    <row r="8" spans="2:50" x14ac:dyDescent="0.35">
      <c r="B8" t="s">
        <v>435</v>
      </c>
      <c r="C8" s="28" t="s">
        <v>52</v>
      </c>
      <c r="D8" s="6" t="s">
        <v>53</v>
      </c>
      <c r="E8" s="28" t="s">
        <v>52</v>
      </c>
      <c r="G8" t="s">
        <v>382</v>
      </c>
      <c r="H8" s="28" t="s">
        <v>52</v>
      </c>
      <c r="I8" s="28" t="s">
        <v>52</v>
      </c>
      <c r="J8" s="6" t="s">
        <v>53</v>
      </c>
      <c r="M8" s="156" t="s">
        <v>347</v>
      </c>
      <c r="N8" s="156"/>
      <c r="O8" s="156"/>
      <c r="P8" s="156"/>
      <c r="Q8" s="156"/>
      <c r="S8" s="156" t="s">
        <v>355</v>
      </c>
      <c r="T8" s="156"/>
      <c r="U8" s="156"/>
      <c r="V8" s="156"/>
      <c r="W8" s="156"/>
      <c r="Z8" s="156" t="s">
        <v>360</v>
      </c>
      <c r="AA8" s="156"/>
      <c r="AB8" s="156"/>
      <c r="AC8" s="156"/>
      <c r="AD8" s="156"/>
      <c r="AG8" s="156" t="s">
        <v>475</v>
      </c>
      <c r="AH8" s="156"/>
      <c r="AI8" s="156"/>
      <c r="AJ8" s="156"/>
      <c r="AK8" s="156"/>
      <c r="AL8" s="156"/>
      <c r="AM8" s="156"/>
      <c r="AN8" s="156"/>
      <c r="AO8" s="156"/>
    </row>
    <row r="9" spans="2:50" x14ac:dyDescent="0.35">
      <c r="B9" t="s">
        <v>436</v>
      </c>
      <c r="C9" s="28" t="s">
        <v>52</v>
      </c>
      <c r="D9" s="28" t="s">
        <v>52</v>
      </c>
      <c r="E9" s="28" t="s">
        <v>52</v>
      </c>
      <c r="G9" t="s">
        <v>383</v>
      </c>
      <c r="H9" s="6" t="s">
        <v>53</v>
      </c>
      <c r="I9" s="6" t="s">
        <v>53</v>
      </c>
      <c r="J9" s="6" t="s">
        <v>53</v>
      </c>
      <c r="M9" s="154" t="s">
        <v>348</v>
      </c>
      <c r="N9" s="154"/>
      <c r="O9" s="154"/>
      <c r="P9" s="154"/>
      <c r="Q9" s="154"/>
      <c r="S9" s="154" t="s">
        <v>356</v>
      </c>
      <c r="T9" s="154"/>
      <c r="U9" s="154"/>
      <c r="V9" s="154"/>
      <c r="W9" s="154"/>
      <c r="Z9" s="154" t="s">
        <v>361</v>
      </c>
      <c r="AA9" s="154"/>
      <c r="AB9" s="154"/>
      <c r="AC9" s="154"/>
      <c r="AD9" s="154"/>
      <c r="AG9" s="154" t="s">
        <v>364</v>
      </c>
      <c r="AH9" s="154"/>
      <c r="AI9" s="154"/>
      <c r="AJ9" s="154"/>
      <c r="AK9" s="154"/>
      <c r="AL9" s="154"/>
      <c r="AM9" s="154"/>
      <c r="AN9" s="154"/>
      <c r="AO9" s="154"/>
    </row>
    <row r="10" spans="2:50" x14ac:dyDescent="0.35">
      <c r="B10" t="s">
        <v>437</v>
      </c>
      <c r="C10" s="28" t="s">
        <v>52</v>
      </c>
      <c r="D10" s="28" t="s">
        <v>52</v>
      </c>
      <c r="E10" s="28" t="s">
        <v>52</v>
      </c>
      <c r="G10" t="s">
        <v>384</v>
      </c>
      <c r="H10" s="32" t="s">
        <v>55</v>
      </c>
      <c r="I10" s="32" t="s">
        <v>55</v>
      </c>
      <c r="J10" s="6" t="s">
        <v>53</v>
      </c>
      <c r="M10" s="27"/>
      <c r="N10" s="111" t="s">
        <v>52</v>
      </c>
      <c r="O10" s="121" t="s">
        <v>53</v>
      </c>
      <c r="P10" s="27" t="s">
        <v>55</v>
      </c>
      <c r="Q10" s="27" t="s">
        <v>8</v>
      </c>
      <c r="S10" s="27"/>
      <c r="T10" s="111" t="s">
        <v>52</v>
      </c>
      <c r="U10" s="121" t="s">
        <v>53</v>
      </c>
      <c r="V10" s="115" t="s">
        <v>55</v>
      </c>
      <c r="W10" s="27" t="s">
        <v>8</v>
      </c>
      <c r="Z10" s="27"/>
      <c r="AA10" s="111" t="s">
        <v>52</v>
      </c>
      <c r="AB10" s="121" t="s">
        <v>53</v>
      </c>
      <c r="AC10" s="115" t="s">
        <v>55</v>
      </c>
      <c r="AD10" s="27" t="s">
        <v>8</v>
      </c>
      <c r="AH10" s="27" t="s">
        <v>58</v>
      </c>
      <c r="AI10" s="27" t="s">
        <v>59</v>
      </c>
      <c r="AJ10" s="27" t="s">
        <v>60</v>
      </c>
      <c r="AK10" s="27" t="s">
        <v>61</v>
      </c>
      <c r="AL10" s="27" t="s">
        <v>62</v>
      </c>
      <c r="AM10" s="27" t="s">
        <v>64</v>
      </c>
      <c r="AN10" s="27" t="s">
        <v>8</v>
      </c>
    </row>
    <row r="11" spans="2:50" x14ac:dyDescent="0.35">
      <c r="B11" t="s">
        <v>438</v>
      </c>
      <c r="C11" s="28" t="s">
        <v>52</v>
      </c>
      <c r="D11" s="28" t="s">
        <v>52</v>
      </c>
      <c r="E11" s="28" t="s">
        <v>52</v>
      </c>
      <c r="G11" t="s">
        <v>385</v>
      </c>
      <c r="H11" s="32" t="s">
        <v>55</v>
      </c>
      <c r="I11" s="32" t="s">
        <v>55</v>
      </c>
      <c r="J11" s="32" t="s">
        <v>55</v>
      </c>
      <c r="M11" s="27" t="s">
        <v>19</v>
      </c>
      <c r="N11" s="112">
        <f>COUNTIF(H8:H60,"RR")</f>
        <v>15</v>
      </c>
      <c r="O11" s="122">
        <f>COUNTIF(H8:H60,"RS")</f>
        <v>23</v>
      </c>
      <c r="P11" s="2">
        <f>COUNTIF(H8:H60,"SS")</f>
        <v>11</v>
      </c>
      <c r="Q11" s="2">
        <f>SUM(N11:P11)</f>
        <v>49</v>
      </c>
      <c r="S11" s="27" t="s">
        <v>19</v>
      </c>
      <c r="T11" s="112">
        <f>COUNTIF(I8:I60,"RR")</f>
        <v>13</v>
      </c>
      <c r="U11" s="122">
        <f>COUNTIF(I8:I60,"RS")</f>
        <v>26</v>
      </c>
      <c r="V11" s="116">
        <f>COUNTIF(I8:I60,"SS")</f>
        <v>13</v>
      </c>
      <c r="W11" s="2">
        <f>SUM(T11:V11)</f>
        <v>52</v>
      </c>
      <c r="Z11" s="27" t="s">
        <v>19</v>
      </c>
      <c r="AA11" s="112">
        <f>COUNTIF(J8:J60,"RR")</f>
        <v>9</v>
      </c>
      <c r="AB11" s="122">
        <f>COUNTIF(J8:J60,"RS")</f>
        <v>32</v>
      </c>
      <c r="AC11" s="116">
        <f>COUNTIF(J8:J60,"SS")</f>
        <v>11</v>
      </c>
      <c r="AD11" s="2">
        <f>SUM(AA11:AC11)</f>
        <v>52</v>
      </c>
      <c r="AG11" s="27" t="s">
        <v>19</v>
      </c>
      <c r="AH11" s="2">
        <f>COUNTIFS(H8:H57, "RR", I8:I57, "RR", J8:J57, "RR")</f>
        <v>4</v>
      </c>
      <c r="AI11" s="2">
        <f>COUNTIFS(H8:H65, "RR", I8:I65, "RR", J8:J65, "RS")</f>
        <v>2</v>
      </c>
      <c r="AJ11" s="2">
        <f>COUNTIFS(H8:H65, "RR", I8:I65, "RS", J8:J65, "RS")</f>
        <v>8</v>
      </c>
      <c r="AK11" s="2">
        <f>COUNTIFS(H8:H65, "RS", I8:I65, "RS", J8:J65, "RR")</f>
        <v>0</v>
      </c>
      <c r="AL11" s="2">
        <f>COUNTIFS(H8:H65, "RS", I8:I65, "RS", J8:J65, "RS")</f>
        <v>14</v>
      </c>
      <c r="AM11" s="2">
        <f>COUNTIFS(H8:H65, "SS", I8:I65, "SS", J8:J65, "SS")</f>
        <v>8</v>
      </c>
      <c r="AN11" s="2">
        <f>SUM(AH11:AM11)</f>
        <v>36</v>
      </c>
    </row>
    <row r="12" spans="2:50" x14ac:dyDescent="0.35">
      <c r="B12" t="s">
        <v>439</v>
      </c>
      <c r="C12" s="28" t="s">
        <v>52</v>
      </c>
      <c r="D12" s="28" t="s">
        <v>52</v>
      </c>
      <c r="E12" s="28" t="s">
        <v>52</v>
      </c>
      <c r="G12" t="s">
        <v>386</v>
      </c>
      <c r="H12" s="28" t="s">
        <v>52</v>
      </c>
      <c r="I12" s="6" t="s">
        <v>53</v>
      </c>
      <c r="J12" s="6" t="s">
        <v>53</v>
      </c>
      <c r="M12" s="27" t="s">
        <v>18</v>
      </c>
      <c r="N12" s="112">
        <f>COUNTIF(C8:C38,"RR")</f>
        <v>26</v>
      </c>
      <c r="O12" s="122">
        <f>COUNTIF(C8:C38,"RS")</f>
        <v>5</v>
      </c>
      <c r="P12" s="2">
        <f>COUNTIF(C8:C38,"SS")</f>
        <v>0</v>
      </c>
      <c r="Q12" s="2">
        <f>SUM(N12:P12)</f>
        <v>31</v>
      </c>
      <c r="S12" s="27" t="s">
        <v>18</v>
      </c>
      <c r="T12" s="112">
        <f>COUNTIF(D8:D38,"RR")</f>
        <v>21</v>
      </c>
      <c r="U12" s="122">
        <f>COUNTIF(D8:D38,"RS")</f>
        <v>10</v>
      </c>
      <c r="V12" s="116">
        <f>COUNTIF(D8:D38,"SS")</f>
        <v>0</v>
      </c>
      <c r="W12" s="2">
        <f>SUM(T12:V12)</f>
        <v>31</v>
      </c>
      <c r="Z12" s="27" t="s">
        <v>18</v>
      </c>
      <c r="AA12" s="112">
        <f>COUNTIF(E8:E38,"RR")</f>
        <v>21</v>
      </c>
      <c r="AB12" s="122">
        <f>COUNTIF(E8:E38,"RS")</f>
        <v>10</v>
      </c>
      <c r="AC12" s="116">
        <f>COUNTIF(E8:E38,"SS")</f>
        <v>0</v>
      </c>
      <c r="AD12" s="2">
        <f>SUM(AA12:AC12)</f>
        <v>31</v>
      </c>
      <c r="AG12" s="27" t="s">
        <v>18</v>
      </c>
      <c r="AH12" s="2">
        <f>COUNTIFS(C8:C38, "RR", D8:D38, "RR", E8:E38, "RR")</f>
        <v>18</v>
      </c>
      <c r="AI12" s="2">
        <f>COUNTIFS(C8:C65, "RR", D8:D65, "RR", E8:E65, "RS")</f>
        <v>3</v>
      </c>
      <c r="AJ12" s="2">
        <f>COUNTIFS(C8:C65, "RR", D8:D65, "RS", E8:E65, "RS")</f>
        <v>4</v>
      </c>
      <c r="AK12" s="2">
        <f>COUNTIFS(C8:C65, "RS", D8:D65, "RS", E8:E65, "RR")</f>
        <v>2</v>
      </c>
      <c r="AL12" s="2">
        <f>COUNTIFS(C8:C65, "RS", D8:D65, "RS", E8:E65, "RS")</f>
        <v>3</v>
      </c>
      <c r="AM12" s="2">
        <f>COUNTIFS(C8:C65, "SS", D8:D65, "SS", E8:E65, "SS")</f>
        <v>0</v>
      </c>
      <c r="AN12" s="2">
        <f>SUM(AH12:AM12)</f>
        <v>30</v>
      </c>
      <c r="AP12" s="156" t="s">
        <v>475</v>
      </c>
      <c r="AQ12" s="156"/>
      <c r="AR12" s="156"/>
      <c r="AS12" s="156"/>
      <c r="AT12" s="156"/>
      <c r="AU12" s="156"/>
      <c r="AV12" s="120"/>
      <c r="AW12" s="120"/>
      <c r="AX12" s="120"/>
    </row>
    <row r="13" spans="2:50" x14ac:dyDescent="0.35">
      <c r="B13" t="s">
        <v>440</v>
      </c>
      <c r="C13" s="28" t="s">
        <v>52</v>
      </c>
      <c r="D13" s="28" t="s">
        <v>52</v>
      </c>
      <c r="E13" s="28" t="s">
        <v>52</v>
      </c>
      <c r="G13" t="s">
        <v>387</v>
      </c>
      <c r="H13" s="28" t="s">
        <v>52</v>
      </c>
      <c r="I13" s="28" t="s">
        <v>52</v>
      </c>
      <c r="J13" s="28" t="s">
        <v>52</v>
      </c>
      <c r="N13" s="112">
        <f>SUM(N11:N12)</f>
        <v>41</v>
      </c>
      <c r="O13" s="122">
        <f t="shared" ref="O13:P13" si="0">SUM(O11:O12)</f>
        <v>28</v>
      </c>
      <c r="P13" s="2">
        <f t="shared" si="0"/>
        <v>11</v>
      </c>
      <c r="T13" s="112">
        <f>SUM(T11:T12)</f>
        <v>34</v>
      </c>
      <c r="U13" s="122">
        <f t="shared" ref="U13:V13" si="1">SUM(U11:U12)</f>
        <v>36</v>
      </c>
      <c r="V13" s="116">
        <f t="shared" si="1"/>
        <v>13</v>
      </c>
      <c r="AA13" s="112">
        <f>SUM(AA11:AA12)</f>
        <v>30</v>
      </c>
      <c r="AB13" s="122">
        <f t="shared" ref="AB13:AC13" si="2">SUM(AB11:AB12)</f>
        <v>42</v>
      </c>
      <c r="AC13" s="116">
        <f t="shared" si="2"/>
        <v>11</v>
      </c>
      <c r="AH13" s="2">
        <f>SUM(AH11:AH12)</f>
        <v>22</v>
      </c>
      <c r="AI13" s="2">
        <f t="shared" ref="AI13:AM13" si="3">SUM(AI11:AI12)</f>
        <v>5</v>
      </c>
      <c r="AJ13" s="2">
        <f t="shared" si="3"/>
        <v>12</v>
      </c>
      <c r="AK13" s="2">
        <f t="shared" si="3"/>
        <v>2</v>
      </c>
      <c r="AL13" s="2">
        <f t="shared" si="3"/>
        <v>17</v>
      </c>
      <c r="AM13" s="2">
        <f t="shared" si="3"/>
        <v>8</v>
      </c>
      <c r="AP13" s="154" t="s">
        <v>364</v>
      </c>
      <c r="AQ13" s="154"/>
      <c r="AR13" s="154"/>
      <c r="AS13" s="154"/>
      <c r="AT13" s="154"/>
      <c r="AU13" s="154"/>
      <c r="AV13" s="120"/>
      <c r="AW13" s="120"/>
      <c r="AX13" s="120"/>
    </row>
    <row r="14" spans="2:50" x14ac:dyDescent="0.35">
      <c r="B14" t="s">
        <v>441</v>
      </c>
      <c r="C14" s="28" t="s">
        <v>52</v>
      </c>
      <c r="D14" s="28" t="s">
        <v>52</v>
      </c>
      <c r="E14" s="6" t="s">
        <v>53</v>
      </c>
      <c r="G14" t="s">
        <v>388</v>
      </c>
      <c r="H14" s="32" t="s">
        <v>55</v>
      </c>
      <c r="I14" s="32" t="s">
        <v>55</v>
      </c>
      <c r="J14" s="32" t="s">
        <v>55</v>
      </c>
      <c r="M14" s="154" t="s">
        <v>349</v>
      </c>
      <c r="N14" s="154"/>
      <c r="O14" s="154"/>
      <c r="P14" s="154"/>
      <c r="Q14" s="154"/>
      <c r="S14" s="154" t="s">
        <v>357</v>
      </c>
      <c r="T14" s="154"/>
      <c r="U14" s="154"/>
      <c r="V14" s="154"/>
      <c r="W14" s="154"/>
      <c r="Z14" s="154" t="s">
        <v>362</v>
      </c>
      <c r="AA14" s="154"/>
      <c r="AB14" s="154"/>
      <c r="AC14" s="154"/>
      <c r="AD14" s="154"/>
      <c r="AG14" s="154" t="s">
        <v>365</v>
      </c>
      <c r="AH14" s="154"/>
      <c r="AI14" s="154"/>
      <c r="AJ14" s="154"/>
      <c r="AK14" s="154"/>
      <c r="AL14" s="154"/>
      <c r="AM14" s="154"/>
      <c r="AN14" s="154"/>
      <c r="AO14" s="154"/>
    </row>
    <row r="15" spans="2:50" x14ac:dyDescent="0.35">
      <c r="B15" t="s">
        <v>442</v>
      </c>
      <c r="C15" s="28" t="s">
        <v>52</v>
      </c>
      <c r="D15" s="28" t="s">
        <v>52</v>
      </c>
      <c r="E15" s="28" t="s">
        <v>52</v>
      </c>
      <c r="G15" t="s">
        <v>389</v>
      </c>
      <c r="H15" s="6" t="s">
        <v>53</v>
      </c>
      <c r="I15" s="6" t="s">
        <v>53</v>
      </c>
      <c r="J15" s="6" t="s">
        <v>53</v>
      </c>
      <c r="M15" s="27"/>
      <c r="N15" s="111" t="s">
        <v>52</v>
      </c>
      <c r="O15" s="121" t="s">
        <v>53</v>
      </c>
      <c r="P15" s="27" t="s">
        <v>55</v>
      </c>
      <c r="Q15" s="27" t="s">
        <v>65</v>
      </c>
      <c r="S15" s="27"/>
      <c r="T15" s="111" t="s">
        <v>52</v>
      </c>
      <c r="U15" s="121" t="s">
        <v>53</v>
      </c>
      <c r="V15" s="115" t="s">
        <v>55</v>
      </c>
      <c r="W15" s="27" t="s">
        <v>65</v>
      </c>
      <c r="Z15" s="27"/>
      <c r="AA15" s="111" t="s">
        <v>52</v>
      </c>
      <c r="AB15" s="121" t="s">
        <v>53</v>
      </c>
      <c r="AC15" s="115" t="s">
        <v>55</v>
      </c>
      <c r="AD15" s="27" t="s">
        <v>65</v>
      </c>
      <c r="AH15" s="27" t="s">
        <v>58</v>
      </c>
      <c r="AI15" s="27" t="s">
        <v>59</v>
      </c>
      <c r="AJ15" s="27" t="s">
        <v>60</v>
      </c>
      <c r="AK15" s="27" t="s">
        <v>61</v>
      </c>
      <c r="AL15" s="27" t="s">
        <v>62</v>
      </c>
      <c r="AM15" s="27" t="s">
        <v>64</v>
      </c>
      <c r="AQ15" s="27" t="s">
        <v>58</v>
      </c>
      <c r="AR15" s="27" t="s">
        <v>59</v>
      </c>
      <c r="AS15" s="27" t="s">
        <v>60</v>
      </c>
      <c r="AT15" s="27" t="s">
        <v>62</v>
      </c>
      <c r="AU15" s="27" t="s">
        <v>64</v>
      </c>
    </row>
    <row r="16" spans="2:50" x14ac:dyDescent="0.35">
      <c r="B16" t="s">
        <v>443</v>
      </c>
      <c r="C16" s="28" t="s">
        <v>52</v>
      </c>
      <c r="D16" s="28" t="s">
        <v>52</v>
      </c>
      <c r="E16" s="28" t="s">
        <v>52</v>
      </c>
      <c r="G16" t="s">
        <v>390</v>
      </c>
      <c r="H16" s="28" t="s">
        <v>52</v>
      </c>
      <c r="I16" s="6" t="s">
        <v>53</v>
      </c>
      <c r="J16" s="6" t="s">
        <v>53</v>
      </c>
      <c r="M16" s="27" t="s">
        <v>19</v>
      </c>
      <c r="N16" s="113">
        <f>N11/$Q$11*100</f>
        <v>30.612244897959183</v>
      </c>
      <c r="O16" s="123">
        <f>O11/$Q$11*100</f>
        <v>46.938775510204081</v>
      </c>
      <c r="P16" s="30">
        <f>P11/$Q$11*100</f>
        <v>22.448979591836736</v>
      </c>
      <c r="Q16" s="30">
        <v>100</v>
      </c>
      <c r="S16" s="27" t="s">
        <v>19</v>
      </c>
      <c r="T16" s="113">
        <f>T11/$W$11*100</f>
        <v>25</v>
      </c>
      <c r="U16" s="123">
        <f>U11/$W$11*100</f>
        <v>50</v>
      </c>
      <c r="V16" s="117">
        <f>V11/$W$11*100</f>
        <v>25</v>
      </c>
      <c r="W16" s="30">
        <v>100</v>
      </c>
      <c r="Z16" s="27" t="s">
        <v>19</v>
      </c>
      <c r="AA16" s="113">
        <f>AA11/$AD$11*100</f>
        <v>17.307692307692307</v>
      </c>
      <c r="AB16" s="123">
        <f>AB11/$AD$11*100</f>
        <v>61.53846153846154</v>
      </c>
      <c r="AC16" s="117">
        <f>AC11/$AD$11*100</f>
        <v>21.153846153846153</v>
      </c>
      <c r="AD16" s="30">
        <v>100</v>
      </c>
      <c r="AG16" s="2" t="s">
        <v>19</v>
      </c>
      <c r="AH16" s="30">
        <f t="shared" ref="AH16:AM16" si="4">AH11/AH13*100</f>
        <v>18.181818181818183</v>
      </c>
      <c r="AI16" s="2">
        <f t="shared" si="4"/>
        <v>40</v>
      </c>
      <c r="AJ16" s="30">
        <f t="shared" si="4"/>
        <v>66.666666666666657</v>
      </c>
      <c r="AK16" s="30">
        <f t="shared" si="4"/>
        <v>0</v>
      </c>
      <c r="AL16" s="30">
        <f t="shared" si="4"/>
        <v>82.35294117647058</v>
      </c>
      <c r="AM16" s="2">
        <f t="shared" si="4"/>
        <v>100</v>
      </c>
      <c r="AP16" s="27" t="s">
        <v>19</v>
      </c>
      <c r="AQ16" s="30">
        <v>4</v>
      </c>
      <c r="AR16" s="2">
        <v>2</v>
      </c>
      <c r="AS16" s="30">
        <v>8</v>
      </c>
      <c r="AT16" s="30">
        <v>14</v>
      </c>
      <c r="AU16" s="2">
        <v>8</v>
      </c>
    </row>
    <row r="17" spans="2:50" x14ac:dyDescent="0.35">
      <c r="B17" t="s">
        <v>444</v>
      </c>
      <c r="C17" s="28" t="s">
        <v>52</v>
      </c>
      <c r="D17" s="28" t="s">
        <v>52</v>
      </c>
      <c r="E17" s="6" t="s">
        <v>53</v>
      </c>
      <c r="G17" t="s">
        <v>391</v>
      </c>
      <c r="H17" s="6" t="s">
        <v>53</v>
      </c>
      <c r="I17" s="6" t="s">
        <v>53</v>
      </c>
      <c r="J17" s="6" t="s">
        <v>53</v>
      </c>
      <c r="M17" s="27" t="s">
        <v>18</v>
      </c>
      <c r="N17" s="113">
        <f>N12/$Q$12*100</f>
        <v>83.870967741935488</v>
      </c>
      <c r="O17" s="123">
        <f>O12/$Q$12*100</f>
        <v>16.129032258064516</v>
      </c>
      <c r="P17" s="30">
        <f>P12/$Q$12*100</f>
        <v>0</v>
      </c>
      <c r="Q17" s="30">
        <v>100</v>
      </c>
      <c r="S17" s="27" t="s">
        <v>18</v>
      </c>
      <c r="T17" s="113">
        <f>T12/$W$12*100</f>
        <v>67.741935483870961</v>
      </c>
      <c r="U17" s="123">
        <f>U12/$W$12*100</f>
        <v>32.258064516129032</v>
      </c>
      <c r="V17" s="117">
        <f>V12/$W$12*100</f>
        <v>0</v>
      </c>
      <c r="W17" s="30">
        <v>100</v>
      </c>
      <c r="Z17" s="27" t="s">
        <v>18</v>
      </c>
      <c r="AA17" s="113">
        <f>AA12/$AD$12*100</f>
        <v>67.741935483870961</v>
      </c>
      <c r="AB17" s="123">
        <f>AB12/$AD$12*100</f>
        <v>32.258064516129032</v>
      </c>
      <c r="AC17" s="117">
        <f>AC12/$Q$12*100</f>
        <v>0</v>
      </c>
      <c r="AD17" s="30">
        <v>100</v>
      </c>
      <c r="AG17" s="2" t="s">
        <v>18</v>
      </c>
      <c r="AH17" s="30">
        <f t="shared" ref="AH17:AM17" si="5">AH12/AH13*100</f>
        <v>81.818181818181827</v>
      </c>
      <c r="AI17" s="2">
        <f t="shared" si="5"/>
        <v>60</v>
      </c>
      <c r="AJ17" s="30">
        <f t="shared" si="5"/>
        <v>33.333333333333329</v>
      </c>
      <c r="AK17" s="30">
        <f t="shared" si="5"/>
        <v>100</v>
      </c>
      <c r="AL17" s="30">
        <f t="shared" si="5"/>
        <v>17.647058823529413</v>
      </c>
      <c r="AM17" s="2">
        <f t="shared" si="5"/>
        <v>0</v>
      </c>
      <c r="AP17" s="27" t="s">
        <v>18</v>
      </c>
      <c r="AQ17" s="30">
        <v>18</v>
      </c>
      <c r="AR17" s="2">
        <v>3</v>
      </c>
      <c r="AS17" s="30">
        <v>6</v>
      </c>
      <c r="AT17" s="30">
        <v>3</v>
      </c>
      <c r="AU17" s="2">
        <v>0</v>
      </c>
    </row>
    <row r="18" spans="2:50" x14ac:dyDescent="0.35">
      <c r="B18" t="s">
        <v>445</v>
      </c>
      <c r="C18" s="28" t="s">
        <v>52</v>
      </c>
      <c r="D18" s="28" t="s">
        <v>52</v>
      </c>
      <c r="E18" s="6" t="s">
        <v>53</v>
      </c>
      <c r="G18" t="s">
        <v>392</v>
      </c>
      <c r="H18" s="6" t="s">
        <v>53</v>
      </c>
      <c r="I18" s="6" t="s">
        <v>53</v>
      </c>
      <c r="J18" s="6" t="s">
        <v>53</v>
      </c>
      <c r="M18" s="154" t="s">
        <v>349</v>
      </c>
      <c r="N18" s="154"/>
      <c r="O18" s="154"/>
      <c r="P18" s="154"/>
      <c r="Q18" s="154"/>
      <c r="S18" s="154" t="s">
        <v>357</v>
      </c>
      <c r="T18" s="154"/>
      <c r="U18" s="154"/>
      <c r="V18" s="154"/>
      <c r="W18" s="154"/>
      <c r="Z18" s="154" t="s">
        <v>362</v>
      </c>
      <c r="AA18" s="154"/>
      <c r="AB18" s="154"/>
      <c r="AC18" s="154"/>
      <c r="AD18" s="154"/>
      <c r="AQ18" s="30">
        <f>SUM(AQ16:AQ17)</f>
        <v>22</v>
      </c>
      <c r="AR18" s="30">
        <f t="shared" ref="AR18:AU18" si="6">SUM(AR16:AR17)</f>
        <v>5</v>
      </c>
      <c r="AS18" s="30">
        <f t="shared" si="6"/>
        <v>14</v>
      </c>
      <c r="AT18" s="30">
        <f t="shared" si="6"/>
        <v>17</v>
      </c>
      <c r="AU18" s="30">
        <f t="shared" si="6"/>
        <v>8</v>
      </c>
    </row>
    <row r="19" spans="2:50" x14ac:dyDescent="0.35">
      <c r="B19" t="s">
        <v>446</v>
      </c>
      <c r="C19" s="6" t="s">
        <v>53</v>
      </c>
      <c r="D19" s="6" t="s">
        <v>53</v>
      </c>
      <c r="E19" s="6" t="s">
        <v>53</v>
      </c>
      <c r="G19" t="s">
        <v>393</v>
      </c>
      <c r="H19" s="6" t="s">
        <v>53</v>
      </c>
      <c r="I19" s="28" t="s">
        <v>52</v>
      </c>
      <c r="J19" s="28" t="s">
        <v>52</v>
      </c>
      <c r="M19" s="27"/>
      <c r="N19" s="111" t="s">
        <v>52</v>
      </c>
      <c r="O19" s="121" t="s">
        <v>53</v>
      </c>
      <c r="P19" s="27" t="s">
        <v>55</v>
      </c>
      <c r="S19" s="27"/>
      <c r="T19" s="111" t="s">
        <v>52</v>
      </c>
      <c r="U19" s="121" t="s">
        <v>53</v>
      </c>
      <c r="V19" s="115" t="s">
        <v>55</v>
      </c>
      <c r="Z19" s="27" t="s">
        <v>122</v>
      </c>
      <c r="AA19" s="111" t="s">
        <v>52</v>
      </c>
      <c r="AB19" s="121" t="s">
        <v>53</v>
      </c>
      <c r="AC19" s="115" t="s">
        <v>55</v>
      </c>
      <c r="AP19" s="154" t="s">
        <v>365</v>
      </c>
      <c r="AQ19" s="154"/>
      <c r="AR19" s="154"/>
      <c r="AS19" s="154"/>
      <c r="AT19" s="154"/>
      <c r="AU19" s="154"/>
      <c r="AV19" s="120"/>
      <c r="AW19" s="120"/>
      <c r="AX19" s="120"/>
    </row>
    <row r="20" spans="2:50" x14ac:dyDescent="0.35">
      <c r="B20" t="s">
        <v>447</v>
      </c>
      <c r="C20" s="28" t="s">
        <v>52</v>
      </c>
      <c r="D20" s="28" t="s">
        <v>52</v>
      </c>
      <c r="E20" s="28" t="s">
        <v>52</v>
      </c>
      <c r="G20" t="s">
        <v>394</v>
      </c>
      <c r="H20" s="32" t="s">
        <v>55</v>
      </c>
      <c r="I20" s="32" t="s">
        <v>55</v>
      </c>
      <c r="J20" s="32" t="s">
        <v>55</v>
      </c>
      <c r="M20" s="27" t="s">
        <v>19</v>
      </c>
      <c r="N20" s="113">
        <f>N11/N13*100</f>
        <v>36.585365853658537</v>
      </c>
      <c r="O20" s="123">
        <f t="shared" ref="O20:P20" si="7">O11/O13*100</f>
        <v>82.142857142857139</v>
      </c>
      <c r="P20" s="2">
        <f t="shared" si="7"/>
        <v>100</v>
      </c>
      <c r="S20" s="27" t="s">
        <v>19</v>
      </c>
      <c r="T20" s="113">
        <f>T11/T13*100</f>
        <v>38.235294117647058</v>
      </c>
      <c r="U20" s="123">
        <f t="shared" ref="U20:V20" si="8">U11/U13*100</f>
        <v>72.222222222222214</v>
      </c>
      <c r="V20" s="117">
        <f t="shared" si="8"/>
        <v>100</v>
      </c>
      <c r="Z20" s="27" t="s">
        <v>19</v>
      </c>
      <c r="AA20" s="113">
        <f>AA11/AA13*100</f>
        <v>30</v>
      </c>
      <c r="AB20" s="123">
        <f t="shared" ref="AB20:AC20" si="9">AB11/AB13*100</f>
        <v>76.19047619047619</v>
      </c>
      <c r="AC20" s="117">
        <f t="shared" si="9"/>
        <v>100</v>
      </c>
      <c r="AQ20" s="27" t="s">
        <v>58</v>
      </c>
      <c r="AR20" s="27" t="s">
        <v>59</v>
      </c>
      <c r="AS20" s="27" t="s">
        <v>60</v>
      </c>
      <c r="AT20" s="27" t="s">
        <v>62</v>
      </c>
      <c r="AU20" s="27" t="s">
        <v>64</v>
      </c>
    </row>
    <row r="21" spans="2:50" x14ac:dyDescent="0.35">
      <c r="B21" t="s">
        <v>448</v>
      </c>
      <c r="C21" s="28" t="s">
        <v>52</v>
      </c>
      <c r="D21" s="28" t="s">
        <v>52</v>
      </c>
      <c r="E21" s="28" t="s">
        <v>52</v>
      </c>
      <c r="G21" t="s">
        <v>395</v>
      </c>
      <c r="H21" s="6" t="s">
        <v>53</v>
      </c>
      <c r="I21" s="6" t="s">
        <v>53</v>
      </c>
      <c r="J21" s="6" t="s">
        <v>53</v>
      </c>
      <c r="M21" s="27" t="s">
        <v>18</v>
      </c>
      <c r="N21" s="113">
        <f>N12/N13*100</f>
        <v>63.414634146341463</v>
      </c>
      <c r="O21" s="123">
        <f t="shared" ref="O21:P21" si="10">O12/O13*100</f>
        <v>17.857142857142858</v>
      </c>
      <c r="P21" s="2">
        <f t="shared" si="10"/>
        <v>0</v>
      </c>
      <c r="S21" s="27" t="s">
        <v>18</v>
      </c>
      <c r="T21" s="113">
        <f>T12/T13*100</f>
        <v>61.764705882352942</v>
      </c>
      <c r="U21" s="123">
        <f t="shared" ref="U21:V21" si="11">U12/U13*100</f>
        <v>27.777777777777779</v>
      </c>
      <c r="V21" s="117">
        <f t="shared" si="11"/>
        <v>0</v>
      </c>
      <c r="Z21" s="27" t="s">
        <v>18</v>
      </c>
      <c r="AA21" s="113">
        <f>AA12/AA13*100</f>
        <v>70</v>
      </c>
      <c r="AB21" s="123">
        <f t="shared" ref="AB21:AC21" si="12">AB12/AB13*100</f>
        <v>23.809523809523807</v>
      </c>
      <c r="AC21" s="117">
        <f t="shared" si="12"/>
        <v>0</v>
      </c>
      <c r="AP21" s="27" t="s">
        <v>19</v>
      </c>
      <c r="AQ21" s="30">
        <f>AQ16/AQ18*100</f>
        <v>18.181818181818183</v>
      </c>
      <c r="AR21" s="30">
        <f t="shared" ref="AR21:AU21" si="13">AR16/AR18*100</f>
        <v>40</v>
      </c>
      <c r="AS21" s="30">
        <f t="shared" si="13"/>
        <v>57.142857142857139</v>
      </c>
      <c r="AT21" s="30">
        <f t="shared" si="13"/>
        <v>82.35294117647058</v>
      </c>
      <c r="AU21" s="30">
        <f t="shared" si="13"/>
        <v>100</v>
      </c>
    </row>
    <row r="22" spans="2:50" x14ac:dyDescent="0.35">
      <c r="B22" t="s">
        <v>449</v>
      </c>
      <c r="C22" s="28" t="s">
        <v>52</v>
      </c>
      <c r="D22" s="6" t="s">
        <v>53</v>
      </c>
      <c r="E22" s="6" t="s">
        <v>53</v>
      </c>
      <c r="G22" t="s">
        <v>396</v>
      </c>
      <c r="H22" s="32" t="s">
        <v>55</v>
      </c>
      <c r="I22" s="32" t="s">
        <v>55</v>
      </c>
      <c r="J22" s="32" t="s">
        <v>55</v>
      </c>
      <c r="O22" s="122"/>
      <c r="AP22" s="27" t="s">
        <v>18</v>
      </c>
      <c r="AQ22" s="30">
        <f>AQ17/AQ18*100</f>
        <v>81.818181818181827</v>
      </c>
      <c r="AR22" s="30">
        <f t="shared" ref="AR22:AU22" si="14">AR17/AR18*100</f>
        <v>60</v>
      </c>
      <c r="AS22" s="30">
        <f t="shared" si="14"/>
        <v>42.857142857142854</v>
      </c>
      <c r="AT22" s="30">
        <f t="shared" si="14"/>
        <v>17.647058823529413</v>
      </c>
      <c r="AU22" s="30">
        <f t="shared" si="14"/>
        <v>0</v>
      </c>
    </row>
    <row r="23" spans="2:50" x14ac:dyDescent="0.35">
      <c r="B23" t="s">
        <v>450</v>
      </c>
      <c r="C23" s="28" t="s">
        <v>52</v>
      </c>
      <c r="D23" s="28" t="s">
        <v>52</v>
      </c>
      <c r="E23" s="28" t="s">
        <v>52</v>
      </c>
      <c r="G23" t="s">
        <v>397</v>
      </c>
      <c r="H23" s="28" t="s">
        <v>52</v>
      </c>
      <c r="I23" s="28" t="s">
        <v>52</v>
      </c>
      <c r="J23" s="28" t="s">
        <v>52</v>
      </c>
    </row>
    <row r="24" spans="2:50" x14ac:dyDescent="0.35">
      <c r="B24" t="s">
        <v>451</v>
      </c>
      <c r="C24" s="28" t="s">
        <v>52</v>
      </c>
      <c r="D24" s="28" t="s">
        <v>52</v>
      </c>
      <c r="E24" s="28" t="s">
        <v>52</v>
      </c>
      <c r="G24" t="s">
        <v>398</v>
      </c>
      <c r="H24" s="28" t="s">
        <v>52</v>
      </c>
      <c r="I24" s="6" t="s">
        <v>53</v>
      </c>
      <c r="J24" s="6" t="s">
        <v>53</v>
      </c>
    </row>
    <row r="25" spans="2:50" x14ac:dyDescent="0.35">
      <c r="B25" t="s">
        <v>452</v>
      </c>
      <c r="C25" s="28" t="s">
        <v>52</v>
      </c>
      <c r="D25" s="6" t="s">
        <v>53</v>
      </c>
      <c r="E25" s="6" t="s">
        <v>53</v>
      </c>
      <c r="G25" t="s">
        <v>399</v>
      </c>
      <c r="H25" s="28" t="s">
        <v>52</v>
      </c>
      <c r="I25" s="6" t="s">
        <v>53</v>
      </c>
      <c r="J25" s="28" t="s">
        <v>52</v>
      </c>
    </row>
    <row r="26" spans="2:50" x14ac:dyDescent="0.35">
      <c r="B26" t="s">
        <v>453</v>
      </c>
      <c r="C26" s="28" t="s">
        <v>52</v>
      </c>
      <c r="D26" s="28" t="s">
        <v>52</v>
      </c>
      <c r="E26" s="28" t="s">
        <v>52</v>
      </c>
      <c r="G26" t="s">
        <v>400</v>
      </c>
      <c r="H26" s="28" t="s">
        <v>52</v>
      </c>
      <c r="I26" s="6" t="s">
        <v>53</v>
      </c>
      <c r="J26" s="6" t="s">
        <v>53</v>
      </c>
    </row>
    <row r="27" spans="2:50" x14ac:dyDescent="0.35">
      <c r="B27" t="s">
        <v>454</v>
      </c>
      <c r="C27" s="28" t="s">
        <v>52</v>
      </c>
      <c r="D27" s="6" t="s">
        <v>53</v>
      </c>
      <c r="E27" s="6" t="s">
        <v>53</v>
      </c>
      <c r="G27" t="s">
        <v>401</v>
      </c>
      <c r="H27" s="6" t="s">
        <v>53</v>
      </c>
      <c r="I27" s="32" t="s">
        <v>55</v>
      </c>
      <c r="J27" s="32" t="s">
        <v>55</v>
      </c>
    </row>
    <row r="28" spans="2:50" x14ac:dyDescent="0.35">
      <c r="B28" t="s">
        <v>455</v>
      </c>
      <c r="C28" s="6" t="s">
        <v>53</v>
      </c>
      <c r="D28" s="6" t="s">
        <v>53</v>
      </c>
      <c r="E28" s="6" t="s">
        <v>53</v>
      </c>
      <c r="G28" t="s">
        <v>402</v>
      </c>
      <c r="H28" s="6" t="s">
        <v>53</v>
      </c>
      <c r="I28" s="6" t="s">
        <v>53</v>
      </c>
      <c r="J28" s="6" t="s">
        <v>53</v>
      </c>
    </row>
    <row r="29" spans="2:50" x14ac:dyDescent="0.35">
      <c r="B29" t="s">
        <v>456</v>
      </c>
      <c r="C29" s="6" t="s">
        <v>53</v>
      </c>
      <c r="D29" s="6" t="s">
        <v>53</v>
      </c>
      <c r="E29" s="6" t="s">
        <v>53</v>
      </c>
      <c r="G29" t="s">
        <v>403</v>
      </c>
      <c r="H29" s="6" t="s">
        <v>53</v>
      </c>
      <c r="I29" s="6" t="s">
        <v>53</v>
      </c>
      <c r="J29" s="6" t="s">
        <v>53</v>
      </c>
    </row>
    <row r="30" spans="2:50" x14ac:dyDescent="0.35">
      <c r="B30" t="s">
        <v>457</v>
      </c>
      <c r="C30" s="28" t="s">
        <v>52</v>
      </c>
      <c r="D30" s="28" t="s">
        <v>52</v>
      </c>
      <c r="E30" s="28" t="s">
        <v>52</v>
      </c>
      <c r="G30" t="s">
        <v>404</v>
      </c>
      <c r="H30" s="6" t="s">
        <v>53</v>
      </c>
      <c r="I30" s="28" t="s">
        <v>52</v>
      </c>
      <c r="J30" s="28" t="s">
        <v>52</v>
      </c>
    </row>
    <row r="31" spans="2:50" x14ac:dyDescent="0.35">
      <c r="B31" t="s">
        <v>458</v>
      </c>
      <c r="C31" s="28" t="s">
        <v>52</v>
      </c>
      <c r="D31" s="6" t="s">
        <v>53</v>
      </c>
      <c r="E31" s="6" t="s">
        <v>53</v>
      </c>
      <c r="G31" t="s">
        <v>405</v>
      </c>
      <c r="H31" s="6" t="s">
        <v>53</v>
      </c>
      <c r="I31" s="28" t="s">
        <v>52</v>
      </c>
      <c r="J31" s="28" t="s">
        <v>52</v>
      </c>
    </row>
    <row r="32" spans="2:50" x14ac:dyDescent="0.35">
      <c r="B32" t="s">
        <v>459</v>
      </c>
      <c r="C32" s="28" t="s">
        <v>52</v>
      </c>
      <c r="D32" s="28" t="s">
        <v>52</v>
      </c>
      <c r="E32" s="28" t="s">
        <v>52</v>
      </c>
      <c r="G32" t="s">
        <v>406</v>
      </c>
      <c r="H32" s="32" t="s">
        <v>55</v>
      </c>
      <c r="I32" s="32" t="s">
        <v>55</v>
      </c>
      <c r="J32" s="32" t="s">
        <v>55</v>
      </c>
    </row>
    <row r="33" spans="2:45" x14ac:dyDescent="0.35">
      <c r="B33" t="s">
        <v>460</v>
      </c>
      <c r="C33" s="6" t="s">
        <v>53</v>
      </c>
      <c r="D33" s="6" t="s">
        <v>53</v>
      </c>
      <c r="E33" s="28" t="s">
        <v>52</v>
      </c>
      <c r="G33" t="s">
        <v>407</v>
      </c>
      <c r="H33" s="6" t="s">
        <v>53</v>
      </c>
      <c r="I33" s="6" t="s">
        <v>53</v>
      </c>
      <c r="J33" s="6" t="s">
        <v>53</v>
      </c>
    </row>
    <row r="34" spans="2:45" x14ac:dyDescent="0.35">
      <c r="B34" t="s">
        <v>461</v>
      </c>
      <c r="C34" s="28" t="s">
        <v>52</v>
      </c>
      <c r="D34" s="28" t="s">
        <v>52</v>
      </c>
      <c r="E34" s="28" t="s">
        <v>52</v>
      </c>
      <c r="G34" t="s">
        <v>408</v>
      </c>
      <c r="H34" s="6" t="s">
        <v>53</v>
      </c>
      <c r="I34" s="28" t="s">
        <v>52</v>
      </c>
      <c r="J34" s="28" t="s">
        <v>52</v>
      </c>
    </row>
    <row r="35" spans="2:45" x14ac:dyDescent="0.35">
      <c r="B35" t="s">
        <v>462</v>
      </c>
      <c r="C35" s="6" t="s">
        <v>53</v>
      </c>
      <c r="D35" s="6" t="s">
        <v>53</v>
      </c>
      <c r="E35" s="28" t="s">
        <v>52</v>
      </c>
      <c r="G35" t="s">
        <v>409</v>
      </c>
      <c r="H35" s="32" t="s">
        <v>55</v>
      </c>
      <c r="I35" s="32" t="s">
        <v>55</v>
      </c>
      <c r="J35" s="32" t="s">
        <v>55</v>
      </c>
    </row>
    <row r="36" spans="2:45" x14ac:dyDescent="0.35">
      <c r="B36" t="s">
        <v>463</v>
      </c>
      <c r="C36" s="28" t="s">
        <v>52</v>
      </c>
      <c r="D36" s="28" t="s">
        <v>52</v>
      </c>
      <c r="E36" s="28" t="s">
        <v>52</v>
      </c>
      <c r="G36" t="s">
        <v>410</v>
      </c>
      <c r="H36" s="6" t="s">
        <v>53</v>
      </c>
      <c r="I36" s="6" t="s">
        <v>53</v>
      </c>
      <c r="J36" s="6" t="s">
        <v>53</v>
      </c>
      <c r="M36" s="154" t="s">
        <v>350</v>
      </c>
      <c r="N36" s="154"/>
      <c r="O36" s="154"/>
      <c r="P36" s="154"/>
      <c r="S36" s="154" t="s">
        <v>358</v>
      </c>
      <c r="T36" s="154"/>
      <c r="U36" s="154"/>
      <c r="V36" s="154"/>
      <c r="Z36" s="154" t="s">
        <v>366</v>
      </c>
      <c r="AA36" s="154"/>
      <c r="AB36" s="154"/>
      <c r="AC36" s="154"/>
      <c r="AD36" s="154"/>
    </row>
    <row r="37" spans="2:45" x14ac:dyDescent="0.35">
      <c r="B37" t="s">
        <v>464</v>
      </c>
      <c r="C37" s="28" t="s">
        <v>52</v>
      </c>
      <c r="D37" s="28" t="s">
        <v>52</v>
      </c>
      <c r="E37" s="28" t="s">
        <v>52</v>
      </c>
      <c r="G37" t="s">
        <v>411</v>
      </c>
      <c r="H37" s="28" t="s">
        <v>52</v>
      </c>
      <c r="I37" s="28" t="s">
        <v>52</v>
      </c>
      <c r="J37" s="28" t="s">
        <v>52</v>
      </c>
      <c r="M37" s="27"/>
      <c r="N37" s="111" t="s">
        <v>115</v>
      </c>
      <c r="O37" s="115" t="s">
        <v>116</v>
      </c>
      <c r="P37" s="27" t="s">
        <v>117</v>
      </c>
      <c r="S37" s="27"/>
      <c r="T37" s="111" t="s">
        <v>115</v>
      </c>
      <c r="U37" s="115" t="s">
        <v>116</v>
      </c>
      <c r="V37" s="27" t="s">
        <v>117</v>
      </c>
      <c r="Z37" s="27"/>
      <c r="AA37" s="111" t="s">
        <v>115</v>
      </c>
      <c r="AB37" s="115" t="s">
        <v>116</v>
      </c>
      <c r="AC37" s="27" t="s">
        <v>117</v>
      </c>
      <c r="AP37" s="154" t="s">
        <v>369</v>
      </c>
      <c r="AQ37" s="154"/>
      <c r="AR37" s="154"/>
      <c r="AS37" s="154"/>
    </row>
    <row r="38" spans="2:45" x14ac:dyDescent="0.35">
      <c r="B38" t="s">
        <v>465</v>
      </c>
      <c r="C38" s="28" t="s">
        <v>52</v>
      </c>
      <c r="D38" s="28" t="s">
        <v>52</v>
      </c>
      <c r="E38" s="28" t="s">
        <v>52</v>
      </c>
      <c r="G38" t="s">
        <v>412</v>
      </c>
      <c r="H38" s="32" t="s">
        <v>55</v>
      </c>
      <c r="I38" s="32" t="s">
        <v>55</v>
      </c>
      <c r="J38" s="32" t="s">
        <v>55</v>
      </c>
      <c r="M38" s="27" t="s">
        <v>19</v>
      </c>
      <c r="N38" s="113">
        <f>((N11+0.5*(O11))/Q11*100)</f>
        <v>54.081632653061227</v>
      </c>
      <c r="O38" s="117">
        <f>((P11+0.5*(O11))/Q11*100)</f>
        <v>45.91836734693878</v>
      </c>
      <c r="P38" s="2">
        <f>SUM(N38:O38)</f>
        <v>100</v>
      </c>
      <c r="S38" s="27" t="s">
        <v>19</v>
      </c>
      <c r="T38" s="112">
        <f>((T11+0.5*(U11))/W11*100)</f>
        <v>50</v>
      </c>
      <c r="U38" s="116">
        <f>((V11+0.5*(U11))/W11*100)</f>
        <v>50</v>
      </c>
      <c r="V38" s="2">
        <f>SUM(T38:U38)</f>
        <v>100</v>
      </c>
      <c r="Z38" s="27" t="s">
        <v>19</v>
      </c>
      <c r="AA38" s="113">
        <f>((AA11+0.5*(AB11))/AD11*100)</f>
        <v>48.07692307692308</v>
      </c>
      <c r="AB38" s="117">
        <f>((AC11+0.5*(AB11))/AD11*100)</f>
        <v>51.923076923076927</v>
      </c>
      <c r="AC38" s="2">
        <f>SUM(AA38:AB38)</f>
        <v>100</v>
      </c>
      <c r="AP38" s="27" t="s">
        <v>67</v>
      </c>
      <c r="AQ38" s="27" t="s">
        <v>351</v>
      </c>
      <c r="AR38" s="27" t="s">
        <v>68</v>
      </c>
      <c r="AS38" s="27" t="s">
        <v>370</v>
      </c>
    </row>
    <row r="39" spans="2:45" x14ac:dyDescent="0.35">
      <c r="G39" t="s">
        <v>413</v>
      </c>
      <c r="H39" s="28" t="s">
        <v>52</v>
      </c>
      <c r="I39" s="28" t="s">
        <v>52</v>
      </c>
      <c r="J39" s="28" t="s">
        <v>52</v>
      </c>
      <c r="M39" s="27" t="s">
        <v>18</v>
      </c>
      <c r="N39" s="113">
        <f>((N12+0.5*(O12))/Q12*100)</f>
        <v>91.935483870967744</v>
      </c>
      <c r="O39" s="117">
        <f>((P12+0.5*(O12))/Q12*100)</f>
        <v>8.064516129032258</v>
      </c>
      <c r="P39" s="2">
        <f>SUM(N39:O39)</f>
        <v>100</v>
      </c>
      <c r="S39" s="27" t="s">
        <v>18</v>
      </c>
      <c r="T39" s="113">
        <f>((T12+0.5*(U12))/W12*100)</f>
        <v>83.870967741935488</v>
      </c>
      <c r="U39" s="117">
        <f>((V12+0.5*(U12))/W12*100)</f>
        <v>16.129032258064516</v>
      </c>
      <c r="V39" s="2">
        <f>SUM(T39:U39)</f>
        <v>100</v>
      </c>
      <c r="Z39" s="27" t="s">
        <v>18</v>
      </c>
      <c r="AA39" s="113">
        <f>((AA12+0.5*(AB12))/AD12*100)</f>
        <v>83.870967741935488</v>
      </c>
      <c r="AB39" s="117">
        <f>((AC12+0.5*(AB12))/AD12*100)</f>
        <v>16.129032258064516</v>
      </c>
      <c r="AC39" s="2">
        <f>SUM(AA39:AB39)</f>
        <v>100</v>
      </c>
      <c r="AP39" s="27" t="s">
        <v>70</v>
      </c>
      <c r="AQ39" s="124" t="s">
        <v>78</v>
      </c>
      <c r="AR39" s="124" t="s">
        <v>127</v>
      </c>
      <c r="AS39" s="124" t="s">
        <v>72</v>
      </c>
    </row>
    <row r="40" spans="2:45" x14ac:dyDescent="0.35">
      <c r="G40" t="s">
        <v>414</v>
      </c>
      <c r="H40" s="28" t="s">
        <v>52</v>
      </c>
      <c r="I40" s="6" t="s">
        <v>53</v>
      </c>
      <c r="J40" s="6" t="s">
        <v>53</v>
      </c>
      <c r="AP40" s="27" t="s">
        <v>84</v>
      </c>
      <c r="AQ40" s="124">
        <v>20.75</v>
      </c>
      <c r="AR40" s="124" t="s">
        <v>131</v>
      </c>
      <c r="AS40" s="124" t="s">
        <v>72</v>
      </c>
    </row>
    <row r="41" spans="2:45" x14ac:dyDescent="0.35">
      <c r="G41" t="s">
        <v>415</v>
      </c>
      <c r="H41" s="28" t="s">
        <v>52</v>
      </c>
      <c r="I41" s="6" t="s">
        <v>53</v>
      </c>
      <c r="J41" s="6" t="s">
        <v>53</v>
      </c>
      <c r="AP41" s="27" t="s">
        <v>91</v>
      </c>
      <c r="AQ41" s="124">
        <v>6.0389999999999997</v>
      </c>
      <c r="AR41" s="124" t="s">
        <v>134</v>
      </c>
      <c r="AS41" s="124" t="s">
        <v>72</v>
      </c>
    </row>
    <row r="42" spans="2:45" x14ac:dyDescent="0.35">
      <c r="G42" t="s">
        <v>416</v>
      </c>
      <c r="H42" s="28" t="s">
        <v>52</v>
      </c>
      <c r="I42" s="28" t="s">
        <v>52</v>
      </c>
      <c r="J42" s="6" t="s">
        <v>53</v>
      </c>
      <c r="AP42" s="27" t="s">
        <v>93</v>
      </c>
      <c r="AQ42" s="124">
        <v>3.0369999999999999</v>
      </c>
      <c r="AR42" s="124" t="s">
        <v>135</v>
      </c>
      <c r="AS42" s="124">
        <v>1E-3</v>
      </c>
    </row>
    <row r="43" spans="2:45" x14ac:dyDescent="0.35">
      <c r="G43" t="s">
        <v>417</v>
      </c>
      <c r="H43" s="6" t="s">
        <v>53</v>
      </c>
      <c r="I43" s="6" t="s">
        <v>53</v>
      </c>
      <c r="J43" s="6" t="s">
        <v>53</v>
      </c>
      <c r="AP43" s="27" t="s">
        <v>95</v>
      </c>
      <c r="AQ43" s="124" t="s">
        <v>78</v>
      </c>
      <c r="AR43" s="124" t="s">
        <v>136</v>
      </c>
      <c r="AS43" s="124" t="s">
        <v>72</v>
      </c>
    </row>
    <row r="44" spans="2:45" x14ac:dyDescent="0.35">
      <c r="G44" t="s">
        <v>418</v>
      </c>
      <c r="H44" s="32" t="s">
        <v>55</v>
      </c>
      <c r="I44" s="32" t="s">
        <v>55</v>
      </c>
      <c r="J44" s="6" t="s">
        <v>53</v>
      </c>
      <c r="AP44" s="27" t="s">
        <v>99</v>
      </c>
      <c r="AQ44" s="124">
        <v>6.83</v>
      </c>
      <c r="AR44" s="124" t="s">
        <v>137</v>
      </c>
      <c r="AS44" s="124" t="s">
        <v>72</v>
      </c>
    </row>
    <row r="45" spans="2:45" x14ac:dyDescent="0.35">
      <c r="G45" t="s">
        <v>419</v>
      </c>
      <c r="H45" s="6" t="s">
        <v>53</v>
      </c>
      <c r="I45" s="28" t="s">
        <v>52</v>
      </c>
      <c r="J45" s="6" t="s">
        <v>53</v>
      </c>
      <c r="AP45" s="27" t="s">
        <v>101</v>
      </c>
      <c r="AQ45" s="124">
        <v>1.99</v>
      </c>
      <c r="AR45" s="124" t="s">
        <v>138</v>
      </c>
      <c r="AS45" s="124">
        <v>2.3300000000000001E-2</v>
      </c>
    </row>
    <row r="46" spans="2:45" x14ac:dyDescent="0.35">
      <c r="G46" t="s">
        <v>420</v>
      </c>
      <c r="H46" s="32" t="s">
        <v>55</v>
      </c>
      <c r="I46" s="6" t="s">
        <v>53</v>
      </c>
      <c r="J46" s="6" t="s">
        <v>53</v>
      </c>
      <c r="AP46" s="27" t="s">
        <v>139</v>
      </c>
      <c r="AQ46" s="124" t="s">
        <v>78</v>
      </c>
      <c r="AR46" s="124" t="s">
        <v>140</v>
      </c>
      <c r="AS46" s="124" t="s">
        <v>72</v>
      </c>
    </row>
    <row r="47" spans="2:45" x14ac:dyDescent="0.35">
      <c r="G47" t="s">
        <v>421</v>
      </c>
      <c r="H47" s="2" t="s">
        <v>143</v>
      </c>
      <c r="I47" s="28" t="s">
        <v>52</v>
      </c>
      <c r="J47" s="6" t="s">
        <v>53</v>
      </c>
      <c r="AP47" s="27" t="s">
        <v>107</v>
      </c>
      <c r="AQ47" s="124">
        <v>3.44</v>
      </c>
      <c r="AR47" s="124" t="s">
        <v>141</v>
      </c>
      <c r="AS47" s="124">
        <v>2.0000000000000001E-4</v>
      </c>
    </row>
    <row r="48" spans="2:45" x14ac:dyDescent="0.35">
      <c r="G48" t="s">
        <v>422</v>
      </c>
      <c r="H48" s="2" t="s">
        <v>143</v>
      </c>
      <c r="I48" s="32" t="s">
        <v>55</v>
      </c>
      <c r="J48" s="32" t="s">
        <v>55</v>
      </c>
      <c r="AP48" s="27" t="s">
        <v>109</v>
      </c>
      <c r="AQ48" s="124" t="s">
        <v>78</v>
      </c>
      <c r="AR48" s="124" t="s">
        <v>142</v>
      </c>
      <c r="AS48" s="124" t="s">
        <v>72</v>
      </c>
    </row>
    <row r="49" spans="7:30" x14ac:dyDescent="0.35">
      <c r="G49" t="s">
        <v>423</v>
      </c>
      <c r="H49" s="28" t="s">
        <v>52</v>
      </c>
      <c r="I49" s="6" t="s">
        <v>53</v>
      </c>
      <c r="J49" s="6" t="s">
        <v>53</v>
      </c>
    </row>
    <row r="50" spans="7:30" x14ac:dyDescent="0.35">
      <c r="G50" t="s">
        <v>424</v>
      </c>
      <c r="H50" s="2" t="s">
        <v>143</v>
      </c>
      <c r="I50" s="32" t="s">
        <v>55</v>
      </c>
      <c r="J50" s="32" t="s">
        <v>55</v>
      </c>
      <c r="M50" s="27"/>
      <c r="N50" s="27"/>
      <c r="O50" s="27"/>
      <c r="P50" s="27"/>
    </row>
    <row r="51" spans="7:30" x14ac:dyDescent="0.35">
      <c r="G51" t="s">
        <v>425</v>
      </c>
      <c r="H51" s="2" t="s">
        <v>143</v>
      </c>
      <c r="I51" s="6" t="s">
        <v>53</v>
      </c>
      <c r="J51" s="6" t="s">
        <v>53</v>
      </c>
      <c r="T51" s="27"/>
      <c r="U51" s="27"/>
      <c r="V51" s="27"/>
      <c r="W51" s="27"/>
      <c r="AA51" s="27"/>
      <c r="AB51" s="27"/>
      <c r="AC51" s="27"/>
      <c r="AD51" s="27"/>
    </row>
    <row r="52" spans="7:30" x14ac:dyDescent="0.35">
      <c r="G52" t="s">
        <v>426</v>
      </c>
      <c r="H52" s="6" t="s">
        <v>53</v>
      </c>
      <c r="I52" s="6" t="s">
        <v>53</v>
      </c>
      <c r="J52" s="6" t="s">
        <v>53</v>
      </c>
    </row>
    <row r="53" spans="7:30" x14ac:dyDescent="0.35">
      <c r="G53" t="s">
        <v>427</v>
      </c>
      <c r="H53" s="6" t="s">
        <v>53</v>
      </c>
      <c r="I53" s="6" t="s">
        <v>53</v>
      </c>
      <c r="J53" s="6" t="s">
        <v>53</v>
      </c>
    </row>
    <row r="54" spans="7:30" x14ac:dyDescent="0.35">
      <c r="G54" t="s">
        <v>428</v>
      </c>
      <c r="H54" s="6" t="s">
        <v>53</v>
      </c>
      <c r="I54" s="28" t="s">
        <v>52</v>
      </c>
      <c r="J54" s="6" t="s">
        <v>53</v>
      </c>
    </row>
    <row r="55" spans="7:30" x14ac:dyDescent="0.35">
      <c r="G55" t="s">
        <v>429</v>
      </c>
      <c r="H55" s="32" t="s">
        <v>55</v>
      </c>
      <c r="I55" s="32" t="s">
        <v>55</v>
      </c>
      <c r="J55" s="32" t="s">
        <v>55</v>
      </c>
      <c r="M55" s="154" t="s">
        <v>354</v>
      </c>
      <c r="N55" s="154"/>
      <c r="O55" s="154"/>
      <c r="P55" s="154"/>
      <c r="S55" s="154" t="s">
        <v>359</v>
      </c>
      <c r="T55" s="154"/>
      <c r="U55" s="154"/>
      <c r="V55" s="154"/>
      <c r="Z55" s="154" t="s">
        <v>367</v>
      </c>
      <c r="AA55" s="154"/>
      <c r="AB55" s="154"/>
      <c r="AC55" s="154"/>
      <c r="AD55" s="120"/>
    </row>
    <row r="56" spans="7:30" x14ac:dyDescent="0.35">
      <c r="G56" t="s">
        <v>430</v>
      </c>
      <c r="H56" s="6" t="s">
        <v>53</v>
      </c>
      <c r="I56" s="6" t="s">
        <v>53</v>
      </c>
      <c r="J56" s="6" t="s">
        <v>53</v>
      </c>
      <c r="M56" s="27" t="s">
        <v>69</v>
      </c>
      <c r="N56" s="27" t="s">
        <v>351</v>
      </c>
      <c r="O56" s="27" t="s">
        <v>68</v>
      </c>
      <c r="P56" s="31" t="s">
        <v>353</v>
      </c>
      <c r="S56" s="27" t="s">
        <v>69</v>
      </c>
      <c r="T56" s="27" t="s">
        <v>351</v>
      </c>
      <c r="U56" s="27" t="s">
        <v>68</v>
      </c>
      <c r="V56" s="31" t="s">
        <v>353</v>
      </c>
      <c r="Z56" s="27" t="s">
        <v>69</v>
      </c>
      <c r="AA56" s="27" t="s">
        <v>351</v>
      </c>
      <c r="AB56" s="27" t="s">
        <v>68</v>
      </c>
      <c r="AC56" s="31" t="s">
        <v>353</v>
      </c>
    </row>
    <row r="57" spans="7:30" x14ac:dyDescent="0.35">
      <c r="G57" t="s">
        <v>431</v>
      </c>
      <c r="H57" s="6" t="s">
        <v>53</v>
      </c>
      <c r="I57" s="2" t="s">
        <v>143</v>
      </c>
      <c r="J57" s="6" t="s">
        <v>53</v>
      </c>
      <c r="M57" s="27" t="s">
        <v>73</v>
      </c>
      <c r="N57" s="119">
        <v>7.96</v>
      </c>
      <c r="O57" s="119" t="s">
        <v>123</v>
      </c>
      <c r="P57" s="119" t="s">
        <v>72</v>
      </c>
      <c r="S57" s="27" t="s">
        <v>73</v>
      </c>
      <c r="T57" s="119">
        <v>4.25</v>
      </c>
      <c r="U57" s="119" t="s">
        <v>125</v>
      </c>
      <c r="V57" s="119" t="s">
        <v>72</v>
      </c>
      <c r="Z57" s="27" t="s">
        <v>73</v>
      </c>
      <c r="AA57" s="119">
        <v>7.75</v>
      </c>
      <c r="AB57" s="119" t="s">
        <v>126</v>
      </c>
      <c r="AC57" s="119" t="s">
        <v>72</v>
      </c>
    </row>
    <row r="58" spans="7:30" x14ac:dyDescent="0.35">
      <c r="G58" t="s">
        <v>432</v>
      </c>
      <c r="H58" s="6" t="s">
        <v>53</v>
      </c>
      <c r="I58" s="6" t="s">
        <v>53</v>
      </c>
      <c r="J58" s="2" t="s">
        <v>143</v>
      </c>
      <c r="M58" s="27" t="s">
        <v>80</v>
      </c>
      <c r="N58" s="119" t="s">
        <v>78</v>
      </c>
      <c r="O58" s="119" t="s">
        <v>124</v>
      </c>
      <c r="P58" s="119" t="s">
        <v>72</v>
      </c>
      <c r="S58" s="27" t="s">
        <v>80</v>
      </c>
      <c r="T58" s="119" t="s">
        <v>78</v>
      </c>
      <c r="U58" s="119" t="s">
        <v>129</v>
      </c>
      <c r="V58" s="119" t="s">
        <v>72</v>
      </c>
      <c r="Z58" s="27" t="s">
        <v>80</v>
      </c>
      <c r="AA58" s="119" t="s">
        <v>78</v>
      </c>
      <c r="AB58" s="119" t="s">
        <v>130</v>
      </c>
      <c r="AC58" s="119" t="s">
        <v>72</v>
      </c>
    </row>
    <row r="59" spans="7:30" x14ac:dyDescent="0.35">
      <c r="G59" t="s">
        <v>433</v>
      </c>
      <c r="H59" s="28" t="s">
        <v>52</v>
      </c>
      <c r="I59" s="6" t="s">
        <v>53</v>
      </c>
      <c r="J59" s="6" t="s">
        <v>53</v>
      </c>
      <c r="M59" s="27" t="s">
        <v>86</v>
      </c>
      <c r="N59" s="119" t="s">
        <v>78</v>
      </c>
      <c r="O59" s="119" t="s">
        <v>128</v>
      </c>
      <c r="P59" s="119">
        <v>8.8000000000000005E-3</v>
      </c>
      <c r="S59" s="27" t="s">
        <v>86</v>
      </c>
      <c r="T59" s="119" t="s">
        <v>78</v>
      </c>
      <c r="U59" s="119" t="s">
        <v>132</v>
      </c>
      <c r="V59" s="119" t="s">
        <v>72</v>
      </c>
      <c r="Z59" s="27" t="s">
        <v>86</v>
      </c>
      <c r="AA59" s="119" t="s">
        <v>78</v>
      </c>
      <c r="AB59" s="119" t="s">
        <v>133</v>
      </c>
      <c r="AC59" s="119">
        <v>8.0000000000000004E-4</v>
      </c>
    </row>
    <row r="60" spans="7:30" x14ac:dyDescent="0.35">
      <c r="G60" t="s">
        <v>434</v>
      </c>
      <c r="H60" s="6" t="s">
        <v>53</v>
      </c>
      <c r="I60" s="6" t="s">
        <v>53</v>
      </c>
      <c r="J60" s="6" t="s">
        <v>53</v>
      </c>
      <c r="M60" s="27" t="s">
        <v>118</v>
      </c>
      <c r="N60" s="119">
        <v>9.7959999999999994</v>
      </c>
      <c r="O60" s="119" t="s">
        <v>144</v>
      </c>
      <c r="P60" s="119" t="s">
        <v>72</v>
      </c>
      <c r="S60" s="27" t="s">
        <v>118</v>
      </c>
      <c r="T60" s="119">
        <v>5.25</v>
      </c>
      <c r="U60" s="119" t="s">
        <v>145</v>
      </c>
      <c r="V60" s="119" t="s">
        <v>72</v>
      </c>
      <c r="Z60" s="27" t="s">
        <v>118</v>
      </c>
      <c r="AA60" s="119">
        <v>5.6879999999999997</v>
      </c>
      <c r="AB60" s="119" t="s">
        <v>146</v>
      </c>
      <c r="AC60" s="119" t="s">
        <v>72</v>
      </c>
    </row>
  </sheetData>
  <mergeCells count="28">
    <mergeCell ref="AP19:AU19"/>
    <mergeCell ref="AP37:AS37"/>
    <mergeCell ref="S36:V36"/>
    <mergeCell ref="Z36:AD36"/>
    <mergeCell ref="AG8:AO8"/>
    <mergeCell ref="AP12:AU12"/>
    <mergeCell ref="AG9:AO9"/>
    <mergeCell ref="AP13:AU13"/>
    <mergeCell ref="AG14:AO14"/>
    <mergeCell ref="Z8:AD8"/>
    <mergeCell ref="Z9:AD9"/>
    <mergeCell ref="Z14:AD14"/>
    <mergeCell ref="Z18:AD18"/>
    <mergeCell ref="S9:W9"/>
    <mergeCell ref="S8:W8"/>
    <mergeCell ref="M55:P55"/>
    <mergeCell ref="S55:V55"/>
    <mergeCell ref="Z55:AC55"/>
    <mergeCell ref="M36:P36"/>
    <mergeCell ref="M14:Q14"/>
    <mergeCell ref="M18:Q18"/>
    <mergeCell ref="S18:W18"/>
    <mergeCell ref="S14:W14"/>
    <mergeCell ref="M9:Q9"/>
    <mergeCell ref="B5:J5"/>
    <mergeCell ref="B6:E6"/>
    <mergeCell ref="G6:J6"/>
    <mergeCell ref="M8:Q8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2051" r:id="rId4">
          <objectPr defaultSize="0" autoPict="0" r:id="rId5">
            <anchor moveWithCells="1">
              <from>
                <xdr:col>12</xdr:col>
                <xdr:colOff>330200</xdr:colOff>
                <xdr:row>21</xdr:row>
                <xdr:rowOff>107950</xdr:rowOff>
              </from>
              <to>
                <xdr:col>15</xdr:col>
                <xdr:colOff>527050</xdr:colOff>
                <xdr:row>34</xdr:row>
                <xdr:rowOff>76200</xdr:rowOff>
              </to>
            </anchor>
          </objectPr>
        </oleObject>
      </mc:Choice>
      <mc:Fallback>
        <oleObject progId="Prism8.Document" shapeId="2051" r:id="rId4"/>
      </mc:Fallback>
    </mc:AlternateContent>
    <mc:AlternateContent xmlns:mc="http://schemas.openxmlformats.org/markup-compatibility/2006">
      <mc:Choice Requires="x14">
        <oleObject progId="Prism8.Document" shapeId="2052" r:id="rId6">
          <objectPr defaultSize="0" autoPict="0" r:id="rId7">
            <anchor moveWithCells="1">
              <from>
                <xdr:col>12</xdr:col>
                <xdr:colOff>387350</xdr:colOff>
                <xdr:row>39</xdr:row>
                <xdr:rowOff>120650</xdr:rowOff>
              </from>
              <to>
                <xdr:col>15</xdr:col>
                <xdr:colOff>603250</xdr:colOff>
                <xdr:row>51</xdr:row>
                <xdr:rowOff>127000</xdr:rowOff>
              </to>
            </anchor>
          </objectPr>
        </oleObject>
      </mc:Choice>
      <mc:Fallback>
        <oleObject progId="Prism8.Document" shapeId="2052" r:id="rId6"/>
      </mc:Fallback>
    </mc:AlternateContent>
    <mc:AlternateContent xmlns:mc="http://schemas.openxmlformats.org/markup-compatibility/2006">
      <mc:Choice Requires="x14">
        <oleObject progId="Prism8.Document" shapeId="2049" r:id="rId8">
          <objectPr defaultSize="0" autoPict="0" r:id="rId9">
            <anchor moveWithCells="1">
              <from>
                <xdr:col>18</xdr:col>
                <xdr:colOff>349250</xdr:colOff>
                <xdr:row>21</xdr:row>
                <xdr:rowOff>101600</xdr:rowOff>
              </from>
              <to>
                <xdr:col>21</xdr:col>
                <xdr:colOff>393700</xdr:colOff>
                <xdr:row>34</xdr:row>
                <xdr:rowOff>50800</xdr:rowOff>
              </to>
            </anchor>
          </objectPr>
        </oleObject>
      </mc:Choice>
      <mc:Fallback>
        <oleObject progId="Prism8.Document" shapeId="2049" r:id="rId8"/>
      </mc:Fallback>
    </mc:AlternateContent>
    <mc:AlternateContent xmlns:mc="http://schemas.openxmlformats.org/markup-compatibility/2006">
      <mc:Choice Requires="x14">
        <oleObject progId="Prism8.Document" shapeId="2053" r:id="rId10">
          <objectPr defaultSize="0" autoPict="0" r:id="rId11">
            <anchor moveWithCells="1">
              <from>
                <xdr:col>18</xdr:col>
                <xdr:colOff>393700</xdr:colOff>
                <xdr:row>39</xdr:row>
                <xdr:rowOff>88900</xdr:rowOff>
              </from>
              <to>
                <xdr:col>21</xdr:col>
                <xdr:colOff>463550</xdr:colOff>
                <xdr:row>52</xdr:row>
                <xdr:rowOff>12700</xdr:rowOff>
              </to>
            </anchor>
          </objectPr>
        </oleObject>
      </mc:Choice>
      <mc:Fallback>
        <oleObject progId="Prism8.Document" shapeId="2053" r:id="rId10"/>
      </mc:Fallback>
    </mc:AlternateContent>
    <mc:AlternateContent xmlns:mc="http://schemas.openxmlformats.org/markup-compatibility/2006">
      <mc:Choice Requires="x14">
        <oleObject progId="Prism8.Document" shapeId="2050" r:id="rId12">
          <objectPr defaultSize="0" autoPict="0" r:id="rId13">
            <anchor moveWithCells="1">
              <from>
                <xdr:col>25</xdr:col>
                <xdr:colOff>431800</xdr:colOff>
                <xdr:row>21</xdr:row>
                <xdr:rowOff>44450</xdr:rowOff>
              </from>
              <to>
                <xdr:col>28</xdr:col>
                <xdr:colOff>615950</xdr:colOff>
                <xdr:row>34</xdr:row>
                <xdr:rowOff>101600</xdr:rowOff>
              </to>
            </anchor>
          </objectPr>
        </oleObject>
      </mc:Choice>
      <mc:Fallback>
        <oleObject progId="Prism8.Document" shapeId="2050" r:id="rId12"/>
      </mc:Fallback>
    </mc:AlternateContent>
    <mc:AlternateContent xmlns:mc="http://schemas.openxmlformats.org/markup-compatibility/2006">
      <mc:Choice Requires="x14">
        <oleObject progId="Prism8.Document" shapeId="2054" r:id="rId14">
          <objectPr defaultSize="0" autoPict="0" r:id="rId15">
            <anchor moveWithCells="1">
              <from>
                <xdr:col>25</xdr:col>
                <xdr:colOff>457200</xdr:colOff>
                <xdr:row>40</xdr:row>
                <xdr:rowOff>38100</xdr:rowOff>
              </from>
              <to>
                <xdr:col>28</xdr:col>
                <xdr:colOff>641350</xdr:colOff>
                <xdr:row>52</xdr:row>
                <xdr:rowOff>50800</xdr:rowOff>
              </to>
            </anchor>
          </objectPr>
        </oleObject>
      </mc:Choice>
      <mc:Fallback>
        <oleObject progId="Prism8.Document" shapeId="2054" r:id="rId14"/>
      </mc:Fallback>
    </mc:AlternateContent>
    <mc:AlternateContent xmlns:mc="http://schemas.openxmlformats.org/markup-compatibility/2006">
      <mc:Choice Requires="x14">
        <oleObject progId="Prism8.Document" shapeId="2055" r:id="rId16">
          <objectPr defaultSize="0" autoPict="0" r:id="rId17">
            <anchor moveWithCells="1">
              <from>
                <xdr:col>33</xdr:col>
                <xdr:colOff>222250</xdr:colOff>
                <xdr:row>18</xdr:row>
                <xdr:rowOff>165100</xdr:rowOff>
              </from>
              <to>
                <xdr:col>38</xdr:col>
                <xdr:colOff>400050</xdr:colOff>
                <xdr:row>35</xdr:row>
                <xdr:rowOff>0</xdr:rowOff>
              </to>
            </anchor>
          </objectPr>
        </oleObject>
      </mc:Choice>
      <mc:Fallback>
        <oleObject progId="Prism8.Document" shapeId="2055" r:id="rId16"/>
      </mc:Fallback>
    </mc:AlternateContent>
    <mc:AlternateContent xmlns:mc="http://schemas.openxmlformats.org/markup-compatibility/2006">
      <mc:Choice Requires="x14">
        <oleObject progId="Prism8.Document" shapeId="2056" r:id="rId18">
          <objectPr defaultSize="0" autoPict="0" r:id="rId19">
            <anchor moveWithCells="1">
              <from>
                <xdr:col>41</xdr:col>
                <xdr:colOff>2082800</xdr:colOff>
                <xdr:row>22</xdr:row>
                <xdr:rowOff>82550</xdr:rowOff>
              </from>
              <to>
                <xdr:col>44</xdr:col>
                <xdr:colOff>996950</xdr:colOff>
                <xdr:row>34</xdr:row>
                <xdr:rowOff>158750</xdr:rowOff>
              </to>
            </anchor>
          </objectPr>
        </oleObject>
      </mc:Choice>
      <mc:Fallback>
        <oleObject progId="Prism8.Document" shapeId="2056" r:id="rId1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A6A1-C0D8-4106-BD5A-B756BC55CA3B}">
  <dimension ref="B2:AS60"/>
  <sheetViews>
    <sheetView zoomScale="25" zoomScaleNormal="25" workbookViewId="0">
      <selection activeCell="AK36" sqref="AK36"/>
    </sheetView>
  </sheetViews>
  <sheetFormatPr defaultColWidth="9.1796875" defaultRowHeight="14.5" x14ac:dyDescent="0.35"/>
  <cols>
    <col min="1" max="13" width="9.1796875" style="2"/>
    <col min="14" max="14" width="16.26953125" style="2" customWidth="1"/>
    <col min="15" max="15" width="14.453125" style="2" customWidth="1"/>
    <col min="16" max="16" width="15.26953125" style="2" customWidth="1"/>
    <col min="17" max="17" width="25.90625" style="2" customWidth="1"/>
    <col min="18" max="21" width="9.1796875" style="2"/>
    <col min="22" max="22" width="13.453125" style="2" customWidth="1"/>
    <col min="23" max="23" width="14.6328125" style="2" customWidth="1"/>
    <col min="24" max="24" width="18.7265625" style="2" customWidth="1"/>
    <col min="25" max="25" width="24.453125" style="2" customWidth="1"/>
    <col min="26" max="26" width="13.26953125" style="2" customWidth="1"/>
    <col min="27" max="29" width="9.1796875" style="2"/>
    <col min="30" max="30" width="12.54296875" style="2" customWidth="1"/>
    <col min="31" max="31" width="16.36328125" style="2" customWidth="1"/>
    <col min="32" max="32" width="13.453125" style="2" customWidth="1"/>
    <col min="33" max="33" width="24.26953125" style="2" customWidth="1"/>
    <col min="34" max="34" width="9.1796875" style="2"/>
    <col min="35" max="35" width="15.7265625" style="2" customWidth="1"/>
    <col min="36" max="36" width="15.1796875" style="2" customWidth="1"/>
    <col min="37" max="37" width="24.08984375" style="2" customWidth="1"/>
    <col min="38" max="38" width="14.1796875" style="2" customWidth="1"/>
    <col min="39" max="39" width="14.54296875" style="2" customWidth="1"/>
    <col min="40" max="40" width="28.36328125" style="2" customWidth="1"/>
    <col min="41" max="41" width="12.453125" style="2" customWidth="1"/>
    <col min="42" max="42" width="12.81640625" style="2" customWidth="1"/>
    <col min="43" max="43" width="12.1796875" style="2" customWidth="1"/>
    <col min="44" max="44" width="9.1796875" style="2"/>
    <col min="45" max="45" width="28.7265625" style="2" customWidth="1"/>
    <col min="46" max="46" width="11" style="2" customWidth="1"/>
    <col min="47" max="47" width="18.54296875" style="2" customWidth="1"/>
    <col min="48" max="48" width="10.54296875" style="2" customWidth="1"/>
    <col min="49" max="49" width="9.1796875" style="2"/>
    <col min="50" max="50" width="23" style="2" customWidth="1"/>
    <col min="51" max="51" width="9.1796875" style="2"/>
    <col min="52" max="52" width="15.1796875" style="2" customWidth="1"/>
    <col min="53" max="16384" width="9.1796875" style="2"/>
  </cols>
  <sheetData>
    <row r="2" spans="2:45" ht="23.5" x14ac:dyDescent="0.55000000000000004">
      <c r="B2" s="109" t="s">
        <v>476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8"/>
      <c r="P2" s="108"/>
      <c r="Q2" s="108"/>
      <c r="R2" s="108"/>
      <c r="S2" s="107"/>
      <c r="T2" s="107"/>
      <c r="U2" s="107"/>
    </row>
    <row r="3" spans="2:45" ht="23.5" x14ac:dyDescent="0.55000000000000004">
      <c r="B3" s="110"/>
      <c r="C3" s="110"/>
      <c r="D3" s="109" t="s">
        <v>344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7"/>
      <c r="P3" s="107"/>
      <c r="Q3" s="107"/>
      <c r="R3" s="107"/>
      <c r="S3"/>
      <c r="T3"/>
      <c r="U3"/>
    </row>
    <row r="4" spans="2:45" ht="23.5" x14ac:dyDescent="0.55000000000000004">
      <c r="B4" s="110"/>
      <c r="C4" s="110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7"/>
      <c r="P4" s="107"/>
      <c r="Q4" s="107"/>
      <c r="R4" s="107"/>
      <c r="S4"/>
      <c r="T4"/>
      <c r="U4"/>
    </row>
    <row r="5" spans="2:45" ht="23.5" x14ac:dyDescent="0.55000000000000004">
      <c r="B5" s="158" t="s">
        <v>346</v>
      </c>
      <c r="C5" s="158"/>
      <c r="D5" s="158"/>
      <c r="E5" s="158"/>
      <c r="F5" s="158"/>
      <c r="G5" s="158"/>
      <c r="H5" s="158"/>
      <c r="I5" s="158"/>
      <c r="J5" s="158"/>
      <c r="K5" s="33"/>
      <c r="L5" s="33"/>
      <c r="M5" s="33"/>
      <c r="N5" s="33"/>
      <c r="O5" s="33"/>
    </row>
    <row r="6" spans="2:45" x14ac:dyDescent="0.35">
      <c r="B6" s="154" t="s">
        <v>45</v>
      </c>
      <c r="C6" s="154"/>
      <c r="D6" s="154"/>
      <c r="E6" s="154"/>
      <c r="G6" s="154" t="s">
        <v>46</v>
      </c>
      <c r="H6" s="154"/>
      <c r="I6" s="154"/>
      <c r="J6" s="154"/>
    </row>
    <row r="7" spans="2:45" x14ac:dyDescent="0.35">
      <c r="B7" s="27" t="s">
        <v>47</v>
      </c>
      <c r="C7" s="27" t="s">
        <v>48</v>
      </c>
      <c r="D7" s="27" t="s">
        <v>49</v>
      </c>
      <c r="E7" s="27" t="s">
        <v>50</v>
      </c>
      <c r="G7" s="27" t="s">
        <v>47</v>
      </c>
      <c r="H7" s="27" t="s">
        <v>51</v>
      </c>
      <c r="I7" s="27" t="s">
        <v>49</v>
      </c>
      <c r="J7" s="27" t="s">
        <v>50</v>
      </c>
    </row>
    <row r="8" spans="2:45" x14ac:dyDescent="0.35">
      <c r="B8" t="s">
        <v>435</v>
      </c>
      <c r="C8" s="28" t="s">
        <v>52</v>
      </c>
      <c r="D8" s="28" t="s">
        <v>52</v>
      </c>
      <c r="E8" s="28" t="s">
        <v>52</v>
      </c>
      <c r="G8" t="s">
        <v>382</v>
      </c>
      <c r="H8" s="6" t="s">
        <v>53</v>
      </c>
      <c r="I8" s="6" t="s">
        <v>53</v>
      </c>
      <c r="J8" s="6" t="s">
        <v>53</v>
      </c>
      <c r="N8" s="156" t="s">
        <v>347</v>
      </c>
      <c r="O8" s="156"/>
      <c r="P8" s="156"/>
      <c r="Q8" s="156"/>
      <c r="R8" s="156"/>
      <c r="V8" s="156" t="s">
        <v>355</v>
      </c>
      <c r="W8" s="156"/>
      <c r="X8" s="156"/>
      <c r="Y8" s="156"/>
      <c r="Z8" s="156"/>
      <c r="AD8" s="156" t="s">
        <v>360</v>
      </c>
      <c r="AE8" s="156"/>
      <c r="AF8" s="156"/>
      <c r="AG8" s="156"/>
      <c r="AH8" s="156"/>
      <c r="AK8" s="156" t="s">
        <v>475</v>
      </c>
      <c r="AL8" s="156"/>
      <c r="AM8" s="156"/>
      <c r="AN8" s="156"/>
      <c r="AO8" s="156"/>
      <c r="AP8" s="156"/>
      <c r="AQ8" s="156"/>
      <c r="AR8" s="156"/>
      <c r="AS8" s="120"/>
    </row>
    <row r="9" spans="2:45" x14ac:dyDescent="0.35">
      <c r="B9" t="s">
        <v>436</v>
      </c>
      <c r="C9" s="6" t="s">
        <v>53</v>
      </c>
      <c r="D9" s="28" t="s">
        <v>52</v>
      </c>
      <c r="E9" s="6" t="s">
        <v>53</v>
      </c>
      <c r="G9" t="s">
        <v>383</v>
      </c>
      <c r="H9" s="6" t="s">
        <v>53</v>
      </c>
      <c r="I9" s="6" t="s">
        <v>53</v>
      </c>
      <c r="J9" s="6" t="s">
        <v>53</v>
      </c>
      <c r="N9" s="154" t="s">
        <v>348</v>
      </c>
      <c r="O9" s="154"/>
      <c r="P9" s="154"/>
      <c r="Q9" s="154"/>
      <c r="R9" s="154"/>
      <c r="V9" s="154" t="s">
        <v>356</v>
      </c>
      <c r="W9" s="154"/>
      <c r="X9" s="154"/>
      <c r="Y9" s="154"/>
      <c r="Z9" s="154"/>
      <c r="AD9" s="154" t="s">
        <v>361</v>
      </c>
      <c r="AE9" s="154"/>
      <c r="AF9" s="154"/>
      <c r="AG9" s="154"/>
      <c r="AH9" s="154"/>
      <c r="AK9" s="154" t="s">
        <v>364</v>
      </c>
      <c r="AL9" s="154"/>
      <c r="AM9" s="154"/>
      <c r="AN9" s="154"/>
      <c r="AO9" s="154"/>
      <c r="AP9" s="154"/>
      <c r="AQ9" s="154"/>
      <c r="AR9" s="154"/>
      <c r="AS9" s="120"/>
    </row>
    <row r="10" spans="2:45" x14ac:dyDescent="0.35">
      <c r="B10" t="s">
        <v>437</v>
      </c>
      <c r="C10" s="28" t="s">
        <v>52</v>
      </c>
      <c r="D10" s="28" t="s">
        <v>52</v>
      </c>
      <c r="E10" s="28" t="s">
        <v>52</v>
      </c>
      <c r="G10" t="s">
        <v>384</v>
      </c>
      <c r="H10" s="6" t="s">
        <v>53</v>
      </c>
      <c r="I10" s="6" t="s">
        <v>53</v>
      </c>
      <c r="J10" s="6" t="s">
        <v>53</v>
      </c>
      <c r="N10" s="27"/>
      <c r="O10" s="111" t="s">
        <v>52</v>
      </c>
      <c r="P10" s="121" t="s">
        <v>53</v>
      </c>
      <c r="Q10" s="115" t="s">
        <v>55</v>
      </c>
      <c r="R10" s="27" t="s">
        <v>8</v>
      </c>
      <c r="V10" s="27"/>
      <c r="W10" s="111" t="s">
        <v>52</v>
      </c>
      <c r="X10" s="121" t="s">
        <v>53</v>
      </c>
      <c r="Y10" s="115" t="s">
        <v>55</v>
      </c>
      <c r="Z10" s="27" t="s">
        <v>8</v>
      </c>
      <c r="AD10" s="27"/>
      <c r="AE10" s="111" t="s">
        <v>52</v>
      </c>
      <c r="AF10" s="121" t="s">
        <v>53</v>
      </c>
      <c r="AG10" s="115" t="s">
        <v>55</v>
      </c>
      <c r="AH10" s="27" t="s">
        <v>8</v>
      </c>
      <c r="AL10" s="27" t="s">
        <v>58</v>
      </c>
      <c r="AM10" s="27" t="s">
        <v>59</v>
      </c>
      <c r="AN10" s="27" t="s">
        <v>60</v>
      </c>
      <c r="AO10" s="27" t="s">
        <v>62</v>
      </c>
      <c r="AP10" s="27" t="s">
        <v>63</v>
      </c>
      <c r="AQ10" s="27" t="s">
        <v>64</v>
      </c>
    </row>
    <row r="11" spans="2:45" x14ac:dyDescent="0.35">
      <c r="B11" t="s">
        <v>438</v>
      </c>
      <c r="C11" s="28" t="s">
        <v>52</v>
      </c>
      <c r="D11" s="28" t="s">
        <v>52</v>
      </c>
      <c r="E11" s="28" t="s">
        <v>52</v>
      </c>
      <c r="G11" t="s">
        <v>385</v>
      </c>
      <c r="H11" s="6" t="s">
        <v>53</v>
      </c>
      <c r="I11" s="6" t="s">
        <v>53</v>
      </c>
      <c r="J11" s="6" t="s">
        <v>53</v>
      </c>
      <c r="N11" s="27" t="s">
        <v>19</v>
      </c>
      <c r="O11" s="112">
        <f>COUNTIF(H8:H57,"RR")</f>
        <v>7</v>
      </c>
      <c r="P11" s="122">
        <f>COUNTIF(H8:H57,"RS")</f>
        <v>30</v>
      </c>
      <c r="Q11" s="116">
        <f>COUNTIF(H8:H57,"SS")</f>
        <v>12</v>
      </c>
      <c r="R11" s="2">
        <f>SUM(O11:Q11)</f>
        <v>49</v>
      </c>
      <c r="V11" s="27" t="s">
        <v>19</v>
      </c>
      <c r="W11" s="112">
        <f>COUNTIF(I8:I57,"RR")</f>
        <v>6</v>
      </c>
      <c r="X11" s="122">
        <f>COUNTIF(J8:J57,"RS")</f>
        <v>28</v>
      </c>
      <c r="Y11" s="116">
        <f>COUNTIF(I8:I57,"SS")</f>
        <v>13</v>
      </c>
      <c r="Z11" s="2">
        <f>SUM(W11:Y11)</f>
        <v>47</v>
      </c>
      <c r="AD11" s="27" t="s">
        <v>19</v>
      </c>
      <c r="AE11" s="112">
        <f>COUNTIF(J8:J57,"RR")</f>
        <v>2</v>
      </c>
      <c r="AF11" s="122">
        <f>COUNTIF(J8:J57,"RS")</f>
        <v>28</v>
      </c>
      <c r="AG11" s="116">
        <f>COUNTIF(J8:J57,"SS")</f>
        <v>10</v>
      </c>
      <c r="AH11" s="2">
        <f>SUM(AE11:AG11)</f>
        <v>40</v>
      </c>
      <c r="AK11" s="27" t="s">
        <v>19</v>
      </c>
      <c r="AL11" s="2">
        <f>COUNTIFS(H8:H57, "RR", I8:I57, "RR", J8:J57, "RR")</f>
        <v>0</v>
      </c>
      <c r="AM11" s="2">
        <f>COUNTIFS(H8:H65, "RR", I8:I65, "RR", J8:J65, "RS")</f>
        <v>0</v>
      </c>
      <c r="AN11" s="2">
        <f>COUNTIFS(H8:H65, "RR", I8:I65, "RS", J8:J65, "RS")</f>
        <v>2</v>
      </c>
      <c r="AO11" s="2">
        <f>COUNTIFS(H8:H65, "RS", I8:I65, "RS", J8:J65, "RS")</f>
        <v>13</v>
      </c>
      <c r="AP11" s="2">
        <f>COUNTIFS(H8:H65, "SS", I8:I65, "RS", J8:J65, "SS")</f>
        <v>7</v>
      </c>
      <c r="AQ11" s="2">
        <f>COUNTIFS(H8:H65, "SS", I8:I65, "SS", J8:J65, "SS")</f>
        <v>1</v>
      </c>
      <c r="AR11" s="2">
        <f>SUM(AL11:AQ11)</f>
        <v>23</v>
      </c>
    </row>
    <row r="12" spans="2:45" x14ac:dyDescent="0.35">
      <c r="B12" t="s">
        <v>439</v>
      </c>
      <c r="C12" s="28" t="s">
        <v>52</v>
      </c>
      <c r="D12" s="28" t="s">
        <v>52</v>
      </c>
      <c r="E12" s="28" t="s">
        <v>52</v>
      </c>
      <c r="G12" t="s">
        <v>386</v>
      </c>
      <c r="H12" s="6" t="s">
        <v>53</v>
      </c>
      <c r="I12" s="6" t="s">
        <v>53</v>
      </c>
      <c r="J12" s="6" t="s">
        <v>53</v>
      </c>
      <c r="N12" s="27" t="s">
        <v>18</v>
      </c>
      <c r="O12" s="112">
        <f>COUNTIF(C8:C29,"RR")</f>
        <v>16</v>
      </c>
      <c r="P12" s="122">
        <f>COUNTIF(C8:C29,"RS")</f>
        <v>4</v>
      </c>
      <c r="Q12" s="116">
        <f>COUNTIF(C8:C29,"SS")</f>
        <v>0</v>
      </c>
      <c r="R12" s="2">
        <f>SUM(O12:Q12)</f>
        <v>20</v>
      </c>
      <c r="V12" s="27" t="s">
        <v>18</v>
      </c>
      <c r="W12" s="112">
        <f>COUNTIF(D8:D29,"RR")</f>
        <v>17</v>
      </c>
      <c r="X12" s="122">
        <f>COUNTIF(D8:D29,"RS")</f>
        <v>3</v>
      </c>
      <c r="Y12" s="116">
        <f>COUNTIF(D8:D29,"SS")</f>
        <v>0</v>
      </c>
      <c r="Z12" s="2">
        <f>SUM(W12:Y12)</f>
        <v>20</v>
      </c>
      <c r="AD12" s="27" t="s">
        <v>18</v>
      </c>
      <c r="AE12" s="112">
        <f>COUNTIF(E8:E29,"RR")</f>
        <v>16</v>
      </c>
      <c r="AF12" s="122">
        <f>COUNTIF(E8:E29,"RS")</f>
        <v>5</v>
      </c>
      <c r="AG12" s="116">
        <f>COUNTIF(E8:E29,"SS")</f>
        <v>0</v>
      </c>
      <c r="AH12" s="2">
        <f>SUM(AE12:AG12)</f>
        <v>21</v>
      </c>
      <c r="AK12" s="27" t="s">
        <v>18</v>
      </c>
      <c r="AL12" s="2">
        <f>COUNTIFS(C8:C47, "RR", D8:D47, "RR", E8:E47, "RR")</f>
        <v>14</v>
      </c>
      <c r="AM12" s="2">
        <f>COUNTIFS(C8:C65, "RR", D8:D65, "RR", E8:E65, "RS")</f>
        <v>1</v>
      </c>
      <c r="AN12" s="2">
        <f>COUNTIFS(C8:C69, "RR", D8:D69, "RS", E8:E69, "RS")</f>
        <v>0</v>
      </c>
      <c r="AO12" s="2">
        <f>COUNTIFS(C8:C69, "RS", D8:D69, "RS", E8:E69, "RS")</f>
        <v>3</v>
      </c>
      <c r="AP12" s="2">
        <f>COUNTIFS(C8:C69, "SS", D8:D69, "RS", E8:E69, "SS")</f>
        <v>0</v>
      </c>
      <c r="AQ12" s="2">
        <f>COUNTIFS(C8:C69, "SS", D8:D69, "SS", E8:E69, "SS")</f>
        <v>0</v>
      </c>
      <c r="AR12" s="2">
        <f>SUM(AL12:AQ12)</f>
        <v>18</v>
      </c>
    </row>
    <row r="13" spans="2:45" x14ac:dyDescent="0.35">
      <c r="B13" t="s">
        <v>440</v>
      </c>
      <c r="C13" s="6" t="s">
        <v>53</v>
      </c>
      <c r="D13" s="6" t="s">
        <v>53</v>
      </c>
      <c r="E13" s="6" t="s">
        <v>53</v>
      </c>
      <c r="G13" t="s">
        <v>387</v>
      </c>
      <c r="H13" s="6" t="s">
        <v>53</v>
      </c>
      <c r="I13" s="6" t="s">
        <v>53</v>
      </c>
      <c r="J13" s="6" t="s">
        <v>53</v>
      </c>
      <c r="O13" s="112">
        <f>SUM(O11:O12)</f>
        <v>23</v>
      </c>
      <c r="P13" s="122">
        <f t="shared" ref="P13:Q13" si="0">SUM(P11:P12)</f>
        <v>34</v>
      </c>
      <c r="Q13" s="116">
        <f t="shared" si="0"/>
        <v>12</v>
      </c>
      <c r="W13" s="112">
        <f>SUM(W11:W12)</f>
        <v>23</v>
      </c>
      <c r="X13" s="122">
        <f t="shared" ref="X13:Y13" si="1">SUM(X11:X12)</f>
        <v>31</v>
      </c>
      <c r="Y13" s="116">
        <f t="shared" si="1"/>
        <v>13</v>
      </c>
      <c r="AE13" s="112">
        <f>SUM(AE11:AE12)</f>
        <v>18</v>
      </c>
      <c r="AF13" s="122">
        <f t="shared" ref="AF13:AG13" si="2">SUM(AF11:AF12)</f>
        <v>33</v>
      </c>
      <c r="AG13" s="116">
        <f t="shared" si="2"/>
        <v>10</v>
      </c>
      <c r="AL13" s="2">
        <f>SUM(AL11:AL12)</f>
        <v>14</v>
      </c>
      <c r="AM13" s="2">
        <f t="shared" ref="AM13:AQ13" si="3">SUM(AM11:AM12)</f>
        <v>1</v>
      </c>
      <c r="AN13" s="2">
        <f t="shared" si="3"/>
        <v>2</v>
      </c>
      <c r="AO13" s="2">
        <f t="shared" si="3"/>
        <v>16</v>
      </c>
      <c r="AP13" s="2">
        <f t="shared" si="3"/>
        <v>7</v>
      </c>
      <c r="AQ13" s="2">
        <f t="shared" si="3"/>
        <v>1</v>
      </c>
    </row>
    <row r="14" spans="2:45" x14ac:dyDescent="0.35">
      <c r="B14" t="s">
        <v>441</v>
      </c>
      <c r="C14" s="2" t="s">
        <v>143</v>
      </c>
      <c r="D14" s="2" t="s">
        <v>143</v>
      </c>
      <c r="E14" s="2" t="s">
        <v>143</v>
      </c>
      <c r="G14" t="s">
        <v>388</v>
      </c>
      <c r="H14" s="6" t="s">
        <v>53</v>
      </c>
      <c r="I14" s="6" t="s">
        <v>53</v>
      </c>
      <c r="J14" s="6" t="s">
        <v>53</v>
      </c>
      <c r="N14" s="154" t="s">
        <v>349</v>
      </c>
      <c r="O14" s="154"/>
      <c r="P14" s="154"/>
      <c r="Q14" s="154"/>
      <c r="R14" s="154"/>
      <c r="V14" s="154" t="s">
        <v>357</v>
      </c>
      <c r="W14" s="154"/>
      <c r="X14" s="154"/>
      <c r="Y14" s="154"/>
      <c r="Z14" s="154"/>
      <c r="AD14" s="154" t="s">
        <v>362</v>
      </c>
      <c r="AE14" s="154"/>
      <c r="AF14" s="154"/>
      <c r="AG14" s="154"/>
      <c r="AH14" s="154"/>
      <c r="AK14" s="154" t="s">
        <v>365</v>
      </c>
      <c r="AL14" s="154"/>
      <c r="AM14" s="154"/>
      <c r="AN14" s="154"/>
      <c r="AO14" s="154"/>
      <c r="AP14" s="154"/>
      <c r="AQ14" s="154"/>
      <c r="AR14" s="154"/>
      <c r="AS14" s="120"/>
    </row>
    <row r="15" spans="2:45" x14ac:dyDescent="0.35">
      <c r="B15" t="s">
        <v>442</v>
      </c>
      <c r="C15" s="28" t="s">
        <v>52</v>
      </c>
      <c r="D15" s="28" t="s">
        <v>52</v>
      </c>
      <c r="E15" s="6" t="s">
        <v>53</v>
      </c>
      <c r="G15" t="s">
        <v>389</v>
      </c>
      <c r="H15" s="6" t="s">
        <v>53</v>
      </c>
      <c r="I15" s="6" t="s">
        <v>53</v>
      </c>
      <c r="J15" s="6" t="s">
        <v>53</v>
      </c>
      <c r="N15" s="27"/>
      <c r="O15" s="111" t="s">
        <v>52</v>
      </c>
      <c r="P15" s="121" t="s">
        <v>53</v>
      </c>
      <c r="Q15" s="115" t="s">
        <v>55</v>
      </c>
      <c r="R15" s="27" t="s">
        <v>65</v>
      </c>
      <c r="V15" s="27"/>
      <c r="W15" s="111" t="s">
        <v>52</v>
      </c>
      <c r="X15" s="121" t="s">
        <v>53</v>
      </c>
      <c r="Y15" s="115" t="s">
        <v>55</v>
      </c>
      <c r="Z15" s="27" t="s">
        <v>65</v>
      </c>
      <c r="AD15" s="27"/>
      <c r="AE15" s="111" t="s">
        <v>52</v>
      </c>
      <c r="AF15" s="121" t="s">
        <v>53</v>
      </c>
      <c r="AG15" s="115" t="s">
        <v>55</v>
      </c>
      <c r="AH15" s="27" t="s">
        <v>65</v>
      </c>
      <c r="AK15" s="27" t="s">
        <v>122</v>
      </c>
      <c r="AL15" s="27" t="s">
        <v>58</v>
      </c>
      <c r="AM15" s="27" t="s">
        <v>59</v>
      </c>
      <c r="AN15" s="27" t="s">
        <v>60</v>
      </c>
      <c r="AO15" s="27" t="s">
        <v>62</v>
      </c>
      <c r="AP15" s="27" t="s">
        <v>63</v>
      </c>
      <c r="AQ15" s="27" t="s">
        <v>64</v>
      </c>
    </row>
    <row r="16" spans="2:45" x14ac:dyDescent="0.35">
      <c r="B16" t="s">
        <v>443</v>
      </c>
      <c r="C16" s="6" t="s">
        <v>53</v>
      </c>
      <c r="D16" s="6" t="s">
        <v>53</v>
      </c>
      <c r="E16" s="6" t="s">
        <v>53</v>
      </c>
      <c r="G16" t="s">
        <v>390</v>
      </c>
      <c r="H16" s="6" t="s">
        <v>53</v>
      </c>
      <c r="I16" s="2" t="s">
        <v>143</v>
      </c>
      <c r="J16" s="6" t="s">
        <v>53</v>
      </c>
      <c r="N16" s="27" t="s">
        <v>19</v>
      </c>
      <c r="O16" s="113">
        <f>O11/$R$11*100</f>
        <v>14.285714285714285</v>
      </c>
      <c r="P16" s="123">
        <f>P11/$R$11*100</f>
        <v>61.224489795918366</v>
      </c>
      <c r="Q16" s="117">
        <f>Q11/$R$11*100</f>
        <v>24.489795918367346</v>
      </c>
      <c r="R16" s="30">
        <v>100</v>
      </c>
      <c r="V16" s="27" t="s">
        <v>19</v>
      </c>
      <c r="W16" s="113">
        <f>W11/$Z$11*100</f>
        <v>12.76595744680851</v>
      </c>
      <c r="X16" s="123">
        <f>X11/$Z$11*100</f>
        <v>59.574468085106382</v>
      </c>
      <c r="Y16" s="117">
        <f>Y11/$Z$11*100</f>
        <v>27.659574468085108</v>
      </c>
      <c r="Z16" s="30">
        <v>100</v>
      </c>
      <c r="AD16" s="27" t="s">
        <v>19</v>
      </c>
      <c r="AE16" s="113">
        <f>AE11/$AH$11*100</f>
        <v>5</v>
      </c>
      <c r="AF16" s="123">
        <f>AF11/$AH$11*100</f>
        <v>70</v>
      </c>
      <c r="AG16" s="117">
        <f>AG11/$AH$11*100</f>
        <v>25</v>
      </c>
      <c r="AH16" s="30">
        <v>100</v>
      </c>
      <c r="AK16" s="27" t="s">
        <v>19</v>
      </c>
      <c r="AL16" s="2">
        <f t="shared" ref="AL16:AQ16" si="4">AL11/AL13*100</f>
        <v>0</v>
      </c>
      <c r="AM16" s="2">
        <f t="shared" si="4"/>
        <v>0</v>
      </c>
      <c r="AN16" s="2">
        <f t="shared" si="4"/>
        <v>100</v>
      </c>
      <c r="AO16" s="2">
        <f t="shared" si="4"/>
        <v>81.25</v>
      </c>
      <c r="AP16" s="2">
        <f t="shared" si="4"/>
        <v>100</v>
      </c>
      <c r="AQ16" s="2">
        <f t="shared" si="4"/>
        <v>100</v>
      </c>
    </row>
    <row r="17" spans="2:43" x14ac:dyDescent="0.35">
      <c r="B17" t="s">
        <v>444</v>
      </c>
      <c r="C17" s="28" t="s">
        <v>52</v>
      </c>
      <c r="D17" s="28" t="s">
        <v>52</v>
      </c>
      <c r="E17" s="28" t="s">
        <v>52</v>
      </c>
      <c r="G17" t="s">
        <v>391</v>
      </c>
      <c r="H17" s="28" t="s">
        <v>52</v>
      </c>
      <c r="I17" s="2" t="s">
        <v>143</v>
      </c>
      <c r="J17" s="6" t="s">
        <v>53</v>
      </c>
      <c r="N17" s="27" t="s">
        <v>18</v>
      </c>
      <c r="O17" s="113">
        <f>O12/$R$12*100</f>
        <v>80</v>
      </c>
      <c r="P17" s="123">
        <f t="shared" ref="P17:Q17" si="5">P12/$R$12*100</f>
        <v>20</v>
      </c>
      <c r="Q17" s="117">
        <f t="shared" si="5"/>
        <v>0</v>
      </c>
      <c r="R17" s="30">
        <v>100</v>
      </c>
      <c r="V17" s="27" t="s">
        <v>18</v>
      </c>
      <c r="W17" s="113">
        <f>W12/$Z$12*100</f>
        <v>85</v>
      </c>
      <c r="X17" s="123">
        <f>X12/$Z$12*100</f>
        <v>15</v>
      </c>
      <c r="Y17" s="117">
        <f>Y12/$Z$12*100</f>
        <v>0</v>
      </c>
      <c r="Z17" s="30">
        <v>100</v>
      </c>
      <c r="AD17" s="27" t="s">
        <v>18</v>
      </c>
      <c r="AE17" s="113">
        <f>AE12/$AH$12*100</f>
        <v>76.19047619047619</v>
      </c>
      <c r="AF17" s="123">
        <f>AF12/$AH$12*100</f>
        <v>23.809523809523807</v>
      </c>
      <c r="AG17" s="117">
        <f>AG12/$AH$12*100</f>
        <v>0</v>
      </c>
      <c r="AH17" s="30">
        <v>100</v>
      </c>
      <c r="AK17" s="27" t="s">
        <v>18</v>
      </c>
      <c r="AL17" s="2">
        <f t="shared" ref="AL17:AQ17" si="6">AL12/AL13*100</f>
        <v>100</v>
      </c>
      <c r="AM17" s="2">
        <f t="shared" si="6"/>
        <v>100</v>
      </c>
      <c r="AN17" s="2">
        <f t="shared" si="6"/>
        <v>0</v>
      </c>
      <c r="AO17" s="2">
        <f t="shared" si="6"/>
        <v>18.75</v>
      </c>
      <c r="AP17" s="2">
        <f t="shared" si="6"/>
        <v>0</v>
      </c>
      <c r="AQ17" s="2">
        <f t="shared" si="6"/>
        <v>0</v>
      </c>
    </row>
    <row r="18" spans="2:43" x14ac:dyDescent="0.35">
      <c r="B18" t="s">
        <v>445</v>
      </c>
      <c r="C18" s="28" t="s">
        <v>52</v>
      </c>
      <c r="D18" s="28" t="s">
        <v>52</v>
      </c>
      <c r="E18" s="28" t="s">
        <v>52</v>
      </c>
      <c r="G18" t="s">
        <v>392</v>
      </c>
      <c r="H18" s="6" t="s">
        <v>53</v>
      </c>
      <c r="I18" s="28" t="s">
        <v>52</v>
      </c>
      <c r="J18" s="6" t="s">
        <v>53</v>
      </c>
    </row>
    <row r="19" spans="2:43" x14ac:dyDescent="0.35">
      <c r="B19" t="s">
        <v>446</v>
      </c>
      <c r="C19" s="28" t="s">
        <v>52</v>
      </c>
      <c r="D19" s="2" t="s">
        <v>143</v>
      </c>
      <c r="E19" s="28" t="s">
        <v>52</v>
      </c>
      <c r="G19" t="s">
        <v>393</v>
      </c>
      <c r="H19" s="29" t="s">
        <v>55</v>
      </c>
      <c r="I19" s="6" t="s">
        <v>53</v>
      </c>
      <c r="J19" s="29" t="s">
        <v>55</v>
      </c>
    </row>
    <row r="20" spans="2:43" x14ac:dyDescent="0.35">
      <c r="B20" t="s">
        <v>447</v>
      </c>
      <c r="C20" s="28" t="s">
        <v>52</v>
      </c>
      <c r="D20" s="28" t="s">
        <v>52</v>
      </c>
      <c r="E20" s="28" t="s">
        <v>52</v>
      </c>
      <c r="G20" t="s">
        <v>394</v>
      </c>
      <c r="H20" s="6" t="s">
        <v>53</v>
      </c>
      <c r="I20" s="29" t="s">
        <v>55</v>
      </c>
      <c r="J20" s="6" t="s">
        <v>53</v>
      </c>
    </row>
    <row r="21" spans="2:43" x14ac:dyDescent="0.35">
      <c r="B21" t="s">
        <v>448</v>
      </c>
      <c r="C21" s="28" t="s">
        <v>52</v>
      </c>
      <c r="D21" s="28" t="s">
        <v>52</v>
      </c>
      <c r="E21" s="28" t="s">
        <v>52</v>
      </c>
      <c r="G21" t="s">
        <v>395</v>
      </c>
      <c r="H21" s="6" t="s">
        <v>53</v>
      </c>
      <c r="I21" s="6" t="s">
        <v>53</v>
      </c>
      <c r="J21" s="29" t="s">
        <v>55</v>
      </c>
    </row>
    <row r="22" spans="2:43" x14ac:dyDescent="0.35">
      <c r="B22" t="s">
        <v>449</v>
      </c>
      <c r="C22" s="2" t="s">
        <v>143</v>
      </c>
      <c r="D22" s="28" t="s">
        <v>52</v>
      </c>
      <c r="E22" s="28" t="s">
        <v>52</v>
      </c>
      <c r="G22" t="s">
        <v>396</v>
      </c>
      <c r="H22" s="29" t="s">
        <v>55</v>
      </c>
      <c r="I22" s="6" t="s">
        <v>53</v>
      </c>
      <c r="J22" s="29" t="s">
        <v>55</v>
      </c>
    </row>
    <row r="23" spans="2:43" x14ac:dyDescent="0.35">
      <c r="B23" t="s">
        <v>450</v>
      </c>
      <c r="C23" s="28" t="s">
        <v>52</v>
      </c>
      <c r="D23" s="28" t="s">
        <v>52</v>
      </c>
      <c r="E23" s="28" t="s">
        <v>52</v>
      </c>
      <c r="G23" t="s">
        <v>397</v>
      </c>
      <c r="H23" s="29" t="s">
        <v>55</v>
      </c>
      <c r="I23" s="29" t="s">
        <v>55</v>
      </c>
      <c r="J23" s="29" t="s">
        <v>55</v>
      </c>
    </row>
    <row r="24" spans="2:43" x14ac:dyDescent="0.35">
      <c r="B24" t="s">
        <v>451</v>
      </c>
      <c r="C24" s="28" t="s">
        <v>52</v>
      </c>
      <c r="D24" s="28" t="s">
        <v>52</v>
      </c>
      <c r="E24" s="28" t="s">
        <v>52</v>
      </c>
      <c r="G24" t="s">
        <v>398</v>
      </c>
      <c r="H24" s="6" t="s">
        <v>53</v>
      </c>
      <c r="I24" s="29" t="s">
        <v>55</v>
      </c>
      <c r="J24" s="6" t="s">
        <v>53</v>
      </c>
    </row>
    <row r="25" spans="2:43" x14ac:dyDescent="0.35">
      <c r="B25" t="s">
        <v>452</v>
      </c>
      <c r="C25" s="28" t="s">
        <v>52</v>
      </c>
      <c r="D25" s="28" t="s">
        <v>52</v>
      </c>
      <c r="E25" s="28" t="s">
        <v>52</v>
      </c>
      <c r="G25" t="s">
        <v>399</v>
      </c>
      <c r="H25" s="29" t="s">
        <v>55</v>
      </c>
      <c r="I25" s="6" t="s">
        <v>53</v>
      </c>
      <c r="J25" s="29" t="s">
        <v>55</v>
      </c>
    </row>
    <row r="26" spans="2:43" x14ac:dyDescent="0.35">
      <c r="B26" t="s">
        <v>453</v>
      </c>
      <c r="C26" s="28" t="s">
        <v>52</v>
      </c>
      <c r="D26" s="28" t="s">
        <v>52</v>
      </c>
      <c r="E26" s="28" t="s">
        <v>52</v>
      </c>
      <c r="G26" t="s">
        <v>400</v>
      </c>
      <c r="H26" s="6" t="s">
        <v>53</v>
      </c>
      <c r="I26" s="29" t="s">
        <v>55</v>
      </c>
      <c r="J26" s="6" t="s">
        <v>53</v>
      </c>
    </row>
    <row r="27" spans="2:43" x14ac:dyDescent="0.35">
      <c r="B27" t="s">
        <v>454</v>
      </c>
      <c r="C27" s="28" t="s">
        <v>52</v>
      </c>
      <c r="D27" s="28" t="s">
        <v>52</v>
      </c>
      <c r="E27" s="28" t="s">
        <v>52</v>
      </c>
      <c r="G27" t="s">
        <v>401</v>
      </c>
      <c r="H27" s="6" t="s">
        <v>53</v>
      </c>
      <c r="I27" s="6" t="s">
        <v>53</v>
      </c>
      <c r="J27" s="6" t="s">
        <v>53</v>
      </c>
    </row>
    <row r="28" spans="2:43" x14ac:dyDescent="0.35">
      <c r="B28" t="s">
        <v>455</v>
      </c>
      <c r="C28" s="28" t="s">
        <v>52</v>
      </c>
      <c r="D28" s="28" t="s">
        <v>52</v>
      </c>
      <c r="E28" s="28" t="s">
        <v>52</v>
      </c>
      <c r="G28" t="s">
        <v>402</v>
      </c>
      <c r="H28" s="29" t="s">
        <v>55</v>
      </c>
      <c r="I28" s="6" t="s">
        <v>53</v>
      </c>
      <c r="J28" s="29" t="s">
        <v>55</v>
      </c>
    </row>
    <row r="29" spans="2:43" x14ac:dyDescent="0.35">
      <c r="B29" t="s">
        <v>456</v>
      </c>
      <c r="C29" s="6" t="s">
        <v>53</v>
      </c>
      <c r="D29" s="6" t="s">
        <v>53</v>
      </c>
      <c r="E29" s="6" t="s">
        <v>53</v>
      </c>
      <c r="G29" t="s">
        <v>403</v>
      </c>
      <c r="H29" s="6" t="s">
        <v>53</v>
      </c>
      <c r="I29" s="29" t="s">
        <v>55</v>
      </c>
      <c r="J29" s="6" t="s">
        <v>53</v>
      </c>
    </row>
    <row r="30" spans="2:43" x14ac:dyDescent="0.35">
      <c r="B30" s="27"/>
      <c r="G30" t="s">
        <v>404</v>
      </c>
      <c r="H30" s="28" t="s">
        <v>52</v>
      </c>
      <c r="I30" s="6" t="s">
        <v>53</v>
      </c>
      <c r="J30" s="6" t="s">
        <v>53</v>
      </c>
    </row>
    <row r="31" spans="2:43" x14ac:dyDescent="0.35">
      <c r="B31" s="27"/>
      <c r="G31" t="s">
        <v>405</v>
      </c>
      <c r="H31" s="29" t="s">
        <v>55</v>
      </c>
      <c r="I31" s="6" t="s">
        <v>53</v>
      </c>
      <c r="J31" s="29" t="s">
        <v>55</v>
      </c>
    </row>
    <row r="32" spans="2:43" x14ac:dyDescent="0.35">
      <c r="B32" s="27"/>
      <c r="G32" t="s">
        <v>406</v>
      </c>
      <c r="H32" s="28" t="s">
        <v>52</v>
      </c>
      <c r="I32" s="29" t="s">
        <v>55</v>
      </c>
      <c r="J32" s="6" t="s">
        <v>53</v>
      </c>
    </row>
    <row r="33" spans="2:40" x14ac:dyDescent="0.35">
      <c r="B33" s="27"/>
      <c r="G33" t="s">
        <v>407</v>
      </c>
      <c r="H33" s="6" t="s">
        <v>53</v>
      </c>
      <c r="I33" s="28" t="s">
        <v>52</v>
      </c>
      <c r="J33" s="6" t="s">
        <v>53</v>
      </c>
      <c r="N33" s="154" t="s">
        <v>350</v>
      </c>
      <c r="O33" s="154"/>
      <c r="P33" s="154"/>
      <c r="Q33" s="154"/>
      <c r="V33" s="154" t="s">
        <v>358</v>
      </c>
      <c r="W33" s="154"/>
      <c r="X33" s="154"/>
      <c r="Y33" s="154"/>
      <c r="AD33" s="154" t="s">
        <v>366</v>
      </c>
      <c r="AE33" s="154"/>
      <c r="AF33" s="154"/>
      <c r="AG33" s="154"/>
      <c r="AH33" s="154"/>
    </row>
    <row r="34" spans="2:40" x14ac:dyDescent="0.35">
      <c r="B34" s="27"/>
      <c r="G34" t="s">
        <v>408</v>
      </c>
      <c r="H34" s="29" t="s">
        <v>55</v>
      </c>
      <c r="I34" s="6" t="s">
        <v>53</v>
      </c>
      <c r="J34" s="29" t="s">
        <v>55</v>
      </c>
      <c r="N34" s="27"/>
      <c r="O34" s="111" t="s">
        <v>115</v>
      </c>
      <c r="P34" s="115" t="s">
        <v>116</v>
      </c>
      <c r="Q34" s="27" t="s">
        <v>117</v>
      </c>
      <c r="V34" s="27"/>
      <c r="W34" s="111" t="s">
        <v>115</v>
      </c>
      <c r="X34" s="115" t="s">
        <v>116</v>
      </c>
      <c r="Y34" s="27" t="s">
        <v>117</v>
      </c>
      <c r="AD34" s="27"/>
      <c r="AE34" s="111" t="s">
        <v>115</v>
      </c>
      <c r="AF34" s="115" t="s">
        <v>116</v>
      </c>
      <c r="AG34" s="27" t="s">
        <v>117</v>
      </c>
      <c r="AK34" s="154" t="s">
        <v>369</v>
      </c>
      <c r="AL34" s="154"/>
      <c r="AM34" s="154"/>
      <c r="AN34" s="154"/>
    </row>
    <row r="35" spans="2:40" x14ac:dyDescent="0.35">
      <c r="B35" s="27"/>
      <c r="G35" t="s">
        <v>409</v>
      </c>
      <c r="H35" s="6" t="s">
        <v>53</v>
      </c>
      <c r="I35" s="29" t="s">
        <v>55</v>
      </c>
      <c r="J35" s="6" t="s">
        <v>53</v>
      </c>
      <c r="N35" s="27" t="s">
        <v>19</v>
      </c>
      <c r="O35" s="113">
        <f>((O11+0.5*(P11))/R11*100)</f>
        <v>44.897959183673471</v>
      </c>
      <c r="P35" s="117">
        <f>((Q11+0.5*(P11))/R11*100)</f>
        <v>55.102040816326522</v>
      </c>
      <c r="Q35" s="2">
        <f>SUM(O35:P35)</f>
        <v>100</v>
      </c>
      <c r="V35" s="27" t="s">
        <v>19</v>
      </c>
      <c r="W35" s="113">
        <f>((W11+0.5*(X11))/Z11*100)</f>
        <v>42.553191489361701</v>
      </c>
      <c r="X35" s="117">
        <f>((Y11+0.5*(X11))/Z11*100)</f>
        <v>57.446808510638306</v>
      </c>
      <c r="Y35" s="2">
        <f>SUM(W35:X35)</f>
        <v>100</v>
      </c>
      <c r="AD35" s="27" t="s">
        <v>19</v>
      </c>
      <c r="AE35" s="112">
        <f>((AE11+0.5*(AF11))/AH11*100)</f>
        <v>40</v>
      </c>
      <c r="AF35" s="116">
        <f>((AG11+0.5*(AF11))/AH11*100)</f>
        <v>60</v>
      </c>
      <c r="AG35" s="2">
        <f>SUM(AE35:AF35)</f>
        <v>100</v>
      </c>
      <c r="AK35" s="27" t="s">
        <v>67</v>
      </c>
      <c r="AL35" s="27" t="s">
        <v>351</v>
      </c>
      <c r="AM35" s="27" t="s">
        <v>68</v>
      </c>
      <c r="AN35" s="27" t="s">
        <v>370</v>
      </c>
    </row>
    <row r="36" spans="2:40" x14ac:dyDescent="0.35">
      <c r="B36" s="27"/>
      <c r="G36" t="s">
        <v>410</v>
      </c>
      <c r="H36" s="6" t="s">
        <v>53</v>
      </c>
      <c r="I36" s="6" t="s">
        <v>53</v>
      </c>
      <c r="J36" s="6" t="s">
        <v>53</v>
      </c>
      <c r="N36" s="27" t="s">
        <v>18</v>
      </c>
      <c r="O36" s="112">
        <f>((O12+0.5*(P12))/R12*100)</f>
        <v>90</v>
      </c>
      <c r="P36" s="116">
        <f>((Q12+0.5*(P12))/R12*100)</f>
        <v>10</v>
      </c>
      <c r="Q36" s="2">
        <f>SUM(O36:P36)</f>
        <v>100</v>
      </c>
      <c r="V36" s="27" t="s">
        <v>18</v>
      </c>
      <c r="W36" s="112">
        <f>((W12+0.5*(X12))/Z12*100)</f>
        <v>92.5</v>
      </c>
      <c r="X36" s="116">
        <f>((Y12+0.5*(X12))/Z12*100)</f>
        <v>7.5</v>
      </c>
      <c r="Y36" s="2">
        <f>SUM(W36:X36)</f>
        <v>100</v>
      </c>
      <c r="AD36" s="27" t="s">
        <v>18</v>
      </c>
      <c r="AE36" s="113">
        <f>((AE12+0.5*(AF12))/AH12*100)</f>
        <v>88.095238095238088</v>
      </c>
      <c r="AF36" s="117">
        <f>((AG12+0.5*(AF12))/AH12*100)</f>
        <v>11.904761904761903</v>
      </c>
      <c r="AG36" s="2">
        <f>SUM(AE36:AF36)</f>
        <v>99.999999999999986</v>
      </c>
      <c r="AK36" s="27" t="s">
        <v>70</v>
      </c>
      <c r="AL36" s="124" t="s">
        <v>78</v>
      </c>
      <c r="AM36" s="124" t="s">
        <v>98</v>
      </c>
      <c r="AN36" s="124" t="s">
        <v>72</v>
      </c>
    </row>
    <row r="37" spans="2:40" x14ac:dyDescent="0.35">
      <c r="B37" s="27"/>
      <c r="G37" t="s">
        <v>411</v>
      </c>
      <c r="H37" s="6" t="s">
        <v>53</v>
      </c>
      <c r="I37" s="6" t="s">
        <v>53</v>
      </c>
      <c r="J37" s="6" t="s">
        <v>53</v>
      </c>
      <c r="AK37" s="27" t="s">
        <v>77</v>
      </c>
      <c r="AL37" s="124" t="s">
        <v>78</v>
      </c>
      <c r="AM37" s="124" t="s">
        <v>98</v>
      </c>
      <c r="AN37" s="124" t="s">
        <v>72</v>
      </c>
    </row>
    <row r="38" spans="2:40" x14ac:dyDescent="0.35">
      <c r="B38" s="27"/>
      <c r="G38" t="s">
        <v>412</v>
      </c>
      <c r="H38" s="6" t="s">
        <v>53</v>
      </c>
      <c r="I38" s="6" t="s">
        <v>53</v>
      </c>
      <c r="J38" s="6" t="s">
        <v>53</v>
      </c>
      <c r="AK38" s="27" t="s">
        <v>84</v>
      </c>
      <c r="AL38" s="124" t="s">
        <v>78</v>
      </c>
      <c r="AM38" s="124" t="s">
        <v>147</v>
      </c>
      <c r="AN38" s="124" t="s">
        <v>72</v>
      </c>
    </row>
    <row r="39" spans="2:40" x14ac:dyDescent="0.35">
      <c r="G39" t="s">
        <v>413</v>
      </c>
      <c r="H39" s="29" t="s">
        <v>55</v>
      </c>
      <c r="I39" s="6" t="s">
        <v>53</v>
      </c>
      <c r="J39" s="29" t="s">
        <v>55</v>
      </c>
      <c r="AK39" s="27" t="s">
        <v>91</v>
      </c>
      <c r="AL39" s="124" t="s">
        <v>78</v>
      </c>
      <c r="AM39" s="124" t="s">
        <v>98</v>
      </c>
      <c r="AN39" s="124" t="s">
        <v>72</v>
      </c>
    </row>
    <row r="40" spans="2:40" x14ac:dyDescent="0.35">
      <c r="G40" t="s">
        <v>414</v>
      </c>
      <c r="H40" s="28" t="s">
        <v>52</v>
      </c>
      <c r="I40" s="6" t="s">
        <v>53</v>
      </c>
      <c r="J40" s="28" t="s">
        <v>52</v>
      </c>
      <c r="AK40" s="27" t="s">
        <v>93</v>
      </c>
      <c r="AL40" s="124"/>
      <c r="AM40" s="124"/>
      <c r="AN40" s="124" t="s">
        <v>88</v>
      </c>
    </row>
    <row r="41" spans="2:40" x14ac:dyDescent="0.35">
      <c r="G41" t="s">
        <v>415</v>
      </c>
      <c r="H41" s="29" t="s">
        <v>55</v>
      </c>
      <c r="I41" s="29" t="s">
        <v>55</v>
      </c>
      <c r="J41" s="28" t="s">
        <v>52</v>
      </c>
      <c r="AK41" s="27" t="s">
        <v>95</v>
      </c>
      <c r="AL41" s="124" t="s">
        <v>78</v>
      </c>
      <c r="AM41" s="124" t="s">
        <v>98</v>
      </c>
      <c r="AN41" s="124" t="s">
        <v>72</v>
      </c>
    </row>
    <row r="42" spans="2:40" x14ac:dyDescent="0.35">
      <c r="G42" t="s">
        <v>416</v>
      </c>
      <c r="H42" s="28" t="s">
        <v>52</v>
      </c>
      <c r="I42" s="28" t="s">
        <v>52</v>
      </c>
      <c r="J42" s="29" t="s">
        <v>55</v>
      </c>
      <c r="AK42" s="27" t="s">
        <v>97</v>
      </c>
      <c r="AL42" s="124" t="s">
        <v>78</v>
      </c>
      <c r="AM42" s="124" t="s">
        <v>98</v>
      </c>
      <c r="AN42" s="124" t="s">
        <v>72</v>
      </c>
    </row>
    <row r="43" spans="2:40" x14ac:dyDescent="0.35">
      <c r="G43" t="s">
        <v>417</v>
      </c>
      <c r="H43" s="6" t="s">
        <v>53</v>
      </c>
      <c r="I43" s="6" t="s">
        <v>53</v>
      </c>
      <c r="J43" s="2" t="s">
        <v>143</v>
      </c>
      <c r="AK43" s="27" t="s">
        <v>99</v>
      </c>
      <c r="AL43" s="124" t="s">
        <v>78</v>
      </c>
      <c r="AM43" s="124" t="s">
        <v>147</v>
      </c>
      <c r="AN43" s="124" t="s">
        <v>72</v>
      </c>
    </row>
    <row r="44" spans="2:40" x14ac:dyDescent="0.35">
      <c r="G44" t="s">
        <v>418</v>
      </c>
      <c r="H44" s="29" t="s">
        <v>55</v>
      </c>
      <c r="I44" s="29" t="s">
        <v>55</v>
      </c>
      <c r="J44" s="2" t="s">
        <v>143</v>
      </c>
      <c r="AK44" s="27" t="s">
        <v>101</v>
      </c>
      <c r="AL44" s="124" t="s">
        <v>78</v>
      </c>
      <c r="AM44" s="124" t="s">
        <v>98</v>
      </c>
      <c r="AN44" s="124" t="s">
        <v>72</v>
      </c>
    </row>
    <row r="45" spans="2:40" x14ac:dyDescent="0.35">
      <c r="G45" t="s">
        <v>419</v>
      </c>
      <c r="H45" s="6" t="s">
        <v>53</v>
      </c>
      <c r="I45" s="6" t="s">
        <v>53</v>
      </c>
      <c r="J45" s="2" t="s">
        <v>143</v>
      </c>
      <c r="AK45" s="27" t="s">
        <v>139</v>
      </c>
      <c r="AL45" s="124"/>
      <c r="AM45" s="124"/>
      <c r="AN45" s="124" t="s">
        <v>88</v>
      </c>
    </row>
    <row r="46" spans="2:40" x14ac:dyDescent="0.35">
      <c r="G46" t="s">
        <v>420</v>
      </c>
      <c r="H46" s="6" t="s">
        <v>53</v>
      </c>
      <c r="I46" s="28" t="s">
        <v>52</v>
      </c>
      <c r="J46" s="2" t="s">
        <v>143</v>
      </c>
      <c r="N46" s="27"/>
      <c r="O46" s="27"/>
      <c r="P46" s="27"/>
      <c r="Q46" s="27"/>
      <c r="V46" s="27"/>
      <c r="W46" s="27"/>
      <c r="X46" s="27"/>
      <c r="Y46" s="27"/>
      <c r="AD46" s="27"/>
      <c r="AE46" s="27"/>
      <c r="AF46" s="27"/>
      <c r="AG46" s="27"/>
      <c r="AK46" s="27" t="s">
        <v>105</v>
      </c>
      <c r="AL46" s="124"/>
      <c r="AM46" s="124"/>
      <c r="AN46" s="124" t="s">
        <v>88</v>
      </c>
    </row>
    <row r="47" spans="2:40" x14ac:dyDescent="0.35">
      <c r="G47" t="s">
        <v>421</v>
      </c>
      <c r="H47" s="6" t="s">
        <v>53</v>
      </c>
      <c r="I47" s="28" t="s">
        <v>52</v>
      </c>
      <c r="J47" s="2" t="s">
        <v>143</v>
      </c>
      <c r="AK47" s="27" t="s">
        <v>107</v>
      </c>
      <c r="AL47" s="124">
        <v>0</v>
      </c>
      <c r="AM47" s="124" t="s">
        <v>157</v>
      </c>
      <c r="AN47" s="124" t="s">
        <v>72</v>
      </c>
    </row>
    <row r="48" spans="2:40" x14ac:dyDescent="0.35">
      <c r="G48" t="s">
        <v>422</v>
      </c>
      <c r="H48" s="6" t="s">
        <v>53</v>
      </c>
      <c r="I48" s="6" t="s">
        <v>53</v>
      </c>
      <c r="J48" s="2" t="s">
        <v>143</v>
      </c>
      <c r="AK48" s="27" t="s">
        <v>109</v>
      </c>
      <c r="AL48" s="124" t="s">
        <v>78</v>
      </c>
      <c r="AM48" s="124" t="s">
        <v>158</v>
      </c>
      <c r="AN48" s="124" t="s">
        <v>72</v>
      </c>
    </row>
    <row r="49" spans="7:40" x14ac:dyDescent="0.35">
      <c r="G49" t="s">
        <v>423</v>
      </c>
      <c r="H49" s="28" t="s">
        <v>52</v>
      </c>
      <c r="I49" s="28" t="s">
        <v>52</v>
      </c>
      <c r="J49" s="2" t="s">
        <v>143</v>
      </c>
      <c r="AK49" s="27" t="s">
        <v>111</v>
      </c>
      <c r="AL49" s="124" t="s">
        <v>78</v>
      </c>
      <c r="AM49" s="124" t="s">
        <v>158</v>
      </c>
      <c r="AN49" s="124" t="s">
        <v>72</v>
      </c>
    </row>
    <row r="50" spans="7:40" x14ac:dyDescent="0.35">
      <c r="G50" t="s">
        <v>424</v>
      </c>
      <c r="H50" s="2" t="s">
        <v>143</v>
      </c>
      <c r="I50" s="6" t="s">
        <v>53</v>
      </c>
      <c r="J50" s="2" t="s">
        <v>143</v>
      </c>
      <c r="AK50" s="27" t="s">
        <v>159</v>
      </c>
      <c r="AL50" s="124"/>
      <c r="AM50" s="124"/>
      <c r="AN50" s="124" t="s">
        <v>88</v>
      </c>
    </row>
    <row r="51" spans="7:40" x14ac:dyDescent="0.35">
      <c r="G51" t="s">
        <v>425</v>
      </c>
      <c r="H51" s="29" t="s">
        <v>55</v>
      </c>
      <c r="I51" s="29" t="s">
        <v>55</v>
      </c>
      <c r="J51" s="2" t="s">
        <v>143</v>
      </c>
    </row>
    <row r="52" spans="7:40" x14ac:dyDescent="0.35">
      <c r="G52" t="s">
        <v>426</v>
      </c>
      <c r="H52" s="6" t="s">
        <v>53</v>
      </c>
      <c r="I52" s="6" t="s">
        <v>53</v>
      </c>
      <c r="J52" s="2" t="s">
        <v>143</v>
      </c>
      <c r="N52" s="154" t="s">
        <v>354</v>
      </c>
      <c r="O52" s="154"/>
      <c r="P52" s="154"/>
      <c r="Q52" s="154"/>
      <c r="V52" s="154" t="s">
        <v>359</v>
      </c>
      <c r="W52" s="154"/>
      <c r="X52" s="154"/>
      <c r="Y52" s="154"/>
      <c r="AD52" s="154" t="s">
        <v>367</v>
      </c>
      <c r="AE52" s="154"/>
      <c r="AF52" s="154"/>
      <c r="AG52" s="154"/>
    </row>
    <row r="53" spans="7:40" x14ac:dyDescent="0.35">
      <c r="G53" t="s">
        <v>427</v>
      </c>
      <c r="H53" s="28" t="s">
        <v>52</v>
      </c>
      <c r="I53" s="6" t="s">
        <v>53</v>
      </c>
      <c r="J53" s="6" t="s">
        <v>53</v>
      </c>
      <c r="N53" s="27" t="s">
        <v>69</v>
      </c>
      <c r="O53" s="27" t="s">
        <v>351</v>
      </c>
      <c r="P53" s="27" t="s">
        <v>68</v>
      </c>
      <c r="Q53" s="31" t="s">
        <v>353</v>
      </c>
      <c r="V53" s="27" t="s">
        <v>69</v>
      </c>
      <c r="W53" s="27" t="s">
        <v>351</v>
      </c>
      <c r="X53" s="27" t="s">
        <v>68</v>
      </c>
      <c r="Y53" s="31" t="s">
        <v>353</v>
      </c>
      <c r="AD53" s="27" t="s">
        <v>69</v>
      </c>
      <c r="AE53" s="27" t="s">
        <v>351</v>
      </c>
      <c r="AF53" s="27" t="s">
        <v>68</v>
      </c>
      <c r="AG53" s="31" t="s">
        <v>353</v>
      </c>
    </row>
    <row r="54" spans="7:40" x14ac:dyDescent="0.35">
      <c r="G54" t="s">
        <v>428</v>
      </c>
      <c r="H54" s="6" t="s">
        <v>53</v>
      </c>
      <c r="I54" s="29" t="s">
        <v>55</v>
      </c>
      <c r="J54" s="6" t="s">
        <v>53</v>
      </c>
      <c r="N54" s="27" t="s">
        <v>73</v>
      </c>
      <c r="O54" s="119">
        <v>17.43</v>
      </c>
      <c r="P54" s="119" t="s">
        <v>148</v>
      </c>
      <c r="Q54" s="119" t="s">
        <v>72</v>
      </c>
      <c r="V54" s="27" t="s">
        <v>73</v>
      </c>
      <c r="W54" s="119">
        <v>22.26</v>
      </c>
      <c r="X54" s="119" t="s">
        <v>149</v>
      </c>
      <c r="Y54" s="119" t="s">
        <v>72</v>
      </c>
      <c r="AD54" s="27" t="s">
        <v>73</v>
      </c>
      <c r="AE54" s="119">
        <v>34.83</v>
      </c>
      <c r="AF54" s="119" t="s">
        <v>150</v>
      </c>
      <c r="AG54" s="119" t="s">
        <v>72</v>
      </c>
    </row>
    <row r="55" spans="7:40" x14ac:dyDescent="0.35">
      <c r="G55" t="s">
        <v>429</v>
      </c>
      <c r="H55" s="6" t="s">
        <v>53</v>
      </c>
      <c r="I55" s="29" t="s">
        <v>55</v>
      </c>
      <c r="J55" s="6" t="s">
        <v>53</v>
      </c>
      <c r="N55" s="27" t="s">
        <v>80</v>
      </c>
      <c r="O55" s="119" t="s">
        <v>78</v>
      </c>
      <c r="P55" s="119" t="s">
        <v>151</v>
      </c>
      <c r="Q55" s="119" t="s">
        <v>72</v>
      </c>
      <c r="V55" s="27" t="s">
        <v>80</v>
      </c>
      <c r="W55" s="119" t="s">
        <v>78</v>
      </c>
      <c r="X55" s="119" t="s">
        <v>152</v>
      </c>
      <c r="Y55" s="119" t="s">
        <v>72</v>
      </c>
      <c r="AD55" s="27" t="s">
        <v>80</v>
      </c>
      <c r="AE55" s="119" t="s">
        <v>78</v>
      </c>
      <c r="AF55" s="119" t="s">
        <v>153</v>
      </c>
      <c r="AG55" s="119" t="s">
        <v>72</v>
      </c>
    </row>
    <row r="56" spans="7:40" x14ac:dyDescent="0.35">
      <c r="G56" t="s">
        <v>430</v>
      </c>
      <c r="H56" s="29" t="s">
        <v>55</v>
      </c>
      <c r="I56" s="29" t="s">
        <v>55</v>
      </c>
      <c r="J56" s="6" t="s">
        <v>53</v>
      </c>
      <c r="N56" s="27" t="s">
        <v>86</v>
      </c>
      <c r="O56" s="119" t="s">
        <v>78</v>
      </c>
      <c r="P56" s="119" t="s">
        <v>154</v>
      </c>
      <c r="Q56" s="119">
        <v>5.7999999999999996E-3</v>
      </c>
      <c r="V56" s="27" t="s">
        <v>86</v>
      </c>
      <c r="W56" s="119" t="s">
        <v>78</v>
      </c>
      <c r="X56" s="119" t="s">
        <v>155</v>
      </c>
      <c r="Y56" s="119">
        <v>4.4999999999999997E-3</v>
      </c>
      <c r="AD56" s="27" t="s">
        <v>86</v>
      </c>
      <c r="AE56" s="119" t="s">
        <v>78</v>
      </c>
      <c r="AF56" s="119" t="s">
        <v>156</v>
      </c>
      <c r="AG56" s="119">
        <v>8.9999999999999998E-4</v>
      </c>
    </row>
    <row r="57" spans="7:40" x14ac:dyDescent="0.35">
      <c r="G57" t="s">
        <v>431</v>
      </c>
      <c r="H57" s="6" t="s">
        <v>53</v>
      </c>
      <c r="I57" s="6" t="s">
        <v>53</v>
      </c>
      <c r="J57" s="6" t="s">
        <v>53</v>
      </c>
      <c r="N57" s="27" t="s">
        <v>118</v>
      </c>
      <c r="O57" s="119">
        <v>11</v>
      </c>
      <c r="P57" s="119" t="s">
        <v>160</v>
      </c>
      <c r="Q57" s="119" t="s">
        <v>72</v>
      </c>
      <c r="V57" s="27" t="s">
        <v>118</v>
      </c>
      <c r="W57" s="119">
        <v>18.59</v>
      </c>
      <c r="X57" s="119" t="s">
        <v>161</v>
      </c>
      <c r="Y57" s="119" t="s">
        <v>72</v>
      </c>
      <c r="AD57" s="27" t="s">
        <v>118</v>
      </c>
      <c r="AE57" s="119">
        <v>11.47</v>
      </c>
      <c r="AF57" s="119" t="s">
        <v>162</v>
      </c>
      <c r="AG57" s="119" t="s">
        <v>72</v>
      </c>
    </row>
    <row r="58" spans="7:40" x14ac:dyDescent="0.35">
      <c r="G58" s="27"/>
    </row>
    <row r="59" spans="7:40" x14ac:dyDescent="0.35">
      <c r="G59" s="27"/>
    </row>
    <row r="60" spans="7:40" x14ac:dyDescent="0.35">
      <c r="G60" s="27"/>
    </row>
  </sheetData>
  <mergeCells count="22">
    <mergeCell ref="N52:Q52"/>
    <mergeCell ref="V52:Y52"/>
    <mergeCell ref="AD52:AG52"/>
    <mergeCell ref="AK34:AN34"/>
    <mergeCell ref="N33:Q33"/>
    <mergeCell ref="V33:Y33"/>
    <mergeCell ref="AD33:AH33"/>
    <mergeCell ref="AK8:AR8"/>
    <mergeCell ref="AK9:AR9"/>
    <mergeCell ref="AK14:AR14"/>
    <mergeCell ref="V8:Z8"/>
    <mergeCell ref="V9:Z9"/>
    <mergeCell ref="V14:Z14"/>
    <mergeCell ref="AD8:AH8"/>
    <mergeCell ref="AD9:AH9"/>
    <mergeCell ref="AD14:AH14"/>
    <mergeCell ref="N14:R14"/>
    <mergeCell ref="B5:J5"/>
    <mergeCell ref="B6:E6"/>
    <mergeCell ref="G6:J6"/>
    <mergeCell ref="N8:R8"/>
    <mergeCell ref="N9:R9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7169" r:id="rId4">
          <objectPr defaultSize="0" autoPict="0" r:id="rId5">
            <anchor moveWithCells="1">
              <from>
                <xdr:col>13</xdr:col>
                <xdr:colOff>774700</xdr:colOff>
                <xdr:row>37</xdr:row>
                <xdr:rowOff>82550</xdr:rowOff>
              </from>
              <to>
                <xdr:col>16</xdr:col>
                <xdr:colOff>438150</xdr:colOff>
                <xdr:row>48</xdr:row>
                <xdr:rowOff>177800</xdr:rowOff>
              </to>
            </anchor>
          </objectPr>
        </oleObject>
      </mc:Choice>
      <mc:Fallback>
        <oleObject progId="Prism8.Document" shapeId="7169" r:id="rId4"/>
      </mc:Fallback>
    </mc:AlternateContent>
    <mc:AlternateContent xmlns:mc="http://schemas.openxmlformats.org/markup-compatibility/2006">
      <mc:Choice Requires="x14">
        <oleObject progId="Prism8.Document" shapeId="7175" r:id="rId6">
          <objectPr defaultSize="0" autoPict="0" r:id="rId7">
            <anchor moveWithCells="1">
              <from>
                <xdr:col>13</xdr:col>
                <xdr:colOff>1054100</xdr:colOff>
                <xdr:row>17</xdr:row>
                <xdr:rowOff>88900</xdr:rowOff>
              </from>
              <to>
                <xdr:col>16</xdr:col>
                <xdr:colOff>482600</xdr:colOff>
                <xdr:row>30</xdr:row>
                <xdr:rowOff>82550</xdr:rowOff>
              </to>
            </anchor>
          </objectPr>
        </oleObject>
      </mc:Choice>
      <mc:Fallback>
        <oleObject progId="Prism8.Document" shapeId="7175" r:id="rId6"/>
      </mc:Fallback>
    </mc:AlternateContent>
    <mc:AlternateContent xmlns:mc="http://schemas.openxmlformats.org/markup-compatibility/2006">
      <mc:Choice Requires="x14">
        <oleObject progId="Prism8.Document" shapeId="7170" r:id="rId8">
          <objectPr defaultSize="0" autoPict="0" r:id="rId9">
            <anchor moveWithCells="1">
              <from>
                <xdr:col>21</xdr:col>
                <xdr:colOff>774700</xdr:colOff>
                <xdr:row>37</xdr:row>
                <xdr:rowOff>38100</xdr:rowOff>
              </from>
              <to>
                <xdr:col>24</xdr:col>
                <xdr:colOff>361950</xdr:colOff>
                <xdr:row>48</xdr:row>
                <xdr:rowOff>76200</xdr:rowOff>
              </to>
            </anchor>
          </objectPr>
        </oleObject>
      </mc:Choice>
      <mc:Fallback>
        <oleObject progId="Prism8.Document" shapeId="7170" r:id="rId8"/>
      </mc:Fallback>
    </mc:AlternateContent>
    <mc:AlternateContent xmlns:mc="http://schemas.openxmlformats.org/markup-compatibility/2006">
      <mc:Choice Requires="x14">
        <oleObject progId="Prism8.Document" shapeId="7174" r:id="rId10">
          <objectPr defaultSize="0" autoPict="0" r:id="rId11">
            <anchor moveWithCells="1">
              <from>
                <xdr:col>21</xdr:col>
                <xdr:colOff>685800</xdr:colOff>
                <xdr:row>17</xdr:row>
                <xdr:rowOff>95250</xdr:rowOff>
              </from>
              <to>
                <xdr:col>24</xdr:col>
                <xdr:colOff>476250</xdr:colOff>
                <xdr:row>30</xdr:row>
                <xdr:rowOff>69850</xdr:rowOff>
              </to>
            </anchor>
          </objectPr>
        </oleObject>
      </mc:Choice>
      <mc:Fallback>
        <oleObject progId="Prism8.Document" shapeId="7174" r:id="rId10"/>
      </mc:Fallback>
    </mc:AlternateContent>
    <mc:AlternateContent xmlns:mc="http://schemas.openxmlformats.org/markup-compatibility/2006">
      <mc:Choice Requires="x14">
        <oleObject progId="Prism8.Document" shapeId="7171" r:id="rId12">
          <objectPr defaultSize="0" autoPict="0" r:id="rId13">
            <anchor moveWithCells="1">
              <from>
                <xdr:col>29</xdr:col>
                <xdr:colOff>844550</xdr:colOff>
                <xdr:row>36</xdr:row>
                <xdr:rowOff>146050</xdr:rowOff>
              </from>
              <to>
                <xdr:col>32</xdr:col>
                <xdr:colOff>781050</xdr:colOff>
                <xdr:row>48</xdr:row>
                <xdr:rowOff>19050</xdr:rowOff>
              </to>
            </anchor>
          </objectPr>
        </oleObject>
      </mc:Choice>
      <mc:Fallback>
        <oleObject progId="Prism8.Document" shapeId="7171" r:id="rId12"/>
      </mc:Fallback>
    </mc:AlternateContent>
    <mc:AlternateContent xmlns:mc="http://schemas.openxmlformats.org/markup-compatibility/2006">
      <mc:Choice Requires="x14">
        <oleObject progId="Prism8.Document" shapeId="7173" r:id="rId14">
          <objectPr defaultSize="0" autoPict="0" r:id="rId15">
            <anchor moveWithCells="1">
              <from>
                <xdr:col>29</xdr:col>
                <xdr:colOff>768350</xdr:colOff>
                <xdr:row>17</xdr:row>
                <xdr:rowOff>133350</xdr:rowOff>
              </from>
              <to>
                <xdr:col>32</xdr:col>
                <xdr:colOff>850900</xdr:colOff>
                <xdr:row>30</xdr:row>
                <xdr:rowOff>63500</xdr:rowOff>
              </to>
            </anchor>
          </objectPr>
        </oleObject>
      </mc:Choice>
      <mc:Fallback>
        <oleObject progId="Prism8.Document" shapeId="7173" r:id="rId14"/>
      </mc:Fallback>
    </mc:AlternateContent>
    <mc:AlternateContent xmlns:mc="http://schemas.openxmlformats.org/markup-compatibility/2006">
      <mc:Choice Requires="x14">
        <oleObject progId="Prism8.Document" shapeId="7172" r:id="rId16">
          <objectPr defaultSize="0" autoPict="0" r:id="rId17">
            <anchor moveWithCells="1">
              <from>
                <xdr:col>37</xdr:col>
                <xdr:colOff>298450</xdr:colOff>
                <xdr:row>17</xdr:row>
                <xdr:rowOff>88900</xdr:rowOff>
              </from>
              <to>
                <xdr:col>39</xdr:col>
                <xdr:colOff>1289050</xdr:colOff>
                <xdr:row>31</xdr:row>
                <xdr:rowOff>165100</xdr:rowOff>
              </to>
            </anchor>
          </objectPr>
        </oleObject>
      </mc:Choice>
      <mc:Fallback>
        <oleObject progId="Prism8.Document" shapeId="7172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Bioassay_Hybrids_raw</vt:lpstr>
      <vt:lpstr>Bioassay_Hybrids_summary</vt:lpstr>
      <vt:lpstr>Bioassay_FuMoz</vt:lpstr>
      <vt:lpstr>Bioassay_Nkolondom</vt:lpstr>
      <vt:lpstr>Bioassay_Mibellon_raw</vt:lpstr>
      <vt:lpstr>Bioassay_Mibellon_summary</vt:lpstr>
      <vt:lpstr>Genotype_Perm._Hybrids</vt:lpstr>
      <vt:lpstr>Genotype_1xDD_Hybrids</vt:lpstr>
      <vt:lpstr>Genotype_5xDD_Hybrids</vt:lpstr>
      <vt:lpstr>QRT_PCR-Hybrids</vt:lpstr>
      <vt:lpstr>QRT_PCR-Mibellon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TheoFelix Tekoh</cp:lastModifiedBy>
  <dcterms:created xsi:type="dcterms:W3CDTF">2023-03-21T22:28:00Z</dcterms:created>
  <dcterms:modified xsi:type="dcterms:W3CDTF">2025-05-02T13:03:39Z</dcterms:modified>
</cp:coreProperties>
</file>