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embeddings/oleObject2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of\AppData\Local\Temp\Rar$DIa242124.24998\"/>
    </mc:Choice>
  </mc:AlternateContent>
  <xr:revisionPtr revIDLastSave="0" documentId="13_ncr:1_{CDDCF17F-D810-4C6F-B3C2-0E681220A56C}" xr6:coauthVersionLast="47" xr6:coauthVersionMax="47" xr10:uidLastSave="{00000000-0000-0000-0000-000000000000}"/>
  <bookViews>
    <workbookView xWindow="-110" yWindow="-110" windowWidth="19420" windowHeight="10300" firstSheet="8" activeTab="10" xr2:uid="{8E9DBB30-0B1A-448F-81C1-1DAC2271F53D}"/>
  </bookViews>
  <sheets>
    <sheet name="WHO cone_FZ_FG hybrids" sheetId="1" r:id="rId1"/>
    <sheet name="cone_FZ_FG_hybrids summary" sheetId="12" r:id="rId2"/>
    <sheet name="WHO cone _ Mibellon strains" sheetId="2" r:id="rId3"/>
    <sheet name="WHO cone_FuMoz" sheetId="10" r:id="rId4"/>
    <sheet name="WHO cone assay_Kisumu" sheetId="3" r:id="rId5"/>
    <sheet name="hybrid_Perm_genotyping" sheetId="5" r:id="rId6"/>
    <sheet name="hybrid_sher_genotyping" sheetId="4" r:id="rId7"/>
    <sheet name="Field_Perm_GSTe2_genotyping" sheetId="7" r:id="rId8"/>
    <sheet name="Field_Sher_GSTe2_genotyping" sheetId="6" r:id="rId9"/>
    <sheet name="QRT-PCR analysis_field strains" sheetId="9" r:id="rId10"/>
    <sheet name="QRT-PCR analysis_Hybrids" sheetId="8" r:id="rId11"/>
  </sheets>
  <externalReferences>
    <externalReference r:id="rId12"/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" l="1"/>
  <c r="T12" i="1"/>
  <c r="T11" i="1"/>
  <c r="T10" i="1"/>
  <c r="T9" i="1"/>
  <c r="G34" i="12"/>
  <c r="G32" i="12"/>
  <c r="G33" i="12"/>
  <c r="G31" i="12"/>
  <c r="G30" i="12"/>
  <c r="F34" i="12"/>
  <c r="F33" i="12"/>
  <c r="F32" i="12"/>
  <c r="F30" i="12"/>
  <c r="F31" i="12"/>
  <c r="J17" i="12"/>
  <c r="I17" i="12"/>
  <c r="I34" i="12"/>
  <c r="I33" i="12"/>
  <c r="H33" i="12"/>
  <c r="I32" i="12"/>
  <c r="H32" i="12"/>
  <c r="I31" i="12"/>
  <c r="H31" i="12"/>
  <c r="I30" i="12"/>
  <c r="H30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5" i="12"/>
  <c r="J22" i="12"/>
  <c r="I22" i="12"/>
  <c r="J23" i="12"/>
  <c r="I23" i="12"/>
  <c r="J24" i="12"/>
  <c r="I24" i="12"/>
  <c r="J25" i="12"/>
  <c r="I25" i="12"/>
  <c r="J21" i="12"/>
  <c r="I21" i="12"/>
  <c r="J20" i="12"/>
  <c r="I20" i="12"/>
  <c r="J19" i="12"/>
  <c r="I19" i="12"/>
  <c r="J18" i="12"/>
  <c r="I18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5" i="12"/>
  <c r="I5" i="12"/>
  <c r="AO22" i="4" l="1"/>
  <c r="AN23" i="4" l="1"/>
  <c r="AL23" i="4"/>
  <c r="AJ23" i="4"/>
  <c r="AM21" i="4"/>
  <c r="AK21" i="4"/>
  <c r="AI21" i="4"/>
  <c r="AK23" i="4" l="1"/>
  <c r="AT22" i="4" s="1"/>
  <c r="AW22" i="4"/>
  <c r="AW21" i="4"/>
  <c r="AM23" i="4"/>
  <c r="AV22" i="4" s="1"/>
  <c r="AS22" i="4"/>
  <c r="AS21" i="4"/>
  <c r="AI23" i="4"/>
  <c r="AR22" i="4" s="1"/>
  <c r="AU22" i="4"/>
  <c r="AU21" i="4"/>
  <c r="AO21" i="4"/>
  <c r="AO23" i="4" s="1"/>
  <c r="AR21" i="4" l="1"/>
  <c r="AV21" i="4"/>
  <c r="AT21" i="4"/>
  <c r="T50" i="9"/>
  <c r="S50" i="9"/>
  <c r="R50" i="9"/>
  <c r="Q50" i="9"/>
  <c r="P50" i="9"/>
  <c r="O50" i="9"/>
  <c r="N50" i="9"/>
  <c r="M50" i="9"/>
  <c r="T49" i="9"/>
  <c r="S49" i="9"/>
  <c r="R49" i="9"/>
  <c r="Q49" i="9"/>
  <c r="P49" i="9"/>
  <c r="O49" i="9"/>
  <c r="N49" i="9"/>
  <c r="M49" i="9"/>
  <c r="T48" i="9"/>
  <c r="S48" i="9"/>
  <c r="R48" i="9"/>
  <c r="Q48" i="9"/>
  <c r="AB22" i="9" s="1"/>
  <c r="P48" i="9"/>
  <c r="AA22" i="9" s="1"/>
  <c r="O48" i="9"/>
  <c r="N48" i="9"/>
  <c r="M48" i="9"/>
  <c r="X22" i="9" s="1"/>
  <c r="T47" i="9"/>
  <c r="S47" i="9"/>
  <c r="R47" i="9"/>
  <c r="Q47" i="9"/>
  <c r="P47" i="9"/>
  <c r="O47" i="9"/>
  <c r="N47" i="9"/>
  <c r="M47" i="9"/>
  <c r="T46" i="9"/>
  <c r="S46" i="9"/>
  <c r="R46" i="9"/>
  <c r="Q46" i="9"/>
  <c r="P46" i="9"/>
  <c r="O46" i="9"/>
  <c r="N46" i="9"/>
  <c r="M46" i="9"/>
  <c r="T45" i="9"/>
  <c r="AE21" i="9" s="1"/>
  <c r="S45" i="9"/>
  <c r="R45" i="9"/>
  <c r="Q45" i="9"/>
  <c r="AB21" i="9" s="1"/>
  <c r="P45" i="9"/>
  <c r="AA21" i="9" s="1"/>
  <c r="O45" i="9"/>
  <c r="N45" i="9"/>
  <c r="M45" i="9"/>
  <c r="X21" i="9" s="1"/>
  <c r="T44" i="9"/>
  <c r="S44" i="9"/>
  <c r="R44" i="9"/>
  <c r="Q44" i="9"/>
  <c r="P44" i="9"/>
  <c r="O44" i="9"/>
  <c r="N44" i="9"/>
  <c r="M44" i="9"/>
  <c r="T43" i="9"/>
  <c r="S43" i="9"/>
  <c r="R43" i="9"/>
  <c r="Q43" i="9"/>
  <c r="P43" i="9"/>
  <c r="O43" i="9"/>
  <c r="N43" i="9"/>
  <c r="M43" i="9"/>
  <c r="T42" i="9"/>
  <c r="AE20" i="9" s="1"/>
  <c r="S42" i="9"/>
  <c r="R42" i="9"/>
  <c r="Q42" i="9"/>
  <c r="AB20" i="9" s="1"/>
  <c r="P42" i="9"/>
  <c r="AA20" i="9" s="1"/>
  <c r="AJ36" i="9" s="1"/>
  <c r="AS36" i="9" s="1"/>
  <c r="O42" i="9"/>
  <c r="N42" i="9"/>
  <c r="M42" i="9"/>
  <c r="X20" i="9" s="1"/>
  <c r="T41" i="9"/>
  <c r="S41" i="9"/>
  <c r="R41" i="9"/>
  <c r="Q41" i="9"/>
  <c r="P41" i="9"/>
  <c r="O41" i="9"/>
  <c r="N41" i="9"/>
  <c r="M41" i="9"/>
  <c r="T40" i="9"/>
  <c r="S40" i="9"/>
  <c r="R40" i="9"/>
  <c r="Q40" i="9"/>
  <c r="P40" i="9"/>
  <c r="O40" i="9"/>
  <c r="N40" i="9"/>
  <c r="M40" i="9"/>
  <c r="T39" i="9"/>
  <c r="AE19" i="9" s="1"/>
  <c r="AN35" i="9" s="1"/>
  <c r="AW35" i="9" s="1"/>
  <c r="S39" i="9"/>
  <c r="R39" i="9"/>
  <c r="AC19" i="9" s="1"/>
  <c r="Q39" i="9"/>
  <c r="P39" i="9"/>
  <c r="O39" i="9"/>
  <c r="N39" i="9"/>
  <c r="Y19" i="9" s="1"/>
  <c r="M39" i="9"/>
  <c r="X19" i="9" s="1"/>
  <c r="T38" i="9"/>
  <c r="S38" i="9"/>
  <c r="R38" i="9"/>
  <c r="Q38" i="9"/>
  <c r="P38" i="9"/>
  <c r="O38" i="9"/>
  <c r="N38" i="9"/>
  <c r="M38" i="9"/>
  <c r="T37" i="9"/>
  <c r="S37" i="9"/>
  <c r="R37" i="9"/>
  <c r="Q37" i="9"/>
  <c r="P37" i="9"/>
  <c r="O37" i="9"/>
  <c r="N37" i="9"/>
  <c r="M37" i="9"/>
  <c r="T36" i="9"/>
  <c r="AE18" i="9" s="1"/>
  <c r="S36" i="9"/>
  <c r="R36" i="9"/>
  <c r="Q36" i="9"/>
  <c r="P36" i="9"/>
  <c r="AA18" i="9" s="1"/>
  <c r="O36" i="9"/>
  <c r="Z18" i="9" s="1"/>
  <c r="N36" i="9"/>
  <c r="M36" i="9"/>
  <c r="T35" i="9"/>
  <c r="S35" i="9"/>
  <c r="R35" i="9"/>
  <c r="Q35" i="9"/>
  <c r="P35" i="9"/>
  <c r="O35" i="9"/>
  <c r="N35" i="9"/>
  <c r="M35" i="9"/>
  <c r="T34" i="9"/>
  <c r="S34" i="9"/>
  <c r="R34" i="9"/>
  <c r="Q34" i="9"/>
  <c r="P34" i="9"/>
  <c r="O34" i="9"/>
  <c r="N34" i="9"/>
  <c r="M34" i="9"/>
  <c r="T33" i="9"/>
  <c r="AE17" i="9" s="1"/>
  <c r="S33" i="9"/>
  <c r="R33" i="9"/>
  <c r="Q33" i="9"/>
  <c r="P33" i="9"/>
  <c r="O33" i="9"/>
  <c r="N33" i="9"/>
  <c r="M33" i="9"/>
  <c r="T32" i="9"/>
  <c r="S32" i="9"/>
  <c r="R32" i="9"/>
  <c r="Q32" i="9"/>
  <c r="P32" i="9"/>
  <c r="O32" i="9"/>
  <c r="N32" i="9"/>
  <c r="M32" i="9"/>
  <c r="T31" i="9"/>
  <c r="S31" i="9"/>
  <c r="R31" i="9"/>
  <c r="Q31" i="9"/>
  <c r="P31" i="9"/>
  <c r="O31" i="9"/>
  <c r="N31" i="9"/>
  <c r="M31" i="9"/>
  <c r="T30" i="9"/>
  <c r="AE16" i="9" s="1"/>
  <c r="AN32" i="9" s="1"/>
  <c r="AW32" i="9" s="1"/>
  <c r="S30" i="9"/>
  <c r="R30" i="9"/>
  <c r="Q30" i="9"/>
  <c r="P30" i="9"/>
  <c r="AA16" i="9" s="1"/>
  <c r="AJ32" i="9" s="1"/>
  <c r="AS32" i="9" s="1"/>
  <c r="O30" i="9"/>
  <c r="N30" i="9"/>
  <c r="M30" i="9"/>
  <c r="T29" i="9"/>
  <c r="S29" i="9"/>
  <c r="R29" i="9"/>
  <c r="Q29" i="9"/>
  <c r="P29" i="9"/>
  <c r="O29" i="9"/>
  <c r="N29" i="9"/>
  <c r="M29" i="9"/>
  <c r="T28" i="9"/>
  <c r="S28" i="9"/>
  <c r="R28" i="9"/>
  <c r="Q28" i="9"/>
  <c r="P28" i="9"/>
  <c r="O28" i="9"/>
  <c r="N28" i="9"/>
  <c r="M28" i="9"/>
  <c r="T27" i="9"/>
  <c r="AE15" i="9" s="1"/>
  <c r="S27" i="9"/>
  <c r="R27" i="9"/>
  <c r="Q27" i="9"/>
  <c r="AB15" i="9" s="1"/>
  <c r="P27" i="9"/>
  <c r="AA15" i="9" s="1"/>
  <c r="O27" i="9"/>
  <c r="N27" i="9"/>
  <c r="M27" i="9"/>
  <c r="X15" i="9" s="1"/>
  <c r="T26" i="9"/>
  <c r="S26" i="9"/>
  <c r="R26" i="9"/>
  <c r="Q26" i="9"/>
  <c r="P26" i="9"/>
  <c r="O26" i="9"/>
  <c r="N26" i="9"/>
  <c r="M26" i="9"/>
  <c r="T25" i="9"/>
  <c r="S25" i="9"/>
  <c r="R25" i="9"/>
  <c r="Q25" i="9"/>
  <c r="P25" i="9"/>
  <c r="O25" i="9"/>
  <c r="N25" i="9"/>
  <c r="M25" i="9"/>
  <c r="T24" i="9"/>
  <c r="AE14" i="9" s="1"/>
  <c r="S24" i="9"/>
  <c r="R24" i="9"/>
  <c r="Q24" i="9"/>
  <c r="AB14" i="9" s="1"/>
  <c r="P24" i="9"/>
  <c r="AA14" i="9" s="1"/>
  <c r="O24" i="9"/>
  <c r="N24" i="9"/>
  <c r="M24" i="9"/>
  <c r="X14" i="9" s="1"/>
  <c r="T23" i="9"/>
  <c r="S23" i="9"/>
  <c r="R23" i="9"/>
  <c r="Q23" i="9"/>
  <c r="P23" i="9"/>
  <c r="O23" i="9"/>
  <c r="N23" i="9"/>
  <c r="M23" i="9"/>
  <c r="X13" i="9" s="1"/>
  <c r="AE22" i="9"/>
  <c r="AD22" i="9"/>
  <c r="AC22" i="9"/>
  <c r="Z22" i="9"/>
  <c r="Y22" i="9"/>
  <c r="T22" i="9"/>
  <c r="S22" i="9"/>
  <c r="R22" i="9"/>
  <c r="AC13" i="9" s="1"/>
  <c r="Q22" i="9"/>
  <c r="P22" i="9"/>
  <c r="O22" i="9"/>
  <c r="N22" i="9"/>
  <c r="M22" i="9"/>
  <c r="AD21" i="9"/>
  <c r="AC21" i="9"/>
  <c r="Z21" i="9"/>
  <c r="Y21" i="9"/>
  <c r="T21" i="9"/>
  <c r="S21" i="9"/>
  <c r="R21" i="9"/>
  <c r="Q21" i="9"/>
  <c r="AB13" i="9" s="1"/>
  <c r="AK29" i="9" s="1"/>
  <c r="AT29" i="9" s="1"/>
  <c r="P21" i="9"/>
  <c r="O21" i="9"/>
  <c r="N21" i="9"/>
  <c r="M21" i="9"/>
  <c r="AD20" i="9"/>
  <c r="AC20" i="9"/>
  <c r="Z20" i="9"/>
  <c r="Y20" i="9"/>
  <c r="T20" i="9"/>
  <c r="S20" i="9"/>
  <c r="R20" i="9"/>
  <c r="AC12" i="9" s="1"/>
  <c r="Q20" i="9"/>
  <c r="P20" i="9"/>
  <c r="O20" i="9"/>
  <c r="N20" i="9"/>
  <c r="M20" i="9"/>
  <c r="AD19" i="9"/>
  <c r="Z19" i="9"/>
  <c r="T19" i="9"/>
  <c r="AE12" i="9" s="1"/>
  <c r="S19" i="9"/>
  <c r="R19" i="9"/>
  <c r="Q19" i="9"/>
  <c r="P19" i="9"/>
  <c r="AA12" i="9" s="1"/>
  <c r="O19" i="9"/>
  <c r="N19" i="9"/>
  <c r="M19" i="9"/>
  <c r="X12" i="9" s="1"/>
  <c r="AD18" i="9"/>
  <c r="AC18" i="9"/>
  <c r="Y18" i="9"/>
  <c r="T18" i="9"/>
  <c r="S18" i="9"/>
  <c r="AD12" i="9" s="1"/>
  <c r="R18" i="9"/>
  <c r="Q18" i="9"/>
  <c r="P18" i="9"/>
  <c r="O18" i="9"/>
  <c r="Z12" i="9" s="1"/>
  <c r="N18" i="9"/>
  <c r="M18" i="9"/>
  <c r="AC17" i="9"/>
  <c r="AA17" i="9"/>
  <c r="Y17" i="9"/>
  <c r="T17" i="9"/>
  <c r="S17" i="9"/>
  <c r="R17" i="9"/>
  <c r="Q17" i="9"/>
  <c r="P17" i="9"/>
  <c r="O17" i="9"/>
  <c r="N17" i="9"/>
  <c r="M17" i="9"/>
  <c r="AD16" i="9"/>
  <c r="AC16" i="9"/>
  <c r="AB16" i="9"/>
  <c r="Z16" i="9"/>
  <c r="Y16" i="9"/>
  <c r="X16" i="9"/>
  <c r="T16" i="9"/>
  <c r="AE11" i="9" s="1"/>
  <c r="S16" i="9"/>
  <c r="R16" i="9"/>
  <c r="Q16" i="9"/>
  <c r="P16" i="9"/>
  <c r="AA11" i="9" s="1"/>
  <c r="O16" i="9"/>
  <c r="N16" i="9"/>
  <c r="M16" i="9"/>
  <c r="AD15" i="9"/>
  <c r="AC15" i="9"/>
  <c r="Z15" i="9"/>
  <c r="Y15" i="9"/>
  <c r="T15" i="9"/>
  <c r="S15" i="9"/>
  <c r="R15" i="9"/>
  <c r="Q15" i="9"/>
  <c r="AB11" i="9" s="1"/>
  <c r="P15" i="9"/>
  <c r="O15" i="9"/>
  <c r="N15" i="9"/>
  <c r="M15" i="9"/>
  <c r="AD14" i="9"/>
  <c r="AM14" i="9" s="1"/>
  <c r="AV13" i="9" s="1"/>
  <c r="AC14" i="9"/>
  <c r="Z14" i="9"/>
  <c r="Y14" i="9"/>
  <c r="AE13" i="9"/>
  <c r="AD11" i="9"/>
  <c r="X11" i="9"/>
  <c r="AB12" i="9" l="1"/>
  <c r="Y12" i="9"/>
  <c r="AI16" i="9"/>
  <c r="AR15" i="9" s="1"/>
  <c r="AN29" i="9"/>
  <c r="AW29" i="9" s="1"/>
  <c r="Y11" i="9"/>
  <c r="AC11" i="9"/>
  <c r="AM16" i="9"/>
  <c r="AV15" i="9" s="1"/>
  <c r="AN18" i="9"/>
  <c r="AW17" i="9" s="1"/>
  <c r="AA13" i="9"/>
  <c r="AJ29" i="9" s="1"/>
  <c r="AS29" i="9" s="1"/>
  <c r="AL35" i="9"/>
  <c r="AU35" i="9" s="1"/>
  <c r="AI12" i="9"/>
  <c r="AR11" i="9" s="1"/>
  <c r="AA19" i="9"/>
  <c r="AJ19" i="9" s="1"/>
  <c r="AS18" i="9" s="1"/>
  <c r="AB19" i="9"/>
  <c r="AL14" i="9"/>
  <c r="AU13" i="9" s="1"/>
  <c r="AL15" i="9"/>
  <c r="AU14" i="9" s="1"/>
  <c r="Z13" i="9"/>
  <c r="AI29" i="9" s="1"/>
  <c r="AR29" i="9" s="1"/>
  <c r="AD13" i="9"/>
  <c r="Z17" i="9"/>
  <c r="AD17" i="9"/>
  <c r="AM17" i="9" s="1"/>
  <c r="AV16" i="9" s="1"/>
  <c r="AI18" i="9"/>
  <c r="AR17" i="9" s="1"/>
  <c r="AK19" i="9"/>
  <c r="AT18" i="9" s="1"/>
  <c r="AM28" i="9"/>
  <c r="AV28" i="9" s="1"/>
  <c r="AJ28" i="9"/>
  <c r="AS28" i="9" s="1"/>
  <c r="AJ37" i="9"/>
  <c r="AS37" i="9" s="1"/>
  <c r="AJ27" i="9"/>
  <c r="AS27" i="9" s="1"/>
  <c r="AN15" i="9"/>
  <c r="AW14" i="9" s="1"/>
  <c r="AL17" i="9"/>
  <c r="AU16" i="9" s="1"/>
  <c r="AM30" i="9"/>
  <c r="AV30" i="9" s="1"/>
  <c r="AV47" i="9" s="1"/>
  <c r="X17" i="9"/>
  <c r="AB17" i="9"/>
  <c r="AK17" i="9" s="1"/>
  <c r="AT16" i="9" s="1"/>
  <c r="AI32" i="9"/>
  <c r="AR32" i="9" s="1"/>
  <c r="AR49" i="9" s="1"/>
  <c r="BA45" i="9" s="1"/>
  <c r="AN28" i="9"/>
  <c r="AW28" i="9" s="1"/>
  <c r="AN36" i="9"/>
  <c r="AW36" i="9" s="1"/>
  <c r="AN37" i="9"/>
  <c r="AW37" i="9" s="1"/>
  <c r="AN38" i="9"/>
  <c r="AW38" i="9" s="1"/>
  <c r="AK27" i="9"/>
  <c r="AT27" i="9" s="1"/>
  <c r="X18" i="9"/>
  <c r="AN34" i="9" s="1"/>
  <c r="AW34" i="9" s="1"/>
  <c r="AB18" i="9"/>
  <c r="AM27" i="9"/>
  <c r="AV27" i="9" s="1"/>
  <c r="AI19" i="9"/>
  <c r="AR18" i="9" s="1"/>
  <c r="AJ38" i="9"/>
  <c r="AS38" i="9" s="1"/>
  <c r="AN12" i="9"/>
  <c r="AL28" i="9"/>
  <c r="AU28" i="9" s="1"/>
  <c r="AN17" i="9"/>
  <c r="AW16" i="9" s="1"/>
  <c r="AJ20" i="9"/>
  <c r="AS19" i="9" s="1"/>
  <c r="AL36" i="9"/>
  <c r="AU36" i="9" s="1"/>
  <c r="AJ21" i="9"/>
  <c r="AS20" i="9" s="1"/>
  <c r="AL37" i="9"/>
  <c r="AU37" i="9" s="1"/>
  <c r="Y13" i="9"/>
  <c r="AM13" i="9" s="1"/>
  <c r="AV12" i="9" s="1"/>
  <c r="AN22" i="9"/>
  <c r="AW21" i="9" s="1"/>
  <c r="AL38" i="9"/>
  <c r="AU38" i="9" s="1"/>
  <c r="AN27" i="9"/>
  <c r="AW27" i="9" s="1"/>
  <c r="BF27" i="9" s="1"/>
  <c r="Z11" i="9"/>
  <c r="AL27" i="9"/>
  <c r="AU27" i="9" s="1"/>
  <c r="AK16" i="9"/>
  <c r="AT15" i="9" s="1"/>
  <c r="AL32" i="9"/>
  <c r="AU32" i="9" s="1"/>
  <c r="AM19" i="9"/>
  <c r="AV18" i="9" s="1"/>
  <c r="AI36" i="9"/>
  <c r="AR36" i="9" s="1"/>
  <c r="AM36" i="9"/>
  <c r="AV36" i="9" s="1"/>
  <c r="AI21" i="9"/>
  <c r="AR20" i="9" s="1"/>
  <c r="AM37" i="9"/>
  <c r="AV37" i="9" s="1"/>
  <c r="AI38" i="9"/>
  <c r="AR38" i="9" s="1"/>
  <c r="AM22" i="9"/>
  <c r="AV21" i="9" s="1"/>
  <c r="AJ30" i="9"/>
  <c r="AS30" i="9" s="1"/>
  <c r="AJ14" i="9"/>
  <c r="AS13" i="9" s="1"/>
  <c r="AN30" i="9"/>
  <c r="AW30" i="9" s="1"/>
  <c r="AN14" i="9"/>
  <c r="AW13" i="9" s="1"/>
  <c r="AJ31" i="9"/>
  <c r="AS31" i="9" s="1"/>
  <c r="AJ15" i="9"/>
  <c r="AS14" i="9" s="1"/>
  <c r="AK30" i="9"/>
  <c r="AT30" i="9" s="1"/>
  <c r="AK14" i="9"/>
  <c r="AT13" i="9" s="1"/>
  <c r="AK31" i="9"/>
  <c r="AT31" i="9" s="1"/>
  <c r="AK15" i="9"/>
  <c r="AT14" i="9" s="1"/>
  <c r="AI30" i="9"/>
  <c r="AR30" i="9" s="1"/>
  <c r="AS53" i="9"/>
  <c r="AL29" i="9"/>
  <c r="AU29" i="9" s="1"/>
  <c r="AK34" i="9"/>
  <c r="AT34" i="9" s="1"/>
  <c r="AK18" i="9"/>
  <c r="AT17" i="9" s="1"/>
  <c r="AI13" i="9"/>
  <c r="AR12" i="9" s="1"/>
  <c r="AM29" i="9"/>
  <c r="AV29" i="9" s="1"/>
  <c r="AJ12" i="9"/>
  <c r="AS11" i="9" s="1"/>
  <c r="AJ16" i="9"/>
  <c r="AS15" i="9" s="1"/>
  <c r="AS49" i="9" s="1"/>
  <c r="AJ17" i="9"/>
  <c r="AS16" i="9" s="1"/>
  <c r="AJ22" i="9"/>
  <c r="AS21" i="9" s="1"/>
  <c r="AS55" i="9" s="1"/>
  <c r="AI31" i="9"/>
  <c r="AR31" i="9" s="1"/>
  <c r="AK20" i="9"/>
  <c r="AT19" i="9" s="1"/>
  <c r="AK21" i="9"/>
  <c r="AT20" i="9" s="1"/>
  <c r="AK22" i="9"/>
  <c r="AT21" i="9" s="1"/>
  <c r="AM32" i="9"/>
  <c r="AV32" i="9" s="1"/>
  <c r="AI35" i="9"/>
  <c r="AR35" i="9" s="1"/>
  <c r="AM38" i="9"/>
  <c r="AV38" i="9" s="1"/>
  <c r="AN16" i="9"/>
  <c r="AW15" i="9" s="1"/>
  <c r="AW49" i="9" s="1"/>
  <c r="AJ18" i="9"/>
  <c r="AS17" i="9" s="1"/>
  <c r="AN20" i="9"/>
  <c r="AW19" i="9" s="1"/>
  <c r="AN21" i="9"/>
  <c r="AW20" i="9" s="1"/>
  <c r="AW54" i="9" s="1"/>
  <c r="AK12" i="9"/>
  <c r="AT11" i="9" s="1"/>
  <c r="AM31" i="9"/>
  <c r="AV31" i="9" s="1"/>
  <c r="AL12" i="9"/>
  <c r="AU11" i="9" s="1"/>
  <c r="AJ13" i="9"/>
  <c r="AS12" i="9" s="1"/>
  <c r="AS46" i="9" s="1"/>
  <c r="AL20" i="9"/>
  <c r="AU19" i="9" s="1"/>
  <c r="AL21" i="9"/>
  <c r="AU20" i="9" s="1"/>
  <c r="AL22" i="9"/>
  <c r="AU21" i="9" s="1"/>
  <c r="AI28" i="9"/>
  <c r="AR28" i="9" s="1"/>
  <c r="AI34" i="9"/>
  <c r="AR34" i="9" s="1"/>
  <c r="AM35" i="9"/>
  <c r="AV35" i="9" s="1"/>
  <c r="AI37" i="9"/>
  <c r="AR37" i="9" s="1"/>
  <c r="AL30" i="9"/>
  <c r="AU30" i="9" s="1"/>
  <c r="AL31" i="9"/>
  <c r="AU31" i="9" s="1"/>
  <c r="AU48" i="9" s="1"/>
  <c r="AN19" i="9"/>
  <c r="AW18" i="9" s="1"/>
  <c r="AW52" i="9" s="1"/>
  <c r="AN13" i="9"/>
  <c r="AW12" i="9" s="1"/>
  <c r="AN31" i="9"/>
  <c r="AW31" i="9" s="1"/>
  <c r="AW48" i="9" s="1"/>
  <c r="AL16" i="9"/>
  <c r="AU15" i="9" s="1"/>
  <c r="AJ33" i="9"/>
  <c r="AS33" i="9" s="1"/>
  <c r="AL18" i="9"/>
  <c r="AU17" i="9" s="1"/>
  <c r="AL19" i="9"/>
  <c r="AU18" i="9" s="1"/>
  <c r="AU52" i="9" s="1"/>
  <c r="AK28" i="9"/>
  <c r="AT28" i="9" s="1"/>
  <c r="AM12" i="9"/>
  <c r="AV11" i="9" s="1"/>
  <c r="AK13" i="9"/>
  <c r="AT12" i="9" s="1"/>
  <c r="AT46" i="9" s="1"/>
  <c r="AI14" i="9"/>
  <c r="AR13" i="9" s="1"/>
  <c r="AR47" i="9" s="1"/>
  <c r="AI15" i="9"/>
  <c r="AR14" i="9" s="1"/>
  <c r="AM15" i="9"/>
  <c r="AV14" i="9" s="1"/>
  <c r="AK32" i="9"/>
  <c r="AT32" i="9" s="1"/>
  <c r="AI17" i="9"/>
  <c r="AR16" i="9" s="1"/>
  <c r="AM18" i="9"/>
  <c r="AV17" i="9" s="1"/>
  <c r="AK35" i="9"/>
  <c r="AT35" i="9" s="1"/>
  <c r="AT52" i="9" s="1"/>
  <c r="AK36" i="9"/>
  <c r="AT36" i="9" s="1"/>
  <c r="AI20" i="9"/>
  <c r="AR19" i="9" s="1"/>
  <c r="AM20" i="9"/>
  <c r="AV19" i="9" s="1"/>
  <c r="AK37" i="9"/>
  <c r="AT37" i="9" s="1"/>
  <c r="AM21" i="9"/>
  <c r="AV20" i="9" s="1"/>
  <c r="AV54" i="9" s="1"/>
  <c r="AK38" i="9"/>
  <c r="AT38" i="9" s="1"/>
  <c r="AI22" i="9"/>
  <c r="AR21" i="9" s="1"/>
  <c r="AW11" i="9"/>
  <c r="AJ11" i="9"/>
  <c r="AS10" i="9" s="1"/>
  <c r="AS44" i="9" s="1"/>
  <c r="AK11" i="9"/>
  <c r="AT10" i="9" s="1"/>
  <c r="AT44" i="9" s="1"/>
  <c r="AN11" i="9"/>
  <c r="AW10" i="9" s="1"/>
  <c r="AM11" i="9"/>
  <c r="AV10" i="9" s="1"/>
  <c r="AR45" i="9" l="1"/>
  <c r="AR48" i="9"/>
  <c r="AU49" i="9"/>
  <c r="AR51" i="9"/>
  <c r="AT45" i="9"/>
  <c r="AS54" i="9"/>
  <c r="AV44" i="9"/>
  <c r="AV55" i="9"/>
  <c r="AJ35" i="9"/>
  <c r="AS35" i="9" s="1"/>
  <c r="AS52" i="9" s="1"/>
  <c r="AW55" i="9"/>
  <c r="BC27" i="9"/>
  <c r="AW45" i="9"/>
  <c r="AW46" i="9"/>
  <c r="AU55" i="9"/>
  <c r="BE27" i="9"/>
  <c r="AS48" i="9"/>
  <c r="AS47" i="9"/>
  <c r="BE30" i="9"/>
  <c r="AV46" i="9"/>
  <c r="AW51" i="9"/>
  <c r="AI27" i="9"/>
  <c r="AR27" i="9" s="1"/>
  <c r="BA27" i="9" s="1"/>
  <c r="AI11" i="9"/>
  <c r="AR10" i="9" s="1"/>
  <c r="AS45" i="9"/>
  <c r="AV45" i="9"/>
  <c r="BJ60" i="9" s="1"/>
  <c r="AL13" i="9"/>
  <c r="AU12" i="9" s="1"/>
  <c r="AU46" i="9" s="1"/>
  <c r="AT47" i="9"/>
  <c r="BD30" i="9"/>
  <c r="BF30" i="9"/>
  <c r="AM33" i="9"/>
  <c r="AV33" i="9" s="1"/>
  <c r="AV50" i="9" s="1"/>
  <c r="BB27" i="9"/>
  <c r="AL11" i="9"/>
  <c r="AU10" i="9" s="1"/>
  <c r="AU44" i="9" s="1"/>
  <c r="BB11" i="9"/>
  <c r="AR55" i="9"/>
  <c r="AV52" i="9"/>
  <c r="AV49" i="9"/>
  <c r="BD27" i="9"/>
  <c r="BB30" i="9"/>
  <c r="AW44" i="9"/>
  <c r="BS61" i="9" s="1"/>
  <c r="AJ34" i="9"/>
  <c r="AS34" i="9" s="1"/>
  <c r="AT54" i="9"/>
  <c r="BF11" i="9"/>
  <c r="BC30" i="9"/>
  <c r="AT49" i="9"/>
  <c r="AN33" i="9"/>
  <c r="AW33" i="9" s="1"/>
  <c r="BF29" i="9" s="1"/>
  <c r="BE28" i="9"/>
  <c r="AR52" i="9"/>
  <c r="AL34" i="9"/>
  <c r="AU34" i="9" s="1"/>
  <c r="AU51" i="9" s="1"/>
  <c r="AI33" i="9"/>
  <c r="AR33" i="9" s="1"/>
  <c r="BA29" i="9" s="1"/>
  <c r="AK33" i="9"/>
  <c r="AT33" i="9" s="1"/>
  <c r="AM34" i="9"/>
  <c r="AV34" i="9" s="1"/>
  <c r="AV51" i="9" s="1"/>
  <c r="AL33" i="9"/>
  <c r="AU33" i="9" s="1"/>
  <c r="AU54" i="9"/>
  <c r="AS51" i="9"/>
  <c r="AR46" i="9"/>
  <c r="AT51" i="9"/>
  <c r="BB13" i="9"/>
  <c r="AT48" i="9"/>
  <c r="AU45" i="9"/>
  <c r="BE45" i="9"/>
  <c r="BB44" i="9"/>
  <c r="BD45" i="9"/>
  <c r="AV48" i="9"/>
  <c r="AS50" i="9"/>
  <c r="BB12" i="9"/>
  <c r="BF12" i="9"/>
  <c r="BB45" i="9"/>
  <c r="BE44" i="9"/>
  <c r="BF28" i="9"/>
  <c r="BC13" i="9"/>
  <c r="AT53" i="9"/>
  <c r="BC12" i="9"/>
  <c r="AT50" i="9"/>
  <c r="BC44" i="9"/>
  <c r="BJ52" i="9"/>
  <c r="AV53" i="9"/>
  <c r="BE13" i="9"/>
  <c r="AU53" i="9"/>
  <c r="BD13" i="9"/>
  <c r="BA30" i="9"/>
  <c r="BS47" i="9"/>
  <c r="BB47" i="9"/>
  <c r="BK69" i="9" s="1"/>
  <c r="BC29" i="9"/>
  <c r="BD12" i="9"/>
  <c r="BB28" i="9"/>
  <c r="BS44" i="9"/>
  <c r="AR53" i="9"/>
  <c r="BA13" i="9"/>
  <c r="BA12" i="9"/>
  <c r="BJ45" i="9"/>
  <c r="BL45" i="9" s="1"/>
  <c r="BO45" i="9" s="1"/>
  <c r="BD28" i="9"/>
  <c r="AW53" i="9"/>
  <c r="BF13" i="9"/>
  <c r="AT55" i="9"/>
  <c r="AR54" i="9"/>
  <c r="AU47" i="9"/>
  <c r="BE12" i="9"/>
  <c r="BA28" i="9"/>
  <c r="BC28" i="9"/>
  <c r="AU50" i="9"/>
  <c r="AW47" i="9"/>
  <c r="BD11" i="9"/>
  <c r="BA11" i="9"/>
  <c r="BC11" i="9"/>
  <c r="BF10" i="9"/>
  <c r="BE10" i="9"/>
  <c r="BE11" i="9"/>
  <c r="BC10" i="9"/>
  <c r="BB10" i="9"/>
  <c r="BF44" i="9" l="1"/>
  <c r="BK75" i="9"/>
  <c r="BS45" i="9"/>
  <c r="BU45" i="9" s="1"/>
  <c r="BX45" i="9" s="1"/>
  <c r="BC45" i="9"/>
  <c r="BB29" i="9"/>
  <c r="AR44" i="9"/>
  <c r="BJ44" i="9" s="1"/>
  <c r="BA10" i="9"/>
  <c r="AR50" i="9"/>
  <c r="BA44" i="9"/>
  <c r="BL44" i="9" s="1"/>
  <c r="BO44" i="9" s="1"/>
  <c r="BD10" i="9"/>
  <c r="BE29" i="9"/>
  <c r="BK45" i="9"/>
  <c r="BN45" i="9" s="1"/>
  <c r="BK68" i="9"/>
  <c r="BJ53" i="9"/>
  <c r="BK53" i="9" s="1"/>
  <c r="BN53" i="9" s="1"/>
  <c r="BD29" i="9"/>
  <c r="BE46" i="9"/>
  <c r="BJ62" i="9"/>
  <c r="AW50" i="9"/>
  <c r="BF46" i="9" s="1"/>
  <c r="BS64" i="9"/>
  <c r="BF47" i="9"/>
  <c r="BO71" i="9" s="1"/>
  <c r="BK52" i="9"/>
  <c r="BN52" i="9" s="1"/>
  <c r="BV45" i="9"/>
  <c r="BJ61" i="9"/>
  <c r="BL61" i="9" s="1"/>
  <c r="BO61" i="9" s="1"/>
  <c r="BT61" i="9"/>
  <c r="BW61" i="9" s="1"/>
  <c r="BU61" i="9"/>
  <c r="BX61" i="9" s="1"/>
  <c r="BK74" i="9"/>
  <c r="BS46" i="9"/>
  <c r="BB46" i="9"/>
  <c r="BF45" i="9"/>
  <c r="BS62" i="9"/>
  <c r="BJ47" i="9"/>
  <c r="BA47" i="9"/>
  <c r="BV47" i="9"/>
  <c r="BU47" i="9"/>
  <c r="BX47" i="9" s="1"/>
  <c r="BT47" i="9"/>
  <c r="BW47" i="9" s="1"/>
  <c r="BK73" i="9"/>
  <c r="BK72" i="9"/>
  <c r="BK71" i="9"/>
  <c r="BK70" i="9"/>
  <c r="BK76" i="9"/>
  <c r="BS54" i="9"/>
  <c r="BT54" i="9" s="1"/>
  <c r="BW54" i="9" s="1"/>
  <c r="BJ54" i="9"/>
  <c r="BC46" i="9"/>
  <c r="BV44" i="9"/>
  <c r="BU44" i="9"/>
  <c r="BX44" i="9" s="1"/>
  <c r="BT44" i="9"/>
  <c r="BW44" i="9" s="1"/>
  <c r="BS63" i="9"/>
  <c r="BJ63" i="9"/>
  <c r="BE47" i="9"/>
  <c r="BM61" i="9" s="1"/>
  <c r="BK44" i="9"/>
  <c r="BN44" i="9" s="1"/>
  <c r="BL62" i="9"/>
  <c r="BO62" i="9" s="1"/>
  <c r="BD46" i="9"/>
  <c r="BS55" i="9"/>
  <c r="BJ46" i="9"/>
  <c r="BA46" i="9"/>
  <c r="BD47" i="9"/>
  <c r="BM74" i="9" s="1"/>
  <c r="BS56" i="9"/>
  <c r="BC47" i="9"/>
  <c r="BJ55" i="9"/>
  <c r="BK60" i="9"/>
  <c r="BN60" i="9" s="1"/>
  <c r="BM60" i="9"/>
  <c r="BL60" i="9"/>
  <c r="BO60" i="9" s="1"/>
  <c r="BD44" i="9"/>
  <c r="BS53" i="9"/>
  <c r="BT45" i="9" l="1"/>
  <c r="BW45" i="9" s="1"/>
  <c r="BV61" i="9"/>
  <c r="BM62" i="9"/>
  <c r="BO74" i="9"/>
  <c r="BL53" i="9"/>
  <c r="BO53" i="9" s="1"/>
  <c r="BK62" i="9"/>
  <c r="BN62" i="9" s="1"/>
  <c r="BM71" i="9"/>
  <c r="BM55" i="9"/>
  <c r="BL69" i="9"/>
  <c r="BL71" i="9"/>
  <c r="BL75" i="9"/>
  <c r="BL70" i="9"/>
  <c r="BL76" i="9"/>
  <c r="BL73" i="9"/>
  <c r="BL68" i="9"/>
  <c r="BL72" i="9"/>
  <c r="BM63" i="9"/>
  <c r="BL63" i="9"/>
  <c r="BO63" i="9" s="1"/>
  <c r="BK63" i="9"/>
  <c r="BN63" i="9" s="1"/>
  <c r="BN71" i="9"/>
  <c r="BN73" i="9"/>
  <c r="BN74" i="9"/>
  <c r="BN75" i="9"/>
  <c r="BN69" i="9"/>
  <c r="BN68" i="9"/>
  <c r="BN70" i="9"/>
  <c r="BN76" i="9"/>
  <c r="BT53" i="9"/>
  <c r="BW53" i="9" s="1"/>
  <c r="BV53" i="9"/>
  <c r="BU53" i="9"/>
  <c r="BX53" i="9" s="1"/>
  <c r="BT55" i="9"/>
  <c r="BW55" i="9" s="1"/>
  <c r="BV55" i="9"/>
  <c r="BU55" i="9"/>
  <c r="BX55" i="9" s="1"/>
  <c r="BU54" i="9"/>
  <c r="BX54" i="9" s="1"/>
  <c r="BM52" i="9"/>
  <c r="BT64" i="9"/>
  <c r="BW64" i="9" s="1"/>
  <c r="BV64" i="9"/>
  <c r="BU64" i="9"/>
  <c r="BX64" i="9" s="1"/>
  <c r="BO70" i="9"/>
  <c r="BO76" i="9"/>
  <c r="BO73" i="9"/>
  <c r="BO72" i="9"/>
  <c r="BO68" i="9"/>
  <c r="BO69" i="9"/>
  <c r="BO75" i="9"/>
  <c r="BK47" i="9"/>
  <c r="BN47" i="9" s="1"/>
  <c r="BM47" i="9"/>
  <c r="BL47" i="9"/>
  <c r="BO47" i="9" s="1"/>
  <c r="BJ73" i="9"/>
  <c r="BJ76" i="9"/>
  <c r="BJ75" i="9"/>
  <c r="BM45" i="9"/>
  <c r="BJ68" i="9"/>
  <c r="BJ72" i="9"/>
  <c r="BJ70" i="9"/>
  <c r="BJ69" i="9"/>
  <c r="BL52" i="9" s="1"/>
  <c r="BO52" i="9" s="1"/>
  <c r="BJ71" i="9"/>
  <c r="BK46" i="9"/>
  <c r="BN46" i="9" s="1"/>
  <c r="BM46" i="9"/>
  <c r="BL46" i="9"/>
  <c r="BO46" i="9" s="1"/>
  <c r="BL74" i="9"/>
  <c r="BV46" i="9"/>
  <c r="BU46" i="9"/>
  <c r="BX46" i="9" s="1"/>
  <c r="BT46" i="9"/>
  <c r="BW46" i="9" s="1"/>
  <c r="BN72" i="9"/>
  <c r="BV56" i="9"/>
  <c r="BU56" i="9"/>
  <c r="BX56" i="9" s="1"/>
  <c r="BT56" i="9"/>
  <c r="BW56" i="9" s="1"/>
  <c r="BM68" i="9"/>
  <c r="BM75" i="9"/>
  <c r="BM72" i="9"/>
  <c r="BM76" i="9"/>
  <c r="BM70" i="9"/>
  <c r="BM73" i="9"/>
  <c r="BM54" i="9"/>
  <c r="BK61" i="9"/>
  <c r="BN61" i="9" s="1"/>
  <c r="BM69" i="9"/>
  <c r="BJ74" i="9"/>
  <c r="BM44" i="9"/>
  <c r="BT63" i="9"/>
  <c r="BW63" i="9" s="1"/>
  <c r="BV63" i="9"/>
  <c r="BU63" i="9"/>
  <c r="BX63" i="9" s="1"/>
  <c r="BM53" i="9"/>
  <c r="BV62" i="9"/>
  <c r="BU62" i="9"/>
  <c r="BX62" i="9" s="1"/>
  <c r="BT62" i="9"/>
  <c r="BW62" i="9" s="1"/>
  <c r="BV54" i="9"/>
  <c r="BL55" i="9" l="1"/>
  <c r="BO55" i="9" s="1"/>
  <c r="BK55" i="9"/>
  <c r="BN55" i="9" s="1"/>
  <c r="BK54" i="9"/>
  <c r="BN54" i="9" s="1"/>
  <c r="BL54" i="9"/>
  <c r="BO54" i="9" s="1"/>
  <c r="M51" i="8" l="1"/>
  <c r="L51" i="8"/>
  <c r="K51" i="8"/>
  <c r="J51" i="8"/>
  <c r="M50" i="8"/>
  <c r="L50" i="8"/>
  <c r="K50" i="8"/>
  <c r="J50" i="8"/>
  <c r="M49" i="8"/>
  <c r="L49" i="8"/>
  <c r="K49" i="8"/>
  <c r="J49" i="8"/>
  <c r="S22" i="8" s="1"/>
  <c r="M48" i="8"/>
  <c r="L48" i="8"/>
  <c r="K48" i="8"/>
  <c r="J48" i="8"/>
  <c r="M47" i="8"/>
  <c r="L47" i="8"/>
  <c r="K47" i="8"/>
  <c r="J47" i="8"/>
  <c r="M46" i="8"/>
  <c r="L46" i="8"/>
  <c r="U21" i="8" s="1"/>
  <c r="K46" i="8"/>
  <c r="T21" i="8" s="1"/>
  <c r="J46" i="8"/>
  <c r="S21" i="8" s="1"/>
  <c r="M45" i="8"/>
  <c r="L45" i="8"/>
  <c r="K45" i="8"/>
  <c r="J45" i="8"/>
  <c r="M44" i="8"/>
  <c r="L44" i="8"/>
  <c r="K44" i="8"/>
  <c r="J44" i="8"/>
  <c r="M43" i="8"/>
  <c r="L43" i="8"/>
  <c r="K43" i="8"/>
  <c r="T20" i="8" s="1"/>
  <c r="J43" i="8"/>
  <c r="M42" i="8"/>
  <c r="L42" i="8"/>
  <c r="K42" i="8"/>
  <c r="J42" i="8"/>
  <c r="M41" i="8"/>
  <c r="L41" i="8"/>
  <c r="K41" i="8"/>
  <c r="J41" i="8"/>
  <c r="M40" i="8"/>
  <c r="L40" i="8"/>
  <c r="K40" i="8"/>
  <c r="T19" i="8" s="1"/>
  <c r="J40" i="8"/>
  <c r="S19" i="8" s="1"/>
  <c r="M39" i="8"/>
  <c r="L39" i="8"/>
  <c r="K39" i="8"/>
  <c r="J39" i="8"/>
  <c r="M38" i="8"/>
  <c r="L38" i="8"/>
  <c r="K38" i="8"/>
  <c r="J38" i="8"/>
  <c r="M37" i="8"/>
  <c r="L37" i="8"/>
  <c r="K37" i="8"/>
  <c r="J37" i="8"/>
  <c r="M36" i="8"/>
  <c r="L36" i="8"/>
  <c r="K36" i="8"/>
  <c r="J36" i="8"/>
  <c r="M35" i="8"/>
  <c r="L35" i="8"/>
  <c r="K35" i="8"/>
  <c r="J35" i="8"/>
  <c r="M34" i="8"/>
  <c r="L34" i="8"/>
  <c r="U17" i="8" s="1"/>
  <c r="K34" i="8"/>
  <c r="T17" i="8" s="1"/>
  <c r="J34" i="8"/>
  <c r="M33" i="8"/>
  <c r="L33" i="8"/>
  <c r="K33" i="8"/>
  <c r="J33" i="8"/>
  <c r="M32" i="8"/>
  <c r="L32" i="8"/>
  <c r="K32" i="8"/>
  <c r="J32" i="8"/>
  <c r="M31" i="8"/>
  <c r="L31" i="8"/>
  <c r="U16" i="8" s="1"/>
  <c r="K31" i="8"/>
  <c r="T16" i="8" s="1"/>
  <c r="J31" i="8"/>
  <c r="S16" i="8" s="1"/>
  <c r="M30" i="8"/>
  <c r="L30" i="8"/>
  <c r="K30" i="8"/>
  <c r="J30" i="8"/>
  <c r="M29" i="8"/>
  <c r="L29" i="8"/>
  <c r="K29" i="8"/>
  <c r="J29" i="8"/>
  <c r="M28" i="8"/>
  <c r="L28" i="8"/>
  <c r="U15" i="8" s="1"/>
  <c r="K28" i="8"/>
  <c r="J28" i="8"/>
  <c r="S15" i="8" s="1"/>
  <c r="M27" i="8"/>
  <c r="L27" i="8"/>
  <c r="K27" i="8"/>
  <c r="J27" i="8"/>
  <c r="M26" i="8"/>
  <c r="L26" i="8"/>
  <c r="K26" i="8"/>
  <c r="J26" i="8"/>
  <c r="M25" i="8"/>
  <c r="L25" i="8"/>
  <c r="K25" i="8"/>
  <c r="T14" i="8" s="1"/>
  <c r="J25" i="8"/>
  <c r="S14" i="8" s="1"/>
  <c r="M24" i="8"/>
  <c r="L24" i="8"/>
  <c r="K24" i="8"/>
  <c r="J24" i="8"/>
  <c r="M23" i="8"/>
  <c r="L23" i="8"/>
  <c r="K23" i="8"/>
  <c r="J23" i="8"/>
  <c r="V22" i="8"/>
  <c r="U22" i="8"/>
  <c r="T22" i="8"/>
  <c r="M22" i="8"/>
  <c r="V13" i="8" s="1"/>
  <c r="L22" i="8"/>
  <c r="K22" i="8"/>
  <c r="J22" i="8"/>
  <c r="V21" i="8"/>
  <c r="M21" i="8"/>
  <c r="L21" i="8"/>
  <c r="K21" i="8"/>
  <c r="J21" i="8"/>
  <c r="V20" i="8"/>
  <c r="U20" i="8"/>
  <c r="M20" i="8"/>
  <c r="L20" i="8"/>
  <c r="K20" i="8"/>
  <c r="J20" i="8"/>
  <c r="V19" i="8"/>
  <c r="U19" i="8"/>
  <c r="M19" i="8"/>
  <c r="L19" i="8"/>
  <c r="K19" i="8"/>
  <c r="J19" i="8"/>
  <c r="V18" i="8"/>
  <c r="U18" i="8"/>
  <c r="T18" i="8"/>
  <c r="M18" i="8"/>
  <c r="L18" i="8"/>
  <c r="K18" i="8"/>
  <c r="J18" i="8"/>
  <c r="V17" i="8"/>
  <c r="M17" i="8"/>
  <c r="L17" i="8"/>
  <c r="K17" i="8"/>
  <c r="J17" i="8"/>
  <c r="V16" i="8"/>
  <c r="M16" i="8"/>
  <c r="L16" i="8"/>
  <c r="K16" i="8"/>
  <c r="J16" i="8"/>
  <c r="V15" i="8"/>
  <c r="T15" i="8"/>
  <c r="V14" i="8"/>
  <c r="U14" i="8"/>
  <c r="U13" i="8"/>
  <c r="U11" i="8"/>
  <c r="V12" i="8" l="1"/>
  <c r="Y15" i="8"/>
  <c r="AD14" i="8" s="1"/>
  <c r="T11" i="8"/>
  <c r="T12" i="8"/>
  <c r="Z13" i="8" s="1"/>
  <c r="AE12" i="8" s="1"/>
  <c r="Z21" i="8"/>
  <c r="AE20" i="8" s="1"/>
  <c r="S13" i="8"/>
  <c r="Z30" i="8" s="1"/>
  <c r="AE30" i="8" s="1"/>
  <c r="V11" i="8"/>
  <c r="Z12" i="8" s="1"/>
  <c r="AE11" i="8" s="1"/>
  <c r="U12" i="8"/>
  <c r="Y29" i="8" s="1"/>
  <c r="AD29" i="8" s="1"/>
  <c r="Z20" i="8"/>
  <c r="AE19" i="8" s="1"/>
  <c r="T13" i="8"/>
  <c r="Y14" i="8" s="1"/>
  <c r="AD13" i="8" s="1"/>
  <c r="Z17" i="8"/>
  <c r="AE16" i="8" s="1"/>
  <c r="S11" i="8"/>
  <c r="Y28" i="8" s="1"/>
  <c r="AD28" i="8" s="1"/>
  <c r="Y19" i="8"/>
  <c r="AD18" i="8" s="1"/>
  <c r="S20" i="8"/>
  <c r="Z37" i="8" s="1"/>
  <c r="AE37" i="8" s="1"/>
  <c r="S12" i="8"/>
  <c r="Z29" i="8" s="1"/>
  <c r="AE29" i="8" s="1"/>
  <c r="Y23" i="8"/>
  <c r="AD22" i="8" s="1"/>
  <c r="Y32" i="8"/>
  <c r="AD32" i="8" s="1"/>
  <c r="Z19" i="8"/>
  <c r="AE18" i="8" s="1"/>
  <c r="AJ13" i="8" s="1"/>
  <c r="Z16" i="8"/>
  <c r="AE15" i="8" s="1"/>
  <c r="Y17" i="8"/>
  <c r="AD16" i="8" s="1"/>
  <c r="Z18" i="8"/>
  <c r="AE17" i="8" s="1"/>
  <c r="Y21" i="8"/>
  <c r="AD20" i="8" s="1"/>
  <c r="Z22" i="8"/>
  <c r="AE21" i="8" s="1"/>
  <c r="Z23" i="8"/>
  <c r="AE22" i="8" s="1"/>
  <c r="S17" i="8"/>
  <c r="Y34" i="8" s="1"/>
  <c r="AD34" i="8" s="1"/>
  <c r="S18" i="8"/>
  <c r="Y35" i="8" s="1"/>
  <c r="AD35" i="8" s="1"/>
  <c r="Y39" i="8"/>
  <c r="AD39" i="8" s="1"/>
  <c r="Y38" i="8"/>
  <c r="AD38" i="8" s="1"/>
  <c r="Y36" i="8"/>
  <c r="AD36" i="8" s="1"/>
  <c r="Y16" i="8"/>
  <c r="AD15" i="8" s="1"/>
  <c r="Y18" i="8"/>
  <c r="AD17" i="8" s="1"/>
  <c r="Y20" i="8"/>
  <c r="AD19" i="8" s="1"/>
  <c r="Y22" i="8"/>
  <c r="AD21" i="8" s="1"/>
  <c r="Y12" i="8"/>
  <c r="AD11" i="8" s="1"/>
  <c r="Y31" i="8"/>
  <c r="AD31" i="8" s="1"/>
  <c r="Y33" i="8"/>
  <c r="AD33" i="8" s="1"/>
  <c r="Y13" i="8"/>
  <c r="AD12" i="8" s="1"/>
  <c r="Z31" i="8"/>
  <c r="AE31" i="8" s="1"/>
  <c r="Z32" i="8"/>
  <c r="AE32" i="8" s="1"/>
  <c r="Z33" i="8"/>
  <c r="AE33" i="8" s="1"/>
  <c r="Z36" i="8"/>
  <c r="AE36" i="8" s="1"/>
  <c r="AE53" i="8" s="1"/>
  <c r="Z38" i="8"/>
  <c r="AE38" i="8" s="1"/>
  <c r="Z39" i="8"/>
  <c r="AE39" i="8" s="1"/>
  <c r="Z15" i="8"/>
  <c r="AE14" i="8" s="1"/>
  <c r="AE49" i="8" l="1"/>
  <c r="Z28" i="8"/>
  <c r="AE28" i="8" s="1"/>
  <c r="AW13" i="8"/>
  <c r="Z35" i="8"/>
  <c r="AE35" i="8" s="1"/>
  <c r="AE52" i="8" s="1"/>
  <c r="Z14" i="8"/>
  <c r="AE13" i="8" s="1"/>
  <c r="Y37" i="8"/>
  <c r="AD37" i="8" s="1"/>
  <c r="AI31" i="8" s="1"/>
  <c r="AE56" i="8"/>
  <c r="Z34" i="8"/>
  <c r="AE34" i="8" s="1"/>
  <c r="AE51" i="8" s="1"/>
  <c r="AJ47" i="8" s="1"/>
  <c r="AD50" i="8"/>
  <c r="Y30" i="8"/>
  <c r="AD30" i="8" s="1"/>
  <c r="AD47" i="8" s="1"/>
  <c r="AI14" i="8"/>
  <c r="AE50" i="8"/>
  <c r="AD52" i="8"/>
  <c r="AW14" i="8"/>
  <c r="AN14" i="8"/>
  <c r="AJ14" i="8"/>
  <c r="AE55" i="8"/>
  <c r="AD55" i="8"/>
  <c r="AN30" i="8"/>
  <c r="AD56" i="8"/>
  <c r="AD53" i="8"/>
  <c r="AE48" i="8"/>
  <c r="AJ12" i="8"/>
  <c r="AW12" i="8"/>
  <c r="AJ29" i="8"/>
  <c r="AW29" i="8"/>
  <c r="AD46" i="8"/>
  <c r="AI30" i="8"/>
  <c r="AJ31" i="8"/>
  <c r="AW31" i="8"/>
  <c r="AE46" i="8"/>
  <c r="AW28" i="8"/>
  <c r="AJ28" i="8"/>
  <c r="AX13" i="8"/>
  <c r="BA13" i="8" s="1"/>
  <c r="AY13" i="8"/>
  <c r="AZ14" i="8"/>
  <c r="AI29" i="8"/>
  <c r="AN29" i="8"/>
  <c r="AD48" i="8"/>
  <c r="AN31" i="8"/>
  <c r="AD51" i="8"/>
  <c r="AI13" i="8"/>
  <c r="AN13" i="8"/>
  <c r="AE47" i="8"/>
  <c r="AI11" i="8"/>
  <c r="AD45" i="8"/>
  <c r="AN11" i="8"/>
  <c r="AD49" i="8"/>
  <c r="AI12" i="8"/>
  <c r="AN12" i="8"/>
  <c r="AN28" i="8"/>
  <c r="AJ11" i="8"/>
  <c r="AE45" i="8"/>
  <c r="AW11" i="8"/>
  <c r="AE54" i="8"/>
  <c r="AD54" i="8"/>
  <c r="AJ30" i="8" l="1"/>
  <c r="AW30" i="8"/>
  <c r="AP14" i="8"/>
  <c r="AS14" i="8" s="1"/>
  <c r="AO14" i="8"/>
  <c r="AR14" i="8" s="1"/>
  <c r="AQ14" i="8"/>
  <c r="AW47" i="8"/>
  <c r="AX14" i="8"/>
  <c r="BA14" i="8" s="1"/>
  <c r="AI28" i="8"/>
  <c r="AO28" i="8" s="1"/>
  <c r="AR28" i="8" s="1"/>
  <c r="AY14" i="8"/>
  <c r="BB14" i="8" s="1"/>
  <c r="AZ13" i="8"/>
  <c r="BB13" i="8"/>
  <c r="AX28" i="8"/>
  <c r="BA28" i="8" s="1"/>
  <c r="AZ28" i="8"/>
  <c r="AY28" i="8"/>
  <c r="BB28" i="8" s="1"/>
  <c r="AJ46" i="8"/>
  <c r="AW46" i="8"/>
  <c r="AJ45" i="8"/>
  <c r="AW45" i="8"/>
  <c r="AO31" i="8"/>
  <c r="AR31" i="8" s="1"/>
  <c r="AQ31" i="8"/>
  <c r="AP31" i="8"/>
  <c r="AS31" i="8" s="1"/>
  <c r="AO29" i="8"/>
  <c r="AR29" i="8" s="1"/>
  <c r="AQ29" i="8"/>
  <c r="AP29" i="8"/>
  <c r="AS29" i="8" s="1"/>
  <c r="AQ30" i="8"/>
  <c r="AP30" i="8"/>
  <c r="AS30" i="8" s="1"/>
  <c r="AO30" i="8"/>
  <c r="AR30" i="8" s="1"/>
  <c r="AZ29" i="8"/>
  <c r="AY29" i="8"/>
  <c r="BB29" i="8" s="1"/>
  <c r="AX29" i="8"/>
  <c r="BA29" i="8" s="1"/>
  <c r="AI45" i="8"/>
  <c r="AN45" i="8"/>
  <c r="AZ31" i="8"/>
  <c r="AY31" i="8"/>
  <c r="BB31" i="8" s="1"/>
  <c r="AX31" i="8"/>
  <c r="BA31" i="8" s="1"/>
  <c r="AI48" i="8"/>
  <c r="AI59" i="8" s="1"/>
  <c r="AN48" i="8"/>
  <c r="AX11" i="8"/>
  <c r="BA11" i="8" s="1"/>
  <c r="AZ11" i="8"/>
  <c r="AY11" i="8"/>
  <c r="BB11" i="8" s="1"/>
  <c r="AO13" i="8"/>
  <c r="AR13" i="8" s="1"/>
  <c r="AQ13" i="8"/>
  <c r="AP13" i="8"/>
  <c r="AS13" i="8" s="1"/>
  <c r="AJ48" i="8"/>
  <c r="AZ47" i="8" s="1"/>
  <c r="AW48" i="8"/>
  <c r="AX30" i="8"/>
  <c r="BA30" i="8" s="1"/>
  <c r="AZ30" i="8"/>
  <c r="AY30" i="8"/>
  <c r="BB30" i="8" s="1"/>
  <c r="AQ12" i="8"/>
  <c r="AO12" i="8"/>
  <c r="AR12" i="8" s="1"/>
  <c r="AP12" i="8"/>
  <c r="AS12" i="8" s="1"/>
  <c r="AQ11" i="8"/>
  <c r="AO11" i="8"/>
  <c r="AR11" i="8" s="1"/>
  <c r="AP11" i="8"/>
  <c r="AS11" i="8" s="1"/>
  <c r="AI47" i="8"/>
  <c r="AN47" i="8"/>
  <c r="AI46" i="8"/>
  <c r="AN46" i="8"/>
  <c r="AX47" i="8"/>
  <c r="BA47" i="8" s="1"/>
  <c r="AY47" i="8"/>
  <c r="AX12" i="8"/>
  <c r="BA12" i="8" s="1"/>
  <c r="AZ12" i="8"/>
  <c r="AY12" i="8"/>
  <c r="BB12" i="8" s="1"/>
  <c r="AP28" i="8" l="1"/>
  <c r="AS28" i="8" s="1"/>
  <c r="AQ28" i="8"/>
  <c r="BB47" i="8"/>
  <c r="AI61" i="8"/>
  <c r="AI64" i="8"/>
  <c r="AJ59" i="8"/>
  <c r="AJ58" i="8"/>
  <c r="AQ45" i="8"/>
  <c r="AP45" i="8"/>
  <c r="AS45" i="8" s="1"/>
  <c r="AO45" i="8"/>
  <c r="AR45" i="8" s="1"/>
  <c r="AQ47" i="8"/>
  <c r="AP47" i="8"/>
  <c r="AS47" i="8" s="1"/>
  <c r="AO47" i="8"/>
  <c r="AR47" i="8" s="1"/>
  <c r="AX48" i="8"/>
  <c r="BA48" i="8" s="1"/>
  <c r="AZ48" i="8"/>
  <c r="AY48" i="8"/>
  <c r="BB48" i="8" s="1"/>
  <c r="AJ65" i="8"/>
  <c r="AJ62" i="8"/>
  <c r="AJ66" i="8"/>
  <c r="AJ63" i="8"/>
  <c r="AJ64" i="8"/>
  <c r="AQ48" i="8"/>
  <c r="AP48" i="8"/>
  <c r="AS48" i="8" s="1"/>
  <c r="AO48" i="8"/>
  <c r="AR48" i="8" s="1"/>
  <c r="AI65" i="8"/>
  <c r="AI60" i="8"/>
  <c r="AI66" i="8"/>
  <c r="AI63" i="8"/>
  <c r="AI62" i="8"/>
  <c r="AI58" i="8"/>
  <c r="AJ61" i="8"/>
  <c r="AQ46" i="8"/>
  <c r="AP46" i="8"/>
  <c r="AS46" i="8" s="1"/>
  <c r="AO46" i="8"/>
  <c r="AR46" i="8" s="1"/>
  <c r="AX45" i="8"/>
  <c r="BA45" i="8" s="1"/>
  <c r="AZ45" i="8"/>
  <c r="AY45" i="8"/>
  <c r="BB45" i="8" s="1"/>
  <c r="AX46" i="8"/>
  <c r="BA46" i="8" s="1"/>
  <c r="AZ46" i="8"/>
  <c r="AY46" i="8"/>
  <c r="BB46" i="8" s="1"/>
  <c r="AJ60" i="8"/>
  <c r="N12" i="6" l="1"/>
  <c r="M12" i="6"/>
  <c r="L12" i="6"/>
  <c r="N11" i="6"/>
  <c r="M11" i="6"/>
  <c r="L11" i="6"/>
  <c r="N12" i="7"/>
  <c r="M12" i="7"/>
  <c r="L12" i="7"/>
  <c r="N11" i="7"/>
  <c r="M11" i="7"/>
  <c r="L11" i="7"/>
  <c r="L13" i="7" l="1"/>
  <c r="O11" i="7"/>
  <c r="N16" i="7" s="1"/>
  <c r="L13" i="6"/>
  <c r="L17" i="6" s="1"/>
  <c r="O12" i="7"/>
  <c r="N17" i="7" s="1"/>
  <c r="M13" i="6"/>
  <c r="M16" i="6" s="1"/>
  <c r="N13" i="6"/>
  <c r="O11" i="6"/>
  <c r="M35" i="6" s="1"/>
  <c r="O12" i="6"/>
  <c r="M36" i="6" s="1"/>
  <c r="R11" i="7"/>
  <c r="N13" i="7"/>
  <c r="T12" i="7" s="1"/>
  <c r="R12" i="7"/>
  <c r="M13" i="7"/>
  <c r="S11" i="7" s="1"/>
  <c r="T11" i="7"/>
  <c r="M17" i="6" l="1"/>
  <c r="L16" i="7"/>
  <c r="L36" i="6"/>
  <c r="N36" i="6" s="1"/>
  <c r="M36" i="7"/>
  <c r="L36" i="7"/>
  <c r="N36" i="7" s="1"/>
  <c r="M17" i="7"/>
  <c r="L17" i="7"/>
  <c r="O17" i="7" s="1"/>
  <c r="L16" i="6"/>
  <c r="S12" i="7"/>
  <c r="L35" i="6"/>
  <c r="N35" i="6" s="1"/>
  <c r="L35" i="7"/>
  <c r="M35" i="7"/>
  <c r="M16" i="7"/>
  <c r="N17" i="6"/>
  <c r="O17" i="6" s="1"/>
  <c r="N16" i="6"/>
  <c r="O16" i="6" l="1"/>
  <c r="O16" i="7"/>
  <c r="N35" i="7"/>
  <c r="AR12" i="5"/>
  <c r="AR15" i="5" s="1"/>
  <c r="AS11" i="5"/>
  <c r="AQ11" i="5"/>
  <c r="AP11" i="5"/>
  <c r="AO11" i="5"/>
  <c r="AN11" i="5"/>
  <c r="AG11" i="5"/>
  <c r="AF11" i="5"/>
  <c r="AE11" i="5"/>
  <c r="Y11" i="5"/>
  <c r="X11" i="5"/>
  <c r="W11" i="5"/>
  <c r="Q11" i="5"/>
  <c r="P11" i="5"/>
  <c r="O11" i="5"/>
  <c r="AS10" i="5"/>
  <c r="AQ10" i="5"/>
  <c r="AP10" i="5"/>
  <c r="AN10" i="5"/>
  <c r="AG10" i="5"/>
  <c r="AF10" i="5"/>
  <c r="AE10" i="5"/>
  <c r="Y10" i="5"/>
  <c r="X10" i="5"/>
  <c r="W10" i="5"/>
  <c r="Q10" i="5"/>
  <c r="P10" i="5"/>
  <c r="O10" i="5"/>
  <c r="AQ12" i="5" l="1"/>
  <c r="AQ15" i="5" s="1"/>
  <c r="O12" i="5"/>
  <c r="O16" i="5" s="1"/>
  <c r="AF12" i="5"/>
  <c r="AF16" i="5" s="1"/>
  <c r="Q12" i="5"/>
  <c r="Q15" i="5" s="1"/>
  <c r="AT11" i="5"/>
  <c r="R11" i="5"/>
  <c r="O35" i="5" s="1"/>
  <c r="R10" i="5"/>
  <c r="O34" i="5" s="1"/>
  <c r="Z10" i="5"/>
  <c r="X34" i="5" s="1"/>
  <c r="AH10" i="5"/>
  <c r="AF34" i="5" s="1"/>
  <c r="P12" i="5"/>
  <c r="P16" i="5" s="1"/>
  <c r="O15" i="5"/>
  <c r="O17" i="5" s="1"/>
  <c r="W12" i="5"/>
  <c r="W15" i="5" s="1"/>
  <c r="AE12" i="5"/>
  <c r="AE15" i="5" s="1"/>
  <c r="AN12" i="5"/>
  <c r="AN15" i="5" s="1"/>
  <c r="AQ16" i="5"/>
  <c r="X12" i="5"/>
  <c r="X16" i="5" s="1"/>
  <c r="Y12" i="5"/>
  <c r="Y15" i="5" s="1"/>
  <c r="AO12" i="5"/>
  <c r="AO15" i="5" s="1"/>
  <c r="AS12" i="5"/>
  <c r="AS15" i="5" s="1"/>
  <c r="AR16" i="5"/>
  <c r="AG12" i="5"/>
  <c r="AG16" i="5" s="1"/>
  <c r="AT10" i="5"/>
  <c r="Z11" i="5"/>
  <c r="X35" i="5" s="1"/>
  <c r="AH11" i="5"/>
  <c r="AF35" i="5" s="1"/>
  <c r="AP12" i="5"/>
  <c r="AP15" i="5" s="1"/>
  <c r="AF15" i="5" l="1"/>
  <c r="P34" i="5"/>
  <c r="Q16" i="5"/>
  <c r="Q17" i="5" s="1"/>
  <c r="AE34" i="5"/>
  <c r="W34" i="5"/>
  <c r="P35" i="5"/>
  <c r="W16" i="5"/>
  <c r="AS16" i="5"/>
  <c r="AE35" i="5"/>
  <c r="P15" i="5"/>
  <c r="P17" i="5" s="1"/>
  <c r="Y16" i="5"/>
  <c r="AN16" i="5"/>
  <c r="AG15" i="5"/>
  <c r="W35" i="5"/>
  <c r="AE16" i="5"/>
  <c r="X15" i="5"/>
  <c r="AP16" i="5"/>
  <c r="AO16" i="5"/>
  <c r="AJ13" i="4" l="1"/>
  <c r="AJ17" i="4" s="1"/>
  <c r="AO12" i="4"/>
  <c r="AN12" i="4"/>
  <c r="AM12" i="4"/>
  <c r="AL12" i="4"/>
  <c r="AK12" i="4"/>
  <c r="AI12" i="4"/>
  <c r="AD12" i="4"/>
  <c r="AC12" i="4"/>
  <c r="AB12" i="4"/>
  <c r="W12" i="4"/>
  <c r="V12" i="4"/>
  <c r="U12" i="4"/>
  <c r="P12" i="4"/>
  <c r="O12" i="4"/>
  <c r="N12" i="4"/>
  <c r="AO11" i="4"/>
  <c r="AN11" i="4"/>
  <c r="AM11" i="4"/>
  <c r="AL11" i="4"/>
  <c r="AK11" i="4"/>
  <c r="AI11" i="4"/>
  <c r="AD11" i="4"/>
  <c r="AC11" i="4"/>
  <c r="AB11" i="4"/>
  <c r="W11" i="4"/>
  <c r="V11" i="4"/>
  <c r="U11" i="4"/>
  <c r="P11" i="4"/>
  <c r="O11" i="4"/>
  <c r="N11" i="4"/>
  <c r="AM13" i="4" l="1"/>
  <c r="AM17" i="4" s="1"/>
  <c r="O13" i="4"/>
  <c r="P13" i="4"/>
  <c r="P16" i="4" s="1"/>
  <c r="AE11" i="4"/>
  <c r="X11" i="4"/>
  <c r="V34" i="4" s="1"/>
  <c r="O17" i="4"/>
  <c r="O16" i="4"/>
  <c r="O18" i="4" s="1"/>
  <c r="U13" i="4"/>
  <c r="U17" i="4" s="1"/>
  <c r="AB13" i="4"/>
  <c r="AB17" i="4" s="1"/>
  <c r="AM16" i="4"/>
  <c r="Q12" i="4"/>
  <c r="O35" i="4" s="1"/>
  <c r="X12" i="4"/>
  <c r="U35" i="4" s="1"/>
  <c r="AE12" i="4"/>
  <c r="AC35" i="4" s="1"/>
  <c r="V13" i="4"/>
  <c r="V16" i="4" s="1"/>
  <c r="AC13" i="4"/>
  <c r="AC17" i="4" s="1"/>
  <c r="AN13" i="4"/>
  <c r="AN17" i="4" s="1"/>
  <c r="AJ16" i="4"/>
  <c r="P17" i="4"/>
  <c r="AP12" i="4"/>
  <c r="AP11" i="4"/>
  <c r="W13" i="4"/>
  <c r="W16" i="4" s="1"/>
  <c r="AD13" i="4"/>
  <c r="AD16" i="4" s="1"/>
  <c r="AK13" i="4"/>
  <c r="AK17" i="4" s="1"/>
  <c r="AO13" i="4"/>
  <c r="AO17" i="4" s="1"/>
  <c r="N13" i="4"/>
  <c r="N16" i="4" s="1"/>
  <c r="AI13" i="4"/>
  <c r="AI17" i="4" s="1"/>
  <c r="Q11" i="4"/>
  <c r="AL13" i="4"/>
  <c r="AL16" i="4" s="1"/>
  <c r="AB35" i="4" l="1"/>
  <c r="AE13" i="4"/>
  <c r="N35" i="4"/>
  <c r="Q13" i="4"/>
  <c r="AC34" i="4"/>
  <c r="AL17" i="4"/>
  <c r="U16" i="4"/>
  <c r="U18" i="4" s="1"/>
  <c r="U34" i="4"/>
  <c r="AK16" i="4"/>
  <c r="O34" i="4"/>
  <c r="AB16" i="4"/>
  <c r="AB18" i="4" s="1"/>
  <c r="AB34" i="4"/>
  <c r="AD17" i="4"/>
  <c r="AD18" i="4" s="1"/>
  <c r="AC16" i="4"/>
  <c r="AC18" i="4" s="1"/>
  <c r="AN16" i="4"/>
  <c r="W17" i="4"/>
  <c r="W18" i="4" s="1"/>
  <c r="AI16" i="4"/>
  <c r="V17" i="4"/>
  <c r="V18" i="4" s="1"/>
  <c r="X13" i="4"/>
  <c r="P18" i="4"/>
  <c r="N34" i="4"/>
  <c r="N17" i="4"/>
  <c r="N18" i="4" s="1"/>
  <c r="V35" i="4"/>
  <c r="AO16" i="4"/>
  <c r="J68" i="2" l="1"/>
  <c r="K68" i="2" s="1"/>
  <c r="J67" i="2"/>
  <c r="K67" i="2" s="1"/>
  <c r="J66" i="2"/>
  <c r="K66" i="2" s="1"/>
  <c r="J65" i="2"/>
  <c r="K65" i="2" s="1"/>
  <c r="J64" i="2"/>
  <c r="K64" i="2" s="1"/>
  <c r="J63" i="2"/>
  <c r="K63" i="2" s="1"/>
  <c r="J62" i="2"/>
  <c r="K62" i="2" s="1"/>
  <c r="J61" i="2"/>
  <c r="K61" i="2" s="1"/>
  <c r="J60" i="2"/>
  <c r="K60" i="2" s="1"/>
  <c r="J59" i="2"/>
  <c r="K59" i="2" s="1"/>
  <c r="J58" i="2"/>
  <c r="K58" i="2" s="1"/>
  <c r="J57" i="2"/>
  <c r="K57" i="2" s="1"/>
  <c r="J56" i="2"/>
  <c r="K56" i="2" s="1"/>
  <c r="J55" i="2"/>
  <c r="K55" i="2" s="1"/>
  <c r="J54" i="2"/>
  <c r="K54" i="2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Q13" i="2"/>
  <c r="P13" i="2"/>
  <c r="J13" i="2"/>
  <c r="K13" i="2" s="1"/>
  <c r="Q12" i="2"/>
  <c r="P12" i="2"/>
  <c r="J12" i="2"/>
  <c r="K12" i="2" s="1"/>
  <c r="Q11" i="2"/>
  <c r="P11" i="2"/>
  <c r="J11" i="2"/>
  <c r="K11" i="2" s="1"/>
  <c r="Q10" i="2"/>
  <c r="P10" i="2"/>
  <c r="J10" i="2"/>
  <c r="K10" i="2" s="1"/>
  <c r="Q9" i="2"/>
  <c r="P9" i="2"/>
  <c r="J9" i="2"/>
  <c r="K9" i="2" s="1"/>
  <c r="J8" i="2"/>
  <c r="K8" i="2" s="1"/>
  <c r="J7" i="2"/>
  <c r="K7" i="2" s="1"/>
  <c r="J6" i="2"/>
  <c r="K6" i="2" s="1"/>
  <c r="R11" i="2" l="1"/>
  <c r="S11" i="2"/>
  <c r="S9" i="2"/>
  <c r="R9" i="2"/>
  <c r="L6" i="2"/>
  <c r="S10" i="2"/>
  <c r="R10" i="2"/>
  <c r="L23" i="2"/>
  <c r="L60" i="2"/>
  <c r="S13" i="2"/>
  <c r="L55" i="2"/>
  <c r="L53" i="2"/>
  <c r="L64" i="2"/>
  <c r="L18" i="2"/>
  <c r="L44" i="2"/>
  <c r="R12" i="2"/>
  <c r="S12" i="2"/>
  <c r="L49" i="2"/>
  <c r="L11" i="2"/>
  <c r="L15" i="2"/>
  <c r="L36" i="2"/>
  <c r="R13" i="2"/>
  <c r="L27" i="2"/>
  <c r="L40" i="2"/>
  <c r="G26" i="3"/>
  <c r="F26" i="3"/>
  <c r="G25" i="3"/>
  <c r="F25" i="3"/>
  <c r="G24" i="3"/>
  <c r="F24" i="3"/>
  <c r="L20" i="3"/>
  <c r="M20" i="3" s="1"/>
  <c r="M19" i="3"/>
  <c r="L19" i="3"/>
  <c r="L18" i="3"/>
  <c r="M18" i="3" s="1"/>
  <c r="L17" i="3"/>
  <c r="M17" i="3" s="1"/>
  <c r="L16" i="3"/>
  <c r="M16" i="3" s="1"/>
  <c r="L15" i="3"/>
  <c r="M15" i="3" s="1"/>
  <c r="L14" i="3"/>
  <c r="M14" i="3" s="1"/>
  <c r="L13" i="3"/>
  <c r="M13" i="3" s="1"/>
  <c r="L12" i="3"/>
  <c r="M12" i="3" s="1"/>
  <c r="L11" i="3"/>
  <c r="M11" i="3" s="1"/>
  <c r="L10" i="3"/>
  <c r="M10" i="3" s="1"/>
  <c r="L9" i="3"/>
  <c r="M9" i="3" s="1"/>
  <c r="M8" i="3"/>
  <c r="L8" i="3"/>
  <c r="L7" i="3"/>
  <c r="M7" i="3" s="1"/>
  <c r="L6" i="3"/>
  <c r="M6" i="3" s="1"/>
  <c r="J97" i="1"/>
  <c r="K97" i="1" s="1"/>
  <c r="J96" i="1"/>
  <c r="K96" i="1" s="1"/>
  <c r="K95" i="1"/>
  <c r="J95" i="1"/>
  <c r="J94" i="1"/>
  <c r="K94" i="1" s="1"/>
  <c r="J93" i="1"/>
  <c r="K93" i="1" s="1"/>
  <c r="J92" i="1"/>
  <c r="K92" i="1" s="1"/>
  <c r="L92" i="1" s="1"/>
  <c r="J91" i="1"/>
  <c r="K91" i="1" s="1"/>
  <c r="K90" i="1"/>
  <c r="J90" i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K76" i="1"/>
  <c r="J76" i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K65" i="1"/>
  <c r="J65" i="1"/>
  <c r="J64" i="1"/>
  <c r="K64" i="1" s="1"/>
  <c r="J63" i="1"/>
  <c r="K63" i="1" s="1"/>
  <c r="K62" i="1"/>
  <c r="J62" i="1"/>
  <c r="J61" i="1"/>
  <c r="K61" i="1" s="1"/>
  <c r="L61" i="1" s="1"/>
  <c r="J60" i="1"/>
  <c r="K60" i="1" s="1"/>
  <c r="J59" i="1"/>
  <c r="K59" i="1" s="1"/>
  <c r="J58" i="1"/>
  <c r="K58" i="1" s="1"/>
  <c r="K57" i="1"/>
  <c r="J57" i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K44" i="1"/>
  <c r="J44" i="1"/>
  <c r="J43" i="1"/>
  <c r="K43" i="1" s="1"/>
  <c r="K42" i="1"/>
  <c r="J42" i="1"/>
  <c r="J41" i="1"/>
  <c r="K41" i="1" s="1"/>
  <c r="L40" i="1" s="1"/>
  <c r="K40" i="1"/>
  <c r="J40" i="1"/>
  <c r="J39" i="1"/>
  <c r="K39" i="1" s="1"/>
  <c r="K38" i="1"/>
  <c r="J38" i="1"/>
  <c r="J37" i="1"/>
  <c r="K37" i="1" s="1"/>
  <c r="J36" i="1"/>
  <c r="K36" i="1" s="1"/>
  <c r="J35" i="1"/>
  <c r="K35" i="1" s="1"/>
  <c r="J34" i="1"/>
  <c r="K34" i="1" s="1"/>
  <c r="K33" i="1"/>
  <c r="J33" i="1"/>
  <c r="J32" i="1"/>
  <c r="K32" i="1" s="1"/>
  <c r="J31" i="1"/>
  <c r="K31" i="1" s="1"/>
  <c r="J30" i="1"/>
  <c r="K30" i="1" s="1"/>
  <c r="J29" i="1"/>
  <c r="K29" i="1" s="1"/>
  <c r="K28" i="1"/>
  <c r="J28" i="1"/>
  <c r="J27" i="1"/>
  <c r="K27" i="1" s="1"/>
  <c r="J26" i="1"/>
  <c r="K26" i="1" s="1"/>
  <c r="K25" i="1"/>
  <c r="J25" i="1"/>
  <c r="J24" i="1"/>
  <c r="K24" i="1" s="1"/>
  <c r="K23" i="1"/>
  <c r="J23" i="1"/>
  <c r="J22" i="1"/>
  <c r="K22" i="1" s="1"/>
  <c r="J21" i="1"/>
  <c r="K21" i="1" s="1"/>
  <c r="K20" i="1"/>
  <c r="J20" i="1"/>
  <c r="J19" i="1"/>
  <c r="K19" i="1" s="1"/>
  <c r="K18" i="1"/>
  <c r="J18" i="1"/>
  <c r="J17" i="1"/>
  <c r="K17" i="1" s="1"/>
  <c r="J16" i="1"/>
  <c r="K16" i="1" s="1"/>
  <c r="J15" i="1"/>
  <c r="K15" i="1" s="1"/>
  <c r="J14" i="1"/>
  <c r="K14" i="1" s="1"/>
  <c r="R13" i="1"/>
  <c r="Q13" i="1"/>
  <c r="J13" i="1"/>
  <c r="K13" i="1" s="1"/>
  <c r="R12" i="1"/>
  <c r="Q12" i="1"/>
  <c r="K12" i="1"/>
  <c r="J12" i="1"/>
  <c r="R11" i="1"/>
  <c r="Q11" i="1"/>
  <c r="J11" i="1"/>
  <c r="K11" i="1" s="1"/>
  <c r="R10" i="1"/>
  <c r="Q10" i="1"/>
  <c r="K10" i="1"/>
  <c r="J10" i="1"/>
  <c r="R9" i="1"/>
  <c r="Q9" i="1"/>
  <c r="J9" i="1"/>
  <c r="K9" i="1" s="1"/>
  <c r="J8" i="1"/>
  <c r="K8" i="1" s="1"/>
  <c r="J7" i="1"/>
  <c r="K7" i="1" s="1"/>
  <c r="J6" i="1"/>
  <c r="K6" i="1" s="1"/>
  <c r="K5" i="1"/>
  <c r="J5" i="1"/>
  <c r="L50" i="1" l="1"/>
  <c r="L44" i="1"/>
  <c r="L68" i="1"/>
  <c r="L79" i="1"/>
  <c r="L63" i="1"/>
  <c r="L96" i="1"/>
  <c r="L76" i="1"/>
  <c r="L23" i="1"/>
  <c r="L58" i="1"/>
  <c r="L5" i="1"/>
  <c r="S9" i="1"/>
  <c r="L8" i="1"/>
  <c r="L20" i="1"/>
  <c r="L28" i="1"/>
  <c r="L33" i="1"/>
  <c r="L46" i="1"/>
  <c r="L84" i="1"/>
  <c r="I24" i="3"/>
  <c r="N6" i="3"/>
  <c r="N11" i="3"/>
  <c r="I25" i="3"/>
  <c r="I26" i="3"/>
  <c r="N16" i="3"/>
  <c r="S12" i="1"/>
  <c r="S13" i="1"/>
  <c r="L13" i="1"/>
  <c r="S11" i="1"/>
  <c r="L25" i="1"/>
  <c r="S10" i="1"/>
</calcChain>
</file>

<file path=xl/sharedStrings.xml><?xml version="1.0" encoding="utf-8"?>
<sst xmlns="http://schemas.openxmlformats.org/spreadsheetml/2006/main" count="3226" uniqueCount="527">
  <si>
    <t>Species</t>
  </si>
  <si>
    <t>Date</t>
  </si>
  <si>
    <t>Net</t>
  </si>
  <si>
    <t>Sex</t>
  </si>
  <si>
    <t>Expo.</t>
  </si>
  <si>
    <t>1H Knockdown</t>
  </si>
  <si>
    <t>24H Dead</t>
  </si>
  <si>
    <t>24H Alive</t>
  </si>
  <si>
    <t>Total</t>
  </si>
  <si>
    <t>%Mortality</t>
  </si>
  <si>
    <t>Average</t>
  </si>
  <si>
    <t>F6</t>
  </si>
  <si>
    <t>F1</t>
  </si>
  <si>
    <t>3 mins.</t>
  </si>
  <si>
    <t>F2</t>
  </si>
  <si>
    <t>F3</t>
  </si>
  <si>
    <t>Control nets</t>
  </si>
  <si>
    <t>Alive</t>
  </si>
  <si>
    <t>Dead</t>
  </si>
  <si>
    <t>%Mortality 24h</t>
  </si>
  <si>
    <t>SEM</t>
  </si>
  <si>
    <t>Control net</t>
  </si>
  <si>
    <t>Permanet 2.0</t>
  </si>
  <si>
    <t>F4</t>
  </si>
  <si>
    <t>Permanet 3.0 (Side)</t>
  </si>
  <si>
    <t>F5</t>
  </si>
  <si>
    <t>Permanet 3.0 (Top)</t>
  </si>
  <si>
    <t>Sherlock net</t>
  </si>
  <si>
    <t>F7</t>
  </si>
  <si>
    <t>16.07.21</t>
  </si>
  <si>
    <t>ɏ - 5</t>
  </si>
  <si>
    <t>ɏ - 3</t>
  </si>
  <si>
    <t>ɏ - 6</t>
  </si>
  <si>
    <t>ɏ - 8</t>
  </si>
  <si>
    <t>ɏ - 4</t>
  </si>
  <si>
    <t>ɏ  - 2</t>
  </si>
  <si>
    <t>ɏ  - 03</t>
  </si>
  <si>
    <t>ɏ  - 1</t>
  </si>
  <si>
    <t>ɏ  - 3</t>
  </si>
  <si>
    <t>F8</t>
  </si>
  <si>
    <t>Permanet 3.0 (side)</t>
  </si>
  <si>
    <t>ɏ - 2</t>
  </si>
  <si>
    <t xml:space="preserve">F1 </t>
  </si>
  <si>
    <t xml:space="preserve">ɏ - </t>
  </si>
  <si>
    <t xml:space="preserve">ɏ </t>
  </si>
  <si>
    <t>ɏ - 1</t>
  </si>
  <si>
    <t>ɏ  - 5</t>
  </si>
  <si>
    <t>ɏ  - 4</t>
  </si>
  <si>
    <t>ɏ - 7</t>
  </si>
  <si>
    <t>ɏ  - 6</t>
  </si>
  <si>
    <t>ɏ  - 7</t>
  </si>
  <si>
    <t xml:space="preserve">Sherlock net </t>
  </si>
  <si>
    <r>
      <rPr>
        <b/>
        <sz val="11"/>
        <color theme="1"/>
        <rFont val="Calibri"/>
        <family val="2"/>
        <scheme val="minor"/>
      </rPr>
      <t>Name:</t>
    </r>
    <r>
      <rPr>
        <sz val="11"/>
        <color theme="1"/>
        <rFont val="Calibri"/>
        <family val="2"/>
        <scheme val="minor"/>
      </rPr>
      <t xml:space="preserve"> By Theofelix and Ebai</t>
    </r>
  </si>
  <si>
    <r>
      <rPr>
        <b/>
        <sz val="11"/>
        <color theme="1"/>
        <rFont val="Calibri"/>
        <family val="2"/>
        <scheme val="minor"/>
      </rPr>
      <t xml:space="preserve">Age of Mosquitoes: </t>
    </r>
    <r>
      <rPr>
        <sz val="11"/>
        <color theme="1"/>
        <rFont val="Calibri"/>
        <family val="2"/>
        <scheme val="minor"/>
      </rPr>
      <t>2 - 5 days old</t>
    </r>
  </si>
  <si>
    <r>
      <rPr>
        <b/>
        <sz val="11"/>
        <color theme="1"/>
        <rFont val="Calibri"/>
        <family val="2"/>
        <scheme val="minor"/>
      </rPr>
      <t>Conditions:</t>
    </r>
    <r>
      <rPr>
        <sz val="11"/>
        <color theme="1"/>
        <rFont val="Calibri"/>
        <family val="2"/>
        <scheme val="minor"/>
      </rPr>
      <t xml:space="preserve"> 25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C, 80%RH</t>
    </r>
  </si>
  <si>
    <t>Start</t>
  </si>
  <si>
    <t>Stop</t>
  </si>
  <si>
    <t>Kisumu</t>
  </si>
  <si>
    <t>10.09.21</t>
  </si>
  <si>
    <t xml:space="preserve">ɏ  </t>
  </si>
  <si>
    <r>
      <rPr>
        <b/>
        <sz val="11"/>
        <color theme="1"/>
        <rFont val="Calibri"/>
        <family val="2"/>
        <scheme val="minor"/>
      </rPr>
      <t>Name:</t>
    </r>
    <r>
      <rPr>
        <sz val="11"/>
        <color theme="1"/>
        <rFont val="Calibri"/>
        <family val="2"/>
        <scheme val="minor"/>
      </rPr>
      <t xml:space="preserve"> By Theofelix and Sonia</t>
    </r>
  </si>
  <si>
    <r>
      <rPr>
        <b/>
        <sz val="11"/>
        <color theme="1"/>
        <rFont val="Calibri"/>
        <family val="2"/>
        <scheme val="minor"/>
      </rPr>
      <t>Conditions:</t>
    </r>
    <r>
      <rPr>
        <sz val="11"/>
        <color theme="1"/>
        <rFont val="Calibri"/>
        <family val="2"/>
        <scheme val="minor"/>
      </rPr>
      <t xml:space="preserve"> 24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C, 60%RH</t>
    </r>
  </si>
  <si>
    <t>An. funestus</t>
  </si>
  <si>
    <t>05.02.22</t>
  </si>
  <si>
    <t>Mib. F1</t>
  </si>
  <si>
    <t>Error</t>
  </si>
  <si>
    <t>08.02.22</t>
  </si>
  <si>
    <t>PermanNet 3.0 (top)</t>
  </si>
  <si>
    <t>10.02.22</t>
  </si>
  <si>
    <t>ɏ  -6</t>
  </si>
  <si>
    <t>ɏ  -3</t>
  </si>
  <si>
    <t>ɏ  -2</t>
  </si>
  <si>
    <t>ɏ  -4</t>
  </si>
  <si>
    <r>
      <rPr>
        <b/>
        <sz val="11"/>
        <color theme="1"/>
        <rFont val="Calibri"/>
        <family val="2"/>
        <scheme val="minor"/>
      </rPr>
      <t>Conditions:</t>
    </r>
    <r>
      <rPr>
        <sz val="11"/>
        <color theme="1"/>
        <rFont val="Calibri"/>
        <family val="2"/>
        <scheme val="minor"/>
      </rPr>
      <t xml:space="preserve"> 24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C, 51%RH</t>
    </r>
  </si>
  <si>
    <t>Alive samples</t>
  </si>
  <si>
    <t>Dead samples</t>
  </si>
  <si>
    <t>ID</t>
  </si>
  <si>
    <t>6.5kb SV</t>
  </si>
  <si>
    <t>6p9a</t>
  </si>
  <si>
    <t>6p9b</t>
  </si>
  <si>
    <t>6.5kb</t>
  </si>
  <si>
    <t>RS</t>
  </si>
  <si>
    <t>Summary</t>
  </si>
  <si>
    <t>RR</t>
  </si>
  <si>
    <t>SS</t>
  </si>
  <si>
    <t>RR/RR/RR</t>
  </si>
  <si>
    <t>RR/RR/RS</t>
  </si>
  <si>
    <t>RR/RS/RS</t>
  </si>
  <si>
    <t>RS/RS/RR</t>
  </si>
  <si>
    <t>RS/RS/RS</t>
  </si>
  <si>
    <t>SS/RS/SS</t>
  </si>
  <si>
    <t>SS/SS/SS</t>
  </si>
  <si>
    <t>R</t>
  </si>
  <si>
    <t>S</t>
  </si>
  <si>
    <t>total</t>
  </si>
  <si>
    <t>OR</t>
  </si>
  <si>
    <t>CI (95%)</t>
  </si>
  <si>
    <t>p value (Fisher's exact test)</t>
  </si>
  <si>
    <t>RR vs RS</t>
  </si>
  <si>
    <t>5.8 to 47.3</t>
  </si>
  <si>
    <t>&lt;0.0001</t>
  </si>
  <si>
    <t>0.8 to 6.7</t>
  </si>
  <si>
    <t>3.4 to 62.3</t>
  </si>
  <si>
    <t>RR vs SS</t>
  </si>
  <si>
    <t>21.3 to 156.4</t>
  </si>
  <si>
    <t>6.8 to 65.2</t>
  </si>
  <si>
    <t>16.6 to 315</t>
  </si>
  <si>
    <t>RS vs SS</t>
  </si>
  <si>
    <t>1.5 to 8.1</t>
  </si>
  <si>
    <t>4.8 to 19.6</t>
  </si>
  <si>
    <t>2.5 to 9.9</t>
  </si>
  <si>
    <t>6.5kb SV %Allelic frequency</t>
  </si>
  <si>
    <t>6p9a %Allelic frequency</t>
  </si>
  <si>
    <t>6p9b %Allelic frequency</t>
  </si>
  <si>
    <t>-</t>
  </si>
  <si>
    <t>CI</t>
  </si>
  <si>
    <t>R vs S</t>
  </si>
  <si>
    <t>8.066 to 32.07</t>
  </si>
  <si>
    <t>2.671 to 9.819</t>
  </si>
  <si>
    <t>3.676 to 13.80</t>
  </si>
  <si>
    <t>RR/RS/RR</t>
  </si>
  <si>
    <t>RS/SS/SS</t>
  </si>
  <si>
    <t xml:space="preserve">total </t>
  </si>
  <si>
    <t>Inf</t>
  </si>
  <si>
    <t>11.56-Inf.</t>
  </si>
  <si>
    <t>0.1-1.6</t>
  </si>
  <si>
    <t>0-0.7</t>
  </si>
  <si>
    <t>318.8-Inf.</t>
  </si>
  <si>
    <t>48.01-351.4</t>
  </si>
  <si>
    <t>33.96-256.2</t>
  </si>
  <si>
    <t>15.5-91.7</t>
  </si>
  <si>
    <t>86.3-1059</t>
  </si>
  <si>
    <t>Inf.</t>
  </si>
  <si>
    <t>156.1-Inf.</t>
  </si>
  <si>
    <t>CYP6P9a % Allelic frequency</t>
  </si>
  <si>
    <t>CYP6P9b % Allelic frequency</t>
  </si>
  <si>
    <t>86.25 to 1059</t>
  </si>
  <si>
    <t>12.35 to 96.02</t>
  </si>
  <si>
    <t>15.96 to 158.5</t>
  </si>
  <si>
    <t>P value and statistical significance</t>
  </si>
  <si>
    <t>Test</t>
  </si>
  <si>
    <t>Chi-square</t>
  </si>
  <si>
    <t>Chi-square, df</t>
  </si>
  <si>
    <t>191.6, 2</t>
  </si>
  <si>
    <t>221.1, 2</t>
  </si>
  <si>
    <t>216.8, 2</t>
  </si>
  <si>
    <t>P value</t>
  </si>
  <si>
    <t>P value summary</t>
  </si>
  <si>
    <t>****</t>
  </si>
  <si>
    <t>One- or two-sided</t>
  </si>
  <si>
    <t>NA</t>
  </si>
  <si>
    <t>Statistically significant (P &lt; 0.05)?</t>
  </si>
  <si>
    <t>Yes</t>
  </si>
  <si>
    <t>Genotype</t>
  </si>
  <si>
    <t>%%</t>
  </si>
  <si>
    <t>%</t>
  </si>
  <si>
    <t>Infinity</t>
  </si>
  <si>
    <t>1.957 to Infinity</t>
  </si>
  <si>
    <t>**</t>
  </si>
  <si>
    <t>1.490 to Infinity</t>
  </si>
  <si>
    <t>*</t>
  </si>
  <si>
    <t>0.6713 to 2.249</t>
  </si>
  <si>
    <t>ns</t>
  </si>
  <si>
    <t>0.8289 to 3.304</t>
  </si>
  <si>
    <t>0.9918 to Infinity</t>
  </si>
  <si>
    <t>2.537 to Infinity</t>
  </si>
  <si>
    <t>0.2319 to 0.7280</t>
  </si>
  <si>
    <t>0.4164 to 1.372</t>
  </si>
  <si>
    <t>1) Input raw Ct values from the real-time PCR machine</t>
  </si>
  <si>
    <t>RAW Ct (SAMPLES)</t>
  </si>
  <si>
    <t>actin</t>
  </si>
  <si>
    <t>SP7</t>
  </si>
  <si>
    <t>CYP6P9a</t>
  </si>
  <si>
    <t>CYP6P9b</t>
  </si>
  <si>
    <t>2) Input PCR Efficiencies from Standard Curves</t>
  </si>
  <si>
    <t>Sherlock_1</t>
  </si>
  <si>
    <t>6P5</t>
  </si>
  <si>
    <t>4) Average the technical replicates</t>
  </si>
  <si>
    <t>5) Calculate the Delta Ct value (Ct Target - Ct Control)</t>
  </si>
  <si>
    <t>7a) Computing the 2^-(SP7)</t>
  </si>
  <si>
    <t xml:space="preserve">samples </t>
  </si>
  <si>
    <t>2-dCt SD</t>
  </si>
  <si>
    <t>2-dCt LCI</t>
  </si>
  <si>
    <t>2-dCt UCI</t>
  </si>
  <si>
    <t>2-ddCt (Fold-change)</t>
  </si>
  <si>
    <t>2-ddCt LCI</t>
  </si>
  <si>
    <t>2-ddCt Ucl</t>
  </si>
  <si>
    <t>BIOLOGICAL REPLICATES</t>
  </si>
  <si>
    <t>Actin</t>
  </si>
  <si>
    <t>dCt SP7</t>
  </si>
  <si>
    <t>Sherlock</t>
  </si>
  <si>
    <t>PermaNet2</t>
  </si>
  <si>
    <t>Sherlock_2</t>
  </si>
  <si>
    <t>PermaNet2_1</t>
  </si>
  <si>
    <t>Sherlock_3</t>
  </si>
  <si>
    <t>Control net_1</t>
  </si>
  <si>
    <t>Fang_1</t>
  </si>
  <si>
    <t>3) Calculate Ct values according to PCR efficiency correction; CtE = Ct*((log(E+1)/(log(2))</t>
  </si>
  <si>
    <t>PermaNet2_2</t>
  </si>
  <si>
    <t>PermaNet2_3</t>
  </si>
  <si>
    <t>Control net_2</t>
  </si>
  <si>
    <t>Control net_3</t>
  </si>
  <si>
    <t>Fang_2</t>
  </si>
  <si>
    <t>Fang_3</t>
  </si>
  <si>
    <t>No Ct</t>
  </si>
  <si>
    <t>dCt ACTIN</t>
  </si>
  <si>
    <t>7b) Computing the 2^-(actin)</t>
  </si>
  <si>
    <t>Negative</t>
  </si>
  <si>
    <t>Mean Diff.</t>
  </si>
  <si>
    <t>95.00% CI of diff.</t>
  </si>
  <si>
    <t>Significant?</t>
  </si>
  <si>
    <t>Adjusted P Value</t>
  </si>
  <si>
    <t>Control net vs. PermaNet 2.0</t>
  </si>
  <si>
    <t>-8.037 to 6.476</t>
  </si>
  <si>
    <t>No</t>
  </si>
  <si>
    <t>Control net vs. Sherlock net (AM16 - 8 (0.8%))</t>
  </si>
  <si>
    <t>-13.10 to 1.415</t>
  </si>
  <si>
    <t>PermaNet 2.0 vs. Sherlock net (AM16 - 8 (0.8%))</t>
  </si>
  <si>
    <t>-12.32 to 2.196</t>
  </si>
  <si>
    <t>-7.587 to 6.926</t>
  </si>
  <si>
    <t>-12.27 to 2.247</t>
  </si>
  <si>
    <t>-11.93 to 2.578</t>
  </si>
  <si>
    <t>CYP9K1</t>
  </si>
  <si>
    <t>CYP325A</t>
  </si>
  <si>
    <t>GSTe2</t>
  </si>
  <si>
    <t>Carboxylesterase E2</t>
  </si>
  <si>
    <t>RSP7</t>
  </si>
  <si>
    <t>Control Net_1</t>
  </si>
  <si>
    <t>9K1</t>
  </si>
  <si>
    <t>Control Net</t>
  </si>
  <si>
    <t>325A</t>
  </si>
  <si>
    <t>Perm. 2.0</t>
  </si>
  <si>
    <t>Control Net_2</t>
  </si>
  <si>
    <t>Carb.E2</t>
  </si>
  <si>
    <t>Control Net_3</t>
  </si>
  <si>
    <t>Fang</t>
  </si>
  <si>
    <t>Perm. 2.0_1</t>
  </si>
  <si>
    <t>Perm. 2.0_2</t>
  </si>
  <si>
    <t>Perm. 2.0_3</t>
  </si>
  <si>
    <t>Sherlock net_1</t>
  </si>
  <si>
    <t>Sherlock net_2</t>
  </si>
  <si>
    <t>Sherlock net_3</t>
  </si>
  <si>
    <t>Fold changes</t>
  </si>
  <si>
    <t>CY325A</t>
  </si>
  <si>
    <t>CarboxyesteraseE2</t>
  </si>
  <si>
    <t>RSP7/Actin</t>
  </si>
  <si>
    <t>Standard Deviation</t>
  </si>
  <si>
    <t>3 minutes</t>
  </si>
  <si>
    <t>Stats</t>
  </si>
  <si>
    <t>RR/RR/RR vs SS/SS/SS</t>
  </si>
  <si>
    <t>156.1 to Infinity</t>
  </si>
  <si>
    <t>RR/RR/RR vs SS/RS/SS</t>
  </si>
  <si>
    <t>57.58 to Infinity</t>
  </si>
  <si>
    <t>RR/RR/RR vs RS/RS/RS</t>
  </si>
  <si>
    <t>68.71 to Infinity</t>
  </si>
  <si>
    <t>RR/RR/RR vs RR/RR/RS</t>
  </si>
  <si>
    <t>5.42 to Infinity</t>
  </si>
  <si>
    <t>RR/RR/RS vs SS/SS/SS</t>
  </si>
  <si>
    <t>14.02 to 65.09</t>
  </si>
  <si>
    <t>RR/RR/RS vs SS/RS/SS</t>
  </si>
  <si>
    <t>4.96 to 18.59</t>
  </si>
  <si>
    <t>RR/RR/RS vs RS/RS/RS</t>
  </si>
  <si>
    <t>6.17 to 22.86</t>
  </si>
  <si>
    <t>RR/RR/RS vs RR/RS/RS</t>
  </si>
  <si>
    <t>0.07 to 0.58</t>
  </si>
  <si>
    <t>RR/RS/RS vs SS/SS/SS</t>
  </si>
  <si>
    <t>46.52 to 402.5</t>
  </si>
  <si>
    <t>RR/RS/RS vs SS/RS/SS</t>
  </si>
  <si>
    <t>16.46 to 130.1</t>
  </si>
  <si>
    <t>RR/RS/RS vs RS/RS/RS</t>
  </si>
  <si>
    <t>19.56 to 157.1</t>
  </si>
  <si>
    <t>RS/RS/RS vs SS/SS/SS</t>
  </si>
  <si>
    <t>1.27 to 5.24</t>
  </si>
  <si>
    <t>RS/RS/RS vs SS/RS/SS</t>
  </si>
  <si>
    <t>0.45 to 1.53</t>
  </si>
  <si>
    <t>SS/RS/SS vs SS/SS/SS</t>
  </si>
  <si>
    <t>1.48 to 6.22</t>
  </si>
  <si>
    <t>STATS</t>
  </si>
  <si>
    <t>1980 to Infinity</t>
  </si>
  <si>
    <t>RR/RR/RR vs RS/SS/SS</t>
  </si>
  <si>
    <t>28.91 to Infinity</t>
  </si>
  <si>
    <t>&gt;0.9999</t>
  </si>
  <si>
    <t>RR/RR/RR vs RR/RS/RS</t>
  </si>
  <si>
    <t>RR/RR/RR vs RR/RS/RR</t>
  </si>
  <si>
    <t>9.31 to Infinity</t>
  </si>
  <si>
    <t>RR/RS/RR vs SS/SS/SS</t>
  </si>
  <si>
    <t>82.96 to Infinity</t>
  </si>
  <si>
    <t>RR/RS/RR vs RS/SS/SS</t>
  </si>
  <si>
    <t>1.67 to 5.39</t>
  </si>
  <si>
    <t>RR/RS/RR vs RS/RS/RS</t>
  </si>
  <si>
    <t>0 to 0.11</t>
  </si>
  <si>
    <t>RR/RS/RR vs RR/RS/RS</t>
  </si>
  <si>
    <t>RR/RS/RS vs Ss/Ss/SS</t>
  </si>
  <si>
    <t>RR/RS/RS vs RS/SS/SS</t>
  </si>
  <si>
    <t>RS/RS/RS vs RS/SS/SS</t>
  </si>
  <si>
    <t>RS/Ss/SS vs Ss/SS/SS</t>
  </si>
  <si>
    <t>116.7, 2</t>
  </si>
  <si>
    <t>98.97, 2</t>
  </si>
  <si>
    <t>113.5, 2</t>
  </si>
  <si>
    <t>Start Date of BioAssay</t>
  </si>
  <si>
    <t>Type mosquitoes</t>
  </si>
  <si>
    <t>NET</t>
  </si>
  <si>
    <t>Time of exposition</t>
  </si>
  <si>
    <t>Gender</t>
  </si>
  <si>
    <t>Tube</t>
  </si>
  <si>
    <t>Knock down after 60min</t>
  </si>
  <si>
    <t>DEAD at 24h</t>
  </si>
  <si>
    <t>ALIVE at 24h</t>
  </si>
  <si>
    <t>% Mortality</t>
  </si>
  <si>
    <t>KD %</t>
  </si>
  <si>
    <t>Mortality Error</t>
  </si>
  <si>
    <t>KD error</t>
  </si>
  <si>
    <t>Fumoz</t>
  </si>
  <si>
    <t>Control</t>
  </si>
  <si>
    <t>3min</t>
  </si>
  <si>
    <t>Female</t>
  </si>
  <si>
    <t>Mortality 24h</t>
  </si>
  <si>
    <t>PermaNet 2.0</t>
  </si>
  <si>
    <t>PermaNet 3.0</t>
  </si>
  <si>
    <t>Knock down%</t>
  </si>
  <si>
    <t>Mortality 24h %</t>
  </si>
  <si>
    <t>Error 24h</t>
  </si>
  <si>
    <t>Error KD</t>
  </si>
  <si>
    <t>AM 16-8</t>
  </si>
  <si>
    <t>Sherlock net (0.7% incorporated Sherlock)</t>
  </si>
  <si>
    <t>Date of Bioassay</t>
  </si>
  <si>
    <t>Bioassay No.</t>
  </si>
  <si>
    <t>Insecticide</t>
  </si>
  <si>
    <t>No. of Replicates</t>
  </si>
  <si>
    <t>Time expo.</t>
  </si>
  <si>
    <t>Alive after 24 H</t>
  </si>
  <si>
    <t>Dead after 24 H</t>
  </si>
  <si>
    <t>FUMOZ/FANG F6</t>
  </si>
  <si>
    <t>Females</t>
  </si>
  <si>
    <t>SUMMARY</t>
  </si>
  <si>
    <t>Sherlock net (0.7% of incorporated Sherlock)</t>
  </si>
  <si>
    <t>Standard error of the mean</t>
  </si>
  <si>
    <r>
      <rPr>
        <b/>
        <sz val="11"/>
        <color theme="1"/>
        <rFont val="Calibri"/>
        <family val="2"/>
        <scheme val="minor"/>
      </rPr>
      <t>Name:</t>
    </r>
    <r>
      <rPr>
        <sz val="11"/>
        <color theme="1"/>
        <rFont val="Calibri"/>
        <family val="2"/>
        <scheme val="minor"/>
      </rPr>
      <t xml:space="preserve"> By Theofelix</t>
    </r>
  </si>
  <si>
    <t>WHO cone assay with FUMOZ pyrethroid-resistant laboratory strain</t>
  </si>
  <si>
    <r>
      <t xml:space="preserve">WHO cone bioassays with F1 </t>
    </r>
    <r>
      <rPr>
        <b/>
        <i/>
        <u/>
        <sz val="18"/>
        <color theme="1"/>
        <rFont val="Calibri"/>
        <family val="2"/>
        <scheme val="minor"/>
      </rPr>
      <t>An. funestus</t>
    </r>
    <r>
      <rPr>
        <b/>
        <u/>
        <sz val="18"/>
        <color theme="1"/>
        <rFont val="Calibri"/>
        <family val="2"/>
        <scheme val="minor"/>
      </rPr>
      <t xml:space="preserve"> from the Mibellon </t>
    </r>
  </si>
  <si>
    <t>PermaNet 3.0 (top)</t>
  </si>
  <si>
    <r>
      <rPr>
        <b/>
        <sz val="11"/>
        <color theme="1"/>
        <rFont val="Calibri"/>
        <family val="2"/>
        <scheme val="minor"/>
      </rPr>
      <t>Name:</t>
    </r>
    <r>
      <rPr>
        <sz val="11"/>
        <color theme="1"/>
        <rFont val="Calibri"/>
        <family val="2"/>
        <scheme val="minor"/>
      </rPr>
      <t xml:space="preserve"> By Theofelix and Ebai </t>
    </r>
  </si>
  <si>
    <t>WHO cone bioassay with FUMOZ/FANG hybrids (raw data)</t>
  </si>
  <si>
    <t>WHO cone bioassay with FUMOZ/FANG hybrids (summarized)</t>
  </si>
  <si>
    <r>
      <t xml:space="preserve">WHO cone bioassays with Kisumu </t>
    </r>
    <r>
      <rPr>
        <b/>
        <i/>
        <u/>
        <sz val="18"/>
        <color theme="1"/>
        <rFont val="Calibri"/>
        <family val="2"/>
        <scheme val="minor"/>
      </rPr>
      <t>An. gambiae</t>
    </r>
    <r>
      <rPr>
        <b/>
        <u/>
        <sz val="18"/>
        <color theme="1"/>
        <rFont val="Calibri"/>
        <family val="2"/>
        <scheme val="minor"/>
      </rPr>
      <t xml:space="preserve"> laboratory insecticide-susceptible strain</t>
    </r>
  </si>
  <si>
    <t>Summarry</t>
  </si>
  <si>
    <t>Associated statistics of significance computed with GraphPad Prism v8.0.2</t>
  </si>
  <si>
    <r>
      <t xml:space="preserve">Genotype and allele frequencies of the 6.5kb insertion, </t>
    </r>
    <r>
      <rPr>
        <b/>
        <i/>
        <u/>
        <sz val="18"/>
        <color theme="1"/>
        <rFont val="Calibri"/>
        <family val="2"/>
        <scheme val="minor"/>
      </rPr>
      <t>CYP6P9a</t>
    </r>
    <r>
      <rPr>
        <b/>
        <u/>
        <sz val="18"/>
        <color theme="1"/>
        <rFont val="Calibri"/>
        <family val="2"/>
        <scheme val="minor"/>
      </rPr>
      <t xml:space="preserve"> and </t>
    </r>
    <r>
      <rPr>
        <b/>
        <i/>
        <u/>
        <sz val="18"/>
        <color theme="1"/>
        <rFont val="Calibri"/>
        <family val="2"/>
        <scheme val="minor"/>
      </rPr>
      <t>CYP6P9b</t>
    </r>
    <r>
      <rPr>
        <b/>
        <u/>
        <sz val="18"/>
        <color theme="1"/>
        <rFont val="Calibri"/>
        <family val="2"/>
        <scheme val="minor"/>
      </rPr>
      <t xml:space="preserve"> in FUMOZ/FANG hybrids exposed to PermaNet 2.0 (DELTAMETHRIN(55 MG/M2)</t>
    </r>
  </si>
  <si>
    <t>Raw data</t>
  </si>
  <si>
    <t>DE_1</t>
  </si>
  <si>
    <t>DE_2</t>
  </si>
  <si>
    <t>DE_3</t>
  </si>
  <si>
    <t>DE_4</t>
  </si>
  <si>
    <t>DE_5</t>
  </si>
  <si>
    <t>DE_6</t>
  </si>
  <si>
    <t>DE_7</t>
  </si>
  <si>
    <t>AL_1</t>
  </si>
  <si>
    <t>AL_2</t>
  </si>
  <si>
    <t>AL_3</t>
  </si>
  <si>
    <t>AL_4</t>
  </si>
  <si>
    <t>AL_5</t>
  </si>
  <si>
    <t>AL_6</t>
  </si>
  <si>
    <t>AL_7</t>
  </si>
  <si>
    <t>AL_8</t>
  </si>
  <si>
    <t>AL_9</t>
  </si>
  <si>
    <t>AL_10</t>
  </si>
  <si>
    <t>AL_11</t>
  </si>
  <si>
    <t>AL_12</t>
  </si>
  <si>
    <t>AL_13</t>
  </si>
  <si>
    <t>AL_14</t>
  </si>
  <si>
    <t>AL_15</t>
  </si>
  <si>
    <t>AL_16</t>
  </si>
  <si>
    <t>AL_17</t>
  </si>
  <si>
    <t>AL_18</t>
  </si>
  <si>
    <t>AL_19</t>
  </si>
  <si>
    <t>AL_20</t>
  </si>
  <si>
    <t>AL_21</t>
  </si>
  <si>
    <t>AL_22</t>
  </si>
  <si>
    <t>AL_23</t>
  </si>
  <si>
    <t>AL_24</t>
  </si>
  <si>
    <t>AL_25</t>
  </si>
  <si>
    <t>AL_26</t>
  </si>
  <si>
    <t>AL_27</t>
  </si>
  <si>
    <t>AL_28</t>
  </si>
  <si>
    <t>AL_29</t>
  </si>
  <si>
    <t>AL_30</t>
  </si>
  <si>
    <t>AL_31</t>
  </si>
  <si>
    <t>AL_32</t>
  </si>
  <si>
    <t>AL_33</t>
  </si>
  <si>
    <t>AL_34</t>
  </si>
  <si>
    <t>AL_35</t>
  </si>
  <si>
    <t>AL_36</t>
  </si>
  <si>
    <t>AL_37</t>
  </si>
  <si>
    <t>AL_38</t>
  </si>
  <si>
    <t>AL_39</t>
  </si>
  <si>
    <t>AL_40</t>
  </si>
  <si>
    <t>AL_41</t>
  </si>
  <si>
    <t>AL_42</t>
  </si>
  <si>
    <t>AL_43</t>
  </si>
  <si>
    <t>AL_44</t>
  </si>
  <si>
    <t>AL_45</t>
  </si>
  <si>
    <t>AL_46</t>
  </si>
  <si>
    <t>AL_47</t>
  </si>
  <si>
    <t>AL_48</t>
  </si>
  <si>
    <t>AL_49</t>
  </si>
  <si>
    <t>AL_50</t>
  </si>
  <si>
    <t>AL_51</t>
  </si>
  <si>
    <t>AL_52</t>
  </si>
  <si>
    <t>AL_53</t>
  </si>
  <si>
    <t>AL_54</t>
  </si>
  <si>
    <t>AL_55</t>
  </si>
  <si>
    <t>DE_8</t>
  </si>
  <si>
    <t>DE_9</t>
  </si>
  <si>
    <t>DE_10</t>
  </si>
  <si>
    <t>DE_11</t>
  </si>
  <si>
    <t>DE_12</t>
  </si>
  <si>
    <t>DE_13</t>
  </si>
  <si>
    <t>DE_14</t>
  </si>
  <si>
    <t>DE_15</t>
  </si>
  <si>
    <t>DE_16</t>
  </si>
  <si>
    <t>DE_17</t>
  </si>
  <si>
    <t>DE_18</t>
  </si>
  <si>
    <t>DE_19</t>
  </si>
  <si>
    <t>DE_20</t>
  </si>
  <si>
    <t>DE_21</t>
  </si>
  <si>
    <t>DE_22</t>
  </si>
  <si>
    <t>DE_23</t>
  </si>
  <si>
    <t>DE_24</t>
  </si>
  <si>
    <t>DE_25</t>
  </si>
  <si>
    <t>DE_26</t>
  </si>
  <si>
    <t>DE_27</t>
  </si>
  <si>
    <t>DE_28</t>
  </si>
  <si>
    <t>DE_29</t>
  </si>
  <si>
    <t>DE_30</t>
  </si>
  <si>
    <t>DE_31</t>
  </si>
  <si>
    <t>DE_32</t>
  </si>
  <si>
    <t>DE_33</t>
  </si>
  <si>
    <t>DE_34</t>
  </si>
  <si>
    <t>DE_35</t>
  </si>
  <si>
    <t>DE_36</t>
  </si>
  <si>
    <t>DE_37</t>
  </si>
  <si>
    <t>DE_38</t>
  </si>
  <si>
    <t>DE_39</t>
  </si>
  <si>
    <t>DE_40</t>
  </si>
  <si>
    <t>DE_41</t>
  </si>
  <si>
    <t>DE_42</t>
  </si>
  <si>
    <t>DE_43</t>
  </si>
  <si>
    <t>DE_44</t>
  </si>
  <si>
    <t>DE_45</t>
  </si>
  <si>
    <t>DE_46</t>
  </si>
  <si>
    <t>DE_47</t>
  </si>
  <si>
    <t>DE_48</t>
  </si>
  <si>
    <t>DE_49</t>
  </si>
  <si>
    <t>DE_50</t>
  </si>
  <si>
    <t>DE_51</t>
  </si>
  <si>
    <t>DE_52</t>
  </si>
  <si>
    <t>DE_53</t>
  </si>
  <si>
    <t>DE_54</t>
  </si>
  <si>
    <t>DE_55</t>
  </si>
  <si>
    <t>summary (6.5 kb insertion)</t>
  </si>
  <si>
    <t>Computed statistics</t>
  </si>
  <si>
    <t xml:space="preserve">Genotype frequency of the 6.5 kb SV </t>
  </si>
  <si>
    <t>Summary (6.5 kb insertion)</t>
  </si>
  <si>
    <t xml:space="preserve">Genotype frequency of the CYP6P9a_R </t>
  </si>
  <si>
    <t xml:space="preserve">Genotype frequency of the CYP6P9b_R </t>
  </si>
  <si>
    <t xml:space="preserve">%Genotype frequency of the CYP6P9b_R </t>
  </si>
  <si>
    <t xml:space="preserve">%Genotype frequency of the CYP6P9a_R </t>
  </si>
  <si>
    <t xml:space="preserve">%Genotype frequency of the 6.5 kb SV </t>
  </si>
  <si>
    <t>ODDS RATIO</t>
  </si>
  <si>
    <t>Computed statistics (CYP6P9b_R)</t>
  </si>
  <si>
    <t>Computed statistics (CYP6P9a_R)</t>
  </si>
  <si>
    <t>Computed statistics (6.5 kb SV)</t>
  </si>
  <si>
    <t>Computed statistics (6.5 kb SV + CYP6P9a + CYP6P9b)</t>
  </si>
  <si>
    <t>%Genotype frequency (6.5 kb SV + CYP6P9a + CYP6P9b)</t>
  </si>
  <si>
    <t>Genotype frequency (6.5 kb SV + CYP6P9a + CYP6P9b)</t>
  </si>
  <si>
    <t>Summary (6.5 kb SV + CYP6P9a + CYP6P9b)</t>
  </si>
  <si>
    <t>Genotype and allele frequencies of the 6.5kb insertion, CYP6P9a and CYP6P9b in FUMOZ/FANG hybrids exposed to Sherlock bed net (0.7% incorporated shelock net)</t>
  </si>
  <si>
    <t>AL_56</t>
  </si>
  <si>
    <t>AL_57</t>
  </si>
  <si>
    <t>AL_58</t>
  </si>
  <si>
    <t>AL_59</t>
  </si>
  <si>
    <t>AL_60</t>
  </si>
  <si>
    <t>AL_61</t>
  </si>
  <si>
    <t>AL_62</t>
  </si>
  <si>
    <t>DE_56</t>
  </si>
  <si>
    <t>DE_57</t>
  </si>
  <si>
    <t>DE_58</t>
  </si>
  <si>
    <t>Raw Data</t>
  </si>
  <si>
    <t>Summary (6.5 kb SV)</t>
  </si>
  <si>
    <t>Genoptype frequency of the 6.5 kb SV</t>
  </si>
  <si>
    <t>Genotype frequency of the CYP6P9a_R</t>
  </si>
  <si>
    <t>Summary (CYP6P9a_R)</t>
  </si>
  <si>
    <t>%Genotype frequency of the 6.5kb SV</t>
  </si>
  <si>
    <t>%Genotype frequency of the CYP6P9a_R</t>
  </si>
  <si>
    <r>
      <rPr>
        <b/>
        <i/>
        <sz val="11"/>
        <color theme="1"/>
        <rFont val="Calibri"/>
        <family val="2"/>
        <scheme val="minor"/>
      </rPr>
      <t>p value</t>
    </r>
    <r>
      <rPr>
        <b/>
        <sz val="11"/>
        <color theme="1"/>
        <rFont val="Calibri"/>
        <family val="2"/>
        <scheme val="minor"/>
      </rPr>
      <t xml:space="preserve"> (Fisher's exact test)</t>
    </r>
  </si>
  <si>
    <t>Computed statistics (6.5kb SV)</t>
  </si>
  <si>
    <t>Genotype frequency of the CYP6P9b_R</t>
  </si>
  <si>
    <t>Summary (CYP6Pb_R)</t>
  </si>
  <si>
    <t>Genotype frequency (6.5kb SV + CYP6P9a + CYP6P9b)</t>
  </si>
  <si>
    <t>%Genotype frequency (6.5kb SV + CYP6P9a + CYP6P9b)</t>
  </si>
  <si>
    <t>Computed Statistics (6.5kb SV + CYP6P9a + CYP6P9b)</t>
  </si>
  <si>
    <t>Summary (L119F_GSTe2)</t>
  </si>
  <si>
    <t xml:space="preserve">Genotype frequency </t>
  </si>
  <si>
    <t>%Genotype frequency</t>
  </si>
  <si>
    <t>%Allele frequency</t>
  </si>
  <si>
    <t>Genotype frequency</t>
  </si>
  <si>
    <t>%Genotype Frequency</t>
  </si>
  <si>
    <t xml:space="preserve">Computed statistics </t>
  </si>
  <si>
    <r>
      <t xml:space="preserve">Genotype and allele frequencies of the L119F_GSTe2 in </t>
    </r>
    <r>
      <rPr>
        <b/>
        <i/>
        <u/>
        <sz val="16"/>
        <color theme="1"/>
        <rFont val="Calibri"/>
        <family val="2"/>
        <scheme val="minor"/>
      </rPr>
      <t>An. funestus</t>
    </r>
    <r>
      <rPr>
        <b/>
        <u/>
        <sz val="16"/>
        <color theme="1"/>
        <rFont val="Calibri"/>
        <family val="2"/>
        <scheme val="minor"/>
      </rPr>
      <t xml:space="preserve"> (Mibellon) F1 exposed to PermaNet 2.0</t>
    </r>
  </si>
  <si>
    <r>
      <t xml:space="preserve">Genotype and allele frequencies of the L119F_GSTe2 in </t>
    </r>
    <r>
      <rPr>
        <b/>
        <i/>
        <u/>
        <sz val="16"/>
        <color theme="1"/>
        <rFont val="Calibri"/>
        <family val="2"/>
        <scheme val="minor"/>
      </rPr>
      <t>An. funestus</t>
    </r>
    <r>
      <rPr>
        <b/>
        <u/>
        <sz val="16"/>
        <color theme="1"/>
        <rFont val="Calibri"/>
        <family val="2"/>
        <scheme val="minor"/>
      </rPr>
      <t xml:space="preserve"> (Mibellon) F1 exposed to 0.7% incorporated Sherlock net</t>
    </r>
  </si>
  <si>
    <r>
      <t xml:space="preserve">QPCR analysis of the level of gene expression in </t>
    </r>
    <r>
      <rPr>
        <b/>
        <i/>
        <u/>
        <sz val="16"/>
        <color theme="1"/>
        <rFont val="Calibri"/>
        <family val="2"/>
        <scheme val="minor"/>
      </rPr>
      <t>An. funestus</t>
    </r>
    <r>
      <rPr>
        <b/>
        <u/>
        <sz val="16"/>
        <color theme="1"/>
        <rFont val="Calibri"/>
        <family val="2"/>
        <scheme val="minor"/>
      </rPr>
      <t xml:space="preserve"> (Mibellon) F1 computed using the 2</t>
    </r>
    <r>
      <rPr>
        <b/>
        <u/>
        <vertAlign val="superscript"/>
        <sz val="16"/>
        <color theme="1"/>
        <rFont val="Calibri"/>
        <family val="2"/>
        <scheme val="minor"/>
      </rPr>
      <t xml:space="preserve">-∆∆CT </t>
    </r>
  </si>
  <si>
    <t>6a) Computing the 2^-(SP7)</t>
  </si>
  <si>
    <t>6b) Computing the 2^-(actin)</t>
  </si>
  <si>
    <t>7a) Average(2^-dCT(RSP7))</t>
  </si>
  <si>
    <t>7b) Average(2^-dCT(Actin))</t>
  </si>
  <si>
    <t>7b) Average(2^-dCT(RSP7+Actin))</t>
  </si>
  <si>
    <t>samples</t>
  </si>
  <si>
    <t>8) Fold change computation (RSP7 + Actin)</t>
  </si>
  <si>
    <r>
      <t xml:space="preserve">QPCR analysis of the level of gene expression in </t>
    </r>
    <r>
      <rPr>
        <b/>
        <i/>
        <u/>
        <sz val="16"/>
        <color theme="1"/>
        <rFont val="Calibri"/>
        <family val="2"/>
        <scheme val="minor"/>
      </rPr>
      <t>FUMOZ/FANG hybrids</t>
    </r>
    <r>
      <rPr>
        <b/>
        <u/>
        <sz val="16"/>
        <color theme="1"/>
        <rFont val="Calibri"/>
        <family val="2"/>
        <scheme val="minor"/>
      </rPr>
      <t xml:space="preserve"> computed using the 2</t>
    </r>
    <r>
      <rPr>
        <b/>
        <u/>
        <vertAlign val="superscript"/>
        <sz val="16"/>
        <color theme="1"/>
        <rFont val="Calibri"/>
        <family val="2"/>
        <scheme val="minor"/>
      </rPr>
      <t xml:space="preserve">-∆∆CT </t>
    </r>
  </si>
  <si>
    <t>6c) Computing the 2^-(SP7 + ACTIN)/2)</t>
  </si>
  <si>
    <t>7c) Computing the AVG.(SP7+ ACTIN)/2)</t>
  </si>
  <si>
    <t>8a) Computing the 2^-(SP7)</t>
  </si>
  <si>
    <t>8b) Computing the 2^-(actin)</t>
  </si>
  <si>
    <t>7c) Computing the 2^-(SP7 + ACTIN)/2)</t>
  </si>
  <si>
    <t>8c) Fold change computation (SP7 + ACTIN)/2)</t>
  </si>
  <si>
    <t>Individual fold changes</t>
  </si>
  <si>
    <t>Dunnett's multiple comparisons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</si>
</sst>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vertAlign val="superscript"/>
      <sz val="16"/>
      <color theme="1"/>
      <name val="Calibri"/>
      <family val="2"/>
      <scheme val="minor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2F2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1604B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0" fillId="2" borderId="0" xfId="0" applyFill="1"/>
    <xf numFmtId="1" fontId="0" fillId="2" borderId="0" xfId="0" applyNumberFormat="1" applyFill="1"/>
    <xf numFmtId="164" fontId="0" fillId="2" borderId="0" xfId="0" applyNumberFormat="1" applyFill="1"/>
    <xf numFmtId="0" fontId="1" fillId="3" borderId="0" xfId="0" applyFont="1" applyFill="1"/>
    <xf numFmtId="0" fontId="0" fillId="3" borderId="0" xfId="0" applyFill="1"/>
    <xf numFmtId="1" fontId="0" fillId="3" borderId="0" xfId="0" applyNumberFormat="1" applyFill="1"/>
    <xf numFmtId="164" fontId="0" fillId="3" borderId="0" xfId="0" applyNumberFormat="1" applyFill="1"/>
    <xf numFmtId="0" fontId="1" fillId="4" borderId="0" xfId="0" applyFont="1" applyFill="1"/>
    <xf numFmtId="0" fontId="0" fillId="5" borderId="0" xfId="0" applyFill="1"/>
    <xf numFmtId="1" fontId="0" fillId="5" borderId="0" xfId="0" applyNumberFormat="1" applyFill="1"/>
    <xf numFmtId="164" fontId="0" fillId="5" borderId="0" xfId="0" applyNumberFormat="1" applyFill="1"/>
    <xf numFmtId="0" fontId="1" fillId="6" borderId="0" xfId="0" applyFont="1" applyFill="1"/>
    <xf numFmtId="0" fontId="0" fillId="6" borderId="0" xfId="0" applyFill="1"/>
    <xf numFmtId="1" fontId="0" fillId="6" borderId="0" xfId="0" applyNumberFormat="1" applyFill="1"/>
    <xf numFmtId="164" fontId="0" fillId="6" borderId="0" xfId="0" applyNumberFormat="1" applyFill="1"/>
    <xf numFmtId="0" fontId="0" fillId="2" borderId="0" xfId="0" applyFill="1" applyAlignment="1">
      <alignment horizontal="center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1" fontId="0" fillId="7" borderId="0" xfId="0" applyNumberFormat="1" applyFill="1"/>
    <xf numFmtId="0" fontId="0" fillId="3" borderId="0" xfId="0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0" xfId="0" applyNumberFormat="1" applyFill="1"/>
    <xf numFmtId="164" fontId="0" fillId="8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1" fontId="0" fillId="4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1" fontId="0" fillId="9" borderId="0" xfId="0" applyNumberFormat="1" applyFill="1"/>
    <xf numFmtId="0" fontId="0" fillId="6" borderId="0" xfId="0" applyFill="1" applyAlignment="1">
      <alignment horizontal="center"/>
    </xf>
    <xf numFmtId="0" fontId="0" fillId="10" borderId="1" xfId="0" applyFill="1" applyBorder="1"/>
    <xf numFmtId="0" fontId="1" fillId="11" borderId="0" xfId="0" applyFont="1" applyFill="1"/>
    <xf numFmtId="0" fontId="0" fillId="11" borderId="0" xfId="0" applyFill="1"/>
    <xf numFmtId="164" fontId="0" fillId="11" borderId="0" xfId="0" applyNumberFormat="1" applyFill="1"/>
    <xf numFmtId="0" fontId="1" fillId="12" borderId="0" xfId="0" applyFont="1" applyFill="1"/>
    <xf numFmtId="0" fontId="0" fillId="12" borderId="0" xfId="0" applyFill="1" applyAlignment="1">
      <alignment horizontal="center"/>
    </xf>
    <xf numFmtId="0" fontId="0" fillId="12" borderId="0" xfId="0" applyFill="1"/>
    <xf numFmtId="0" fontId="0" fillId="11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0" fillId="14" borderId="0" xfId="0" applyFill="1"/>
    <xf numFmtId="0" fontId="1" fillId="0" borderId="0" xfId="0" applyFont="1" applyAlignment="1">
      <alignment horizontal="center" vertical="center"/>
    </xf>
    <xf numFmtId="0" fontId="1" fillId="15" borderId="0" xfId="0" applyFont="1" applyFill="1"/>
    <xf numFmtId="0" fontId="0" fillId="15" borderId="0" xfId="0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10" borderId="0" xfId="0" applyFont="1" applyFill="1" applyAlignment="1">
      <alignment horizontal="center"/>
    </xf>
    <xf numFmtId="0" fontId="1" fillId="16" borderId="0" xfId="0" applyFont="1" applyFill="1"/>
    <xf numFmtId="0" fontId="0" fillId="16" borderId="0" xfId="0" applyFill="1"/>
    <xf numFmtId="0" fontId="1" fillId="17" borderId="0" xfId="0" applyFont="1" applyFill="1"/>
    <xf numFmtId="0" fontId="1" fillId="18" borderId="0" xfId="0" applyFont="1" applyFill="1"/>
    <xf numFmtId="0" fontId="0" fillId="17" borderId="0" xfId="0" applyFill="1"/>
    <xf numFmtId="0" fontId="8" fillId="17" borderId="0" xfId="0" applyFont="1" applyFill="1"/>
    <xf numFmtId="0" fontId="0" fillId="18" borderId="0" xfId="0" applyFill="1"/>
    <xf numFmtId="0" fontId="7" fillId="0" borderId="0" xfId="0" applyFont="1"/>
    <xf numFmtId="0" fontId="8" fillId="0" borderId="0" xfId="0" applyFont="1"/>
    <xf numFmtId="0" fontId="0" fillId="19" borderId="0" xfId="0" applyFill="1"/>
    <xf numFmtId="0" fontId="9" fillId="0" borderId="0" xfId="0" applyFont="1"/>
    <xf numFmtId="0" fontId="0" fillId="5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13" borderId="0" xfId="0" applyFont="1" applyFill="1" applyAlignment="1">
      <alignment horizontal="center"/>
    </xf>
    <xf numFmtId="0" fontId="4" fillId="20" borderId="0" xfId="0" applyFont="1" applyFill="1"/>
    <xf numFmtId="0" fontId="11" fillId="20" borderId="0" xfId="0" applyFont="1" applyFill="1" applyAlignment="1">
      <alignment horizontal="left"/>
    </xf>
    <xf numFmtId="0" fontId="1" fillId="20" borderId="0" xfId="0" applyFont="1" applyFill="1"/>
    <xf numFmtId="0" fontId="11" fillId="20" borderId="0" xfId="0" applyFont="1" applyFill="1"/>
    <xf numFmtId="0" fontId="1" fillId="10" borderId="0" xfId="0" applyFont="1" applyFill="1"/>
    <xf numFmtId="0" fontId="0" fillId="10" borderId="0" xfId="0" applyFill="1"/>
    <xf numFmtId="0" fontId="11" fillId="0" borderId="0" xfId="0" applyFont="1" applyAlignment="1">
      <alignment horizontal="left"/>
    </xf>
    <xf numFmtId="0" fontId="12" fillId="21" borderId="1" xfId="0" applyFont="1" applyFill="1" applyBorder="1" applyAlignment="1">
      <alignment horizontal="center" wrapText="1"/>
    </xf>
    <xf numFmtId="0" fontId="12" fillId="21" borderId="2" xfId="0" applyFont="1" applyFill="1" applyBorder="1" applyAlignment="1">
      <alignment horizontal="center" wrapText="1"/>
    </xf>
    <xf numFmtId="0" fontId="12" fillId="21" borderId="0" xfId="0" applyFont="1" applyFill="1" applyAlignment="1">
      <alignment horizontal="center" wrapText="1"/>
    </xf>
    <xf numFmtId="0" fontId="13" fillId="22" borderId="3" xfId="0" applyFont="1" applyFill="1" applyBorder="1"/>
    <xf numFmtId="0" fontId="0" fillId="7" borderId="1" xfId="0" applyFill="1" applyBorder="1"/>
    <xf numFmtId="2" fontId="0" fillId="7" borderId="1" xfId="0" applyNumberFormat="1" applyFill="1" applyBorder="1"/>
    <xf numFmtId="2" fontId="0" fillId="18" borderId="0" xfId="0" applyNumberFormat="1" applyFill="1"/>
    <xf numFmtId="14" fontId="13" fillId="18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4" fontId="13" fillId="0" borderId="0" xfId="0" applyNumberFormat="1" applyFont="1"/>
    <xf numFmtId="0" fontId="13" fillId="0" borderId="0" xfId="0" applyFont="1"/>
    <xf numFmtId="0" fontId="15" fillId="0" borderId="1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5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0" fontId="14" fillId="10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/>
    <xf numFmtId="0" fontId="0" fillId="0" borderId="0" xfId="0" applyFill="1"/>
    <xf numFmtId="2" fontId="1" fillId="0" borderId="0" xfId="0" applyNumberFormat="1" applyFont="1"/>
    <xf numFmtId="2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2" fontId="0" fillId="6" borderId="0" xfId="0" applyNumberFormat="1" applyFill="1" applyAlignment="1">
      <alignment horizontal="center"/>
    </xf>
    <xf numFmtId="164" fontId="0" fillId="6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ont="1" applyFill="1"/>
    <xf numFmtId="2" fontId="1" fillId="2" borderId="0" xfId="0" applyNumberFormat="1" applyFont="1" applyFill="1"/>
    <xf numFmtId="0" fontId="0" fillId="3" borderId="0" xfId="0" applyFont="1" applyFill="1"/>
    <xf numFmtId="2" fontId="1" fillId="3" borderId="0" xfId="0" applyNumberFormat="1" applyFont="1" applyFill="1"/>
    <xf numFmtId="0" fontId="0" fillId="6" borderId="0" xfId="0" applyFont="1" applyFill="1"/>
    <xf numFmtId="2" fontId="1" fillId="6" borderId="0" xfId="0" applyNumberFormat="1" applyFont="1" applyFill="1"/>
    <xf numFmtId="0" fontId="0" fillId="5" borderId="0" xfId="0" applyFont="1" applyFill="1"/>
    <xf numFmtId="2" fontId="1" fillId="5" borderId="0" xfId="0" applyNumberFormat="1" applyFont="1" applyFill="1"/>
    <xf numFmtId="0" fontId="0" fillId="0" borderId="1" xfId="0" applyFill="1" applyBorder="1"/>
    <xf numFmtId="0" fontId="0" fillId="10" borderId="5" xfId="0" applyFill="1" applyBorder="1" applyAlignment="1">
      <alignment horizontal="center"/>
    </xf>
    <xf numFmtId="0" fontId="0" fillId="0" borderId="0" xfId="0" applyFill="1" applyBorder="1"/>
    <xf numFmtId="0" fontId="17" fillId="0" borderId="0" xfId="0" applyFont="1"/>
    <xf numFmtId="0" fontId="18" fillId="0" borderId="0" xfId="0" applyFont="1"/>
    <xf numFmtId="0" fontId="0" fillId="20" borderId="1" xfId="0" applyFill="1" applyBorder="1"/>
    <xf numFmtId="0" fontId="13" fillId="0" borderId="1" xfId="0" applyFont="1" applyFill="1" applyBorder="1"/>
    <xf numFmtId="0" fontId="13" fillId="0" borderId="3" xfId="0" applyFont="1" applyFill="1" applyBorder="1"/>
    <xf numFmtId="0" fontId="13" fillId="22" borderId="1" xfId="0" applyFont="1" applyFill="1" applyBorder="1"/>
    <xf numFmtId="0" fontId="13" fillId="22" borderId="1" xfId="0" applyFont="1" applyFill="1" applyBorder="1" applyAlignment="1">
      <alignment horizontal="center"/>
    </xf>
    <xf numFmtId="2" fontId="0" fillId="7" borderId="0" xfId="0" applyNumberFormat="1" applyFill="1"/>
    <xf numFmtId="0" fontId="13" fillId="0" borderId="3" xfId="0" applyFont="1" applyFill="1" applyBorder="1" applyAlignment="1">
      <alignment horizontal="center"/>
    </xf>
    <xf numFmtId="2" fontId="0" fillId="0" borderId="1" xfId="0" applyNumberFormat="1" applyFill="1" applyBorder="1"/>
    <xf numFmtId="0" fontId="13" fillId="0" borderId="0" xfId="0" applyFont="1" applyFill="1"/>
    <xf numFmtId="0" fontId="13" fillId="5" borderId="1" xfId="0" applyFont="1" applyFill="1" applyBorder="1"/>
    <xf numFmtId="0" fontId="13" fillId="5" borderId="1" xfId="0" applyFont="1" applyFill="1" applyBorder="1" applyAlignment="1">
      <alignment horizontal="center"/>
    </xf>
    <xf numFmtId="0" fontId="0" fillId="5" borderId="1" xfId="0" applyFill="1" applyBorder="1"/>
    <xf numFmtId="2" fontId="0" fillId="5" borderId="1" xfId="0" applyNumberFormat="1" applyFill="1" applyBorder="1"/>
    <xf numFmtId="0" fontId="18" fillId="0" borderId="0" xfId="0" applyFont="1" applyFill="1" applyAlignment="1"/>
    <xf numFmtId="0" fontId="16" fillId="0" borderId="0" xfId="0" applyFont="1" applyFill="1"/>
    <xf numFmtId="0" fontId="0" fillId="14" borderId="0" xfId="0" applyFill="1" applyAlignment="1">
      <alignment horizontal="center"/>
    </xf>
    <xf numFmtId="0" fontId="1" fillId="0" borderId="0" xfId="0" applyFont="1" applyFill="1" applyAlignment="1"/>
    <xf numFmtId="0" fontId="0" fillId="24" borderId="0" xfId="0" applyFill="1"/>
    <xf numFmtId="0" fontId="0" fillId="24" borderId="0" xfId="0" applyFill="1" applyAlignment="1">
      <alignment horizontal="left"/>
    </xf>
    <xf numFmtId="0" fontId="4" fillId="24" borderId="0" xfId="0" applyFont="1" applyFill="1"/>
    <xf numFmtId="0" fontId="4" fillId="24" borderId="0" xfId="0" applyFont="1" applyFill="1" applyAlignment="1">
      <alignment horizontal="left"/>
    </xf>
    <xf numFmtId="0" fontId="22" fillId="0" borderId="0" xfId="0" applyFont="1" applyAlignment="1"/>
    <xf numFmtId="0" fontId="17" fillId="0" borderId="0" xfId="0" applyFont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0" fontId="0" fillId="24" borderId="0" xfId="0" applyFill="1" applyAlignment="1">
      <alignment horizontal="center"/>
    </xf>
    <xf numFmtId="0" fontId="4" fillId="24" borderId="0" xfId="0" applyFont="1" applyFill="1" applyAlignment="1">
      <alignment horizontal="center"/>
    </xf>
    <xf numFmtId="0" fontId="1" fillId="25" borderId="0" xfId="0" applyFont="1" applyFill="1" applyAlignment="1">
      <alignment horizontal="center"/>
    </xf>
    <xf numFmtId="0" fontId="0" fillId="25" borderId="0" xfId="0" applyFill="1" applyAlignment="1">
      <alignment horizontal="center"/>
    </xf>
    <xf numFmtId="1" fontId="0" fillId="25" borderId="0" xfId="0" applyNumberFormat="1" applyFill="1" applyAlignment="1">
      <alignment horizontal="center"/>
    </xf>
    <xf numFmtId="164" fontId="0" fillId="25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" fillId="25" borderId="0" xfId="0" applyFont="1" applyFill="1"/>
    <xf numFmtId="0" fontId="0" fillId="25" borderId="0" xfId="0" applyFill="1"/>
    <xf numFmtId="164" fontId="0" fillId="25" borderId="0" xfId="0" applyNumberFormat="1" applyFill="1"/>
    <xf numFmtId="1" fontId="0" fillId="25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/>
    </xf>
    <xf numFmtId="0" fontId="3" fillId="20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0" fontId="21" fillId="23" borderId="0" xfId="0" applyFont="1" applyFill="1" applyAlignment="1">
      <alignment horizontal="center"/>
    </xf>
    <xf numFmtId="0" fontId="0" fillId="15" borderId="0" xfId="0" applyFill="1" applyAlignment="1">
      <alignment horizontal="center"/>
    </xf>
    <xf numFmtId="0" fontId="1" fillId="23" borderId="0" xfId="0" applyFont="1" applyFill="1" applyAlignment="1">
      <alignment horizontal="center"/>
    </xf>
    <xf numFmtId="0" fontId="21" fillId="26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6" fillId="2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6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Genotype frequency of the 6.5 kb SV</a:t>
            </a:r>
            <a:r>
              <a:rPr lang="en-US" sz="1200" baseline="0"/>
              <a:t> in Permanet 2.0 exposed F6 Hybrids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[1]Sheet1!$N$7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[1]Sheet1!$O$6:$Q$6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[1]Sheet1!$O$7:$Q$7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D-49C1-9436-5130857011B4}"/>
            </c:ext>
          </c:extLst>
        </c:ser>
        <c:ser>
          <c:idx val="1"/>
          <c:order val="1"/>
          <c:tx>
            <c:strRef>
              <c:f>[1]Sheet1!$N$8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[1]Sheet1!$O$6:$Q$6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[1]Sheet1!$O$8:$Q$8</c:f>
              <c:numCache>
                <c:formatCode>General</c:formatCode>
                <c:ptCount val="3"/>
                <c:pt idx="0">
                  <c:v>45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D-49C1-9436-51308570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17600"/>
        <c:axId val="18555264"/>
      </c:barChart>
      <c:catAx>
        <c:axId val="1781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6.5 kb genotype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8555264"/>
        <c:crosses val="autoZero"/>
        <c:auto val="1"/>
        <c:lblAlgn val="ctr"/>
        <c:lblOffset val="100"/>
        <c:noMultiLvlLbl val="0"/>
      </c:catAx>
      <c:valAx>
        <c:axId val="18555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%Frequecy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7817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/>
              <a:t>Genotype frequency</a:t>
            </a:r>
            <a:r>
              <a:rPr lang="en-GB" sz="1200" b="1" baseline="0"/>
              <a:t> of </a:t>
            </a:r>
            <a:r>
              <a:rPr lang="en-GB" sz="1200" b="1" i="1" baseline="0"/>
              <a:t>CYP6P9a</a:t>
            </a:r>
            <a:r>
              <a:rPr lang="en-GB" sz="1200" b="1" baseline="0"/>
              <a:t> in Sherlock exposed F6 hybrids</a:t>
            </a:r>
            <a:endParaRPr lang="en-GB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'[2]Sherlock exposed'!$T$7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exposed'!$U$6:$W$6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exposed'!$U$7:$W$7</c:f>
              <c:numCache>
                <c:formatCode>General</c:formatCode>
                <c:ptCount val="3"/>
                <c:pt idx="0">
                  <c:v>2</c:v>
                </c:pt>
                <c:pt idx="1">
                  <c:v>15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C-491D-A00F-B8480E422C3D}"/>
            </c:ext>
          </c:extLst>
        </c:ser>
        <c:ser>
          <c:idx val="1"/>
          <c:order val="1"/>
          <c:tx>
            <c:strRef>
              <c:f>'[2]Sherlock exposed'!$T$8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exposed'!$U$6:$W$6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exposed'!$U$8:$W$8</c:f>
              <c:numCache>
                <c:formatCode>General</c:formatCode>
                <c:ptCount val="3"/>
                <c:pt idx="0">
                  <c:v>12</c:v>
                </c:pt>
                <c:pt idx="1">
                  <c:v>36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1C-491D-A00F-B8480E422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9586704"/>
        <c:axId val="309587360"/>
      </c:barChart>
      <c:catAx>
        <c:axId val="309586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 i="1"/>
                  <a:t>CYP6P9a</a:t>
                </a:r>
                <a:r>
                  <a:rPr lang="en-GB" b="1"/>
                  <a:t> 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7360"/>
        <c:crosses val="autoZero"/>
        <c:auto val="1"/>
        <c:lblAlgn val="ctr"/>
        <c:lblOffset val="100"/>
        <c:noMultiLvlLbl val="0"/>
      </c:catAx>
      <c:valAx>
        <c:axId val="309587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58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'[3]Perm.2.0.'!$K$36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'[3]Perm.2.0.'!$L$35:$M$35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'[3]Perm.2.0.'!$L$36:$M$36</c:f>
              <c:numCache>
                <c:formatCode>General</c:formatCode>
                <c:ptCount val="2"/>
                <c:pt idx="0">
                  <c:v>15.789473684210526</c:v>
                </c:pt>
                <c:pt idx="1">
                  <c:v>84.210526315789465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3-43BD-8778-EE70E189713A}"/>
            </c:ext>
          </c:extLst>
        </c:ser>
        <c:ser>
          <c:idx val="1"/>
          <c:order val="1"/>
          <c:tx>
            <c:strRef>
              <c:f>'[3]Perm.2.0.'!$K$37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'[3]Perm.2.0.'!$L$35:$M$35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'[3]Perm.2.0.'!$L$37:$M$37</c:f>
              <c:numCache>
                <c:formatCode>General</c:formatCode>
                <c:ptCount val="2"/>
                <c:pt idx="0">
                  <c:v>23.863636363636363</c:v>
                </c:pt>
                <c:pt idx="1">
                  <c:v>76.13636363636364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3-43BD-8778-EE70E1897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577312"/>
        <c:axId val="573577640"/>
      </c:lineChart>
      <c:catAx>
        <c:axId val="573577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GSTe2</a:t>
                </a:r>
                <a:r>
                  <a:rPr lang="en-US" b="1" baseline="0"/>
                  <a:t> a</a:t>
                </a:r>
                <a:r>
                  <a:rPr lang="en-US" b="1"/>
                  <a:t>llele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77640"/>
        <c:crosses val="autoZero"/>
        <c:auto val="1"/>
        <c:lblAlgn val="ctr"/>
        <c:lblOffset val="100"/>
        <c:noMultiLvlLbl val="0"/>
      </c:catAx>
      <c:valAx>
        <c:axId val="5735776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7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[3]Sherlock!$K$36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[3]Sherlock!$L$35:$M$35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[3]Sherlock!$L$36:$M$36</c:f>
              <c:numCache>
                <c:formatCode>General</c:formatCode>
                <c:ptCount val="2"/>
                <c:pt idx="0">
                  <c:v>35.714285714285715</c:v>
                </c:pt>
                <c:pt idx="1">
                  <c:v>64.285714285714292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8-4438-BE7C-BDCEAE09EABA}"/>
            </c:ext>
          </c:extLst>
        </c:ser>
        <c:ser>
          <c:idx val="1"/>
          <c:order val="1"/>
          <c:tx>
            <c:strRef>
              <c:f>[3]Sherlock!$K$37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[3]Sherlock!$L$35:$M$35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[3]Sherlock!$L$37:$M$37</c:f>
              <c:numCache>
                <c:formatCode>General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8-4438-BE7C-BDCEAE09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591088"/>
        <c:axId val="573583872"/>
      </c:lineChart>
      <c:catAx>
        <c:axId val="57359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83872"/>
        <c:crosses val="autoZero"/>
        <c:auto val="1"/>
        <c:lblAlgn val="ctr"/>
        <c:lblOffset val="100"/>
        <c:noMultiLvlLbl val="0"/>
      </c:catAx>
      <c:valAx>
        <c:axId val="57358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591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[4]Feuil1!$CA$38</c:f>
              <c:strCache>
                <c:ptCount val="1"/>
                <c:pt idx="0">
                  <c:v>Control Net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[4]Feuil1!$CB$45:$CG$45</c:f>
                <c:numCache>
                  <c:formatCode>General</c:formatCode>
                  <c:ptCount val="6"/>
                  <c:pt idx="0">
                    <c:v>1.4757152379803682</c:v>
                  </c:pt>
                  <c:pt idx="1">
                    <c:v>0.12458844419923579</c:v>
                  </c:pt>
                  <c:pt idx="2">
                    <c:v>1.5402750451414955</c:v>
                  </c:pt>
                  <c:pt idx="3">
                    <c:v>8.9601857848605661E-3</c:v>
                  </c:pt>
                  <c:pt idx="4">
                    <c:v>0.37020533040958681</c:v>
                  </c:pt>
                  <c:pt idx="5">
                    <c:v>4.2696886530274947E-3</c:v>
                  </c:pt>
                </c:numCache>
              </c:numRef>
            </c:plus>
            <c:minus>
              <c:numRef>
                <c:f>[4]Feuil1!$CB$45:$CG$45</c:f>
                <c:numCache>
                  <c:formatCode>General</c:formatCode>
                  <c:ptCount val="6"/>
                  <c:pt idx="0">
                    <c:v>1.4757152379803682</c:v>
                  </c:pt>
                  <c:pt idx="1">
                    <c:v>0.12458844419923579</c:v>
                  </c:pt>
                  <c:pt idx="2">
                    <c:v>1.5402750451414955</c:v>
                  </c:pt>
                  <c:pt idx="3">
                    <c:v>8.9601857848605661E-3</c:v>
                  </c:pt>
                  <c:pt idx="4">
                    <c:v>0.37020533040958681</c:v>
                  </c:pt>
                  <c:pt idx="5">
                    <c:v>4.2696886530274947E-3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[4]Feuil1!$CB$38:$CG$38</c:f>
              <c:numCache>
                <c:formatCode>General</c:formatCode>
                <c:ptCount val="6"/>
                <c:pt idx="0">
                  <c:v>2.2299671689668981</c:v>
                </c:pt>
                <c:pt idx="1">
                  <c:v>1.6510595875035425</c:v>
                </c:pt>
                <c:pt idx="2">
                  <c:v>27.251203256894982</c:v>
                </c:pt>
                <c:pt idx="3">
                  <c:v>55.891486276836396</c:v>
                </c:pt>
                <c:pt idx="4">
                  <c:v>7.6370265920674179</c:v>
                </c:pt>
                <c:pt idx="5">
                  <c:v>2.6693909271664471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F-4CFC-8C63-B9A3A02FFF47}"/>
            </c:ext>
          </c:extLst>
        </c:ser>
        <c:ser>
          <c:idx val="1"/>
          <c:order val="1"/>
          <c:tx>
            <c:strRef>
              <c:f>[4]Feuil1!$CA$39</c:f>
              <c:strCache>
                <c:ptCount val="1"/>
                <c:pt idx="0">
                  <c:v>Perm. 2.0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[4]Feuil1!$CB$46:$CG$46</c:f>
                <c:numCache>
                  <c:formatCode>General</c:formatCode>
                  <c:ptCount val="6"/>
                  <c:pt idx="0">
                    <c:v>0.71652458133131391</c:v>
                  </c:pt>
                  <c:pt idx="1">
                    <c:v>0.11002203320127782</c:v>
                  </c:pt>
                  <c:pt idx="2">
                    <c:v>0.53794410919776325</c:v>
                  </c:pt>
                  <c:pt idx="3">
                    <c:v>1.3843206548289319E-2</c:v>
                  </c:pt>
                  <c:pt idx="4">
                    <c:v>3.3297838002966158E-2</c:v>
                  </c:pt>
                  <c:pt idx="5">
                    <c:v>1.3693307453850402E-2</c:v>
                  </c:pt>
                </c:numCache>
              </c:numRef>
            </c:plus>
            <c:minus>
              <c:numRef>
                <c:f>[4]Feuil1!$CB$46:$CG$46</c:f>
                <c:numCache>
                  <c:formatCode>General</c:formatCode>
                  <c:ptCount val="6"/>
                  <c:pt idx="0">
                    <c:v>0.71652458133131391</c:v>
                  </c:pt>
                  <c:pt idx="1">
                    <c:v>0.11002203320127782</c:v>
                  </c:pt>
                  <c:pt idx="2">
                    <c:v>0.53794410919776325</c:v>
                  </c:pt>
                  <c:pt idx="3">
                    <c:v>1.3843206548289319E-2</c:v>
                  </c:pt>
                  <c:pt idx="4">
                    <c:v>3.3297838002966158E-2</c:v>
                  </c:pt>
                  <c:pt idx="5">
                    <c:v>1.3693307453850402E-2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[4]Feuil1!$CB$39:$CG$39</c:f>
              <c:numCache>
                <c:formatCode>General</c:formatCode>
                <c:ptCount val="6"/>
                <c:pt idx="0">
                  <c:v>1.5283097968899408</c:v>
                </c:pt>
                <c:pt idx="1">
                  <c:v>1.1748539064295869</c:v>
                </c:pt>
                <c:pt idx="2">
                  <c:v>14.475336529284428</c:v>
                </c:pt>
                <c:pt idx="3">
                  <c:v>68.250026459190096</c:v>
                </c:pt>
                <c:pt idx="4">
                  <c:v>2.6745494373374186</c:v>
                </c:pt>
                <c:pt idx="5">
                  <c:v>8.2054038866504495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F-4CFC-8C63-B9A3A02FFF47}"/>
            </c:ext>
          </c:extLst>
        </c:ser>
        <c:ser>
          <c:idx val="2"/>
          <c:order val="2"/>
          <c:tx>
            <c:strRef>
              <c:f>[4]Feuil1!$CA$40</c:f>
              <c:strCache>
                <c:ptCount val="1"/>
                <c:pt idx="0">
                  <c:v>Sherlock 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[4]Feuil1!$CB$47:$CG$47</c:f>
                <c:numCache>
                  <c:formatCode>General</c:formatCode>
                  <c:ptCount val="6"/>
                  <c:pt idx="0">
                    <c:v>0.62071669215632108</c:v>
                  </c:pt>
                  <c:pt idx="1">
                    <c:v>0.13052829140597658</c:v>
                  </c:pt>
                  <c:pt idx="2">
                    <c:v>1.0006041786338127</c:v>
                  </c:pt>
                  <c:pt idx="3">
                    <c:v>4.1530279020790886E-3</c:v>
                  </c:pt>
                  <c:pt idx="4">
                    <c:v>0.27506386371145908</c:v>
                  </c:pt>
                  <c:pt idx="5">
                    <c:v>4.5536578099521748E-3</c:v>
                  </c:pt>
                </c:numCache>
              </c:numRef>
            </c:plus>
            <c:minus>
              <c:numRef>
                <c:f>[4]Feuil1!$CB$47:$CG$47</c:f>
                <c:numCache>
                  <c:formatCode>General</c:formatCode>
                  <c:ptCount val="6"/>
                  <c:pt idx="0">
                    <c:v>0.62071669215632108</c:v>
                  </c:pt>
                  <c:pt idx="1">
                    <c:v>0.13052829140597658</c:v>
                  </c:pt>
                  <c:pt idx="2">
                    <c:v>1.0006041786338127</c:v>
                  </c:pt>
                  <c:pt idx="3">
                    <c:v>4.1530279020790886E-3</c:v>
                  </c:pt>
                  <c:pt idx="4">
                    <c:v>0.27506386371145908</c:v>
                  </c:pt>
                  <c:pt idx="5">
                    <c:v>4.5536578099521748E-3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[4]Feuil1!$CB$40:$CG$40</c:f>
              <c:numCache>
                <c:formatCode>General</c:formatCode>
                <c:ptCount val="6"/>
                <c:pt idx="0">
                  <c:v>2.3627787966886444</c:v>
                </c:pt>
                <c:pt idx="1">
                  <c:v>1.8798888950965003</c:v>
                </c:pt>
                <c:pt idx="2">
                  <c:v>8.9329002118635987</c:v>
                </c:pt>
                <c:pt idx="3">
                  <c:v>23.24707438747733</c:v>
                </c:pt>
                <c:pt idx="4">
                  <c:v>9.7085198236604899</c:v>
                </c:pt>
                <c:pt idx="5">
                  <c:v>3.2842932256663229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F-4CFC-8C63-B9A3A02FFF47}"/>
            </c:ext>
          </c:extLst>
        </c:ser>
        <c:ser>
          <c:idx val="3"/>
          <c:order val="3"/>
          <c:tx>
            <c:strRef>
              <c:f>[4]Feuil1!$CA$41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errBars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[4]Feuil1!$CB$37:$CG$37</c:f>
              <c:strCache>
                <c:ptCount val="6"/>
                <c:pt idx="0">
                  <c:v>CYP6P9a</c:v>
                </c:pt>
                <c:pt idx="1">
                  <c:v>CYP6P9b</c:v>
                </c:pt>
                <c:pt idx="2">
                  <c:v>CYP9K1</c:v>
                </c:pt>
                <c:pt idx="3">
                  <c:v>CY325A</c:v>
                </c:pt>
                <c:pt idx="4">
                  <c:v>GSTe2</c:v>
                </c:pt>
                <c:pt idx="5">
                  <c:v>CarboxyesteraseE2</c:v>
                </c:pt>
              </c:strCache>
            </c:strRef>
          </c:cat>
          <c:val>
            <c:numRef>
              <c:f>[4]Feuil1!$CB$41:$CG$41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0A6F-4CFC-8C63-B9A3A02F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418448"/>
        <c:axId val="662419104"/>
      </c:barChart>
      <c:catAx>
        <c:axId val="66241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Gene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19104"/>
        <c:crosses val="autoZero"/>
        <c:auto val="1"/>
        <c:lblAlgn val="ctr"/>
        <c:lblOffset val="100"/>
        <c:noMultiLvlLbl val="0"/>
      </c:catAx>
      <c:valAx>
        <c:axId val="6624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expression</a:t>
                </a:r>
                <a:r>
                  <a:rPr lang="en-US" baseline="0"/>
                  <a:t> to RSP7/Actin5C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41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Genotype frequency of </a:t>
            </a:r>
            <a:r>
              <a:rPr lang="en-US" sz="1100" b="1" i="1"/>
              <a:t>CYP6P9a</a:t>
            </a:r>
            <a:r>
              <a:rPr lang="en-US" sz="1100" b="1" baseline="0"/>
              <a:t> in Permanet 2.0 exposed F6 Hybrids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[1]Sheet1!$V$7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[1]Sheet1!$W$6:$Y$6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[1]Sheet1!$W$7:$Y$7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E-40D2-90EE-6A30CC309518}"/>
            </c:ext>
          </c:extLst>
        </c:ser>
        <c:ser>
          <c:idx val="1"/>
          <c:order val="1"/>
          <c:tx>
            <c:strRef>
              <c:f>[1]Sheet1!$V$8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[1]Sheet1!$W$6:$Y$6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[1]Sheet1!$W$8:$Y$8</c:f>
              <c:numCache>
                <c:formatCode>General</c:formatCode>
                <c:ptCount val="3"/>
                <c:pt idx="0">
                  <c:v>14</c:v>
                </c:pt>
                <c:pt idx="1">
                  <c:v>38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E-40D2-90EE-6A30CC30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014104"/>
        <c:axId val="371007872"/>
      </c:barChart>
      <c:catAx>
        <c:axId val="371014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CYP6P9a</a:t>
                </a:r>
                <a:r>
                  <a:rPr lang="en-US" b="1" baseline="0"/>
                  <a:t> genotype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07872"/>
        <c:crosses val="autoZero"/>
        <c:auto val="1"/>
        <c:lblAlgn val="ctr"/>
        <c:lblOffset val="100"/>
        <c:noMultiLvlLbl val="0"/>
      </c:catAx>
      <c:valAx>
        <c:axId val="371007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1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Genotype frequency of </a:t>
            </a:r>
            <a:r>
              <a:rPr lang="en-US" sz="1100" b="1" i="1"/>
              <a:t>CYP6P9b</a:t>
            </a:r>
            <a:r>
              <a:rPr lang="en-US" sz="1100" b="1" baseline="0"/>
              <a:t> in Permanet 2.0 exposed F6 Hybrids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[1]Sheet1!$AD$7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[1]Sheet1!$AE$6:$AG$6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[1]Sheet1!$AE$7:$AG$7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9-49EE-8B2D-8A006944CDB7}"/>
            </c:ext>
          </c:extLst>
        </c:ser>
        <c:ser>
          <c:idx val="1"/>
          <c:order val="1"/>
          <c:tx>
            <c:strRef>
              <c:f>[1]Sheet1!$AD$8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[1]Sheet1!$AE$6:$AG$6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[1]Sheet1!$AE$8:$AG$8</c:f>
              <c:numCache>
                <c:formatCode>General</c:formatCode>
                <c:ptCount val="3"/>
                <c:pt idx="0">
                  <c:v>17</c:v>
                </c:pt>
                <c:pt idx="1">
                  <c:v>33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A9-49EE-8B2D-8A006944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871104"/>
        <c:axId val="417862576"/>
      </c:barChart>
      <c:catAx>
        <c:axId val="417871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/>
                  <a:t>CYP6P9b</a:t>
                </a:r>
                <a:r>
                  <a:rPr lang="en-US" b="1"/>
                  <a:t> 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62576"/>
        <c:crosses val="autoZero"/>
        <c:auto val="1"/>
        <c:lblAlgn val="ctr"/>
        <c:lblOffset val="100"/>
        <c:noMultiLvlLbl val="0"/>
      </c:catAx>
      <c:valAx>
        <c:axId val="417862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[1]Sheet1!$V$38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[1]Sheet1!$W$37:$X$37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[1]Sheet1!$W$38:$X$38</c:f>
              <c:numCache>
                <c:formatCode>General</c:formatCode>
                <c:ptCount val="2"/>
                <c:pt idx="0">
                  <c:v>4.4117647058823533</c:v>
                </c:pt>
                <c:pt idx="1">
                  <c:v>95.588235294117652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9-442A-9735-B6B9CFB13DBA}"/>
            </c:ext>
          </c:extLst>
        </c:ser>
        <c:ser>
          <c:idx val="1"/>
          <c:order val="1"/>
          <c:tx>
            <c:strRef>
              <c:f>[1]Sheet1!$V$39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[1]Sheet1!$W$37:$X$37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[1]Sheet1!$W$39:$X$39</c:f>
              <c:numCache>
                <c:formatCode>General</c:formatCode>
                <c:ptCount val="2"/>
                <c:pt idx="0">
                  <c:v>60</c:v>
                </c:pt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9-442A-9735-B6B9CFB13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54048"/>
        <c:axId val="417861592"/>
      </c:lineChart>
      <c:catAx>
        <c:axId val="4178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61592"/>
        <c:crosses val="autoZero"/>
        <c:auto val="1"/>
        <c:lblAlgn val="ctr"/>
        <c:lblOffset val="100"/>
        <c:noMultiLvlLbl val="0"/>
      </c:catAx>
      <c:valAx>
        <c:axId val="41786159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5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[1]Sheet1!$N$38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[1]Sheet1!$O$37:$P$37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[1]Sheet1!$O$38:$P$38</c:f>
              <c:numCache>
                <c:formatCode>General</c:formatCode>
                <c:ptCount val="2"/>
                <c:pt idx="0">
                  <c:v>2.9411764705882355</c:v>
                </c:pt>
                <c:pt idx="1">
                  <c:v>97.058823529411768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6-4D97-8828-A834B03615B3}"/>
            </c:ext>
          </c:extLst>
        </c:ser>
        <c:ser>
          <c:idx val="1"/>
          <c:order val="1"/>
          <c:tx>
            <c:strRef>
              <c:f>[1]Sheet1!$N$39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[1]Sheet1!$O$37:$P$37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[1]Sheet1!$O$39:$P$39</c:f>
              <c:numCache>
                <c:formatCode>General</c:formatCode>
                <c:ptCount val="2"/>
                <c:pt idx="0">
                  <c:v>91.34615384615384</c:v>
                </c:pt>
                <c:pt idx="1">
                  <c:v>8.6538461538461533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6-4D97-8828-A834B036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873728"/>
        <c:axId val="417874056"/>
      </c:lineChart>
      <c:catAx>
        <c:axId val="41787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74056"/>
        <c:crosses val="autoZero"/>
        <c:auto val="1"/>
        <c:lblAlgn val="ctr"/>
        <c:lblOffset val="100"/>
        <c:noMultiLvlLbl val="0"/>
      </c:catAx>
      <c:valAx>
        <c:axId val="4178740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7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[1]Sheet1!$AD$38</c:f>
              <c:strCache>
                <c:ptCount val="1"/>
                <c:pt idx="0">
                  <c:v>Dead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[1]Sheet1!$AE$37:$AF$37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[1]Sheet1!$AE$38:$AF$38</c:f>
              <c:numCache>
                <c:formatCode>General</c:formatCode>
                <c:ptCount val="2"/>
                <c:pt idx="0">
                  <c:v>3.0303030303030303</c:v>
                </c:pt>
                <c:pt idx="1">
                  <c:v>96.969696969696969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7-4108-9A7A-8D1776976F45}"/>
            </c:ext>
          </c:extLst>
        </c:ser>
        <c:ser>
          <c:idx val="1"/>
          <c:order val="1"/>
          <c:tx>
            <c:strRef>
              <c:f>[1]Sheet1!$AD$39</c:f>
              <c:strCache>
                <c:ptCount val="1"/>
                <c:pt idx="0">
                  <c:v>Alive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[1]Sheet1!$AE$37:$AF$37</c:f>
              <c:strCache>
                <c:ptCount val="2"/>
                <c:pt idx="0">
                  <c:v>R</c:v>
                </c:pt>
                <c:pt idx="1">
                  <c:v>S</c:v>
                </c:pt>
              </c:strCache>
            </c:strRef>
          </c:cat>
          <c:val>
            <c:numRef>
              <c:f>[1]Sheet1!$AE$39:$AF$39</c:f>
              <c:numCache>
                <c:formatCode>General</c:formatCode>
                <c:ptCount val="2"/>
                <c:pt idx="0">
                  <c:v>60.909090909090907</c:v>
                </c:pt>
                <c:pt idx="1">
                  <c:v>39.090909090909093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7-4108-9A7A-8D1776976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4560"/>
        <c:axId val="422900136"/>
      </c:lineChart>
      <c:catAx>
        <c:axId val="4228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900136"/>
        <c:crosses val="autoZero"/>
        <c:auto val="1"/>
        <c:lblAlgn val="ctr"/>
        <c:lblOffset val="100"/>
        <c:noMultiLvlLbl val="0"/>
      </c:catAx>
      <c:valAx>
        <c:axId val="4229001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8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Genotype</a:t>
            </a:r>
            <a:r>
              <a:rPr lang="en-US" b="1" baseline="0"/>
              <a:t> combination frequency (PermaNet 2.0 exposed)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[1]Sheet1!$AM$7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[1]Sheet1!$AN$6:$AS$6</c:f>
              <c:strCache>
                <c:ptCount val="6"/>
                <c:pt idx="0">
                  <c:v>RR/RR/RR</c:v>
                </c:pt>
                <c:pt idx="1">
                  <c:v>RR/RS/RR</c:v>
                </c:pt>
                <c:pt idx="2">
                  <c:v>RR/RS/RS</c:v>
                </c:pt>
                <c:pt idx="3">
                  <c:v>RS/RS/RS</c:v>
                </c:pt>
                <c:pt idx="4">
                  <c:v>RS/SS/SS</c:v>
                </c:pt>
                <c:pt idx="5">
                  <c:v>SS/SS/SS</c:v>
                </c:pt>
              </c:strCache>
            </c:strRef>
          </c:cat>
          <c:val>
            <c:numRef>
              <c:f>[1]Sheet1!$AN$7:$AS$7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C-4C04-B4D9-9031C5C97543}"/>
            </c:ext>
          </c:extLst>
        </c:ser>
        <c:ser>
          <c:idx val="1"/>
          <c:order val="1"/>
          <c:tx>
            <c:strRef>
              <c:f>[1]Sheet1!$AM$8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[1]Sheet1!$AN$6:$AS$6</c:f>
              <c:strCache>
                <c:ptCount val="6"/>
                <c:pt idx="0">
                  <c:v>RR/RR/RR</c:v>
                </c:pt>
                <c:pt idx="1">
                  <c:v>RR/RS/RR</c:v>
                </c:pt>
                <c:pt idx="2">
                  <c:v>RR/RS/RS</c:v>
                </c:pt>
                <c:pt idx="3">
                  <c:v>RS/RS/RS</c:v>
                </c:pt>
                <c:pt idx="4">
                  <c:v>RS/SS/SS</c:v>
                </c:pt>
                <c:pt idx="5">
                  <c:v>SS/SS/SS</c:v>
                </c:pt>
              </c:strCache>
            </c:strRef>
          </c:cat>
          <c:val>
            <c:numRef>
              <c:f>[1]Sheet1!$AN$8:$AS$8</c:f>
              <c:numCache>
                <c:formatCode>General</c:formatCode>
                <c:ptCount val="6"/>
                <c:pt idx="0">
                  <c:v>14</c:v>
                </c:pt>
                <c:pt idx="1">
                  <c:v>3</c:v>
                </c:pt>
                <c:pt idx="2">
                  <c:v>28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BC-4C04-B4D9-9031C5C97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7857000"/>
        <c:axId val="417879304"/>
      </c:barChart>
      <c:catAx>
        <c:axId val="417857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SV/CYP6P9a/CYP69b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79304"/>
        <c:crosses val="autoZero"/>
        <c:auto val="1"/>
        <c:lblAlgn val="ctr"/>
        <c:lblOffset val="100"/>
        <c:noMultiLvlLbl val="0"/>
      </c:catAx>
      <c:valAx>
        <c:axId val="417879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857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/>
              <a:t>Genotype</a:t>
            </a:r>
            <a:r>
              <a:rPr lang="en-GB" sz="1100" b="1" baseline="0"/>
              <a:t> frequency of the 6.5 kb SV in sherlock exposed F6 hybrids</a:t>
            </a:r>
            <a:endParaRPr lang="en-GB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'[2]Sherlock exposed'!$M$7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exposed'!$N$6:$P$6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exposed'!$N$7:$P$7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D-4DFD-B000-A3C5BD877BEF}"/>
            </c:ext>
          </c:extLst>
        </c:ser>
        <c:ser>
          <c:idx val="1"/>
          <c:order val="1"/>
          <c:tx>
            <c:strRef>
              <c:f>'[2]Sherlock exposed'!$M$8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exposed'!$N$6:$P$6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exposed'!$N$8:$P$8</c:f>
              <c:numCache>
                <c:formatCode>General</c:formatCode>
                <c:ptCount val="3"/>
                <c:pt idx="0">
                  <c:v>40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CD-4DFD-B000-A3C5BD87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7231664"/>
        <c:axId val="477229368"/>
      </c:barChart>
      <c:catAx>
        <c:axId val="47723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6.5</a:t>
                </a:r>
                <a:r>
                  <a:rPr lang="en-GB" b="1" baseline="0"/>
                  <a:t> kb SV g</a:t>
                </a:r>
                <a:r>
                  <a:rPr lang="en-GB" b="1"/>
                  <a:t>enotype</a:t>
                </a:r>
                <a:r>
                  <a:rPr lang="en-GB" b="1" baseline="0"/>
                  <a:t> 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29368"/>
        <c:crosses val="autoZero"/>
        <c:auto val="1"/>
        <c:lblAlgn val="ctr"/>
        <c:lblOffset val="100"/>
        <c:noMultiLvlLbl val="0"/>
      </c:catAx>
      <c:valAx>
        <c:axId val="477229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3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 i="0"/>
              <a:t>Genotype frequency of </a:t>
            </a:r>
            <a:r>
              <a:rPr lang="en-GB" sz="1200" b="1" i="1"/>
              <a:t>CYP6P9b</a:t>
            </a:r>
            <a:r>
              <a:rPr lang="en-GB" sz="1200" b="1" i="0" baseline="0"/>
              <a:t> in Sherlock exposed F6 hybrids</a:t>
            </a:r>
            <a:endParaRPr lang="en-GB" sz="1200" b="1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'[2]Sherlock exposed'!$AA$7</c:f>
              <c:strCache>
                <c:ptCount val="1"/>
                <c:pt idx="0">
                  <c:v>Dead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exposed'!$AB$6:$AD$6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exposed'!$AB$7:$AD$7</c:f>
              <c:numCache>
                <c:formatCode>General</c:formatCode>
                <c:ptCount val="3"/>
                <c:pt idx="0">
                  <c:v>1</c:v>
                </c:pt>
                <c:pt idx="1">
                  <c:v>18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9-45B3-B659-E30A94F12253}"/>
            </c:ext>
          </c:extLst>
        </c:ser>
        <c:ser>
          <c:idx val="1"/>
          <c:order val="1"/>
          <c:tx>
            <c:strRef>
              <c:f>'[2]Sherlock exposed'!$AA$8</c:f>
              <c:strCache>
                <c:ptCount val="1"/>
                <c:pt idx="0">
                  <c:v>Alive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'[2]Sherlock exposed'!$AB$6:$AD$6</c:f>
              <c:strCache>
                <c:ptCount val="3"/>
                <c:pt idx="0">
                  <c:v>RR</c:v>
                </c:pt>
                <c:pt idx="1">
                  <c:v>RS</c:v>
                </c:pt>
                <c:pt idx="2">
                  <c:v>SS</c:v>
                </c:pt>
              </c:strCache>
            </c:strRef>
          </c:cat>
          <c:val>
            <c:numRef>
              <c:f>'[2]Sherlock exposed'!$AB$8:$AD$8</c:f>
              <c:numCache>
                <c:formatCode>General</c:formatCode>
                <c:ptCount val="3"/>
                <c:pt idx="0">
                  <c:v>24</c:v>
                </c:pt>
                <c:pt idx="1">
                  <c:v>27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9-45B3-B659-E30A94F1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097168"/>
        <c:axId val="474098152"/>
      </c:barChart>
      <c:catAx>
        <c:axId val="474097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 i="1"/>
                  <a:t>CYP6P9b</a:t>
                </a:r>
                <a:r>
                  <a:rPr lang="en-GB" b="1"/>
                  <a:t> genotype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8152"/>
        <c:crosses val="autoZero"/>
        <c:auto val="1"/>
        <c:lblAlgn val="ctr"/>
        <c:lblOffset val="100"/>
        <c:noMultiLvlLbl val="0"/>
      </c:catAx>
      <c:valAx>
        <c:axId val="474098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%Frequency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09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469900</xdr:colOff>
          <xdr:row>14</xdr:row>
          <xdr:rowOff>114300</xdr:rowOff>
        </xdr:from>
        <xdr:to>
          <xdr:col>18</xdr:col>
          <xdr:colOff>1771650</xdr:colOff>
          <xdr:row>25</xdr:row>
          <xdr:rowOff>101600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794573</xdr:colOff>
      <xdr:row>55</xdr:row>
      <xdr:rowOff>22265</xdr:rowOff>
    </xdr:from>
    <xdr:to>
      <xdr:col>85</xdr:col>
      <xdr:colOff>625929</xdr:colOff>
      <xdr:row>72</xdr:row>
      <xdr:rowOff>104732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603250</xdr:colOff>
          <xdr:row>58</xdr:row>
          <xdr:rowOff>127000</xdr:rowOff>
        </xdr:from>
        <xdr:to>
          <xdr:col>93</xdr:col>
          <xdr:colOff>323850</xdr:colOff>
          <xdr:row>79</xdr:row>
          <xdr:rowOff>95250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285750</xdr:colOff>
          <xdr:row>42</xdr:row>
          <xdr:rowOff>38100</xdr:rowOff>
        </xdr:from>
        <xdr:to>
          <xdr:col>93</xdr:col>
          <xdr:colOff>120650</xdr:colOff>
          <xdr:row>58</xdr:row>
          <xdr:rowOff>12700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9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469900</xdr:colOff>
          <xdr:row>53</xdr:row>
          <xdr:rowOff>146050</xdr:rowOff>
        </xdr:from>
        <xdr:to>
          <xdr:col>40</xdr:col>
          <xdr:colOff>762000</xdr:colOff>
          <xdr:row>71</xdr:row>
          <xdr:rowOff>114300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A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25</xdr:row>
          <xdr:rowOff>69850</xdr:rowOff>
        </xdr:from>
        <xdr:to>
          <xdr:col>17</xdr:col>
          <xdr:colOff>311150</xdr:colOff>
          <xdr:row>36</xdr:row>
          <xdr:rowOff>57150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533400</xdr:colOff>
          <xdr:row>14</xdr:row>
          <xdr:rowOff>76200</xdr:rowOff>
        </xdr:from>
        <xdr:to>
          <xdr:col>18</xdr:col>
          <xdr:colOff>317500</xdr:colOff>
          <xdr:row>28</xdr:row>
          <xdr:rowOff>107950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571500</xdr:colOff>
          <xdr:row>18</xdr:row>
          <xdr:rowOff>114300</xdr:rowOff>
        </xdr:from>
        <xdr:to>
          <xdr:col>23</xdr:col>
          <xdr:colOff>133350</xdr:colOff>
          <xdr:row>30</xdr:row>
          <xdr:rowOff>107950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21</xdr:row>
          <xdr:rowOff>44450</xdr:rowOff>
        </xdr:from>
        <xdr:to>
          <xdr:col>17</xdr:col>
          <xdr:colOff>495300</xdr:colOff>
          <xdr:row>33</xdr:row>
          <xdr:rowOff>82550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819150</xdr:colOff>
      <xdr:row>17</xdr:row>
      <xdr:rowOff>177345</xdr:rowOff>
    </xdr:from>
    <xdr:to>
      <xdr:col>17</xdr:col>
      <xdr:colOff>76201</xdr:colOff>
      <xdr:row>30</xdr:row>
      <xdr:rowOff>53068</xdr:rowOff>
    </xdr:to>
    <xdr:graphicFrame macro="">
      <xdr:nvGraphicFramePr>
        <xdr:cNvPr id="2" name="Chart 1" title="Genotype frequency of the 6.5 kb SV in Permanet 2.0 exposed F6 hybrid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532947</xdr:colOff>
      <xdr:row>17</xdr:row>
      <xdr:rowOff>98425</xdr:rowOff>
    </xdr:from>
    <xdr:to>
      <xdr:col>24</xdr:col>
      <xdr:colOff>447222</xdr:colOff>
      <xdr:row>27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804635</xdr:colOff>
      <xdr:row>17</xdr:row>
      <xdr:rowOff>125185</xdr:rowOff>
    </xdr:from>
    <xdr:to>
      <xdr:col>31</xdr:col>
      <xdr:colOff>842736</xdr:colOff>
      <xdr:row>28</xdr:row>
      <xdr:rowOff>96610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1108528</xdr:colOff>
      <xdr:row>35</xdr:row>
      <xdr:rowOff>117928</xdr:rowOff>
    </xdr:from>
    <xdr:to>
      <xdr:col>24</xdr:col>
      <xdr:colOff>32658</xdr:colOff>
      <xdr:row>44</xdr:row>
      <xdr:rowOff>83911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686707</xdr:colOff>
      <xdr:row>35</xdr:row>
      <xdr:rowOff>172357</xdr:rowOff>
    </xdr:from>
    <xdr:to>
      <xdr:col>16</xdr:col>
      <xdr:colOff>145142</xdr:colOff>
      <xdr:row>45</xdr:row>
      <xdr:rowOff>24491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390980</xdr:colOff>
      <xdr:row>35</xdr:row>
      <xdr:rowOff>99088</xdr:rowOff>
    </xdr:from>
    <xdr:to>
      <xdr:col>32</xdr:col>
      <xdr:colOff>124280</xdr:colOff>
      <xdr:row>44</xdr:row>
      <xdr:rowOff>85068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434748</xdr:colOff>
      <xdr:row>17</xdr:row>
      <xdr:rowOff>6349</xdr:rowOff>
    </xdr:from>
    <xdr:to>
      <xdr:col>43</xdr:col>
      <xdr:colOff>63501</xdr:colOff>
      <xdr:row>30</xdr:row>
      <xdr:rowOff>27214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400050</xdr:colOff>
          <xdr:row>16</xdr:row>
          <xdr:rowOff>171450</xdr:rowOff>
        </xdr:from>
        <xdr:to>
          <xdr:col>42</xdr:col>
          <xdr:colOff>882650</xdr:colOff>
          <xdr:row>30</xdr:row>
          <xdr:rowOff>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882650</xdr:colOff>
          <xdr:row>17</xdr:row>
          <xdr:rowOff>114300</xdr:rowOff>
        </xdr:from>
        <xdr:to>
          <xdr:col>16</xdr:col>
          <xdr:colOff>438150</xdr:colOff>
          <xdr:row>29</xdr:row>
          <xdr:rowOff>139700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13</xdr:col>
      <xdr:colOff>57150</xdr:colOff>
      <xdr:row>49</xdr:row>
      <xdr:rowOff>4547</xdr:rowOff>
    </xdr:from>
    <xdr:to>
      <xdr:col>15</xdr:col>
      <xdr:colOff>85725</xdr:colOff>
      <xdr:row>59</xdr:row>
      <xdr:rowOff>171450</xdr:rowOff>
    </xdr:to>
    <xdr:sp macro="" textlink="">
      <xdr:nvSpPr>
        <xdr:cNvPr id="5128" name="Object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0000000-0008-0000-0500-000008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406400</xdr:colOff>
          <xdr:row>17</xdr:row>
          <xdr:rowOff>152400</xdr:rowOff>
        </xdr:from>
        <xdr:to>
          <xdr:col>24</xdr:col>
          <xdr:colOff>273050</xdr:colOff>
          <xdr:row>29</xdr:row>
          <xdr:rowOff>44450</xdr:rowOff>
        </xdr:to>
        <xdr:sp macro="" textlink="">
          <xdr:nvSpPr>
            <xdr:cNvPr id="5178" name="Object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5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241300</xdr:colOff>
          <xdr:row>35</xdr:row>
          <xdr:rowOff>44450</xdr:rowOff>
        </xdr:from>
        <xdr:to>
          <xdr:col>23</xdr:col>
          <xdr:colOff>755650</xdr:colOff>
          <xdr:row>45</xdr:row>
          <xdr:rowOff>146050</xdr:rowOff>
        </xdr:to>
        <xdr:sp macro="" textlink="">
          <xdr:nvSpPr>
            <xdr:cNvPr id="5179" name="Object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5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438150</xdr:colOff>
          <xdr:row>17</xdr:row>
          <xdr:rowOff>12700</xdr:rowOff>
        </xdr:from>
        <xdr:to>
          <xdr:col>32</xdr:col>
          <xdr:colOff>520700</xdr:colOff>
          <xdr:row>29</xdr:row>
          <xdr:rowOff>69850</xdr:rowOff>
        </xdr:to>
        <xdr:sp macro="" textlink="">
          <xdr:nvSpPr>
            <xdr:cNvPr id="5232" name="Object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419100</xdr:colOff>
          <xdr:row>35</xdr:row>
          <xdr:rowOff>50800</xdr:rowOff>
        </xdr:from>
        <xdr:to>
          <xdr:col>32</xdr:col>
          <xdr:colOff>495300</xdr:colOff>
          <xdr:row>46</xdr:row>
          <xdr:rowOff>69850</xdr:rowOff>
        </xdr:to>
        <xdr:sp macro="" textlink="">
          <xdr:nvSpPr>
            <xdr:cNvPr id="5234" name="Object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669470</xdr:colOff>
      <xdr:row>18</xdr:row>
      <xdr:rowOff>159205</xdr:rowOff>
    </xdr:from>
    <xdr:to>
      <xdr:col>15</xdr:col>
      <xdr:colOff>419099</xdr:colOff>
      <xdr:row>29</xdr:row>
      <xdr:rowOff>181427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1224644</xdr:colOff>
      <xdr:row>18</xdr:row>
      <xdr:rowOff>56248</xdr:rowOff>
    </xdr:from>
    <xdr:to>
      <xdr:col>29</xdr:col>
      <xdr:colOff>453573</xdr:colOff>
      <xdr:row>29</xdr:row>
      <xdr:rowOff>72576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1588862</xdr:colOff>
      <xdr:row>18</xdr:row>
      <xdr:rowOff>72572</xdr:rowOff>
    </xdr:from>
    <xdr:to>
      <xdr:col>21</xdr:col>
      <xdr:colOff>453572</xdr:colOff>
      <xdr:row>29</xdr:row>
      <xdr:rowOff>117928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18</xdr:row>
          <xdr:rowOff>146050</xdr:rowOff>
        </xdr:from>
        <xdr:to>
          <xdr:col>15</xdr:col>
          <xdr:colOff>101600</xdr:colOff>
          <xdr:row>29</xdr:row>
          <xdr:rowOff>50800</xdr:rowOff>
        </xdr:to>
        <xdr:sp macro="" textlink="">
          <xdr:nvSpPr>
            <xdr:cNvPr id="4105" name="Object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6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1670050</xdr:colOff>
          <xdr:row>18</xdr:row>
          <xdr:rowOff>88900</xdr:rowOff>
        </xdr:from>
        <xdr:to>
          <xdr:col>21</xdr:col>
          <xdr:colOff>730250</xdr:colOff>
          <xdr:row>29</xdr:row>
          <xdr:rowOff>107950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6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1098550</xdr:colOff>
          <xdr:row>18</xdr:row>
          <xdr:rowOff>57150</xdr:rowOff>
        </xdr:from>
        <xdr:to>
          <xdr:col>29</xdr:col>
          <xdr:colOff>400050</xdr:colOff>
          <xdr:row>29</xdr:row>
          <xdr:rowOff>107950</xdr:rowOff>
        </xdr:to>
        <xdr:sp macro="" textlink="">
          <xdr:nvSpPr>
            <xdr:cNvPr id="4107" name="Object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6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88900</xdr:colOff>
          <xdr:row>23</xdr:row>
          <xdr:rowOff>88900</xdr:rowOff>
        </xdr:from>
        <xdr:to>
          <xdr:col>38</xdr:col>
          <xdr:colOff>247650</xdr:colOff>
          <xdr:row>37</xdr:row>
          <xdr:rowOff>146050</xdr:rowOff>
        </xdr:to>
        <xdr:sp macro="" textlink="">
          <xdr:nvSpPr>
            <xdr:cNvPr id="4108" name="Object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6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36</xdr:row>
          <xdr:rowOff>19050</xdr:rowOff>
        </xdr:from>
        <xdr:to>
          <xdr:col>14</xdr:col>
          <xdr:colOff>654050</xdr:colOff>
          <xdr:row>46</xdr:row>
          <xdr:rowOff>19050</xdr:rowOff>
        </xdr:to>
        <xdr:sp macro="" textlink="">
          <xdr:nvSpPr>
            <xdr:cNvPr id="4109" name="Object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6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1708150</xdr:colOff>
          <xdr:row>35</xdr:row>
          <xdr:rowOff>107950</xdr:rowOff>
        </xdr:from>
        <xdr:to>
          <xdr:col>21</xdr:col>
          <xdr:colOff>520700</xdr:colOff>
          <xdr:row>45</xdr:row>
          <xdr:rowOff>44450</xdr:rowOff>
        </xdr:to>
        <xdr:sp macro="" textlink="">
          <xdr:nvSpPr>
            <xdr:cNvPr id="4111" name="Object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6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1276350</xdr:colOff>
          <xdr:row>35</xdr:row>
          <xdr:rowOff>44450</xdr:rowOff>
        </xdr:from>
        <xdr:to>
          <xdr:col>29</xdr:col>
          <xdr:colOff>254000</xdr:colOff>
          <xdr:row>45</xdr:row>
          <xdr:rowOff>63500</xdr:rowOff>
        </xdr:to>
        <xdr:sp macro="" textlink="">
          <xdr:nvSpPr>
            <xdr:cNvPr id="4112" name="Object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6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1739900</xdr:colOff>
          <xdr:row>22</xdr:row>
          <xdr:rowOff>107950</xdr:rowOff>
        </xdr:from>
        <xdr:to>
          <xdr:col>45</xdr:col>
          <xdr:colOff>774700</xdr:colOff>
          <xdr:row>34</xdr:row>
          <xdr:rowOff>44450</xdr:rowOff>
        </xdr:to>
        <xdr:sp macro="" textlink="">
          <xdr:nvSpPr>
            <xdr:cNvPr id="4113" name="Object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6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444501</xdr:colOff>
      <xdr:row>36</xdr:row>
      <xdr:rowOff>90487</xdr:rowOff>
    </xdr:from>
    <xdr:to>
      <xdr:col>13</xdr:col>
      <xdr:colOff>1031875</xdr:colOff>
      <xdr:row>50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17</xdr:row>
          <xdr:rowOff>146050</xdr:rowOff>
        </xdr:from>
        <xdr:to>
          <xdr:col>12</xdr:col>
          <xdr:colOff>952500</xdr:colOff>
          <xdr:row>30</xdr:row>
          <xdr:rowOff>171450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7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393700</xdr:colOff>
          <xdr:row>36</xdr:row>
          <xdr:rowOff>152400</xdr:rowOff>
        </xdr:from>
        <xdr:to>
          <xdr:col>13</xdr:col>
          <xdr:colOff>908050</xdr:colOff>
          <xdr:row>51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7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603250</xdr:colOff>
          <xdr:row>18</xdr:row>
          <xdr:rowOff>6350</xdr:rowOff>
        </xdr:from>
        <xdr:to>
          <xdr:col>15</xdr:col>
          <xdr:colOff>292100</xdr:colOff>
          <xdr:row>31</xdr:row>
          <xdr:rowOff>44450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7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1147624</xdr:colOff>
      <xdr:row>36</xdr:row>
      <xdr:rowOff>55846</xdr:rowOff>
    </xdr:from>
    <xdr:to>
      <xdr:col>13</xdr:col>
      <xdr:colOff>923641</xdr:colOff>
      <xdr:row>47</xdr:row>
      <xdr:rowOff>70134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17</xdr:row>
          <xdr:rowOff>101600</xdr:rowOff>
        </xdr:from>
        <xdr:to>
          <xdr:col>12</xdr:col>
          <xdr:colOff>806450</xdr:colOff>
          <xdr:row>30</xdr:row>
          <xdr:rowOff>152400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8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1149350</xdr:colOff>
          <xdr:row>36</xdr:row>
          <xdr:rowOff>165100</xdr:rowOff>
        </xdr:from>
        <xdr:to>
          <xdr:col>13</xdr:col>
          <xdr:colOff>965200</xdr:colOff>
          <xdr:row>47</xdr:row>
          <xdr:rowOff>12700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8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177800</xdr:colOff>
          <xdr:row>17</xdr:row>
          <xdr:rowOff>63500</xdr:rowOff>
        </xdr:from>
        <xdr:to>
          <xdr:col>16</xdr:col>
          <xdr:colOff>25400</xdr:colOff>
          <xdr:row>30</xdr:row>
          <xdr:rowOff>139700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8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1-Cone%20assays\1-lab%20strains\2-Perm.2.0\1-PermaNet%202.0%20-%20Genotyping%20results%20(6.5kSV,6p9a%20&amp;%206p9b).xlsx" TargetMode="External"/><Relationship Id="rId1" Type="http://schemas.openxmlformats.org/officeDocument/2006/relationships/externalLinkPath" Target="/Users/Owner/Desktop/2022_2023-2024/My%20project/4-IVCC%20Project/Genotyping%20results/1-Cone%20assays/1-lab%20strains/2-Perm.2.0/1-PermaNet%202.0%20-%20Genotyping%20results%20(6.5kSV,6p9a%20&amp;%206p9b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1-Cone%20assays\1-lab%20strains\1-Sherlock\1-Sherlock%20net-Genotyping%20results(6.5kbins,%206p9a,%206p9b).xlsx" TargetMode="External"/><Relationship Id="rId1" Type="http://schemas.openxmlformats.org/officeDocument/2006/relationships/externalLinkPath" Target="/Users/Owner/Desktop/2022_2023-2024/My%20project/4-IVCC%20Project/Genotyping%20results/1-Cone%20assays/1-lab%20strains/1-Sherlock/1-Sherlock%20net-Genotyping%20results(6.5kbins,%206p9a,%206p9b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Genotyping%20results\1-Cone%20assays\2-field%20strains\1-sherlock_PermaNet2.0\01.03.22.%20GSTe2%20genotyping%20An.%20fun.%20(Mib)%20F1.%20Alive%20(1-45).%20Dead%20(1-16).xlsx" TargetMode="External"/><Relationship Id="rId1" Type="http://schemas.openxmlformats.org/officeDocument/2006/relationships/externalLinkPath" Target="/Users/Owner/Desktop/2022_2023-2024/My%20project/4-IVCC%20Project/Genotyping%20results/1-Cone%20assays/2-field%20strains/1-sherlock_PermaNet2.0/01.03.22.%20GSTe2%20genotyping%20An.%20fun.%20(Mib)%20F1.%20Alive%20(1-45).%20Dead%20(1-16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2022_2023-2024\My%20project\4-IVCC%20Project\qPCR%20results\Mibellon\1-Cone%20assay\20.04.22.%20qPCR_field%20strain_cone%20assays__spreadsheet%20results.xlsx" TargetMode="External"/><Relationship Id="rId1" Type="http://schemas.openxmlformats.org/officeDocument/2006/relationships/externalLinkPath" Target="/Users/Owner/Desktop/2022_2023-2024/My%20project/4-IVCC%20Project/qPCR%20results/Mibellon/1-Cone%20assay/20.04.22.%20qPCR_field%20strain_cone%20assays__spreadsheet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O6" t="str">
            <v>RR</v>
          </cell>
          <cell r="P6" t="str">
            <v>RS</v>
          </cell>
          <cell r="Q6" t="str">
            <v>SS</v>
          </cell>
          <cell r="W6" t="str">
            <v>RR</v>
          </cell>
          <cell r="X6" t="str">
            <v>RS</v>
          </cell>
          <cell r="Y6" t="str">
            <v>SS</v>
          </cell>
          <cell r="AE6" t="str">
            <v>RR</v>
          </cell>
          <cell r="AF6" t="str">
            <v>RS</v>
          </cell>
          <cell r="AG6" t="str">
            <v>SS</v>
          </cell>
          <cell r="AN6" t="str">
            <v>RR/RR/RR</v>
          </cell>
          <cell r="AO6" t="str">
            <v>RR/RS/RR</v>
          </cell>
          <cell r="AP6" t="str">
            <v>RR/RS/RS</v>
          </cell>
          <cell r="AQ6" t="str">
            <v>RS/RS/RS</v>
          </cell>
          <cell r="AR6" t="str">
            <v>RS/SS/SS</v>
          </cell>
          <cell r="AS6" t="str">
            <v>SS/SS/SS</v>
          </cell>
        </row>
        <row r="7">
          <cell r="N7" t="str">
            <v>Dead</v>
          </cell>
          <cell r="O7">
            <v>0</v>
          </cell>
          <cell r="P7">
            <v>2</v>
          </cell>
          <cell r="Q7">
            <v>32</v>
          </cell>
          <cell r="V7" t="str">
            <v>Dead</v>
          </cell>
          <cell r="W7">
            <v>1</v>
          </cell>
          <cell r="X7">
            <v>1</v>
          </cell>
          <cell r="Y7">
            <v>32</v>
          </cell>
          <cell r="AD7" t="str">
            <v>Dead</v>
          </cell>
          <cell r="AE7">
            <v>1</v>
          </cell>
          <cell r="AF7">
            <v>0</v>
          </cell>
          <cell r="AG7">
            <v>32</v>
          </cell>
          <cell r="AM7" t="str">
            <v>Dead</v>
          </cell>
          <cell r="AN7">
            <v>0</v>
          </cell>
          <cell r="AO7">
            <v>1</v>
          </cell>
          <cell r="AP7">
            <v>0</v>
          </cell>
          <cell r="AQ7">
            <v>0</v>
          </cell>
          <cell r="AR7">
            <v>2</v>
          </cell>
          <cell r="AS7">
            <v>30</v>
          </cell>
        </row>
        <row r="8">
          <cell r="N8" t="str">
            <v>Alive</v>
          </cell>
          <cell r="O8">
            <v>45</v>
          </cell>
          <cell r="P8">
            <v>5</v>
          </cell>
          <cell r="Q8">
            <v>2</v>
          </cell>
          <cell r="V8" t="str">
            <v>Alive</v>
          </cell>
          <cell r="W8">
            <v>14</v>
          </cell>
          <cell r="X8">
            <v>38</v>
          </cell>
          <cell r="Y8">
            <v>3</v>
          </cell>
          <cell r="AD8" t="str">
            <v>Alive</v>
          </cell>
          <cell r="AE8">
            <v>17</v>
          </cell>
          <cell r="AF8">
            <v>33</v>
          </cell>
          <cell r="AG8">
            <v>5</v>
          </cell>
          <cell r="AM8" t="str">
            <v>Alive</v>
          </cell>
          <cell r="AN8">
            <v>14</v>
          </cell>
          <cell r="AO8">
            <v>3</v>
          </cell>
          <cell r="AP8">
            <v>28</v>
          </cell>
          <cell r="AQ8">
            <v>5</v>
          </cell>
          <cell r="AR8">
            <v>2</v>
          </cell>
          <cell r="AS8">
            <v>0</v>
          </cell>
        </row>
        <row r="37">
          <cell r="O37" t="str">
            <v>R</v>
          </cell>
          <cell r="P37" t="str">
            <v>S</v>
          </cell>
          <cell r="W37" t="str">
            <v>R</v>
          </cell>
          <cell r="X37" t="str">
            <v>S</v>
          </cell>
          <cell r="AE37" t="str">
            <v>R</v>
          </cell>
          <cell r="AF37" t="str">
            <v>S</v>
          </cell>
        </row>
        <row r="38">
          <cell r="N38" t="str">
            <v>Dead</v>
          </cell>
          <cell r="O38">
            <v>2.9411764705882355</v>
          </cell>
          <cell r="P38">
            <v>97.058823529411768</v>
          </cell>
          <cell r="V38" t="str">
            <v>Dead</v>
          </cell>
          <cell r="W38">
            <v>4.4117647058823533</v>
          </cell>
          <cell r="X38">
            <v>95.588235294117652</v>
          </cell>
          <cell r="AD38" t="str">
            <v>Dead</v>
          </cell>
          <cell r="AE38">
            <v>3.0303030303030303</v>
          </cell>
          <cell r="AF38">
            <v>96.969696969696969</v>
          </cell>
        </row>
        <row r="39">
          <cell r="N39" t="str">
            <v>Alive</v>
          </cell>
          <cell r="O39">
            <v>91.34615384615384</v>
          </cell>
          <cell r="P39">
            <v>8.6538461538461533</v>
          </cell>
          <cell r="V39" t="str">
            <v>Alive</v>
          </cell>
          <cell r="W39">
            <v>60</v>
          </cell>
          <cell r="X39">
            <v>40</v>
          </cell>
          <cell r="AD39" t="str">
            <v>Alive</v>
          </cell>
          <cell r="AE39">
            <v>60.909090909090907</v>
          </cell>
          <cell r="AF39">
            <v>39.090909090909093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rlock exposed"/>
    </sheetNames>
    <sheetDataSet>
      <sheetData sheetId="0">
        <row r="6">
          <cell r="N6" t="str">
            <v>RR</v>
          </cell>
          <cell r="O6" t="str">
            <v>RS</v>
          </cell>
          <cell r="P6" t="str">
            <v>SS</v>
          </cell>
          <cell r="U6" t="str">
            <v>RR</v>
          </cell>
          <cell r="V6" t="str">
            <v>RS</v>
          </cell>
          <cell r="W6" t="str">
            <v>SS</v>
          </cell>
          <cell r="AB6" t="str">
            <v>RR</v>
          </cell>
          <cell r="AC6" t="str">
            <v>RS</v>
          </cell>
          <cell r="AD6" t="str">
            <v>SS</v>
          </cell>
        </row>
        <row r="7">
          <cell r="M7" t="str">
            <v>Dead</v>
          </cell>
          <cell r="N7">
            <v>3</v>
          </cell>
          <cell r="O7">
            <v>13</v>
          </cell>
          <cell r="P7">
            <v>37</v>
          </cell>
          <cell r="T7" t="str">
            <v>Dead</v>
          </cell>
          <cell r="U7">
            <v>2</v>
          </cell>
          <cell r="V7">
            <v>15</v>
          </cell>
          <cell r="W7">
            <v>37</v>
          </cell>
          <cell r="AA7" t="str">
            <v>Dead</v>
          </cell>
          <cell r="AB7">
            <v>1</v>
          </cell>
          <cell r="AC7">
            <v>18</v>
          </cell>
          <cell r="AD7">
            <v>38</v>
          </cell>
        </row>
        <row r="8">
          <cell r="M8" t="str">
            <v>Alive</v>
          </cell>
          <cell r="N8">
            <v>40</v>
          </cell>
          <cell r="O8">
            <v>10</v>
          </cell>
          <cell r="P8">
            <v>8</v>
          </cell>
          <cell r="T8" t="str">
            <v>Alive</v>
          </cell>
          <cell r="U8">
            <v>12</v>
          </cell>
          <cell r="V8">
            <v>36</v>
          </cell>
          <cell r="W8">
            <v>9</v>
          </cell>
          <cell r="AA8" t="str">
            <v>Alive</v>
          </cell>
          <cell r="AB8">
            <v>24</v>
          </cell>
          <cell r="AC8">
            <v>27</v>
          </cell>
          <cell r="AD8">
            <v>11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rlock"/>
      <sheetName val="Perm.2.0."/>
    </sheetNames>
    <sheetDataSet>
      <sheetData sheetId="0">
        <row r="35">
          <cell r="L35" t="str">
            <v>R</v>
          </cell>
          <cell r="M35" t="str">
            <v>S</v>
          </cell>
        </row>
        <row r="36">
          <cell r="K36" t="str">
            <v>Dead</v>
          </cell>
          <cell r="L36">
            <v>35.714285714285715</v>
          </cell>
          <cell r="M36">
            <v>64.285714285714292</v>
          </cell>
        </row>
        <row r="37">
          <cell r="K37" t="str">
            <v>Alive</v>
          </cell>
          <cell r="L37">
            <v>30</v>
          </cell>
          <cell r="M37">
            <v>70</v>
          </cell>
        </row>
      </sheetData>
      <sheetData sheetId="1">
        <row r="35">
          <cell r="L35" t="str">
            <v>R</v>
          </cell>
          <cell r="M35" t="str">
            <v>S</v>
          </cell>
        </row>
        <row r="36">
          <cell r="K36" t="str">
            <v>Dead</v>
          </cell>
          <cell r="L36">
            <v>15.789473684210526</v>
          </cell>
          <cell r="M36">
            <v>84.210526315789465</v>
          </cell>
        </row>
        <row r="37">
          <cell r="K37" t="str">
            <v>Alive</v>
          </cell>
          <cell r="L37">
            <v>23.863636363636363</v>
          </cell>
          <cell r="M37">
            <v>76.13636363636364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1"/>
    </sheetNames>
    <sheetDataSet>
      <sheetData sheetId="0">
        <row r="37">
          <cell r="CB37" t="str">
            <v>CYP6P9a</v>
          </cell>
          <cell r="CC37" t="str">
            <v>CYP6P9b</v>
          </cell>
          <cell r="CD37" t="str">
            <v>CYP9K1</v>
          </cell>
          <cell r="CE37" t="str">
            <v>CY325A</v>
          </cell>
          <cell r="CF37" t="str">
            <v>GSTe2</v>
          </cell>
          <cell r="CG37" t="str">
            <v>CarboxyesteraseE2</v>
          </cell>
        </row>
        <row r="38">
          <cell r="CA38" t="str">
            <v>Control Net</v>
          </cell>
          <cell r="CB38">
            <v>2.2299671689668981</v>
          </cell>
          <cell r="CC38">
            <v>1.6510595875035425</v>
          </cell>
          <cell r="CD38">
            <v>27.251203256894982</v>
          </cell>
          <cell r="CE38">
            <v>55.891486276836396</v>
          </cell>
          <cell r="CF38">
            <v>7.6370265920674179</v>
          </cell>
          <cell r="CG38">
            <v>2.6693909271664471</v>
          </cell>
        </row>
        <row r="39">
          <cell r="CA39" t="str">
            <v>Perm. 2.0</v>
          </cell>
          <cell r="CB39">
            <v>1.5283097968899408</v>
          </cell>
          <cell r="CC39">
            <v>1.1748539064295869</v>
          </cell>
          <cell r="CD39">
            <v>14.475336529284428</v>
          </cell>
          <cell r="CE39">
            <v>68.250026459190096</v>
          </cell>
          <cell r="CF39">
            <v>2.6745494373374186</v>
          </cell>
          <cell r="CG39">
            <v>8.2054038866504495</v>
          </cell>
        </row>
        <row r="40">
          <cell r="CA40" t="str">
            <v>Sherlock net</v>
          </cell>
          <cell r="CB40">
            <v>2.3627787966886444</v>
          </cell>
          <cell r="CC40">
            <v>1.8798888950965003</v>
          </cell>
          <cell r="CD40">
            <v>8.9329002118635987</v>
          </cell>
          <cell r="CE40">
            <v>23.24707438747733</v>
          </cell>
          <cell r="CF40">
            <v>9.7085198236604899</v>
          </cell>
          <cell r="CG40">
            <v>3.2842932256663229</v>
          </cell>
        </row>
        <row r="41">
          <cell r="CA41"/>
        </row>
        <row r="45">
          <cell r="CB45">
            <v>1.4757152379803682</v>
          </cell>
          <cell r="CC45">
            <v>0.12458844419923579</v>
          </cell>
          <cell r="CD45">
            <v>1.5402750451414955</v>
          </cell>
          <cell r="CE45">
            <v>8.9601857848605661E-3</v>
          </cell>
          <cell r="CF45">
            <v>0.37020533040958681</v>
          </cell>
          <cell r="CG45">
            <v>4.2696886530274947E-3</v>
          </cell>
        </row>
        <row r="46">
          <cell r="CB46">
            <v>0.71652458133131391</v>
          </cell>
          <cell r="CC46">
            <v>0.11002203320127782</v>
          </cell>
          <cell r="CD46">
            <v>0.53794410919776325</v>
          </cell>
          <cell r="CE46">
            <v>1.3843206548289319E-2</v>
          </cell>
          <cell r="CF46">
            <v>3.3297838002966158E-2</v>
          </cell>
          <cell r="CG46">
            <v>1.3693307453850402E-2</v>
          </cell>
        </row>
        <row r="47">
          <cell r="CB47">
            <v>0.62071669215632108</v>
          </cell>
          <cell r="CC47">
            <v>0.13052829140597658</v>
          </cell>
          <cell r="CD47">
            <v>1.0006041786338127</v>
          </cell>
          <cell r="CE47">
            <v>4.1530279020790886E-3</v>
          </cell>
          <cell r="CF47">
            <v>0.27506386371145908</v>
          </cell>
          <cell r="CG47">
            <v>4.5536578099521748E-3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25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27.bin"/><Relationship Id="rId5" Type="http://schemas.openxmlformats.org/officeDocument/2006/relationships/image" Target="../media/image24.emf"/><Relationship Id="rId4" Type="http://schemas.openxmlformats.org/officeDocument/2006/relationships/oleObject" Target="../embeddings/oleObject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26.emf"/><Relationship Id="rId4" Type="http://schemas.openxmlformats.org/officeDocument/2006/relationships/oleObject" Target="../embeddings/oleObject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8.bin"/><Relationship Id="rId13" Type="http://schemas.openxmlformats.org/officeDocument/2006/relationships/image" Target="../media/image8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5.emf"/><Relationship Id="rId12" Type="http://schemas.openxmlformats.org/officeDocument/2006/relationships/oleObject" Target="../embeddings/oleObject1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5" Type="http://schemas.openxmlformats.org/officeDocument/2006/relationships/image" Target="../media/image9.emf"/><Relationship Id="rId10" Type="http://schemas.openxmlformats.org/officeDocument/2006/relationships/oleObject" Target="../embeddings/oleObject9.bin"/><Relationship Id="rId4" Type="http://schemas.openxmlformats.org/officeDocument/2006/relationships/oleObject" Target="../embeddings/oleObject6.bin"/><Relationship Id="rId9" Type="http://schemas.openxmlformats.org/officeDocument/2006/relationships/image" Target="../media/image6.emf"/><Relationship Id="rId14" Type="http://schemas.openxmlformats.org/officeDocument/2006/relationships/oleObject" Target="../embeddings/oleObject1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4.bin"/><Relationship Id="rId13" Type="http://schemas.openxmlformats.org/officeDocument/2006/relationships/image" Target="../media/image14.emf"/><Relationship Id="rId18" Type="http://schemas.openxmlformats.org/officeDocument/2006/relationships/oleObject" Target="../embeddings/oleObject19.bin"/><Relationship Id="rId3" Type="http://schemas.openxmlformats.org/officeDocument/2006/relationships/vmlDrawing" Target="../drawings/vmlDrawing7.vml"/><Relationship Id="rId7" Type="http://schemas.openxmlformats.org/officeDocument/2006/relationships/image" Target="../media/image11.emf"/><Relationship Id="rId12" Type="http://schemas.openxmlformats.org/officeDocument/2006/relationships/oleObject" Target="../embeddings/oleObject16.bin"/><Relationship Id="rId17" Type="http://schemas.openxmlformats.org/officeDocument/2006/relationships/image" Target="../media/image16.emf"/><Relationship Id="rId2" Type="http://schemas.openxmlformats.org/officeDocument/2006/relationships/drawing" Target="../drawings/drawing7.xml"/><Relationship Id="rId16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3.bin"/><Relationship Id="rId11" Type="http://schemas.openxmlformats.org/officeDocument/2006/relationships/image" Target="../media/image13.emf"/><Relationship Id="rId5" Type="http://schemas.openxmlformats.org/officeDocument/2006/relationships/image" Target="../media/image10.emf"/><Relationship Id="rId15" Type="http://schemas.openxmlformats.org/officeDocument/2006/relationships/image" Target="../media/image15.emf"/><Relationship Id="rId10" Type="http://schemas.openxmlformats.org/officeDocument/2006/relationships/oleObject" Target="../embeddings/oleObject15.bin"/><Relationship Id="rId19" Type="http://schemas.openxmlformats.org/officeDocument/2006/relationships/image" Target="../media/image17.emf"/><Relationship Id="rId4" Type="http://schemas.openxmlformats.org/officeDocument/2006/relationships/oleObject" Target="../embeddings/oleObject12.bin"/><Relationship Id="rId9" Type="http://schemas.openxmlformats.org/officeDocument/2006/relationships/image" Target="../media/image12.emf"/><Relationship Id="rId14" Type="http://schemas.openxmlformats.org/officeDocument/2006/relationships/oleObject" Target="../embeddings/oleObject1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2.bin"/><Relationship Id="rId3" Type="http://schemas.openxmlformats.org/officeDocument/2006/relationships/vmlDrawing" Target="../drawings/vmlDrawing8.vml"/><Relationship Id="rId7" Type="http://schemas.openxmlformats.org/officeDocument/2006/relationships/image" Target="../media/image19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1.bin"/><Relationship Id="rId5" Type="http://schemas.openxmlformats.org/officeDocument/2006/relationships/image" Target="../media/image18.emf"/><Relationship Id="rId4" Type="http://schemas.openxmlformats.org/officeDocument/2006/relationships/oleObject" Target="../embeddings/oleObject20.bin"/><Relationship Id="rId9" Type="http://schemas.openxmlformats.org/officeDocument/2006/relationships/image" Target="../media/image20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5.bin"/><Relationship Id="rId3" Type="http://schemas.openxmlformats.org/officeDocument/2006/relationships/vmlDrawing" Target="../drawings/vmlDrawing9.vml"/><Relationship Id="rId7" Type="http://schemas.openxmlformats.org/officeDocument/2006/relationships/image" Target="../media/image22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24.bin"/><Relationship Id="rId5" Type="http://schemas.openxmlformats.org/officeDocument/2006/relationships/image" Target="../media/image21.emf"/><Relationship Id="rId4" Type="http://schemas.openxmlformats.org/officeDocument/2006/relationships/oleObject" Target="../embeddings/oleObject23.bin"/><Relationship Id="rId9" Type="http://schemas.openxmlformats.org/officeDocument/2006/relationships/image" Target="../media/image2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B1D7-FA2E-4AA7-902B-89CFFDEF2301}">
  <dimension ref="A2:T116"/>
  <sheetViews>
    <sheetView zoomScale="70" zoomScaleNormal="70" workbookViewId="0">
      <selection activeCell="B2" sqref="B2"/>
    </sheetView>
  </sheetViews>
  <sheetFormatPr defaultRowHeight="14.5" x14ac:dyDescent="0.35"/>
  <cols>
    <col min="2" max="2" width="13" customWidth="1"/>
    <col min="3" max="3" width="15.90625" style="2" customWidth="1"/>
    <col min="4" max="4" width="19.26953125" customWidth="1"/>
    <col min="7" max="7" width="18.453125" customWidth="1"/>
    <col min="8" max="8" width="16.1796875" customWidth="1"/>
    <col min="9" max="9" width="14" customWidth="1"/>
    <col min="10" max="10" width="14.81640625" customWidth="1"/>
    <col min="11" max="11" width="13.81640625" customWidth="1"/>
    <col min="13" max="13" width="11.1796875" customWidth="1"/>
    <col min="16" max="16" width="27.81640625" customWidth="1"/>
    <col min="19" max="19" width="25.54296875" customWidth="1"/>
  </cols>
  <sheetData>
    <row r="2" spans="2:20" ht="23.5" x14ac:dyDescent="0.55000000000000004">
      <c r="B2" s="128" t="s">
        <v>342</v>
      </c>
    </row>
    <row r="4" spans="2:20" x14ac:dyDescent="0.35">
      <c r="B4" s="1" t="s">
        <v>0</v>
      </c>
      <c r="C4" s="57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/>
    </row>
    <row r="5" spans="2:20" x14ac:dyDescent="0.35">
      <c r="B5" t="s">
        <v>11</v>
      </c>
      <c r="C5" s="101">
        <v>44379</v>
      </c>
      <c r="D5" s="1" t="s">
        <v>16</v>
      </c>
      <c r="E5" t="s">
        <v>12</v>
      </c>
      <c r="F5" t="s">
        <v>13</v>
      </c>
      <c r="G5" s="2">
        <v>0</v>
      </c>
      <c r="H5">
        <v>0</v>
      </c>
      <c r="I5">
        <v>11</v>
      </c>
      <c r="J5">
        <f>SUM(H5:I5)</f>
        <v>11</v>
      </c>
      <c r="K5" s="3">
        <f>(H5/J5)*100</f>
        <v>0</v>
      </c>
      <c r="L5" s="3">
        <f>AVERAGE(K5:K7)</f>
        <v>0</v>
      </c>
    </row>
    <row r="6" spans="2:20" x14ac:dyDescent="0.35">
      <c r="B6" t="s">
        <v>11</v>
      </c>
      <c r="C6" s="101">
        <v>44379</v>
      </c>
      <c r="D6" s="1" t="s">
        <v>16</v>
      </c>
      <c r="E6" t="s">
        <v>14</v>
      </c>
      <c r="G6" s="2">
        <v>0</v>
      </c>
      <c r="H6">
        <v>0</v>
      </c>
      <c r="I6">
        <v>11</v>
      </c>
      <c r="J6">
        <f t="shared" ref="J6:J7" si="0">SUM(H6:I6)</f>
        <v>11</v>
      </c>
      <c r="K6" s="3">
        <f t="shared" ref="K6:K7" si="1">(H6/J6)*100</f>
        <v>0</v>
      </c>
    </row>
    <row r="7" spans="2:20" x14ac:dyDescent="0.35">
      <c r="B7" t="s">
        <v>11</v>
      </c>
      <c r="C7" s="101">
        <v>44379</v>
      </c>
      <c r="D7" s="1" t="s">
        <v>16</v>
      </c>
      <c r="E7" t="s">
        <v>15</v>
      </c>
      <c r="G7" s="2">
        <v>0</v>
      </c>
      <c r="H7">
        <v>0</v>
      </c>
      <c r="I7">
        <v>11</v>
      </c>
      <c r="J7">
        <f t="shared" si="0"/>
        <v>11</v>
      </c>
      <c r="K7" s="3">
        <f t="shared" si="1"/>
        <v>0</v>
      </c>
      <c r="P7" t="s">
        <v>82</v>
      </c>
    </row>
    <row r="8" spans="2:20" x14ac:dyDescent="0.35">
      <c r="B8" t="s">
        <v>11</v>
      </c>
      <c r="C8" s="101">
        <v>44381</v>
      </c>
      <c r="D8" s="1" t="s">
        <v>16</v>
      </c>
      <c r="E8" t="s">
        <v>12</v>
      </c>
      <c r="F8" t="s">
        <v>13</v>
      </c>
      <c r="G8" s="2">
        <v>1</v>
      </c>
      <c r="H8">
        <v>1</v>
      </c>
      <c r="I8">
        <v>7</v>
      </c>
      <c r="J8">
        <f>SUM(H8:I8)</f>
        <v>8</v>
      </c>
      <c r="K8" s="3">
        <f>(H8/J8)*100</f>
        <v>12.5</v>
      </c>
      <c r="L8" s="3">
        <f>AVERAGE(K8:K12)</f>
        <v>2.5</v>
      </c>
      <c r="Q8" s="1" t="s">
        <v>17</v>
      </c>
      <c r="R8" s="1" t="s">
        <v>18</v>
      </c>
      <c r="S8" s="1" t="s">
        <v>19</v>
      </c>
      <c r="T8" s="1" t="s">
        <v>20</v>
      </c>
    </row>
    <row r="9" spans="2:20" x14ac:dyDescent="0.35">
      <c r="B9" t="s">
        <v>11</v>
      </c>
      <c r="C9" s="101">
        <v>44381</v>
      </c>
      <c r="D9" s="1" t="s">
        <v>16</v>
      </c>
      <c r="E9" t="s">
        <v>14</v>
      </c>
      <c r="G9" s="2">
        <v>1</v>
      </c>
      <c r="H9">
        <v>0</v>
      </c>
      <c r="I9">
        <v>11</v>
      </c>
      <c r="J9">
        <f>SUM(H9:I9)</f>
        <v>11</v>
      </c>
      <c r="K9" s="3">
        <f t="shared" ref="K9:K12" si="2">(H9/J9)*100</f>
        <v>0</v>
      </c>
      <c r="P9" s="1" t="s">
        <v>21</v>
      </c>
      <c r="Q9">
        <f>SUM(I5:I24)</f>
        <v>205</v>
      </c>
      <c r="R9">
        <f>SUM(H5:H24)</f>
        <v>4</v>
      </c>
      <c r="S9" s="3">
        <f>AVERAGE(K5:K24)</f>
        <v>1.9583333333333333</v>
      </c>
      <c r="T9" s="4">
        <f>STDEV(K5:K24)/SQRT(COUNT(K5:K24))</f>
        <v>0.91541980591018002</v>
      </c>
    </row>
    <row r="10" spans="2:20" x14ac:dyDescent="0.35">
      <c r="B10" t="s">
        <v>11</v>
      </c>
      <c r="C10" s="101">
        <v>44381</v>
      </c>
      <c r="D10" s="1" t="s">
        <v>16</v>
      </c>
      <c r="E10" t="s">
        <v>15</v>
      </c>
      <c r="G10" s="2">
        <v>1</v>
      </c>
      <c r="H10">
        <v>0</v>
      </c>
      <c r="I10">
        <v>12</v>
      </c>
      <c r="J10">
        <f>SUM(H10:I10)</f>
        <v>12</v>
      </c>
      <c r="K10" s="3">
        <f t="shared" si="2"/>
        <v>0</v>
      </c>
      <c r="P10" s="5" t="s">
        <v>22</v>
      </c>
      <c r="Q10" s="6">
        <f>SUM(I25:I45)</f>
        <v>183</v>
      </c>
      <c r="R10" s="6">
        <f>SUM(H25:H45)</f>
        <v>40</v>
      </c>
      <c r="S10" s="7">
        <f>AVERAGE(K25:K45)</f>
        <v>17.121701050272478</v>
      </c>
      <c r="T10" s="8">
        <f>STDEV(K25:K45)/SQRT(COUNT(K25:K45))</f>
        <v>3.5450199131520681</v>
      </c>
    </row>
    <row r="11" spans="2:20" x14ac:dyDescent="0.35">
      <c r="B11" t="s">
        <v>11</v>
      </c>
      <c r="C11" s="101">
        <v>44381</v>
      </c>
      <c r="D11" s="1" t="s">
        <v>16</v>
      </c>
      <c r="E11" t="s">
        <v>23</v>
      </c>
      <c r="G11" s="2">
        <v>0</v>
      </c>
      <c r="H11">
        <v>0</v>
      </c>
      <c r="I11">
        <v>10</v>
      </c>
      <c r="J11">
        <f t="shared" ref="J11:J12" si="3">SUM(H11:I11)</f>
        <v>10</v>
      </c>
      <c r="K11" s="3">
        <f t="shared" si="2"/>
        <v>0</v>
      </c>
      <c r="P11" s="9" t="s">
        <v>24</v>
      </c>
      <c r="Q11" s="10">
        <f>SUM(I46:I62)</f>
        <v>128</v>
      </c>
      <c r="R11" s="10">
        <f>SUM(H46:H62)</f>
        <v>61</v>
      </c>
      <c r="S11" s="11">
        <f>AVERAGE(K46:K62)</f>
        <v>32.274849333672869</v>
      </c>
      <c r="T11" s="12">
        <f>STDEV(K46:K62)/SQRT(COUNT(K46:K62))</f>
        <v>4.6343233292948049</v>
      </c>
    </row>
    <row r="12" spans="2:20" x14ac:dyDescent="0.35">
      <c r="B12" t="s">
        <v>11</v>
      </c>
      <c r="C12" s="101">
        <v>44381</v>
      </c>
      <c r="D12" s="1" t="s">
        <v>16</v>
      </c>
      <c r="E12" t="s">
        <v>25</v>
      </c>
      <c r="G12" s="2">
        <v>1</v>
      </c>
      <c r="H12">
        <v>0</v>
      </c>
      <c r="I12">
        <v>9</v>
      </c>
      <c r="J12">
        <f t="shared" si="3"/>
        <v>9</v>
      </c>
      <c r="K12" s="3">
        <f t="shared" si="2"/>
        <v>0</v>
      </c>
      <c r="P12" s="13" t="s">
        <v>26</v>
      </c>
      <c r="Q12" s="14">
        <f>SUM(I63:I66, I68:I75)</f>
        <v>5</v>
      </c>
      <c r="R12" s="14">
        <f>SUM(H63:H66,H68:H75)</f>
        <v>135</v>
      </c>
      <c r="S12" s="15">
        <f>AVERAGE(K63:K66,K68:K75)</f>
        <v>96.461038961038966</v>
      </c>
      <c r="T12" s="16">
        <f>STDEV(K63:K66,K68:K75)/SQRT(COUNT(K63:K66,K68:K75))</f>
        <v>1.5547579613540901</v>
      </c>
    </row>
    <row r="13" spans="2:20" x14ac:dyDescent="0.35">
      <c r="B13" t="s">
        <v>11</v>
      </c>
      <c r="C13" s="102">
        <v>44384</v>
      </c>
      <c r="D13" s="1" t="s">
        <v>16</v>
      </c>
      <c r="E13" t="s">
        <v>12</v>
      </c>
      <c r="F13" t="s">
        <v>13</v>
      </c>
      <c r="G13" s="2">
        <v>1</v>
      </c>
      <c r="H13">
        <v>1</v>
      </c>
      <c r="I13">
        <v>11</v>
      </c>
      <c r="J13">
        <f>SUM(H13:I13)</f>
        <v>12</v>
      </c>
      <c r="K13" s="3">
        <f>(H13/J13)*100</f>
        <v>8.3333333333333321</v>
      </c>
      <c r="L13" s="3">
        <f>AVERAGE(K13:K19)</f>
        <v>3.8095238095238093</v>
      </c>
      <c r="P13" s="17" t="s">
        <v>27</v>
      </c>
      <c r="Q13" s="18">
        <f>SUM(I76:I97)</f>
        <v>200</v>
      </c>
      <c r="R13" s="18">
        <f>SUM(H76:H97)</f>
        <v>52</v>
      </c>
      <c r="S13" s="19">
        <f>AVERAGE(K76:K97)</f>
        <v>20.946629128447306</v>
      </c>
      <c r="T13" s="20">
        <f>STDEV(K76:K97)/SQRT(COUNT(K76:K97))</f>
        <v>4.9071126637987037</v>
      </c>
    </row>
    <row r="14" spans="2:20" x14ac:dyDescent="0.35">
      <c r="B14" t="s">
        <v>11</v>
      </c>
      <c r="C14" s="102">
        <v>44384</v>
      </c>
      <c r="D14" s="1" t="s">
        <v>16</v>
      </c>
      <c r="E14" t="s">
        <v>14</v>
      </c>
      <c r="G14" s="2">
        <v>1</v>
      </c>
      <c r="H14">
        <v>0</v>
      </c>
      <c r="I14">
        <v>10</v>
      </c>
      <c r="J14">
        <f>SUM(H14:I14)</f>
        <v>10</v>
      </c>
      <c r="K14" s="3">
        <f>(H14/J14)*100</f>
        <v>0</v>
      </c>
    </row>
    <row r="15" spans="2:20" x14ac:dyDescent="0.35">
      <c r="B15" t="s">
        <v>11</v>
      </c>
      <c r="C15" s="102">
        <v>44384</v>
      </c>
      <c r="D15" s="1" t="s">
        <v>16</v>
      </c>
      <c r="E15" t="s">
        <v>15</v>
      </c>
      <c r="G15" s="2">
        <v>1</v>
      </c>
      <c r="H15">
        <v>1</v>
      </c>
      <c r="I15">
        <v>9</v>
      </c>
      <c r="J15">
        <f>SUM(H15:I15)</f>
        <v>10</v>
      </c>
      <c r="K15" s="3">
        <f>(H15/J15)*100</f>
        <v>10</v>
      </c>
    </row>
    <row r="16" spans="2:20" x14ac:dyDescent="0.35">
      <c r="B16" t="s">
        <v>11</v>
      </c>
      <c r="C16" s="102">
        <v>44384</v>
      </c>
      <c r="D16" s="1" t="s">
        <v>16</v>
      </c>
      <c r="E16" t="s">
        <v>23</v>
      </c>
      <c r="G16" s="2">
        <v>1</v>
      </c>
      <c r="H16">
        <v>1</v>
      </c>
      <c r="I16">
        <v>11</v>
      </c>
      <c r="J16">
        <f t="shared" ref="J16:J19" si="4">SUM(H16:I16)</f>
        <v>12</v>
      </c>
      <c r="K16" s="3">
        <f>(H16/J16)*100</f>
        <v>8.3333333333333321</v>
      </c>
    </row>
    <row r="17" spans="2:13" x14ac:dyDescent="0.35">
      <c r="B17" t="s">
        <v>11</v>
      </c>
      <c r="C17" s="102">
        <v>44384</v>
      </c>
      <c r="D17" s="1" t="s">
        <v>16</v>
      </c>
      <c r="E17" t="s">
        <v>25</v>
      </c>
      <c r="G17" s="2">
        <v>1</v>
      </c>
      <c r="H17">
        <v>0</v>
      </c>
      <c r="I17">
        <v>10</v>
      </c>
      <c r="J17">
        <f t="shared" si="4"/>
        <v>10</v>
      </c>
      <c r="K17" s="3">
        <f>(H17/J17)*100</f>
        <v>0</v>
      </c>
    </row>
    <row r="18" spans="2:13" x14ac:dyDescent="0.35">
      <c r="B18" t="s">
        <v>11</v>
      </c>
      <c r="C18" s="102">
        <v>44384</v>
      </c>
      <c r="D18" s="1" t="s">
        <v>16</v>
      </c>
      <c r="E18" t="s">
        <v>11</v>
      </c>
      <c r="G18" s="2">
        <v>1</v>
      </c>
      <c r="H18">
        <v>0</v>
      </c>
      <c r="I18">
        <v>12</v>
      </c>
      <c r="J18">
        <f t="shared" si="4"/>
        <v>12</v>
      </c>
      <c r="K18" s="3">
        <f t="shared" ref="K18:K19" si="5">(H18/J18)*100</f>
        <v>0</v>
      </c>
    </row>
    <row r="19" spans="2:13" x14ac:dyDescent="0.35">
      <c r="B19" t="s">
        <v>11</v>
      </c>
      <c r="C19" s="102">
        <v>44384</v>
      </c>
      <c r="D19" s="1" t="s">
        <v>16</v>
      </c>
      <c r="E19" t="s">
        <v>28</v>
      </c>
      <c r="G19" s="2">
        <v>1</v>
      </c>
      <c r="H19">
        <v>0</v>
      </c>
      <c r="I19">
        <v>14</v>
      </c>
      <c r="J19">
        <f t="shared" si="4"/>
        <v>14</v>
      </c>
      <c r="K19" s="3">
        <f t="shared" si="5"/>
        <v>0</v>
      </c>
    </row>
    <row r="20" spans="2:13" x14ac:dyDescent="0.35">
      <c r="B20" t="s">
        <v>11</v>
      </c>
      <c r="C20" s="101">
        <v>44386</v>
      </c>
      <c r="D20" s="1" t="s">
        <v>16</v>
      </c>
      <c r="E20" t="s">
        <v>12</v>
      </c>
      <c r="F20" t="s">
        <v>13</v>
      </c>
      <c r="G20" s="2">
        <v>0</v>
      </c>
      <c r="H20">
        <v>0</v>
      </c>
      <c r="I20">
        <v>9</v>
      </c>
      <c r="J20">
        <f>SUM(H20:I20)</f>
        <v>9</v>
      </c>
      <c r="K20" s="3">
        <f>(H20/J20)*100</f>
        <v>0</v>
      </c>
      <c r="L20" s="3">
        <f>AVERAGE(K20:K22)</f>
        <v>0</v>
      </c>
    </row>
    <row r="21" spans="2:13" x14ac:dyDescent="0.35">
      <c r="B21" t="s">
        <v>11</v>
      </c>
      <c r="C21" s="101">
        <v>44386</v>
      </c>
      <c r="D21" s="1" t="s">
        <v>16</v>
      </c>
      <c r="E21" t="s">
        <v>14</v>
      </c>
      <c r="G21" s="2">
        <v>0</v>
      </c>
      <c r="H21">
        <v>0</v>
      </c>
      <c r="I21">
        <v>7</v>
      </c>
      <c r="J21">
        <f>SUM(H21:I21)</f>
        <v>7</v>
      </c>
      <c r="K21" s="3">
        <f t="shared" ref="K21:K45" si="6">(H21/J21)*100</f>
        <v>0</v>
      </c>
    </row>
    <row r="22" spans="2:13" x14ac:dyDescent="0.35">
      <c r="B22" t="s">
        <v>11</v>
      </c>
      <c r="C22" s="101">
        <v>44386</v>
      </c>
      <c r="D22" s="1" t="s">
        <v>16</v>
      </c>
      <c r="E22" t="s">
        <v>15</v>
      </c>
      <c r="G22" s="2">
        <v>0</v>
      </c>
      <c r="H22">
        <v>0</v>
      </c>
      <c r="I22">
        <v>12</v>
      </c>
      <c r="J22">
        <f>SUM(H22:I22)</f>
        <v>12</v>
      </c>
      <c r="K22" s="3">
        <f t="shared" si="6"/>
        <v>0</v>
      </c>
    </row>
    <row r="23" spans="2:13" x14ac:dyDescent="0.35">
      <c r="B23" t="s">
        <v>11</v>
      </c>
      <c r="C23" s="57" t="s">
        <v>29</v>
      </c>
      <c r="D23" s="1" t="s">
        <v>16</v>
      </c>
      <c r="E23" t="s">
        <v>12</v>
      </c>
      <c r="F23" s="1" t="s">
        <v>13</v>
      </c>
      <c r="G23" s="2">
        <v>0</v>
      </c>
      <c r="H23">
        <v>0</v>
      </c>
      <c r="I23">
        <v>8</v>
      </c>
      <c r="J23">
        <f t="shared" ref="J23:J24" si="7">SUM(H23:I23)</f>
        <v>8</v>
      </c>
      <c r="K23" s="3">
        <f t="shared" si="6"/>
        <v>0</v>
      </c>
      <c r="L23" s="3">
        <f>AVERAGE(K23:K24)</f>
        <v>0</v>
      </c>
    </row>
    <row r="24" spans="2:13" x14ac:dyDescent="0.35">
      <c r="B24" t="s">
        <v>11</v>
      </c>
      <c r="C24" s="57" t="s">
        <v>29</v>
      </c>
      <c r="D24" s="1" t="s">
        <v>16</v>
      </c>
      <c r="E24" t="s">
        <v>14</v>
      </c>
      <c r="F24" s="1"/>
      <c r="G24" s="2">
        <v>0</v>
      </c>
      <c r="H24">
        <v>0</v>
      </c>
      <c r="I24">
        <v>10</v>
      </c>
      <c r="J24">
        <f t="shared" si="7"/>
        <v>10</v>
      </c>
      <c r="K24" s="3">
        <f t="shared" si="6"/>
        <v>0</v>
      </c>
    </row>
    <row r="25" spans="2:13" x14ac:dyDescent="0.35">
      <c r="B25" t="s">
        <v>11</v>
      </c>
      <c r="C25" s="101">
        <v>44379</v>
      </c>
      <c r="D25" s="5" t="s">
        <v>22</v>
      </c>
      <c r="E25" s="6" t="s">
        <v>12</v>
      </c>
      <c r="F25" s="6" t="s">
        <v>13</v>
      </c>
      <c r="G25" s="21" t="s">
        <v>30</v>
      </c>
      <c r="H25" s="6">
        <v>3</v>
      </c>
      <c r="I25" s="6">
        <v>8</v>
      </c>
      <c r="J25" s="6">
        <f t="shared" ref="J25:J27" si="8">SUM(H25:I25)</f>
        <v>11</v>
      </c>
      <c r="K25" s="7">
        <f t="shared" si="6"/>
        <v>27.27272727272727</v>
      </c>
      <c r="L25" s="7">
        <f>AVERAGE(K25:K27)</f>
        <v>12.121212121212119</v>
      </c>
    </row>
    <row r="26" spans="2:13" x14ac:dyDescent="0.35">
      <c r="B26" t="s">
        <v>11</v>
      </c>
      <c r="C26" s="101">
        <v>44379</v>
      </c>
      <c r="D26" s="5" t="s">
        <v>22</v>
      </c>
      <c r="E26" s="6" t="s">
        <v>14</v>
      </c>
      <c r="F26" s="6"/>
      <c r="G26" s="21" t="s">
        <v>31</v>
      </c>
      <c r="H26" s="6">
        <v>1</v>
      </c>
      <c r="I26" s="6">
        <v>10</v>
      </c>
      <c r="J26" s="6">
        <f t="shared" si="8"/>
        <v>11</v>
      </c>
      <c r="K26" s="7">
        <f t="shared" si="6"/>
        <v>9.0909090909090917</v>
      </c>
      <c r="L26" s="6"/>
    </row>
    <row r="27" spans="2:13" x14ac:dyDescent="0.35">
      <c r="B27" t="s">
        <v>11</v>
      </c>
      <c r="C27" s="101">
        <v>44379</v>
      </c>
      <c r="D27" s="5" t="s">
        <v>22</v>
      </c>
      <c r="E27" s="6" t="s">
        <v>15</v>
      </c>
      <c r="F27" s="6"/>
      <c r="G27" s="21" t="s">
        <v>32</v>
      </c>
      <c r="H27" s="6">
        <v>0</v>
      </c>
      <c r="I27" s="6">
        <v>11</v>
      </c>
      <c r="J27" s="6">
        <f t="shared" si="8"/>
        <v>11</v>
      </c>
      <c r="K27" s="7">
        <f t="shared" si="6"/>
        <v>0</v>
      </c>
      <c r="L27" s="6"/>
    </row>
    <row r="28" spans="2:13" x14ac:dyDescent="0.35">
      <c r="B28" t="s">
        <v>11</v>
      </c>
      <c r="C28" s="101">
        <v>44381</v>
      </c>
      <c r="D28" s="5" t="s">
        <v>22</v>
      </c>
      <c r="E28" s="6" t="s">
        <v>12</v>
      </c>
      <c r="F28" s="6" t="s">
        <v>13</v>
      </c>
      <c r="G28" s="21">
        <v>1</v>
      </c>
      <c r="H28" s="6">
        <v>0</v>
      </c>
      <c r="I28" s="6">
        <v>10</v>
      </c>
      <c r="J28" s="6">
        <f>SUM(H28:I28)</f>
        <v>10</v>
      </c>
      <c r="K28" s="7">
        <f t="shared" si="6"/>
        <v>0</v>
      </c>
      <c r="L28" s="7">
        <f>AVERAGE(K28:K32)</f>
        <v>22.626262626262626</v>
      </c>
      <c r="M28" s="3"/>
    </row>
    <row r="29" spans="2:13" x14ac:dyDescent="0.35">
      <c r="B29" t="s">
        <v>11</v>
      </c>
      <c r="C29" s="101">
        <v>44381</v>
      </c>
      <c r="D29" s="5" t="s">
        <v>22</v>
      </c>
      <c r="E29" s="6" t="s">
        <v>14</v>
      </c>
      <c r="F29" s="6"/>
      <c r="G29" s="21">
        <v>3</v>
      </c>
      <c r="H29" s="6">
        <v>3</v>
      </c>
      <c r="I29" s="6">
        <v>8</v>
      </c>
      <c r="J29" s="6">
        <f>SUM(H29:I29)</f>
        <v>11</v>
      </c>
      <c r="K29" s="7">
        <f t="shared" si="6"/>
        <v>27.27272727272727</v>
      </c>
      <c r="L29" s="6"/>
    </row>
    <row r="30" spans="2:13" x14ac:dyDescent="0.35">
      <c r="B30" t="s">
        <v>11</v>
      </c>
      <c r="C30" s="101">
        <v>44381</v>
      </c>
      <c r="D30" s="5" t="s">
        <v>22</v>
      </c>
      <c r="E30" s="6" t="s">
        <v>15</v>
      </c>
      <c r="F30" s="6"/>
      <c r="G30" s="21">
        <v>3</v>
      </c>
      <c r="H30" s="6">
        <v>1</v>
      </c>
      <c r="I30" s="6">
        <v>8</v>
      </c>
      <c r="J30" s="6">
        <f>SUM(H30:I30)</f>
        <v>9</v>
      </c>
      <c r="K30" s="7">
        <f t="shared" si="6"/>
        <v>11.111111111111111</v>
      </c>
      <c r="L30" s="6"/>
    </row>
    <row r="31" spans="2:13" x14ac:dyDescent="0.35">
      <c r="B31" t="s">
        <v>11</v>
      </c>
      <c r="C31" s="101">
        <v>44381</v>
      </c>
      <c r="D31" s="5" t="s">
        <v>22</v>
      </c>
      <c r="E31" s="6" t="s">
        <v>23</v>
      </c>
      <c r="F31" s="6"/>
      <c r="G31" s="21">
        <v>1</v>
      </c>
      <c r="H31" s="6">
        <v>1</v>
      </c>
      <c r="I31" s="6">
        <v>8</v>
      </c>
      <c r="J31" s="6">
        <f>SUM(H31:I31)</f>
        <v>9</v>
      </c>
      <c r="K31" s="7">
        <f t="shared" si="6"/>
        <v>11.111111111111111</v>
      </c>
      <c r="L31" s="6"/>
    </row>
    <row r="32" spans="2:13" x14ac:dyDescent="0.35">
      <c r="B32" t="s">
        <v>11</v>
      </c>
      <c r="C32" s="101">
        <v>44381</v>
      </c>
      <c r="D32" s="5" t="s">
        <v>22</v>
      </c>
      <c r="E32" s="6" t="s">
        <v>25</v>
      </c>
      <c r="F32" s="6"/>
      <c r="G32" s="21">
        <v>5</v>
      </c>
      <c r="H32" s="6">
        <v>7</v>
      </c>
      <c r="I32" s="6">
        <v>4</v>
      </c>
      <c r="J32" s="6">
        <f>SUM(H32:I32)</f>
        <v>11</v>
      </c>
      <c r="K32" s="7">
        <f t="shared" si="6"/>
        <v>63.636363636363633</v>
      </c>
      <c r="L32" s="6"/>
    </row>
    <row r="33" spans="2:13" x14ac:dyDescent="0.35">
      <c r="B33" t="s">
        <v>11</v>
      </c>
      <c r="C33" s="102">
        <v>44384</v>
      </c>
      <c r="D33" s="5" t="s">
        <v>22</v>
      </c>
      <c r="E33" s="6" t="s">
        <v>12</v>
      </c>
      <c r="F33" s="6" t="s">
        <v>13</v>
      </c>
      <c r="G33" s="21" t="s">
        <v>30</v>
      </c>
      <c r="H33" s="6">
        <v>0</v>
      </c>
      <c r="I33" s="6">
        <v>11</v>
      </c>
      <c r="J33" s="6">
        <f t="shared" ref="J33:J39" si="9">SUM(H33:I33)</f>
        <v>11</v>
      </c>
      <c r="K33" s="7">
        <f t="shared" si="6"/>
        <v>0</v>
      </c>
      <c r="L33" s="7">
        <f>AVERAGE(K33:K39)</f>
        <v>14.746444032158317</v>
      </c>
      <c r="M33" s="3"/>
    </row>
    <row r="34" spans="2:13" x14ac:dyDescent="0.35">
      <c r="B34" t="s">
        <v>11</v>
      </c>
      <c r="C34" s="102">
        <v>44384</v>
      </c>
      <c r="D34" s="5" t="s">
        <v>22</v>
      </c>
      <c r="E34" s="6" t="s">
        <v>14</v>
      </c>
      <c r="F34" s="6"/>
      <c r="G34" s="21" t="s">
        <v>30</v>
      </c>
      <c r="H34" s="6">
        <v>3</v>
      </c>
      <c r="I34" s="6">
        <v>9</v>
      </c>
      <c r="J34" s="6">
        <f t="shared" si="9"/>
        <v>12</v>
      </c>
      <c r="K34" s="7">
        <f t="shared" si="6"/>
        <v>25</v>
      </c>
      <c r="L34" s="6"/>
    </row>
    <row r="35" spans="2:13" x14ac:dyDescent="0.35">
      <c r="B35" t="s">
        <v>11</v>
      </c>
      <c r="C35" s="102">
        <v>44384</v>
      </c>
      <c r="D35" s="5" t="s">
        <v>22</v>
      </c>
      <c r="E35" s="6" t="s">
        <v>15</v>
      </c>
      <c r="F35" s="6"/>
      <c r="G35" s="21" t="s">
        <v>32</v>
      </c>
      <c r="H35" s="6">
        <v>2</v>
      </c>
      <c r="I35" s="6">
        <v>12</v>
      </c>
      <c r="J35" s="6">
        <f t="shared" si="9"/>
        <v>14</v>
      </c>
      <c r="K35" s="7">
        <f t="shared" si="6"/>
        <v>14.285714285714285</v>
      </c>
      <c r="L35" s="6"/>
    </row>
    <row r="36" spans="2:13" x14ac:dyDescent="0.35">
      <c r="B36" t="s">
        <v>11</v>
      </c>
      <c r="C36" s="102">
        <v>44384</v>
      </c>
      <c r="D36" s="5" t="s">
        <v>22</v>
      </c>
      <c r="E36" s="6" t="s">
        <v>23</v>
      </c>
      <c r="F36" s="6"/>
      <c r="G36" s="21" t="s">
        <v>31</v>
      </c>
      <c r="H36" s="6">
        <v>3</v>
      </c>
      <c r="I36" s="6">
        <v>8</v>
      </c>
      <c r="J36" s="6">
        <f t="shared" si="9"/>
        <v>11</v>
      </c>
      <c r="K36" s="7">
        <f t="shared" si="6"/>
        <v>27.27272727272727</v>
      </c>
      <c r="L36" s="6"/>
    </row>
    <row r="37" spans="2:13" x14ac:dyDescent="0.35">
      <c r="B37" t="s">
        <v>11</v>
      </c>
      <c r="C37" s="102">
        <v>44384</v>
      </c>
      <c r="D37" s="5" t="s">
        <v>22</v>
      </c>
      <c r="E37" s="6" t="s">
        <v>25</v>
      </c>
      <c r="F37" s="6"/>
      <c r="G37" s="21" t="s">
        <v>33</v>
      </c>
      <c r="H37" s="6">
        <v>1</v>
      </c>
      <c r="I37" s="6">
        <v>9</v>
      </c>
      <c r="J37" s="6">
        <f t="shared" si="9"/>
        <v>10</v>
      </c>
      <c r="K37" s="7">
        <f t="shared" si="6"/>
        <v>10</v>
      </c>
      <c r="L37" s="6"/>
    </row>
    <row r="38" spans="2:13" x14ac:dyDescent="0.35">
      <c r="B38" t="s">
        <v>11</v>
      </c>
      <c r="C38" s="102">
        <v>44384</v>
      </c>
      <c r="D38" s="5" t="s">
        <v>22</v>
      </c>
      <c r="E38" s="6" t="s">
        <v>11</v>
      </c>
      <c r="F38" s="6"/>
      <c r="G38" s="21" t="s">
        <v>32</v>
      </c>
      <c r="H38" s="6">
        <v>1</v>
      </c>
      <c r="I38" s="6">
        <v>9</v>
      </c>
      <c r="J38" s="6">
        <f t="shared" si="9"/>
        <v>10</v>
      </c>
      <c r="K38" s="7">
        <f t="shared" si="6"/>
        <v>10</v>
      </c>
      <c r="L38" s="6"/>
    </row>
    <row r="39" spans="2:13" x14ac:dyDescent="0.35">
      <c r="B39" t="s">
        <v>11</v>
      </c>
      <c r="C39" s="102">
        <v>44384</v>
      </c>
      <c r="D39" s="5" t="s">
        <v>22</v>
      </c>
      <c r="E39" s="6" t="s">
        <v>28</v>
      </c>
      <c r="F39" s="6"/>
      <c r="G39" s="21" t="s">
        <v>30</v>
      </c>
      <c r="H39" s="6">
        <v>2</v>
      </c>
      <c r="I39" s="6">
        <v>10</v>
      </c>
      <c r="J39" s="6">
        <f t="shared" si="9"/>
        <v>12</v>
      </c>
      <c r="K39" s="7">
        <f t="shared" si="6"/>
        <v>16.666666666666664</v>
      </c>
      <c r="L39" s="6"/>
    </row>
    <row r="40" spans="2:13" x14ac:dyDescent="0.35">
      <c r="B40" t="s">
        <v>11</v>
      </c>
      <c r="C40" s="101">
        <v>44386</v>
      </c>
      <c r="D40" s="22" t="s">
        <v>22</v>
      </c>
      <c r="E40" s="23" t="s">
        <v>12</v>
      </c>
      <c r="F40" s="23" t="s">
        <v>13</v>
      </c>
      <c r="G40" s="24" t="s">
        <v>31</v>
      </c>
      <c r="H40" s="23">
        <v>6</v>
      </c>
      <c r="I40" s="23">
        <v>7</v>
      </c>
      <c r="J40" s="23">
        <f t="shared" ref="J40:J43" si="10">SUM(H40:I40)</f>
        <v>13</v>
      </c>
      <c r="K40" s="25">
        <f t="shared" si="6"/>
        <v>46.153846153846153</v>
      </c>
      <c r="L40" s="25">
        <f>AVERAGE(K40:K43)</f>
        <v>23.583916083916083</v>
      </c>
    </row>
    <row r="41" spans="2:13" x14ac:dyDescent="0.35">
      <c r="B41" t="s">
        <v>11</v>
      </c>
      <c r="C41" s="101">
        <v>44386</v>
      </c>
      <c r="D41" s="5" t="s">
        <v>22</v>
      </c>
      <c r="E41" s="23" t="s">
        <v>14</v>
      </c>
      <c r="F41" s="23"/>
      <c r="G41" s="24">
        <v>4</v>
      </c>
      <c r="H41" s="23">
        <v>2</v>
      </c>
      <c r="I41" s="23">
        <v>9</v>
      </c>
      <c r="J41" s="23">
        <f t="shared" si="10"/>
        <v>11</v>
      </c>
      <c r="K41" s="25">
        <f t="shared" si="6"/>
        <v>18.181818181818183</v>
      </c>
      <c r="L41" s="23"/>
    </row>
    <row r="42" spans="2:13" x14ac:dyDescent="0.35">
      <c r="B42" t="s">
        <v>11</v>
      </c>
      <c r="C42" s="101">
        <v>44386</v>
      </c>
      <c r="D42" s="5" t="s">
        <v>22</v>
      </c>
      <c r="E42" s="23" t="s">
        <v>15</v>
      </c>
      <c r="F42" s="23"/>
      <c r="G42" s="24">
        <v>3</v>
      </c>
      <c r="H42" s="23">
        <v>0</v>
      </c>
      <c r="I42" s="23">
        <v>9</v>
      </c>
      <c r="J42" s="23">
        <f t="shared" si="10"/>
        <v>9</v>
      </c>
      <c r="K42" s="25">
        <f t="shared" si="6"/>
        <v>0</v>
      </c>
      <c r="L42" s="23"/>
    </row>
    <row r="43" spans="2:13" x14ac:dyDescent="0.35">
      <c r="B43" t="s">
        <v>11</v>
      </c>
      <c r="C43" s="101">
        <v>44386</v>
      </c>
      <c r="D43" s="5" t="s">
        <v>22</v>
      </c>
      <c r="E43" s="23" t="s">
        <v>23</v>
      </c>
      <c r="F43" s="23"/>
      <c r="G43" s="24">
        <v>4</v>
      </c>
      <c r="H43" s="23">
        <v>3</v>
      </c>
      <c r="I43" s="23">
        <v>7</v>
      </c>
      <c r="J43" s="23">
        <f t="shared" si="10"/>
        <v>10</v>
      </c>
      <c r="K43" s="25">
        <f t="shared" si="6"/>
        <v>30</v>
      </c>
      <c r="L43" s="23"/>
    </row>
    <row r="44" spans="2:13" x14ac:dyDescent="0.35">
      <c r="B44" t="s">
        <v>11</v>
      </c>
      <c r="C44" s="57" t="s">
        <v>29</v>
      </c>
      <c r="D44" s="5" t="s">
        <v>22</v>
      </c>
      <c r="E44" s="6" t="s">
        <v>12</v>
      </c>
      <c r="F44" s="5" t="s">
        <v>13</v>
      </c>
      <c r="G44" s="21">
        <v>4</v>
      </c>
      <c r="H44" s="6">
        <v>0</v>
      </c>
      <c r="I44" s="6">
        <v>9</v>
      </c>
      <c r="J44" s="6">
        <f t="shared" ref="J44:J45" si="11">SUM(H44:I44)</f>
        <v>9</v>
      </c>
      <c r="K44" s="6">
        <f t="shared" si="6"/>
        <v>0</v>
      </c>
      <c r="L44" s="8">
        <f>AVERAGE(K44:K45)</f>
        <v>6.25</v>
      </c>
    </row>
    <row r="45" spans="2:13" x14ac:dyDescent="0.35">
      <c r="B45" t="s">
        <v>11</v>
      </c>
      <c r="C45" s="57" t="s">
        <v>29</v>
      </c>
      <c r="D45" s="5" t="s">
        <v>22</v>
      </c>
      <c r="E45" s="6" t="s">
        <v>14</v>
      </c>
      <c r="F45" s="5"/>
      <c r="G45" s="21">
        <v>5</v>
      </c>
      <c r="H45" s="6">
        <v>1</v>
      </c>
      <c r="I45" s="6">
        <v>7</v>
      </c>
      <c r="J45" s="6">
        <f t="shared" si="11"/>
        <v>8</v>
      </c>
      <c r="K45" s="6">
        <f t="shared" si="6"/>
        <v>12.5</v>
      </c>
      <c r="L45" s="6"/>
    </row>
    <row r="46" spans="2:13" x14ac:dyDescent="0.35">
      <c r="B46" t="s">
        <v>11</v>
      </c>
      <c r="C46" s="101">
        <v>44381</v>
      </c>
      <c r="D46" s="9" t="s">
        <v>24</v>
      </c>
      <c r="E46" s="10" t="s">
        <v>12</v>
      </c>
      <c r="F46" s="10" t="s">
        <v>13</v>
      </c>
      <c r="G46" s="26" t="s">
        <v>34</v>
      </c>
      <c r="H46" s="10">
        <v>5</v>
      </c>
      <c r="I46" s="10">
        <v>5</v>
      </c>
      <c r="J46" s="10">
        <f>SUM(H46:I46)</f>
        <v>10</v>
      </c>
      <c r="K46" s="11">
        <f>(H46/J46)*100</f>
        <v>50</v>
      </c>
      <c r="L46" s="11">
        <f>AVERAGE(K46:K49)</f>
        <v>33.333333333333329</v>
      </c>
      <c r="M46" s="3"/>
    </row>
    <row r="47" spans="2:13" x14ac:dyDescent="0.35">
      <c r="B47" t="s">
        <v>11</v>
      </c>
      <c r="C47" s="101">
        <v>44381</v>
      </c>
      <c r="D47" s="9" t="s">
        <v>24</v>
      </c>
      <c r="E47" s="10" t="s">
        <v>14</v>
      </c>
      <c r="F47" s="10"/>
      <c r="G47" s="26" t="s">
        <v>35</v>
      </c>
      <c r="H47" s="10">
        <v>5</v>
      </c>
      <c r="I47" s="10">
        <v>5</v>
      </c>
      <c r="J47" s="10">
        <f>SUM(H47:I47)</f>
        <v>10</v>
      </c>
      <c r="K47" s="11">
        <f>(H47/J47)*100</f>
        <v>50</v>
      </c>
      <c r="L47" s="10"/>
    </row>
    <row r="48" spans="2:13" x14ac:dyDescent="0.35">
      <c r="B48" t="s">
        <v>11</v>
      </c>
      <c r="C48" s="101">
        <v>44381</v>
      </c>
      <c r="D48" s="9" t="s">
        <v>24</v>
      </c>
      <c r="E48" s="10" t="s">
        <v>15</v>
      </c>
      <c r="F48" s="10"/>
      <c r="G48" s="26">
        <v>5</v>
      </c>
      <c r="H48" s="10">
        <v>3</v>
      </c>
      <c r="I48" s="10">
        <v>6</v>
      </c>
      <c r="J48" s="10">
        <f>SUM(H48:I48)</f>
        <v>9</v>
      </c>
      <c r="K48" s="11">
        <f>(H48/J48)*100</f>
        <v>33.333333333333329</v>
      </c>
      <c r="L48" s="10"/>
    </row>
    <row r="49" spans="1:13" x14ac:dyDescent="0.35">
      <c r="B49" t="s">
        <v>11</v>
      </c>
      <c r="C49" s="101">
        <v>44381</v>
      </c>
      <c r="D49" s="9" t="s">
        <v>24</v>
      </c>
      <c r="E49" s="10" t="s">
        <v>23</v>
      </c>
      <c r="F49" s="10"/>
      <c r="G49" s="26" t="s">
        <v>36</v>
      </c>
      <c r="H49" s="10">
        <v>0</v>
      </c>
      <c r="I49" s="10">
        <v>12</v>
      </c>
      <c r="J49" s="10">
        <f>SUM(H49:I49)</f>
        <v>12</v>
      </c>
      <c r="K49" s="11">
        <f>(H49/J49)*100</f>
        <v>0</v>
      </c>
      <c r="L49" s="10"/>
    </row>
    <row r="50" spans="1:13" x14ac:dyDescent="0.35">
      <c r="B50" t="s">
        <v>11</v>
      </c>
      <c r="C50" s="102">
        <v>44384</v>
      </c>
      <c r="D50" s="9" t="s">
        <v>24</v>
      </c>
      <c r="E50" s="10" t="s">
        <v>12</v>
      </c>
      <c r="F50" s="10" t="s">
        <v>13</v>
      </c>
      <c r="G50" s="26">
        <v>6</v>
      </c>
      <c r="H50" s="10">
        <v>4</v>
      </c>
      <c r="I50" s="10">
        <v>7</v>
      </c>
      <c r="J50" s="10">
        <f t="shared" ref="J50:J60" si="12">SUM(H50:I50)</f>
        <v>11</v>
      </c>
      <c r="K50" s="11">
        <f t="shared" ref="K50:K62" si="13">(H50/J50)*100</f>
        <v>36.363636363636367</v>
      </c>
      <c r="L50" s="11">
        <f>AVERAGE(K50:K57)</f>
        <v>32.84632034632034</v>
      </c>
      <c r="M50" s="3"/>
    </row>
    <row r="51" spans="1:13" x14ac:dyDescent="0.35">
      <c r="B51" t="s">
        <v>11</v>
      </c>
      <c r="C51" s="102">
        <v>44384</v>
      </c>
      <c r="D51" s="9" t="s">
        <v>24</v>
      </c>
      <c r="E51" s="10" t="s">
        <v>14</v>
      </c>
      <c r="F51" s="10"/>
      <c r="G51" s="26">
        <v>7</v>
      </c>
      <c r="H51" s="10">
        <v>3</v>
      </c>
      <c r="I51" s="10">
        <v>9</v>
      </c>
      <c r="J51" s="10">
        <f t="shared" si="12"/>
        <v>12</v>
      </c>
      <c r="K51" s="11">
        <f t="shared" si="13"/>
        <v>25</v>
      </c>
      <c r="L51" s="10"/>
    </row>
    <row r="52" spans="1:13" x14ac:dyDescent="0.35">
      <c r="B52" t="s">
        <v>11</v>
      </c>
      <c r="C52" s="102">
        <v>44384</v>
      </c>
      <c r="D52" s="9" t="s">
        <v>24</v>
      </c>
      <c r="E52" s="10" t="s">
        <v>15</v>
      </c>
      <c r="F52" s="10"/>
      <c r="G52" s="26">
        <v>4</v>
      </c>
      <c r="H52" s="10">
        <v>2</v>
      </c>
      <c r="I52" s="10">
        <v>10</v>
      </c>
      <c r="J52" s="10">
        <f t="shared" si="12"/>
        <v>12</v>
      </c>
      <c r="K52" s="11">
        <f t="shared" si="13"/>
        <v>16.666666666666664</v>
      </c>
      <c r="L52" s="10"/>
    </row>
    <row r="53" spans="1:13" x14ac:dyDescent="0.35">
      <c r="A53" s="1"/>
      <c r="B53" t="s">
        <v>11</v>
      </c>
      <c r="C53" s="102">
        <v>44384</v>
      </c>
      <c r="D53" s="9" t="s">
        <v>24</v>
      </c>
      <c r="E53" s="10" t="s">
        <v>23</v>
      </c>
      <c r="F53" s="10"/>
      <c r="G53" s="26">
        <v>6</v>
      </c>
      <c r="H53" s="10">
        <v>5</v>
      </c>
      <c r="I53" s="10">
        <v>6</v>
      </c>
      <c r="J53" s="10">
        <f t="shared" si="12"/>
        <v>11</v>
      </c>
      <c r="K53" s="11">
        <f t="shared" si="13"/>
        <v>45.454545454545453</v>
      </c>
      <c r="L53" s="10"/>
    </row>
    <row r="54" spans="1:13" x14ac:dyDescent="0.35">
      <c r="B54" t="s">
        <v>11</v>
      </c>
      <c r="C54" s="102">
        <v>44384</v>
      </c>
      <c r="D54" s="9" t="s">
        <v>24</v>
      </c>
      <c r="E54" s="10" t="s">
        <v>25</v>
      </c>
      <c r="F54" s="10"/>
      <c r="G54" s="26" t="s">
        <v>37</v>
      </c>
      <c r="H54" s="10">
        <v>8</v>
      </c>
      <c r="I54" s="10">
        <v>6</v>
      </c>
      <c r="J54" s="10">
        <f t="shared" si="12"/>
        <v>14</v>
      </c>
      <c r="K54" s="11">
        <f t="shared" si="13"/>
        <v>57.142857142857139</v>
      </c>
      <c r="L54" s="10"/>
    </row>
    <row r="55" spans="1:13" x14ac:dyDescent="0.35">
      <c r="B55" t="s">
        <v>11</v>
      </c>
      <c r="C55" s="102">
        <v>44384</v>
      </c>
      <c r="D55" s="9" t="s">
        <v>24</v>
      </c>
      <c r="E55" s="10" t="s">
        <v>11</v>
      </c>
      <c r="F55" s="10"/>
      <c r="G55" s="26">
        <v>7</v>
      </c>
      <c r="H55" s="10">
        <v>3</v>
      </c>
      <c r="I55" s="10">
        <v>11</v>
      </c>
      <c r="J55" s="10">
        <f t="shared" si="12"/>
        <v>14</v>
      </c>
      <c r="K55" s="11">
        <f t="shared" si="13"/>
        <v>21.428571428571427</v>
      </c>
      <c r="L55" s="10"/>
    </row>
    <row r="56" spans="1:13" x14ac:dyDescent="0.35">
      <c r="B56" t="s">
        <v>11</v>
      </c>
      <c r="C56" s="102">
        <v>44384</v>
      </c>
      <c r="D56" s="9" t="s">
        <v>24</v>
      </c>
      <c r="E56" s="10" t="s">
        <v>28</v>
      </c>
      <c r="F56" s="10"/>
      <c r="G56" s="26" t="s">
        <v>38</v>
      </c>
      <c r="H56" s="10">
        <v>5</v>
      </c>
      <c r="I56" s="10">
        <v>9</v>
      </c>
      <c r="J56" s="10">
        <f t="shared" si="12"/>
        <v>14</v>
      </c>
      <c r="K56" s="11">
        <f t="shared" si="13"/>
        <v>35.714285714285715</v>
      </c>
      <c r="L56" s="10"/>
    </row>
    <row r="57" spans="1:13" x14ac:dyDescent="0.35">
      <c r="B57" t="s">
        <v>11</v>
      </c>
      <c r="C57" s="102">
        <v>44384</v>
      </c>
      <c r="D57" s="9" t="s">
        <v>24</v>
      </c>
      <c r="E57" s="10" t="s">
        <v>39</v>
      </c>
      <c r="F57" s="10"/>
      <c r="G57" s="26" t="s">
        <v>35</v>
      </c>
      <c r="H57" s="10">
        <v>3</v>
      </c>
      <c r="I57" s="10">
        <v>9</v>
      </c>
      <c r="J57" s="10">
        <f t="shared" si="12"/>
        <v>12</v>
      </c>
      <c r="K57" s="11">
        <f t="shared" si="13"/>
        <v>25</v>
      </c>
      <c r="L57" s="10"/>
    </row>
    <row r="58" spans="1:13" x14ac:dyDescent="0.35">
      <c r="B58" t="s">
        <v>11</v>
      </c>
      <c r="C58" s="101">
        <v>44386</v>
      </c>
      <c r="D58" s="27" t="s">
        <v>40</v>
      </c>
      <c r="E58" s="28" t="s">
        <v>12</v>
      </c>
      <c r="F58" s="28" t="s">
        <v>13</v>
      </c>
      <c r="G58" s="29">
        <v>2</v>
      </c>
      <c r="H58" s="28">
        <v>1</v>
      </c>
      <c r="I58" s="28">
        <v>10</v>
      </c>
      <c r="J58" s="28">
        <f t="shared" si="12"/>
        <v>11</v>
      </c>
      <c r="K58" s="30">
        <f t="shared" si="13"/>
        <v>9.0909090909090917</v>
      </c>
      <c r="L58" s="30">
        <f>AVERAGE(K58:K60)</f>
        <v>27.575757575757574</v>
      </c>
    </row>
    <row r="59" spans="1:13" x14ac:dyDescent="0.35">
      <c r="B59" t="s">
        <v>11</v>
      </c>
      <c r="C59" s="101">
        <v>44386</v>
      </c>
      <c r="D59" s="27" t="s">
        <v>40</v>
      </c>
      <c r="E59" s="28" t="s">
        <v>14</v>
      </c>
      <c r="F59" s="28"/>
      <c r="G59" s="29">
        <v>3</v>
      </c>
      <c r="H59" s="28">
        <v>1</v>
      </c>
      <c r="I59" s="28">
        <v>9</v>
      </c>
      <c r="J59" s="28">
        <f t="shared" si="12"/>
        <v>10</v>
      </c>
      <c r="K59" s="30">
        <f t="shared" si="13"/>
        <v>10</v>
      </c>
      <c r="L59" s="28"/>
    </row>
    <row r="60" spans="1:13" x14ac:dyDescent="0.35">
      <c r="B60" t="s">
        <v>11</v>
      </c>
      <c r="C60" s="101">
        <v>44386</v>
      </c>
      <c r="D60" s="27" t="s">
        <v>40</v>
      </c>
      <c r="E60" s="28" t="s">
        <v>15</v>
      </c>
      <c r="F60" s="28"/>
      <c r="G60" s="29" t="s">
        <v>41</v>
      </c>
      <c r="H60" s="28">
        <v>7</v>
      </c>
      <c r="I60" s="28">
        <v>4</v>
      </c>
      <c r="J60" s="28">
        <f t="shared" si="12"/>
        <v>11</v>
      </c>
      <c r="K60" s="30">
        <f t="shared" si="13"/>
        <v>63.636363636363633</v>
      </c>
      <c r="L60" s="28"/>
    </row>
    <row r="61" spans="1:13" x14ac:dyDescent="0.35">
      <c r="B61" t="s">
        <v>11</v>
      </c>
      <c r="C61" s="57" t="s">
        <v>29</v>
      </c>
      <c r="D61" s="27" t="s">
        <v>40</v>
      </c>
      <c r="E61" s="28" t="s">
        <v>42</v>
      </c>
      <c r="F61" s="27" t="s">
        <v>13</v>
      </c>
      <c r="G61" s="29" t="s">
        <v>35</v>
      </c>
      <c r="H61" s="28">
        <v>1</v>
      </c>
      <c r="I61" s="28">
        <v>6</v>
      </c>
      <c r="J61" s="28">
        <f t="shared" ref="J61:J62" si="14">SUM(H61:I61)</f>
        <v>7</v>
      </c>
      <c r="K61" s="31">
        <f t="shared" si="13"/>
        <v>14.285714285714285</v>
      </c>
      <c r="L61" s="31">
        <f>AVERAGE(K61:K62)</f>
        <v>34.920634920634924</v>
      </c>
    </row>
    <row r="62" spans="1:13" x14ac:dyDescent="0.35">
      <c r="B62" t="s">
        <v>11</v>
      </c>
      <c r="C62" s="57" t="s">
        <v>29</v>
      </c>
      <c r="D62" s="27" t="s">
        <v>40</v>
      </c>
      <c r="E62" s="28" t="s">
        <v>14</v>
      </c>
      <c r="F62" s="27"/>
      <c r="G62" s="29" t="s">
        <v>37</v>
      </c>
      <c r="H62" s="28">
        <v>5</v>
      </c>
      <c r="I62" s="28">
        <v>4</v>
      </c>
      <c r="J62" s="28">
        <f t="shared" si="14"/>
        <v>9</v>
      </c>
      <c r="K62" s="31">
        <f t="shared" si="13"/>
        <v>55.555555555555557</v>
      </c>
      <c r="L62" s="28"/>
    </row>
    <row r="63" spans="1:13" x14ac:dyDescent="0.35">
      <c r="B63" t="s">
        <v>11</v>
      </c>
      <c r="C63" s="101">
        <v>44381</v>
      </c>
      <c r="D63" s="13" t="s">
        <v>26</v>
      </c>
      <c r="E63" s="32" t="s">
        <v>12</v>
      </c>
      <c r="F63" s="32" t="s">
        <v>13</v>
      </c>
      <c r="G63" s="33" t="s">
        <v>43</v>
      </c>
      <c r="H63" s="32">
        <v>11</v>
      </c>
      <c r="I63" s="32">
        <v>0</v>
      </c>
      <c r="J63" s="32">
        <f>SUM(H63:I63)</f>
        <v>11</v>
      </c>
      <c r="K63" s="34">
        <f>(H63/J63)*100</f>
        <v>100</v>
      </c>
      <c r="L63" s="34">
        <f>AVERAGE(K63:K66)</f>
        <v>95.454545454545439</v>
      </c>
      <c r="M63" s="3"/>
    </row>
    <row r="64" spans="1:13" x14ac:dyDescent="0.35">
      <c r="B64" t="s">
        <v>11</v>
      </c>
      <c r="C64" s="101">
        <v>44381</v>
      </c>
      <c r="D64" s="13" t="s">
        <v>26</v>
      </c>
      <c r="E64" s="32" t="s">
        <v>14</v>
      </c>
      <c r="F64" s="32"/>
      <c r="G64" s="33" t="s">
        <v>44</v>
      </c>
      <c r="H64" s="32">
        <v>10</v>
      </c>
      <c r="I64" s="32">
        <v>0</v>
      </c>
      <c r="J64" s="32">
        <f>SUM(H64:I64)</f>
        <v>10</v>
      </c>
      <c r="K64" s="34">
        <f>(H64/J64)*100</f>
        <v>100</v>
      </c>
      <c r="L64" s="32"/>
    </row>
    <row r="65" spans="2:13" x14ac:dyDescent="0.35">
      <c r="B65" t="s">
        <v>11</v>
      </c>
      <c r="C65" s="101">
        <v>44381</v>
      </c>
      <c r="D65" s="13" t="s">
        <v>26</v>
      </c>
      <c r="E65" s="32" t="s">
        <v>15</v>
      </c>
      <c r="F65" s="32"/>
      <c r="G65" s="33" t="s">
        <v>44</v>
      </c>
      <c r="H65" s="32">
        <v>10</v>
      </c>
      <c r="I65" s="32">
        <v>1</v>
      </c>
      <c r="J65" s="32">
        <f>SUM(H65:I65)</f>
        <v>11</v>
      </c>
      <c r="K65" s="34">
        <f>(H65/J65)*100</f>
        <v>90.909090909090907</v>
      </c>
      <c r="L65" s="32"/>
    </row>
    <row r="66" spans="2:13" x14ac:dyDescent="0.35">
      <c r="B66" t="s">
        <v>11</v>
      </c>
      <c r="C66" s="101">
        <v>44381</v>
      </c>
      <c r="D66" s="13" t="s">
        <v>26</v>
      </c>
      <c r="E66" s="32" t="s">
        <v>23</v>
      </c>
      <c r="F66" s="32"/>
      <c r="G66" s="33" t="s">
        <v>44</v>
      </c>
      <c r="H66" s="32">
        <v>10</v>
      </c>
      <c r="I66" s="32">
        <v>1</v>
      </c>
      <c r="J66" s="32">
        <f>SUM(H66:I66)</f>
        <v>11</v>
      </c>
      <c r="K66" s="34">
        <f>(H66/J66)*100</f>
        <v>90.909090909090907</v>
      </c>
      <c r="L66" s="32"/>
    </row>
    <row r="67" spans="2:13" x14ac:dyDescent="0.35">
      <c r="B67" t="s">
        <v>11</v>
      </c>
      <c r="C67" s="101">
        <v>44381</v>
      </c>
      <c r="D67" s="13" t="s">
        <v>26</v>
      </c>
      <c r="E67" s="35" t="s">
        <v>25</v>
      </c>
      <c r="F67" s="35"/>
      <c r="G67" s="36" t="s">
        <v>44</v>
      </c>
      <c r="H67" s="35">
        <v>5</v>
      </c>
      <c r="I67" s="35">
        <v>7</v>
      </c>
      <c r="J67" s="35">
        <f>SUM(H67:I67)</f>
        <v>12</v>
      </c>
      <c r="K67" s="37">
        <f>(H67/J67)*100</f>
        <v>41.666666666666671</v>
      </c>
      <c r="L67" s="35"/>
    </row>
    <row r="68" spans="2:13" x14ac:dyDescent="0.35">
      <c r="B68" t="s">
        <v>11</v>
      </c>
      <c r="C68" s="102">
        <v>44384</v>
      </c>
      <c r="D68" s="13" t="s">
        <v>26</v>
      </c>
      <c r="E68" s="32" t="s">
        <v>12</v>
      </c>
      <c r="F68" s="32" t="s">
        <v>13</v>
      </c>
      <c r="G68" s="33" t="s">
        <v>44</v>
      </c>
      <c r="H68" s="32">
        <v>13</v>
      </c>
      <c r="I68" s="32">
        <v>0</v>
      </c>
      <c r="J68" s="32">
        <f t="shared" ref="J68:J78" si="15">SUM(H68:I68)</f>
        <v>13</v>
      </c>
      <c r="K68" s="34">
        <f t="shared" ref="K68:K78" si="16">(H68/J68)*100</f>
        <v>100</v>
      </c>
      <c r="L68" s="34">
        <f>AVERAGE(K68:K75)</f>
        <v>96.964285714285708</v>
      </c>
      <c r="M68" s="3"/>
    </row>
    <row r="69" spans="2:13" x14ac:dyDescent="0.35">
      <c r="B69" t="s">
        <v>11</v>
      </c>
      <c r="C69" s="102">
        <v>44384</v>
      </c>
      <c r="D69" s="13" t="s">
        <v>26</v>
      </c>
      <c r="E69" s="32" t="s">
        <v>14</v>
      </c>
      <c r="F69" s="32"/>
      <c r="G69" s="33" t="s">
        <v>44</v>
      </c>
      <c r="H69" s="32">
        <v>11</v>
      </c>
      <c r="I69" s="32">
        <v>0</v>
      </c>
      <c r="J69" s="32">
        <f t="shared" si="15"/>
        <v>11</v>
      </c>
      <c r="K69" s="34">
        <f t="shared" si="16"/>
        <v>100</v>
      </c>
      <c r="L69" s="32"/>
    </row>
    <row r="70" spans="2:13" x14ac:dyDescent="0.35">
      <c r="B70" t="s">
        <v>11</v>
      </c>
      <c r="C70" s="102">
        <v>44384</v>
      </c>
      <c r="D70" s="13" t="s">
        <v>26</v>
      </c>
      <c r="E70" s="32" t="s">
        <v>15</v>
      </c>
      <c r="F70" s="32"/>
      <c r="G70" s="33" t="s">
        <v>37</v>
      </c>
      <c r="H70" s="32">
        <v>9</v>
      </c>
      <c r="I70" s="32">
        <v>1</v>
      </c>
      <c r="J70" s="32">
        <f t="shared" si="15"/>
        <v>10</v>
      </c>
      <c r="K70" s="34">
        <f t="shared" si="16"/>
        <v>90</v>
      </c>
      <c r="L70" s="32"/>
    </row>
    <row r="71" spans="2:13" x14ac:dyDescent="0.35">
      <c r="B71" t="s">
        <v>11</v>
      </c>
      <c r="C71" s="102">
        <v>44384</v>
      </c>
      <c r="D71" s="13" t="s">
        <v>26</v>
      </c>
      <c r="E71" s="32" t="s">
        <v>23</v>
      </c>
      <c r="F71" s="32"/>
      <c r="G71" s="33" t="s">
        <v>44</v>
      </c>
      <c r="H71" s="32">
        <v>9</v>
      </c>
      <c r="I71" s="32">
        <v>0</v>
      </c>
      <c r="J71" s="32">
        <f t="shared" si="15"/>
        <v>9</v>
      </c>
      <c r="K71" s="34">
        <f t="shared" si="16"/>
        <v>100</v>
      </c>
      <c r="L71" s="32"/>
    </row>
    <row r="72" spans="2:13" x14ac:dyDescent="0.35">
      <c r="B72" t="s">
        <v>11</v>
      </c>
      <c r="C72" s="102">
        <v>44384</v>
      </c>
      <c r="D72" s="13" t="s">
        <v>26</v>
      </c>
      <c r="E72" s="32" t="s">
        <v>25</v>
      </c>
      <c r="F72" s="32"/>
      <c r="G72" s="33" t="s">
        <v>44</v>
      </c>
      <c r="H72" s="32">
        <v>14</v>
      </c>
      <c r="I72" s="32">
        <v>0</v>
      </c>
      <c r="J72" s="32">
        <f t="shared" si="15"/>
        <v>14</v>
      </c>
      <c r="K72" s="34">
        <f t="shared" si="16"/>
        <v>100</v>
      </c>
      <c r="L72" s="32"/>
    </row>
    <row r="73" spans="2:13" x14ac:dyDescent="0.35">
      <c r="B73" t="s">
        <v>11</v>
      </c>
      <c r="C73" s="102">
        <v>44384</v>
      </c>
      <c r="D73" s="13" t="s">
        <v>26</v>
      </c>
      <c r="E73" s="32" t="s">
        <v>11</v>
      </c>
      <c r="F73" s="32"/>
      <c r="G73" s="33" t="s">
        <v>44</v>
      </c>
      <c r="H73" s="32">
        <v>12</v>
      </c>
      <c r="I73" s="32">
        <v>0</v>
      </c>
      <c r="J73" s="32">
        <f t="shared" si="15"/>
        <v>12</v>
      </c>
      <c r="K73" s="34">
        <f t="shared" si="16"/>
        <v>100</v>
      </c>
      <c r="L73" s="32"/>
    </row>
    <row r="74" spans="2:13" x14ac:dyDescent="0.35">
      <c r="B74" t="s">
        <v>11</v>
      </c>
      <c r="C74" s="102">
        <v>44384</v>
      </c>
      <c r="D74" s="13" t="s">
        <v>26</v>
      </c>
      <c r="E74" s="32" t="s">
        <v>28</v>
      </c>
      <c r="F74" s="32"/>
      <c r="G74" s="33" t="s">
        <v>37</v>
      </c>
      <c r="H74" s="32">
        <v>12</v>
      </c>
      <c r="I74" s="32">
        <v>2</v>
      </c>
      <c r="J74" s="32">
        <f t="shared" si="15"/>
        <v>14</v>
      </c>
      <c r="K74" s="34">
        <f t="shared" si="16"/>
        <v>85.714285714285708</v>
      </c>
      <c r="L74" s="32"/>
    </row>
    <row r="75" spans="2:13" x14ac:dyDescent="0.35">
      <c r="B75" t="s">
        <v>11</v>
      </c>
      <c r="C75" s="102">
        <v>44384</v>
      </c>
      <c r="D75" s="13" t="s">
        <v>26</v>
      </c>
      <c r="E75" s="32" t="s">
        <v>39</v>
      </c>
      <c r="F75" s="32"/>
      <c r="G75" s="33" t="s">
        <v>44</v>
      </c>
      <c r="H75" s="32">
        <v>14</v>
      </c>
      <c r="I75" s="32">
        <v>0</v>
      </c>
      <c r="J75" s="32">
        <f t="shared" si="15"/>
        <v>14</v>
      </c>
      <c r="K75" s="34">
        <f t="shared" si="16"/>
        <v>100</v>
      </c>
      <c r="L75" s="32"/>
    </row>
    <row r="76" spans="2:13" x14ac:dyDescent="0.35">
      <c r="B76" t="s">
        <v>11</v>
      </c>
      <c r="C76" s="101">
        <v>44379</v>
      </c>
      <c r="D76" s="17" t="s">
        <v>27</v>
      </c>
      <c r="E76" s="18" t="s">
        <v>12</v>
      </c>
      <c r="F76" s="18" t="s">
        <v>13</v>
      </c>
      <c r="G76" s="38" t="s">
        <v>45</v>
      </c>
      <c r="H76" s="18">
        <v>9</v>
      </c>
      <c r="I76" s="18">
        <v>2</v>
      </c>
      <c r="J76" s="18">
        <f t="shared" si="15"/>
        <v>11</v>
      </c>
      <c r="K76" s="19">
        <f t="shared" si="16"/>
        <v>81.818181818181827</v>
      </c>
      <c r="L76" s="19">
        <f>AVERAGE(K76:K78)</f>
        <v>70.707070707070713</v>
      </c>
    </row>
    <row r="77" spans="2:13" x14ac:dyDescent="0.35">
      <c r="B77" t="s">
        <v>11</v>
      </c>
      <c r="C77" s="101">
        <v>44379</v>
      </c>
      <c r="D77" s="17" t="s">
        <v>27</v>
      </c>
      <c r="E77" s="18" t="s">
        <v>14</v>
      </c>
      <c r="F77" s="18"/>
      <c r="G77" s="38" t="s">
        <v>44</v>
      </c>
      <c r="H77" s="18">
        <v>8</v>
      </c>
      <c r="I77" s="18">
        <v>4</v>
      </c>
      <c r="J77" s="18">
        <f t="shared" si="15"/>
        <v>12</v>
      </c>
      <c r="K77" s="19">
        <f t="shared" si="16"/>
        <v>66.666666666666657</v>
      </c>
      <c r="L77" s="18"/>
    </row>
    <row r="78" spans="2:13" x14ac:dyDescent="0.35">
      <c r="B78" t="s">
        <v>11</v>
      </c>
      <c r="C78" s="101">
        <v>44379</v>
      </c>
      <c r="D78" s="17" t="s">
        <v>27</v>
      </c>
      <c r="E78" s="18" t="s">
        <v>15</v>
      </c>
      <c r="F78" s="18"/>
      <c r="G78" s="38" t="s">
        <v>44</v>
      </c>
      <c r="H78" s="18">
        <v>7</v>
      </c>
      <c r="I78" s="18">
        <v>4</v>
      </c>
      <c r="J78" s="18">
        <f t="shared" si="15"/>
        <v>11</v>
      </c>
      <c r="K78" s="19">
        <f t="shared" si="16"/>
        <v>63.636363636363633</v>
      </c>
      <c r="L78" s="18"/>
    </row>
    <row r="79" spans="2:13" x14ac:dyDescent="0.35">
      <c r="B79" t="s">
        <v>11</v>
      </c>
      <c r="C79" s="101">
        <v>44381</v>
      </c>
      <c r="D79" s="17" t="s">
        <v>27</v>
      </c>
      <c r="E79" s="18" t="s">
        <v>12</v>
      </c>
      <c r="F79" s="18" t="s">
        <v>13</v>
      </c>
      <c r="G79" s="38" t="s">
        <v>30</v>
      </c>
      <c r="H79" s="18">
        <v>1</v>
      </c>
      <c r="I79" s="18">
        <v>10</v>
      </c>
      <c r="J79" s="18">
        <f>SUM(H79:I79)</f>
        <v>11</v>
      </c>
      <c r="K79" s="19">
        <f>(H79/J79)*100</f>
        <v>9.0909090909090917</v>
      </c>
      <c r="L79" s="19">
        <f>AVERAGE(K79:K83)</f>
        <v>24.242424242424242</v>
      </c>
      <c r="M79" s="3"/>
    </row>
    <row r="80" spans="2:13" x14ac:dyDescent="0.35">
      <c r="B80" t="s">
        <v>11</v>
      </c>
      <c r="C80" s="101">
        <v>44381</v>
      </c>
      <c r="D80" s="17" t="s">
        <v>27</v>
      </c>
      <c r="E80" s="18" t="s">
        <v>14</v>
      </c>
      <c r="F80" s="18"/>
      <c r="G80" s="38" t="s">
        <v>46</v>
      </c>
      <c r="H80" s="18">
        <v>3</v>
      </c>
      <c r="I80" s="18">
        <v>6</v>
      </c>
      <c r="J80" s="18">
        <f>SUM(H80:I80)</f>
        <v>9</v>
      </c>
      <c r="K80" s="19">
        <f>(H80/J80)*100</f>
        <v>33.333333333333329</v>
      </c>
      <c r="L80" s="18"/>
    </row>
    <row r="81" spans="2:13" x14ac:dyDescent="0.35">
      <c r="B81" t="s">
        <v>11</v>
      </c>
      <c r="C81" s="101">
        <v>44381</v>
      </c>
      <c r="D81" s="17" t="s">
        <v>27</v>
      </c>
      <c r="E81" s="18" t="s">
        <v>15</v>
      </c>
      <c r="F81" s="18"/>
      <c r="G81" s="38" t="s">
        <v>38</v>
      </c>
      <c r="H81" s="18">
        <v>3</v>
      </c>
      <c r="I81" s="18">
        <v>8</v>
      </c>
      <c r="J81" s="18">
        <f>SUM(H81:I81)</f>
        <v>11</v>
      </c>
      <c r="K81" s="19">
        <f>(H81/J81)*100</f>
        <v>27.27272727272727</v>
      </c>
      <c r="L81" s="18"/>
    </row>
    <row r="82" spans="2:13" x14ac:dyDescent="0.35">
      <c r="B82" t="s">
        <v>11</v>
      </c>
      <c r="C82" s="101">
        <v>44381</v>
      </c>
      <c r="D82" s="17" t="s">
        <v>51</v>
      </c>
      <c r="E82" s="18" t="s">
        <v>23</v>
      </c>
      <c r="F82" s="18"/>
      <c r="G82" s="38" t="s">
        <v>35</v>
      </c>
      <c r="H82" s="18">
        <v>4</v>
      </c>
      <c r="I82" s="18">
        <v>8</v>
      </c>
      <c r="J82" s="18">
        <f>SUM(H82:I82)</f>
        <v>12</v>
      </c>
      <c r="K82" s="19">
        <f>(H82/J82)*100</f>
        <v>33.333333333333329</v>
      </c>
      <c r="L82" s="18"/>
    </row>
    <row r="83" spans="2:13" x14ac:dyDescent="0.35">
      <c r="B83" t="s">
        <v>11</v>
      </c>
      <c r="C83" s="101">
        <v>44381</v>
      </c>
      <c r="D83" s="17" t="s">
        <v>27</v>
      </c>
      <c r="E83" s="18" t="s">
        <v>25</v>
      </c>
      <c r="F83" s="18"/>
      <c r="G83" s="38" t="s">
        <v>47</v>
      </c>
      <c r="H83" s="18">
        <v>2</v>
      </c>
      <c r="I83" s="18">
        <v>9</v>
      </c>
      <c r="J83" s="18">
        <f>SUM(H83:I83)</f>
        <v>11</v>
      </c>
      <c r="K83" s="19">
        <f>(H83/J83)*100</f>
        <v>18.181818181818183</v>
      </c>
      <c r="L83" s="18"/>
    </row>
    <row r="84" spans="2:13" x14ac:dyDescent="0.35">
      <c r="B84" t="s">
        <v>11</v>
      </c>
      <c r="C84" s="102">
        <v>44384</v>
      </c>
      <c r="D84" s="17" t="s">
        <v>27</v>
      </c>
      <c r="E84" s="18" t="s">
        <v>12</v>
      </c>
      <c r="F84" s="18" t="s">
        <v>13</v>
      </c>
      <c r="G84" s="38" t="s">
        <v>48</v>
      </c>
      <c r="H84" s="18">
        <v>1</v>
      </c>
      <c r="I84" s="18">
        <v>11</v>
      </c>
      <c r="J84" s="18">
        <f t="shared" ref="J84:J95" si="17">SUM(H84:I84)</f>
        <v>12</v>
      </c>
      <c r="K84" s="19">
        <f t="shared" ref="K84:K95" si="18">(H84/J84)*100</f>
        <v>8.3333333333333321</v>
      </c>
      <c r="L84" s="19">
        <f>AVERAGE(K84:K91)</f>
        <v>10.734265734265733</v>
      </c>
      <c r="M84" s="3"/>
    </row>
    <row r="85" spans="2:13" x14ac:dyDescent="0.35">
      <c r="B85" t="s">
        <v>11</v>
      </c>
      <c r="C85" s="102">
        <v>44384</v>
      </c>
      <c r="D85" s="17" t="s">
        <v>27</v>
      </c>
      <c r="E85" s="18" t="s">
        <v>14</v>
      </c>
      <c r="F85" s="18"/>
      <c r="G85" s="38" t="s">
        <v>47</v>
      </c>
      <c r="H85" s="18">
        <v>1</v>
      </c>
      <c r="I85" s="18">
        <v>9</v>
      </c>
      <c r="J85" s="18">
        <f t="shared" si="17"/>
        <v>10</v>
      </c>
      <c r="K85" s="19">
        <f t="shared" si="18"/>
        <v>10</v>
      </c>
      <c r="L85" s="18"/>
    </row>
    <row r="86" spans="2:13" x14ac:dyDescent="0.35">
      <c r="B86" t="s">
        <v>11</v>
      </c>
      <c r="C86" s="102">
        <v>44384</v>
      </c>
      <c r="D86" s="17" t="s">
        <v>27</v>
      </c>
      <c r="E86" s="18" t="s">
        <v>15</v>
      </c>
      <c r="F86" s="18"/>
      <c r="G86" s="38" t="s">
        <v>46</v>
      </c>
      <c r="H86" s="18">
        <v>1</v>
      </c>
      <c r="I86" s="18">
        <v>11</v>
      </c>
      <c r="J86" s="18">
        <f t="shared" si="17"/>
        <v>12</v>
      </c>
      <c r="K86" s="19">
        <f t="shared" si="18"/>
        <v>8.3333333333333321</v>
      </c>
      <c r="L86" s="18"/>
    </row>
    <row r="87" spans="2:13" x14ac:dyDescent="0.35">
      <c r="B87" t="s">
        <v>11</v>
      </c>
      <c r="C87" s="102">
        <v>44384</v>
      </c>
      <c r="D87" s="17" t="s">
        <v>27</v>
      </c>
      <c r="E87" s="18" t="s">
        <v>23</v>
      </c>
      <c r="F87" s="18"/>
      <c r="G87" s="38" t="s">
        <v>46</v>
      </c>
      <c r="H87" s="18">
        <v>2</v>
      </c>
      <c r="I87" s="18">
        <v>9</v>
      </c>
      <c r="J87" s="18">
        <f t="shared" si="17"/>
        <v>11</v>
      </c>
      <c r="K87" s="19">
        <f t="shared" si="18"/>
        <v>18.181818181818183</v>
      </c>
      <c r="L87" s="18"/>
    </row>
    <row r="88" spans="2:13" x14ac:dyDescent="0.35">
      <c r="B88" t="s">
        <v>11</v>
      </c>
      <c r="C88" s="102">
        <v>44384</v>
      </c>
      <c r="D88" s="17" t="s">
        <v>27</v>
      </c>
      <c r="E88" s="18" t="s">
        <v>25</v>
      </c>
      <c r="F88" s="18"/>
      <c r="G88" s="38" t="s">
        <v>47</v>
      </c>
      <c r="H88" s="18">
        <v>4</v>
      </c>
      <c r="I88" s="18">
        <v>8</v>
      </c>
      <c r="J88" s="18">
        <f t="shared" si="17"/>
        <v>12</v>
      </c>
      <c r="K88" s="19">
        <f t="shared" si="18"/>
        <v>33.333333333333329</v>
      </c>
      <c r="L88" s="18"/>
    </row>
    <row r="89" spans="2:13" x14ac:dyDescent="0.35">
      <c r="B89" t="s">
        <v>11</v>
      </c>
      <c r="C89" s="102">
        <v>44384</v>
      </c>
      <c r="D89" s="17" t="s">
        <v>27</v>
      </c>
      <c r="E89" s="18" t="s">
        <v>11</v>
      </c>
      <c r="F89" s="18"/>
      <c r="G89" s="38" t="s">
        <v>38</v>
      </c>
      <c r="H89" s="18">
        <v>1</v>
      </c>
      <c r="I89" s="18">
        <v>12</v>
      </c>
      <c r="J89" s="18">
        <f t="shared" si="17"/>
        <v>13</v>
      </c>
      <c r="K89" s="19">
        <f t="shared" si="18"/>
        <v>7.6923076923076925</v>
      </c>
      <c r="L89" s="18"/>
    </row>
    <row r="90" spans="2:13" x14ac:dyDescent="0.35">
      <c r="B90" t="s">
        <v>11</v>
      </c>
      <c r="C90" s="102">
        <v>44384</v>
      </c>
      <c r="D90" s="17" t="s">
        <v>51</v>
      </c>
      <c r="E90" s="18" t="s">
        <v>28</v>
      </c>
      <c r="F90" s="18"/>
      <c r="G90" s="38" t="s">
        <v>49</v>
      </c>
      <c r="H90" s="18">
        <v>0</v>
      </c>
      <c r="I90" s="18">
        <v>13</v>
      </c>
      <c r="J90" s="18">
        <f t="shared" si="17"/>
        <v>13</v>
      </c>
      <c r="K90" s="19">
        <f t="shared" si="18"/>
        <v>0</v>
      </c>
      <c r="L90" s="18"/>
    </row>
    <row r="91" spans="2:13" x14ac:dyDescent="0.35">
      <c r="B91" t="s">
        <v>11</v>
      </c>
      <c r="C91" s="102">
        <v>44384</v>
      </c>
      <c r="D91" s="17" t="s">
        <v>27</v>
      </c>
      <c r="E91" s="18" t="s">
        <v>39</v>
      </c>
      <c r="F91" s="18"/>
      <c r="G91" s="38" t="s">
        <v>50</v>
      </c>
      <c r="H91" s="18">
        <v>0</v>
      </c>
      <c r="I91" s="18">
        <v>14</v>
      </c>
      <c r="J91" s="18">
        <f t="shared" si="17"/>
        <v>14</v>
      </c>
      <c r="K91" s="19">
        <f t="shared" si="18"/>
        <v>0</v>
      </c>
      <c r="L91" s="18"/>
    </row>
    <row r="92" spans="2:13" x14ac:dyDescent="0.35">
      <c r="B92" t="s">
        <v>11</v>
      </c>
      <c r="C92" s="101">
        <v>44386</v>
      </c>
      <c r="D92" s="17" t="s">
        <v>27</v>
      </c>
      <c r="E92" s="18" t="s">
        <v>12</v>
      </c>
      <c r="F92" s="18" t="s">
        <v>13</v>
      </c>
      <c r="G92" s="38" t="s">
        <v>31</v>
      </c>
      <c r="H92" s="18">
        <v>0</v>
      </c>
      <c r="I92" s="18">
        <v>11</v>
      </c>
      <c r="J92" s="18">
        <f t="shared" si="17"/>
        <v>11</v>
      </c>
      <c r="K92" s="19">
        <f t="shared" si="18"/>
        <v>0</v>
      </c>
      <c r="L92" s="19">
        <f>AVERAGE(K92:K95)</f>
        <v>6.558441558441559</v>
      </c>
    </row>
    <row r="93" spans="2:13" x14ac:dyDescent="0.35">
      <c r="B93" t="s">
        <v>11</v>
      </c>
      <c r="C93" s="101">
        <v>44386</v>
      </c>
      <c r="D93" s="17" t="s">
        <v>27</v>
      </c>
      <c r="E93" s="18" t="s">
        <v>14</v>
      </c>
      <c r="F93" s="18"/>
      <c r="G93" s="38" t="s">
        <v>35</v>
      </c>
      <c r="H93" s="18">
        <v>1</v>
      </c>
      <c r="I93" s="18">
        <v>9</v>
      </c>
      <c r="J93" s="18">
        <f t="shared" si="17"/>
        <v>10</v>
      </c>
      <c r="K93" s="19">
        <f t="shared" si="18"/>
        <v>10</v>
      </c>
      <c r="L93" s="18"/>
    </row>
    <row r="94" spans="2:13" x14ac:dyDescent="0.35">
      <c r="B94" t="s">
        <v>11</v>
      </c>
      <c r="C94" s="101">
        <v>44386</v>
      </c>
      <c r="D94" s="17" t="s">
        <v>27</v>
      </c>
      <c r="E94" s="18" t="s">
        <v>15</v>
      </c>
      <c r="F94" s="18"/>
      <c r="G94" s="38" t="s">
        <v>38</v>
      </c>
      <c r="H94" s="18">
        <v>1</v>
      </c>
      <c r="I94" s="18">
        <v>10</v>
      </c>
      <c r="J94" s="18">
        <f t="shared" si="17"/>
        <v>11</v>
      </c>
      <c r="K94" s="19">
        <f t="shared" si="18"/>
        <v>9.0909090909090917</v>
      </c>
      <c r="L94" s="18"/>
    </row>
    <row r="95" spans="2:13" x14ac:dyDescent="0.35">
      <c r="B95" t="s">
        <v>11</v>
      </c>
      <c r="C95" s="101">
        <v>44386</v>
      </c>
      <c r="D95" s="17" t="s">
        <v>27</v>
      </c>
      <c r="E95" s="18" t="s">
        <v>23</v>
      </c>
      <c r="F95" s="18"/>
      <c r="G95" s="38" t="s">
        <v>46</v>
      </c>
      <c r="H95" s="18">
        <v>1</v>
      </c>
      <c r="I95" s="18">
        <v>13</v>
      </c>
      <c r="J95" s="18">
        <f t="shared" si="17"/>
        <v>14</v>
      </c>
      <c r="K95" s="19">
        <f t="shared" si="18"/>
        <v>7.1428571428571423</v>
      </c>
      <c r="L95" s="18"/>
    </row>
    <row r="96" spans="2:13" x14ac:dyDescent="0.35">
      <c r="B96" t="s">
        <v>11</v>
      </c>
      <c r="C96" s="57" t="s">
        <v>29</v>
      </c>
      <c r="D96" s="17" t="s">
        <v>51</v>
      </c>
      <c r="E96" s="18" t="s">
        <v>12</v>
      </c>
      <c r="F96" s="17" t="s">
        <v>13</v>
      </c>
      <c r="G96" s="38" t="s">
        <v>47</v>
      </c>
      <c r="H96" s="18">
        <v>0</v>
      </c>
      <c r="I96" s="18">
        <v>8</v>
      </c>
      <c r="J96" s="18">
        <f t="shared" ref="J96:J97" si="19">SUM(H96:I96)</f>
        <v>8</v>
      </c>
      <c r="K96" s="18">
        <f>H96/J96*100</f>
        <v>0</v>
      </c>
      <c r="L96" s="20">
        <f>AVERAGE(K96:K97)</f>
        <v>7.6923076923076925</v>
      </c>
    </row>
    <row r="97" spans="2:12" x14ac:dyDescent="0.35">
      <c r="B97" t="s">
        <v>11</v>
      </c>
      <c r="C97" s="57" t="s">
        <v>29</v>
      </c>
      <c r="D97" s="17" t="s">
        <v>27</v>
      </c>
      <c r="E97" s="18" t="s">
        <v>14</v>
      </c>
      <c r="F97" s="17"/>
      <c r="G97" s="38" t="s">
        <v>35</v>
      </c>
      <c r="H97" s="18">
        <v>2</v>
      </c>
      <c r="I97" s="18">
        <v>11</v>
      </c>
      <c r="J97" s="18">
        <f t="shared" si="19"/>
        <v>13</v>
      </c>
      <c r="K97" s="20">
        <f>H97/J97*100</f>
        <v>15.384615384615385</v>
      </c>
      <c r="L97" s="18"/>
    </row>
    <row r="104" spans="2:12" x14ac:dyDescent="0.35">
      <c r="B104" s="39" t="s">
        <v>341</v>
      </c>
      <c r="C104" s="125"/>
      <c r="D104" s="126"/>
    </row>
    <row r="105" spans="2:12" x14ac:dyDescent="0.35">
      <c r="B105" s="39" t="s">
        <v>53</v>
      </c>
      <c r="C105" s="125"/>
      <c r="D105" s="126"/>
    </row>
    <row r="106" spans="2:12" ht="16.5" x14ac:dyDescent="0.35">
      <c r="B106" s="39" t="s">
        <v>54</v>
      </c>
      <c r="C106" s="125"/>
      <c r="D106" s="126"/>
    </row>
    <row r="110" spans="2:12" x14ac:dyDescent="0.35">
      <c r="H110" s="1"/>
      <c r="I110" s="1"/>
    </row>
    <row r="111" spans="2:12" x14ac:dyDescent="0.35">
      <c r="G111" s="1"/>
      <c r="I111" s="4"/>
    </row>
    <row r="112" spans="2:12" x14ac:dyDescent="0.35">
      <c r="G112" s="1"/>
      <c r="I112" s="4"/>
    </row>
    <row r="113" spans="7:9" x14ac:dyDescent="0.35">
      <c r="G113" s="1"/>
      <c r="I113" s="4"/>
    </row>
    <row r="114" spans="7:9" x14ac:dyDescent="0.35">
      <c r="G114" s="1"/>
      <c r="I114" s="4"/>
    </row>
    <row r="115" spans="7:9" x14ac:dyDescent="0.35">
      <c r="G115" s="1"/>
      <c r="I115" s="4"/>
    </row>
    <row r="116" spans="7:9" x14ac:dyDescent="0.35">
      <c r="G116" s="1"/>
      <c r="I116" s="4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7" r:id="rId4">
          <objectPr defaultSize="0" autoPict="0" r:id="rId5">
            <anchor moveWithCells="1">
              <from>
                <xdr:col>15</xdr:col>
                <xdr:colOff>469900</xdr:colOff>
                <xdr:row>14</xdr:row>
                <xdr:rowOff>114300</xdr:rowOff>
              </from>
              <to>
                <xdr:col>18</xdr:col>
                <xdr:colOff>1771650</xdr:colOff>
                <xdr:row>25</xdr:row>
                <xdr:rowOff>101600</xdr:rowOff>
              </to>
            </anchor>
          </objectPr>
        </oleObject>
      </mc:Choice>
      <mc:Fallback>
        <oleObject progId="Prism8.Document" shapeId="102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EB4-5178-410C-80CA-72DCFDDB75C3}">
  <dimension ref="B3:CI86"/>
  <sheetViews>
    <sheetView zoomScale="40" zoomScaleNormal="40" workbookViewId="0">
      <selection activeCell="AO44" sqref="AO44"/>
    </sheetView>
  </sheetViews>
  <sheetFormatPr defaultColWidth="11.453125" defaultRowHeight="14.5" x14ac:dyDescent="0.35"/>
  <cols>
    <col min="1" max="1" width="16.26953125" customWidth="1"/>
    <col min="2" max="2" width="25.26953125" customWidth="1"/>
    <col min="7" max="7" width="17.26953125" customWidth="1"/>
    <col min="9" max="9" width="20.26953125" customWidth="1"/>
    <col min="11" max="11" width="17.1796875" customWidth="1"/>
    <col min="12" max="12" width="19.81640625" customWidth="1"/>
    <col min="15" max="15" width="14" customWidth="1"/>
    <col min="16" max="16" width="17.81640625" customWidth="1"/>
    <col min="19" max="19" width="25.7265625" customWidth="1"/>
    <col min="20" max="20" width="24.453125" customWidth="1"/>
    <col min="22" max="22" width="19.26953125" customWidth="1"/>
    <col min="23" max="23" width="11.453125" customWidth="1"/>
    <col min="27" max="27" width="20.453125" customWidth="1"/>
    <col min="28" max="28" width="13.54296875" customWidth="1"/>
    <col min="31" max="31" width="27.453125" customWidth="1"/>
    <col min="32" max="32" width="19.7265625" customWidth="1"/>
    <col min="33" max="33" width="23.26953125" customWidth="1"/>
    <col min="34" max="34" width="31.7265625" customWidth="1"/>
    <col min="37" max="37" width="19" customWidth="1"/>
    <col min="39" max="39" width="17.81640625" customWidth="1"/>
    <col min="40" max="40" width="28.453125" customWidth="1"/>
    <col min="41" max="41" width="21" customWidth="1"/>
    <col min="42" max="42" width="16.453125" customWidth="1"/>
    <col min="48" max="48" width="17.54296875" customWidth="1"/>
    <col min="49" max="49" width="27.1796875" customWidth="1"/>
    <col min="51" max="51" width="21.453125" customWidth="1"/>
    <col min="55" max="55" width="13.1796875" bestFit="1" customWidth="1"/>
    <col min="56" max="56" width="16.7265625" customWidth="1"/>
    <col min="57" max="57" width="18.81640625" customWidth="1"/>
    <col min="58" max="58" width="26.1796875" customWidth="1"/>
    <col min="59" max="59" width="13.54296875" customWidth="1"/>
    <col min="60" max="60" width="13.26953125" customWidth="1"/>
    <col min="61" max="61" width="27" customWidth="1"/>
    <col min="62" max="62" width="25.7265625" customWidth="1"/>
    <col min="63" max="63" width="21" customWidth="1"/>
    <col min="64" max="64" width="21.54296875" customWidth="1"/>
    <col min="65" max="65" width="31.26953125" customWidth="1"/>
    <col min="67" max="67" width="22.7265625" customWidth="1"/>
    <col min="69" max="69" width="18.453125" customWidth="1"/>
    <col min="70" max="71" width="13.1796875" bestFit="1" customWidth="1"/>
    <col min="73" max="73" width="19.453125" customWidth="1"/>
    <col min="79" max="79" width="17" customWidth="1"/>
    <col min="85" max="85" width="18.453125" customWidth="1"/>
    <col min="86" max="86" width="22.453125" customWidth="1"/>
  </cols>
  <sheetData>
    <row r="3" spans="2:76" ht="24" x14ac:dyDescent="0.5">
      <c r="B3" s="127" t="s">
        <v>510</v>
      </c>
    </row>
    <row r="4" spans="2:76" ht="23.5" x14ac:dyDescent="0.55000000000000004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6" spans="2:76" x14ac:dyDescent="0.35">
      <c r="B6" s="184" t="s">
        <v>168</v>
      </c>
      <c r="C6" s="184"/>
      <c r="D6" s="184"/>
      <c r="E6" s="184"/>
      <c r="F6" s="184"/>
      <c r="G6" s="184"/>
    </row>
    <row r="7" spans="2:76" x14ac:dyDescent="0.35">
      <c r="B7" s="53" t="s">
        <v>169</v>
      </c>
      <c r="C7" s="57" t="s">
        <v>170</v>
      </c>
      <c r="D7" s="57" t="s">
        <v>171</v>
      </c>
      <c r="E7" s="57" t="s">
        <v>172</v>
      </c>
      <c r="F7" s="57" t="s">
        <v>173</v>
      </c>
      <c r="G7" s="57" t="s">
        <v>222</v>
      </c>
      <c r="H7" s="57" t="s">
        <v>223</v>
      </c>
      <c r="I7" s="57" t="s">
        <v>224</v>
      </c>
      <c r="J7" s="57" t="s">
        <v>225</v>
      </c>
      <c r="L7" s="183" t="s">
        <v>174</v>
      </c>
      <c r="M7" s="183"/>
      <c r="N7" s="183"/>
      <c r="O7" s="183"/>
      <c r="P7" s="183"/>
      <c r="BC7" s="1" t="s">
        <v>226</v>
      </c>
    </row>
    <row r="8" spans="2:76" x14ac:dyDescent="0.35">
      <c r="B8" s="54" t="s">
        <v>227</v>
      </c>
      <c r="C8" s="55">
        <v>35.47</v>
      </c>
      <c r="D8" s="55">
        <v>35.54</v>
      </c>
      <c r="E8" s="55">
        <v>27.44</v>
      </c>
      <c r="F8" s="55">
        <v>32.18</v>
      </c>
      <c r="G8" s="55">
        <v>28.55</v>
      </c>
      <c r="H8" s="55" t="s">
        <v>204</v>
      </c>
      <c r="I8" s="55">
        <v>28.36</v>
      </c>
      <c r="J8" s="55" t="s">
        <v>204</v>
      </c>
      <c r="L8" s="1" t="s">
        <v>176</v>
      </c>
      <c r="M8">
        <v>0.90900000000000003</v>
      </c>
      <c r="O8" s="1" t="s">
        <v>172</v>
      </c>
      <c r="P8">
        <v>0.998</v>
      </c>
      <c r="Q8" s="1" t="s">
        <v>228</v>
      </c>
      <c r="R8">
        <v>0.91</v>
      </c>
      <c r="AH8" s="183" t="s">
        <v>178</v>
      </c>
      <c r="AI8" s="183"/>
      <c r="AJ8" s="183"/>
      <c r="AK8" s="183"/>
      <c r="AL8" s="183"/>
      <c r="AQ8" s="183" t="s">
        <v>511</v>
      </c>
      <c r="AR8" s="183"/>
      <c r="AS8" s="183"/>
      <c r="AT8" s="183"/>
      <c r="AU8" s="183"/>
      <c r="AV8" s="183"/>
      <c r="AW8" s="183"/>
      <c r="AZ8" s="183" t="s">
        <v>513</v>
      </c>
      <c r="BA8" s="183"/>
      <c r="BB8" s="183"/>
      <c r="BC8" s="183"/>
      <c r="BD8" s="183"/>
      <c r="BE8" s="183"/>
      <c r="BF8" s="183"/>
      <c r="BH8" s="106"/>
      <c r="BI8" s="186"/>
      <c r="BJ8" s="18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</row>
    <row r="9" spans="2:76" x14ac:dyDescent="0.35">
      <c r="B9" s="54" t="s">
        <v>227</v>
      </c>
      <c r="C9" s="55">
        <v>32.25</v>
      </c>
      <c r="D9" s="55">
        <v>31.08</v>
      </c>
      <c r="E9" s="55">
        <v>27.31</v>
      </c>
      <c r="F9" s="55">
        <v>30.97</v>
      </c>
      <c r="G9" s="55">
        <v>28.22</v>
      </c>
      <c r="H9" s="55">
        <v>35.090000000000003</v>
      </c>
      <c r="I9" s="55">
        <v>28.06</v>
      </c>
      <c r="J9" s="55">
        <v>36.049999999999997</v>
      </c>
      <c r="L9" s="1" t="s">
        <v>171</v>
      </c>
      <c r="M9">
        <v>1</v>
      </c>
      <c r="O9" s="1" t="s">
        <v>224</v>
      </c>
      <c r="P9">
        <v>1.107</v>
      </c>
      <c r="W9" s="78" t="s">
        <v>177</v>
      </c>
      <c r="X9" s="79"/>
      <c r="Y9" s="79"/>
      <c r="Z9" s="79"/>
      <c r="AH9" s="57" t="s">
        <v>189</v>
      </c>
      <c r="AQ9" s="1" t="s">
        <v>187</v>
      </c>
      <c r="AR9" s="1" t="s">
        <v>172</v>
      </c>
      <c r="AS9" s="1" t="s">
        <v>173</v>
      </c>
      <c r="AT9" s="57" t="s">
        <v>222</v>
      </c>
      <c r="AU9" s="57" t="s">
        <v>223</v>
      </c>
      <c r="AV9" s="57" t="s">
        <v>224</v>
      </c>
      <c r="AW9" s="57" t="s">
        <v>225</v>
      </c>
      <c r="AZ9" s="1" t="s">
        <v>187</v>
      </c>
      <c r="BA9" s="1" t="s">
        <v>172</v>
      </c>
      <c r="BB9" s="1" t="s">
        <v>173</v>
      </c>
      <c r="BC9" s="57" t="s">
        <v>222</v>
      </c>
      <c r="BD9" s="57" t="s">
        <v>223</v>
      </c>
      <c r="BE9" s="57" t="s">
        <v>224</v>
      </c>
      <c r="BF9" s="57" t="s">
        <v>225</v>
      </c>
      <c r="BH9" s="185"/>
      <c r="BI9" s="168"/>
      <c r="BJ9" s="169"/>
      <c r="BK9" s="169"/>
      <c r="BL9" s="169"/>
      <c r="BM9" s="169"/>
      <c r="BN9" s="169"/>
      <c r="BO9" s="169"/>
      <c r="BP9" s="106"/>
      <c r="BQ9" s="185"/>
      <c r="BR9" s="168"/>
      <c r="BS9" s="169"/>
      <c r="BT9" s="169"/>
      <c r="BU9" s="169"/>
      <c r="BV9" s="169"/>
      <c r="BW9" s="169"/>
      <c r="BX9" s="169"/>
    </row>
    <row r="10" spans="2:76" x14ac:dyDescent="0.35">
      <c r="B10" s="54" t="s">
        <v>227</v>
      </c>
      <c r="C10" s="55">
        <v>30.25</v>
      </c>
      <c r="D10" s="55">
        <v>28.5</v>
      </c>
      <c r="E10" s="55">
        <v>27.22</v>
      </c>
      <c r="F10" s="55">
        <v>29.87</v>
      </c>
      <c r="G10" s="55">
        <v>27.97</v>
      </c>
      <c r="H10" s="55">
        <v>34.159999999999997</v>
      </c>
      <c r="I10" s="55">
        <v>28.64</v>
      </c>
      <c r="J10" s="55">
        <v>35.11</v>
      </c>
      <c r="L10" s="1" t="s">
        <v>173</v>
      </c>
      <c r="M10">
        <v>1.0049999999999999</v>
      </c>
      <c r="O10" s="1" t="s">
        <v>230</v>
      </c>
      <c r="P10">
        <v>1.0900000000000001</v>
      </c>
      <c r="W10" s="1" t="s">
        <v>187</v>
      </c>
      <c r="X10" s="1" t="s">
        <v>188</v>
      </c>
      <c r="Y10" s="1" t="s">
        <v>171</v>
      </c>
      <c r="Z10" s="1" t="s">
        <v>172</v>
      </c>
      <c r="AA10" s="1" t="s">
        <v>173</v>
      </c>
      <c r="AB10" s="57" t="s">
        <v>222</v>
      </c>
      <c r="AC10" s="57" t="s">
        <v>223</v>
      </c>
      <c r="AD10" s="57" t="s">
        <v>224</v>
      </c>
      <c r="AE10" s="57" t="s">
        <v>225</v>
      </c>
      <c r="AH10" s="1" t="s">
        <v>187</v>
      </c>
      <c r="AI10" s="1" t="s">
        <v>172</v>
      </c>
      <c r="AJ10" s="1" t="s">
        <v>173</v>
      </c>
      <c r="AK10" s="57" t="s">
        <v>222</v>
      </c>
      <c r="AL10" s="57" t="s">
        <v>223</v>
      </c>
      <c r="AM10" s="57" t="s">
        <v>224</v>
      </c>
      <c r="AN10" s="57" t="s">
        <v>225</v>
      </c>
      <c r="AQ10" s="54" t="s">
        <v>227</v>
      </c>
      <c r="AR10" s="55">
        <f>POWER(2,-AI11)</f>
        <v>5.6808453421114296</v>
      </c>
      <c r="AS10" s="55">
        <f t="shared" ref="AS10:AT21" si="0">POWER(2,-AJ11)</f>
        <v>0.59891366724435458</v>
      </c>
      <c r="AT10" s="55">
        <f t="shared" si="0"/>
        <v>9.784788472124303</v>
      </c>
      <c r="AU10" s="55">
        <f>POWER(2,-AL11)</f>
        <v>7.6316494647418126E-3</v>
      </c>
      <c r="AV10" s="55">
        <f t="shared" ref="AV10:AW12" si="1">POWER(2,-AM11)</f>
        <v>0.617611116795733</v>
      </c>
      <c r="AW10" s="55">
        <f t="shared" si="1"/>
        <v>1.7754651706476433E-2</v>
      </c>
      <c r="AZ10" s="54" t="s">
        <v>229</v>
      </c>
      <c r="BA10" s="55">
        <f>AVERAGEA(AR10:AR12)</f>
        <v>6.6657845511629672</v>
      </c>
      <c r="BB10" s="55">
        <f>AVERAGEA(AS10:AS12)</f>
        <v>0.7781933136832615</v>
      </c>
      <c r="BC10" s="55">
        <f>AVERAGEA(AT10:AT12)</f>
        <v>14.175605847333195</v>
      </c>
      <c r="BD10" s="55">
        <f t="shared" ref="BD10:BE10" si="2">AVERAGEA(AU10:AU12)</f>
        <v>1.8916059287583661E-2</v>
      </c>
      <c r="BE10" s="55">
        <f t="shared" si="2"/>
        <v>0.83260974283633082</v>
      </c>
      <c r="BF10" s="55">
        <f>AVERAGEA(AW10:AW12)</f>
        <v>1.1617554347913221E-2</v>
      </c>
      <c r="BH10" s="185"/>
      <c r="BI10" s="168"/>
      <c r="BJ10" s="106"/>
      <c r="BK10" s="106"/>
      <c r="BL10" s="106"/>
      <c r="BM10" s="106"/>
      <c r="BN10" s="106"/>
      <c r="BO10" s="106"/>
      <c r="BP10" s="106"/>
      <c r="BQ10" s="185"/>
      <c r="BR10" s="168"/>
      <c r="BS10" s="106"/>
      <c r="BT10" s="106"/>
      <c r="BU10" s="106"/>
      <c r="BV10" s="106"/>
      <c r="BW10" s="106"/>
      <c r="BX10" s="106"/>
    </row>
    <row r="11" spans="2:76" x14ac:dyDescent="0.35">
      <c r="B11" s="54" t="s">
        <v>232</v>
      </c>
      <c r="C11" s="55">
        <v>35.85</v>
      </c>
      <c r="D11" s="55" t="s">
        <v>204</v>
      </c>
      <c r="E11" s="55">
        <v>27.45</v>
      </c>
      <c r="F11" s="55">
        <v>32.97</v>
      </c>
      <c r="G11" s="55">
        <v>28.03</v>
      </c>
      <c r="H11">
        <v>36.57</v>
      </c>
      <c r="I11" s="55">
        <v>27.88</v>
      </c>
      <c r="J11" s="55" t="s">
        <v>204</v>
      </c>
      <c r="L11" s="1" t="s">
        <v>188</v>
      </c>
      <c r="M11">
        <v>0.90600000000000003</v>
      </c>
      <c r="O11" s="1" t="s">
        <v>233</v>
      </c>
      <c r="P11">
        <v>1.0009999999999999</v>
      </c>
      <c r="W11" s="54" t="s">
        <v>227</v>
      </c>
      <c r="X11" s="60">
        <f>AVERAGE(M17)</f>
        <v>28.149080607247605</v>
      </c>
      <c r="Y11" s="60">
        <f>AVERAGE(N16:N17)</f>
        <v>29.79</v>
      </c>
      <c r="Z11" s="60">
        <f>AVERAGE(O15:O17)</f>
        <v>27.283894373064413</v>
      </c>
      <c r="AA11" s="60">
        <f>AVERAGE(P16:P17)</f>
        <v>30.529580039811549</v>
      </c>
      <c r="AB11" s="60">
        <f>AVERAGE(Q15:Q16)</f>
        <v>26.499459337039166</v>
      </c>
      <c r="AC11" s="60">
        <f>AVERAGE(R16:R17)</f>
        <v>36.823789377350721</v>
      </c>
      <c r="AD11" s="60">
        <f>AVERAGE(S15:S17)</f>
        <v>30.485229374014313</v>
      </c>
      <c r="AE11" s="60">
        <f>AVERAGE(T16:T17)</f>
        <v>35.605659130529205</v>
      </c>
      <c r="AH11" s="54" t="s">
        <v>227</v>
      </c>
      <c r="AI11" s="60">
        <f>Z11-Y11</f>
        <v>-2.5061056269355859</v>
      </c>
      <c r="AJ11" s="60">
        <f t="shared" ref="AJ11:AJ22" si="3">AA11-$Y11</f>
        <v>0.73958003981154974</v>
      </c>
      <c r="AK11" s="60">
        <f t="shared" ref="AK11:AK22" si="4">AB11-$Y11</f>
        <v>-3.2905406629608329</v>
      </c>
      <c r="AL11" s="60">
        <f t="shared" ref="AL11:AL22" si="5">AC11-$Y11</f>
        <v>7.0337893773507218</v>
      </c>
      <c r="AM11" s="60">
        <f t="shared" ref="AM11:AM22" si="6">AD11-$Y11</f>
        <v>0.69522937401431406</v>
      </c>
      <c r="AN11" s="60">
        <f t="shared" ref="AN11:AN22" si="7">AE11-$Y11</f>
        <v>5.8156591305292054</v>
      </c>
      <c r="AQ11" s="54" t="s">
        <v>232</v>
      </c>
      <c r="AR11" s="55">
        <f>POWER(2,-AI12)</f>
        <v>10.178749466656871</v>
      </c>
      <c r="AS11" s="55">
        <f>POWER(2,-AJ12)</f>
        <v>0.99359247354306035</v>
      </c>
      <c r="AT11" s="55">
        <f>POWER(2,-AK12)</f>
        <v>22.414315225876901</v>
      </c>
      <c r="AU11" s="55">
        <f t="shared" ref="AU11:AW21" si="8">POWER(2,-AL12)</f>
        <v>3.713710469924851E-2</v>
      </c>
      <c r="AV11" s="55">
        <f t="shared" si="1"/>
        <v>1.4551070549075327</v>
      </c>
      <c r="AW11" s="55">
        <f t="shared" si="1"/>
        <v>1.3263201112258117E-2</v>
      </c>
      <c r="AZ11" s="61" t="s">
        <v>231</v>
      </c>
      <c r="BA11" s="63">
        <f>AVERAGEA(AR13:AR15)</f>
        <v>1.9492261376714317</v>
      </c>
      <c r="BB11" s="63">
        <f>AVERAGEA(AS13:AS15)</f>
        <v>0.44864476820530436</v>
      </c>
      <c r="BC11" s="63">
        <f t="shared" ref="BC11:BF11" si="9">AVERAGEA(AT13:AT15)</f>
        <v>4.7367202668089234</v>
      </c>
      <c r="BD11" s="63">
        <f t="shared" si="9"/>
        <v>1.3111798298493649E-2</v>
      </c>
      <c r="BE11" s="63">
        <f t="shared" si="9"/>
        <v>0.14225184035081875</v>
      </c>
      <c r="BF11" s="63">
        <f t="shared" si="9"/>
        <v>3.5932798774675138E-2</v>
      </c>
      <c r="BH11" s="185"/>
      <c r="BI11" s="168"/>
      <c r="BJ11" s="106"/>
      <c r="BK11" s="106"/>
      <c r="BL11" s="106"/>
      <c r="BM11" s="106"/>
      <c r="BN11" s="106"/>
      <c r="BO11" s="106"/>
      <c r="BP11" s="106"/>
      <c r="BQ11" s="185"/>
      <c r="BR11" s="168"/>
      <c r="BS11" s="106"/>
      <c r="BT11" s="106"/>
      <c r="BU11" s="106"/>
      <c r="BV11" s="106"/>
      <c r="BW11" s="106"/>
      <c r="BX11" s="106"/>
    </row>
    <row r="12" spans="2:76" x14ac:dyDescent="0.35">
      <c r="B12" s="54" t="s">
        <v>232</v>
      </c>
      <c r="C12" s="55">
        <v>31.49</v>
      </c>
      <c r="D12" s="55">
        <v>32.43</v>
      </c>
      <c r="E12" s="55">
        <v>27.05</v>
      </c>
      <c r="F12" s="55">
        <v>31.07</v>
      </c>
      <c r="G12" s="55">
        <v>27.56</v>
      </c>
      <c r="H12" s="55">
        <v>33.76</v>
      </c>
      <c r="I12" s="55">
        <v>28.17</v>
      </c>
      <c r="J12" s="55">
        <v>38.25</v>
      </c>
      <c r="W12" s="54" t="s">
        <v>232</v>
      </c>
      <c r="X12" s="60">
        <f>AVERAGE(M19:M20)</f>
        <v>28.172344310228802</v>
      </c>
      <c r="Y12" s="60">
        <f>AVERAGE(N19:N20)</f>
        <v>30.435000000000002</v>
      </c>
      <c r="Z12" s="60">
        <f>AVERAGE(O18:O20)</f>
        <v>27.087511578382117</v>
      </c>
      <c r="AA12" s="60">
        <f>AVERAGE(P19:P20)</f>
        <v>30.444273849693733</v>
      </c>
      <c r="AB12" s="60">
        <f>AVERAGE(Q18:Q19)</f>
        <v>25.948651480465159</v>
      </c>
      <c r="AC12" s="60">
        <f>AVERAGE(R19:R20)</f>
        <v>35.185994846199236</v>
      </c>
      <c r="AD12" s="60">
        <f>AVERAGE(S18:S20)</f>
        <v>29.893874701228942</v>
      </c>
      <c r="AE12" s="60">
        <f>AVERAGE(T19:T20)</f>
        <v>36.6714271736437</v>
      </c>
      <c r="AH12" s="54" t="s">
        <v>232</v>
      </c>
      <c r="AI12" s="60">
        <f t="shared" ref="AI12:AI22" si="10">Z12-Y12</f>
        <v>-3.3474884216178857</v>
      </c>
      <c r="AJ12" s="60">
        <f t="shared" si="3"/>
        <v>9.2738496937307957E-3</v>
      </c>
      <c r="AK12" s="60">
        <f t="shared" si="4"/>
        <v>-4.4863485195348431</v>
      </c>
      <c r="AL12" s="60">
        <f t="shared" si="5"/>
        <v>4.7509948461992337</v>
      </c>
      <c r="AM12" s="60">
        <f t="shared" si="6"/>
        <v>-0.54112529877106041</v>
      </c>
      <c r="AN12" s="60">
        <f t="shared" si="7"/>
        <v>6.2364271736436976</v>
      </c>
      <c r="AQ12" s="54" t="s">
        <v>234</v>
      </c>
      <c r="AR12" s="55">
        <f>POWER(2,-AI13)</f>
        <v>4.1377588447206</v>
      </c>
      <c r="AS12" s="55">
        <f t="shared" si="0"/>
        <v>0.74207380026236969</v>
      </c>
      <c r="AT12" s="55">
        <f t="shared" si="0"/>
        <v>10.327713843998383</v>
      </c>
      <c r="AU12" s="55">
        <f t="shared" si="8"/>
        <v>1.1979423698760653E-2</v>
      </c>
      <c r="AV12" s="55">
        <f t="shared" si="1"/>
        <v>0.42511105680572658</v>
      </c>
      <c r="AW12" s="55">
        <f t="shared" si="1"/>
        <v>3.8348102250051102E-3</v>
      </c>
      <c r="AZ12" s="22" t="s">
        <v>27</v>
      </c>
      <c r="BA12" s="23">
        <f>AVERAGEA(AR16:AR18)</f>
        <v>4.5730726108225488</v>
      </c>
      <c r="BB12" s="23">
        <f>AVERAGEA(AS16:AS18)</f>
        <v>0.81859806693794746</v>
      </c>
      <c r="BC12" s="23">
        <f>AVERAGEA(AT16:AT18)</f>
        <v>2.9279281071749192</v>
      </c>
      <c r="BD12" s="23">
        <f t="shared" ref="BD12:BF12" si="11">AVERAGEA(AU16:AU18)</f>
        <v>4.540689755311314E-3</v>
      </c>
      <c r="BE12" s="23">
        <f t="shared" si="11"/>
        <v>0.58612499105828253</v>
      </c>
      <c r="BF12" s="23" t="e">
        <f t="shared" si="11"/>
        <v>#VALUE!</v>
      </c>
      <c r="BH12" s="185"/>
      <c r="BI12" s="168"/>
      <c r="BJ12" s="106"/>
      <c r="BK12" s="106"/>
      <c r="BL12" s="106"/>
      <c r="BM12" s="106"/>
      <c r="BN12" s="106"/>
      <c r="BO12" s="106"/>
      <c r="BP12" s="106"/>
      <c r="BQ12" s="185"/>
      <c r="BR12" s="168"/>
      <c r="BS12" s="106"/>
      <c r="BT12" s="106"/>
      <c r="BU12" s="106"/>
      <c r="BV12" s="106"/>
      <c r="BW12" s="106"/>
      <c r="BX12" s="106"/>
    </row>
    <row r="13" spans="2:76" x14ac:dyDescent="0.35">
      <c r="B13" s="54" t="s">
        <v>232</v>
      </c>
      <c r="C13" s="55">
        <v>29.06</v>
      </c>
      <c r="D13" s="55">
        <v>28.44</v>
      </c>
      <c r="E13" s="55">
        <v>26.88</v>
      </c>
      <c r="F13" s="55">
        <v>29.6</v>
      </c>
      <c r="G13" s="55">
        <v>27.06</v>
      </c>
      <c r="H13" s="55">
        <v>32.409999999999997</v>
      </c>
      <c r="I13" s="55">
        <v>27.36</v>
      </c>
      <c r="J13" s="55">
        <v>35.04</v>
      </c>
      <c r="L13" s="78" t="s">
        <v>197</v>
      </c>
      <c r="M13" s="79"/>
      <c r="N13" s="79"/>
      <c r="O13" s="79"/>
      <c r="P13" s="79"/>
      <c r="Q13" s="79"/>
      <c r="R13" s="79"/>
      <c r="S13" s="79"/>
      <c r="W13" s="54" t="s">
        <v>234</v>
      </c>
      <c r="X13" s="60">
        <f>AVERAGE(M23)</f>
        <v>28.353801193482134</v>
      </c>
      <c r="Y13" s="60">
        <f>AVERAGE(N22:N23)</f>
        <v>28.924999999999997</v>
      </c>
      <c r="Z13" s="60">
        <f>AVERAGE(O21:O22)</f>
        <v>26.876150434952862</v>
      </c>
      <c r="AA13" s="60">
        <f>AVERAGE(P22:P23)</f>
        <v>29.355365422895723</v>
      </c>
      <c r="AB13" s="60">
        <f>AVERAGE(Q21:Q22)</f>
        <v>25.556550972395534</v>
      </c>
      <c r="AC13" s="60">
        <f>AVERAGE(R22:R23)</f>
        <v>35.308297684564444</v>
      </c>
      <c r="AD13" s="60">
        <f>AVERAGE(S21:S23)</f>
        <v>30.1590883120539</v>
      </c>
      <c r="AE13" s="60">
        <f>AVERAGE(T22:T23)</f>
        <v>36.951629100471926</v>
      </c>
      <c r="AH13" s="54" t="s">
        <v>234</v>
      </c>
      <c r="AI13" s="60">
        <f>Z13-Y13</f>
        <v>-2.048849565047135</v>
      </c>
      <c r="AJ13" s="60">
        <f t="shared" si="3"/>
        <v>0.43036542289572566</v>
      </c>
      <c r="AK13" s="60">
        <f t="shared" si="4"/>
        <v>-3.3684490276044627</v>
      </c>
      <c r="AL13" s="60">
        <f t="shared" si="5"/>
        <v>6.3832976845644467</v>
      </c>
      <c r="AM13" s="60">
        <f t="shared" si="6"/>
        <v>1.2340883120539026</v>
      </c>
      <c r="AN13" s="60">
        <f t="shared" si="7"/>
        <v>8.0266291004719292</v>
      </c>
      <c r="AQ13" s="61" t="s">
        <v>236</v>
      </c>
      <c r="AR13" s="63">
        <f>POWER(2,-AI14)</f>
        <v>1.5088302383313159</v>
      </c>
      <c r="AS13" s="63">
        <f>POWER(2,-AJ14)</f>
        <v>0.40012029631644147</v>
      </c>
      <c r="AT13" s="63">
        <f t="shared" si="0"/>
        <v>4.5318797369351103</v>
      </c>
      <c r="AU13" s="63">
        <f t="shared" si="8"/>
        <v>3.1194807675272913E-3</v>
      </c>
      <c r="AV13" s="63">
        <f t="shared" si="8"/>
        <v>0.12408152682121497</v>
      </c>
      <c r="AW13" s="63">
        <f t="shared" si="8"/>
        <v>2.3585022763622933E-2</v>
      </c>
      <c r="AZ13" s="62" t="s">
        <v>235</v>
      </c>
      <c r="BA13" s="65">
        <f>AVERAGEA(AR19:AR21)</f>
        <v>1.2758347421508796</v>
      </c>
      <c r="BB13" s="65">
        <f>AVERAGEA(AS19:AS21)</f>
        <v>0.75624038412166728</v>
      </c>
      <c r="BC13" s="65">
        <f t="shared" ref="BC13:BF13" si="12">AVERAGEA(AT19:AT21)</f>
        <v>0.26734476412673192</v>
      </c>
      <c r="BD13" s="65">
        <f t="shared" si="12"/>
        <v>2.4342063457730677E-4</v>
      </c>
      <c r="BE13" s="65">
        <f t="shared" si="12"/>
        <v>5.4218057444145436E-2</v>
      </c>
      <c r="BF13" s="65">
        <f t="shared" si="12"/>
        <v>4.0804967559953205E-3</v>
      </c>
      <c r="BH13" s="185"/>
      <c r="BI13" s="168"/>
      <c r="BJ13" s="106"/>
      <c r="BK13" s="106"/>
      <c r="BL13" s="106"/>
      <c r="BM13" s="106"/>
      <c r="BN13" s="106"/>
      <c r="BO13" s="106"/>
      <c r="BP13" s="106"/>
      <c r="BQ13" s="185"/>
      <c r="BR13" s="168"/>
      <c r="BS13" s="106"/>
      <c r="BT13" s="106"/>
      <c r="BU13" s="106"/>
      <c r="BV13" s="106"/>
      <c r="BW13" s="106"/>
      <c r="BX13" s="106"/>
    </row>
    <row r="14" spans="2:76" x14ac:dyDescent="0.35">
      <c r="B14" s="54" t="s">
        <v>234</v>
      </c>
      <c r="C14" s="55" t="s">
        <v>204</v>
      </c>
      <c r="D14" s="55">
        <v>35.619999999999997</v>
      </c>
      <c r="E14" s="55">
        <v>27.06</v>
      </c>
      <c r="F14" s="55">
        <v>31.01</v>
      </c>
      <c r="G14" s="55">
        <v>27.67</v>
      </c>
      <c r="H14" s="55">
        <v>36.53</v>
      </c>
      <c r="I14" s="55">
        <v>28.19</v>
      </c>
      <c r="J14" s="55" t="s">
        <v>204</v>
      </c>
      <c r="L14" s="1" t="s">
        <v>169</v>
      </c>
      <c r="M14" s="1" t="s">
        <v>170</v>
      </c>
      <c r="N14" s="1" t="s">
        <v>171</v>
      </c>
      <c r="O14" s="1" t="s">
        <v>172</v>
      </c>
      <c r="P14" s="1" t="s">
        <v>173</v>
      </c>
      <c r="Q14" s="57" t="s">
        <v>222</v>
      </c>
      <c r="R14" s="57" t="s">
        <v>223</v>
      </c>
      <c r="S14" s="57" t="s">
        <v>224</v>
      </c>
      <c r="T14" s="57" t="s">
        <v>225</v>
      </c>
      <c r="W14" s="61" t="s">
        <v>236</v>
      </c>
      <c r="X14" s="63">
        <f t="shared" ref="X14:AE14" si="13">AVERAGE(M24:M26)</f>
        <v>25.639702512342556</v>
      </c>
      <c r="Y14" s="63">
        <f t="shared" si="13"/>
        <v>26.026666666666667</v>
      </c>
      <c r="Z14" s="63">
        <f t="shared" si="13"/>
        <v>25.433236172329533</v>
      </c>
      <c r="AA14" s="63">
        <f t="shared" si="13"/>
        <v>27.348160949535327</v>
      </c>
      <c r="AB14" s="63">
        <f t="shared" si="13"/>
        <v>23.846557089980752</v>
      </c>
      <c r="AC14" s="63">
        <f t="shared" si="13"/>
        <v>34.351145036488901</v>
      </c>
      <c r="AD14" s="63">
        <f t="shared" si="13"/>
        <v>29.037306417618623</v>
      </c>
      <c r="AE14" s="63">
        <f t="shared" si="13"/>
        <v>31.432651863123169</v>
      </c>
      <c r="AH14" s="61" t="s">
        <v>236</v>
      </c>
      <c r="AI14" s="63">
        <f t="shared" si="10"/>
        <v>-0.59343049433713446</v>
      </c>
      <c r="AJ14" s="63">
        <f t="shared" si="3"/>
        <v>1.3214942828686596</v>
      </c>
      <c r="AK14" s="63">
        <f t="shared" si="4"/>
        <v>-2.1801095766859149</v>
      </c>
      <c r="AL14" s="63">
        <f t="shared" si="5"/>
        <v>8.3244783698222342</v>
      </c>
      <c r="AM14" s="63">
        <f t="shared" si="6"/>
        <v>3.010639750951956</v>
      </c>
      <c r="AN14" s="63">
        <f t="shared" si="7"/>
        <v>5.405985196456502</v>
      </c>
      <c r="AQ14" s="61" t="s">
        <v>237</v>
      </c>
      <c r="AR14" s="63">
        <f t="shared" ref="AR14:AS21" si="14">POWER(2,-AI15)</f>
        <v>1.4227940779218502</v>
      </c>
      <c r="AS14" s="63">
        <f t="shared" si="14"/>
        <v>0.35436462302016142</v>
      </c>
      <c r="AT14" s="63">
        <f t="shared" si="0"/>
        <v>4.3049199236710143</v>
      </c>
      <c r="AU14" s="63">
        <f t="shared" si="8"/>
        <v>4.2744594349069763E-3</v>
      </c>
      <c r="AV14" s="63">
        <f t="shared" si="8"/>
        <v>0.11640314020237549</v>
      </c>
      <c r="AW14" s="63">
        <f t="shared" si="8"/>
        <v>2.9908045668813641E-2</v>
      </c>
      <c r="AZ14" s="1"/>
      <c r="BH14" s="185"/>
      <c r="BI14" s="106"/>
      <c r="BJ14" s="106"/>
      <c r="BK14" s="106"/>
      <c r="BL14" s="106"/>
      <c r="BM14" s="106"/>
      <c r="BN14" s="106"/>
      <c r="BO14" s="106"/>
      <c r="BP14" s="106"/>
      <c r="BQ14" s="185"/>
      <c r="BR14" s="106"/>
      <c r="BS14" s="106"/>
      <c r="BT14" s="106"/>
      <c r="BU14" s="106"/>
      <c r="BV14" s="106"/>
      <c r="BW14" s="106"/>
      <c r="BX14" s="106"/>
    </row>
    <row r="15" spans="2:76" x14ac:dyDescent="0.35">
      <c r="B15" s="54" t="s">
        <v>234</v>
      </c>
      <c r="C15" s="55">
        <v>34.53</v>
      </c>
      <c r="D15" s="55">
        <v>30.24</v>
      </c>
      <c r="E15" s="55">
        <v>26.77</v>
      </c>
      <c r="F15" s="55">
        <v>29.63</v>
      </c>
      <c r="G15" s="55">
        <v>27.08</v>
      </c>
      <c r="H15" s="55">
        <v>33.79</v>
      </c>
      <c r="I15" s="55">
        <v>28.13</v>
      </c>
      <c r="J15" s="55">
        <v>38.090000000000003</v>
      </c>
      <c r="L15" s="54" t="s">
        <v>227</v>
      </c>
      <c r="M15" s="55">
        <f>C8*(((LOG(1.906)/LOG(2))))</f>
        <v>33.006541789721403</v>
      </c>
      <c r="N15" s="55">
        <f t="shared" ref="N15:N50" si="15">D8*((LOG(2)/LOG(2)))</f>
        <v>35.54</v>
      </c>
      <c r="O15" s="55">
        <f t="shared" ref="O15:O50" si="16">E8*((LOG(1.998)/LOG(2)))</f>
        <v>27.400392641096289</v>
      </c>
      <c r="P15" s="55">
        <f t="shared" ref="P15:P50" si="17">F8*((LOG(2.005)/LOG(2)))</f>
        <v>32.295919976368694</v>
      </c>
      <c r="Q15" s="55">
        <f>G8*((LOG(1.91)/LOG(2)))</f>
        <v>26.653498822352237</v>
      </c>
      <c r="R15" s="55" t="e">
        <f>H8*((LOG(2.09)/LOG(2)))</f>
        <v>#VALUE!</v>
      </c>
      <c r="S15" s="55">
        <f>I8*((LOG(2.107)/LOG(2)))</f>
        <v>30.492397309442019</v>
      </c>
      <c r="T15" s="55" t="e">
        <f>J8*((LOG(2.001)/LOG(2)))</f>
        <v>#VALUE!</v>
      </c>
      <c r="W15" s="61" t="s">
        <v>237</v>
      </c>
      <c r="X15" s="63">
        <f>AVERAGE(M27:M29)</f>
        <v>26.601268902232007</v>
      </c>
      <c r="Y15" s="63">
        <f>AVERAGE(N27:N29)</f>
        <v>27.3</v>
      </c>
      <c r="Z15" s="63">
        <f t="shared" ref="Z15:AC15" si="18">AVERAGE(O27:O29)</f>
        <v>26.791273125386784</v>
      </c>
      <c r="AA15" s="63">
        <f t="shared" si="18"/>
        <v>28.796693511143744</v>
      </c>
      <c r="AB15" s="63">
        <f>AVERAGE(Q27:Q29)</f>
        <v>25.194013597870835</v>
      </c>
      <c r="AC15" s="63">
        <f t="shared" si="18"/>
        <v>35.170042302064644</v>
      </c>
      <c r="AD15" s="63">
        <f>AVERAGE(S27:S29)</f>
        <v>30.402798116595751</v>
      </c>
      <c r="AE15" s="63">
        <f>AVERAGE(T27:T29)</f>
        <v>32.363322548659774</v>
      </c>
      <c r="AH15" s="61" t="s">
        <v>237</v>
      </c>
      <c r="AI15" s="63">
        <f t="shared" si="10"/>
        <v>-0.50872687461321675</v>
      </c>
      <c r="AJ15" s="63">
        <f t="shared" si="3"/>
        <v>1.4966935111437429</v>
      </c>
      <c r="AK15" s="63">
        <f t="shared" si="4"/>
        <v>-2.1059864021291652</v>
      </c>
      <c r="AL15" s="63">
        <f t="shared" si="5"/>
        <v>7.8700423020646433</v>
      </c>
      <c r="AM15" s="63">
        <f t="shared" si="6"/>
        <v>3.1027981165957499</v>
      </c>
      <c r="AN15" s="63">
        <f t="shared" si="7"/>
        <v>5.063322548659773</v>
      </c>
      <c r="AQ15" s="61" t="s">
        <v>238</v>
      </c>
      <c r="AR15" s="63">
        <f t="shared" si="14"/>
        <v>2.9160540967611288</v>
      </c>
      <c r="AS15" s="63">
        <f>POWER(2,-AJ16)</f>
        <v>0.59144938527931024</v>
      </c>
      <c r="AT15" s="63">
        <f t="shared" si="0"/>
        <v>5.3733611398206449</v>
      </c>
      <c r="AU15" s="63">
        <f t="shared" si="8"/>
        <v>3.1941454693046684E-2</v>
      </c>
      <c r="AV15" s="63">
        <f t="shared" si="8"/>
        <v>0.18627085402886587</v>
      </c>
      <c r="AW15" s="63">
        <f t="shared" si="8"/>
        <v>5.4305327891588838E-2</v>
      </c>
      <c r="BH15" s="185"/>
      <c r="BI15" s="106"/>
      <c r="BJ15" s="106"/>
      <c r="BK15" s="106"/>
      <c r="BL15" s="106"/>
      <c r="BM15" s="106"/>
      <c r="BN15" s="106"/>
      <c r="BO15" s="106"/>
      <c r="BP15" s="106"/>
      <c r="BQ15" s="185"/>
      <c r="BR15" s="106"/>
      <c r="BS15" s="106"/>
      <c r="BT15" s="106"/>
      <c r="BU15" s="106"/>
      <c r="BV15" s="106"/>
      <c r="BW15" s="106"/>
      <c r="BX15" s="106"/>
    </row>
    <row r="16" spans="2:76" x14ac:dyDescent="0.35">
      <c r="B16" s="54" t="s">
        <v>234</v>
      </c>
      <c r="C16" s="55">
        <v>30.47</v>
      </c>
      <c r="D16" s="55">
        <v>27.61</v>
      </c>
      <c r="E16" s="55">
        <v>26.35</v>
      </c>
      <c r="F16" s="55">
        <v>28.87</v>
      </c>
      <c r="G16" s="55">
        <v>26.51</v>
      </c>
      <c r="H16" s="55">
        <v>32.61</v>
      </c>
      <c r="I16" s="55">
        <v>27.83</v>
      </c>
      <c r="J16" s="55">
        <v>35.76</v>
      </c>
      <c r="L16" s="54" t="s">
        <v>227</v>
      </c>
      <c r="M16" s="55">
        <f t="shared" ref="M16:M23" si="19">C9*(((LOG(1.906)/LOG(2))))</f>
        <v>30.010176845743317</v>
      </c>
      <c r="N16" s="55">
        <f t="shared" si="15"/>
        <v>31.08</v>
      </c>
      <c r="O16" s="55">
        <f t="shared" si="16"/>
        <v>27.270580285289345</v>
      </c>
      <c r="P16" s="55">
        <f t="shared" si="17"/>
        <v>31.081561269985656</v>
      </c>
      <c r="Q16" s="55">
        <f>G9*((LOG(1.91)/LOG(2)))</f>
        <v>26.345419851726096</v>
      </c>
      <c r="R16" s="55">
        <f t="shared" ref="R16:R23" si="20">H9*((LOG(2.09)/LOG(2)))</f>
        <v>37.318318245523088</v>
      </c>
      <c r="S16" s="55">
        <f t="shared" ref="S16:S22" si="21">I9*((LOG(2.107)/LOG(2)))</f>
        <v>30.16984021519545</v>
      </c>
      <c r="T16" s="55">
        <f t="shared" ref="T16:T23" si="22">J9*((LOG(2.001)/LOG(2)))</f>
        <v>36.075998079133726</v>
      </c>
      <c r="W16" s="61" t="s">
        <v>238</v>
      </c>
      <c r="X16" s="63">
        <f t="shared" ref="X16:AE16" si="23">AVERAGE(M30:M32)</f>
        <v>26.858720548557244</v>
      </c>
      <c r="Y16" s="63">
        <f t="shared" si="23"/>
        <v>27.383333333333329</v>
      </c>
      <c r="Z16" s="63">
        <f t="shared" si="23"/>
        <v>25.839315849469205</v>
      </c>
      <c r="AA16" s="63">
        <f t="shared" si="23"/>
        <v>28.141006716512681</v>
      </c>
      <c r="AB16" s="63">
        <f t="shared" si="23"/>
        <v>24.957508529511376</v>
      </c>
      <c r="AC16" s="63">
        <f t="shared" si="23"/>
        <v>32.351759504953328</v>
      </c>
      <c r="AD16" s="63">
        <f t="shared" si="23"/>
        <v>29.807859476096528</v>
      </c>
      <c r="AE16" s="63">
        <f t="shared" si="23"/>
        <v>31.586095775433865</v>
      </c>
      <c r="AH16" s="61" t="s">
        <v>238</v>
      </c>
      <c r="AI16" s="63">
        <f t="shared" si="10"/>
        <v>-1.5440174838641241</v>
      </c>
      <c r="AJ16" s="63">
        <f t="shared" si="3"/>
        <v>0.75767338317935184</v>
      </c>
      <c r="AK16" s="63">
        <f t="shared" si="4"/>
        <v>-2.4258248038219534</v>
      </c>
      <c r="AL16" s="63">
        <f t="shared" si="5"/>
        <v>4.9684261716199991</v>
      </c>
      <c r="AM16" s="63">
        <f t="shared" si="6"/>
        <v>2.4245261427631988</v>
      </c>
      <c r="AN16" s="63">
        <f t="shared" si="7"/>
        <v>4.2027624421005356</v>
      </c>
      <c r="AQ16" s="22" t="s">
        <v>239</v>
      </c>
      <c r="AR16" s="23">
        <f t="shared" si="14"/>
        <v>3.9760439059443549</v>
      </c>
      <c r="AS16" s="23">
        <f>POWER(2,-AJ17)</f>
        <v>0.68612520128322652</v>
      </c>
      <c r="AT16" s="23">
        <f t="shared" si="0"/>
        <v>4.2305342413122267</v>
      </c>
      <c r="AU16" s="23">
        <f t="shared" si="8"/>
        <v>2.3843680412192086E-3</v>
      </c>
      <c r="AV16" s="23">
        <f t="shared" si="8"/>
        <v>0.26452721154188447</v>
      </c>
      <c r="AW16" s="23">
        <f t="shared" si="8"/>
        <v>1.0536600019915007E-2</v>
      </c>
      <c r="BH16" s="185"/>
      <c r="BI16" s="106"/>
      <c r="BJ16" s="106"/>
      <c r="BK16" s="106"/>
      <c r="BL16" s="106"/>
      <c r="BM16" s="106"/>
      <c r="BN16" s="106"/>
      <c r="BO16" s="106"/>
      <c r="BP16" s="106"/>
      <c r="BQ16" s="185"/>
      <c r="BR16" s="106"/>
      <c r="BS16" s="106"/>
      <c r="BT16" s="106"/>
      <c r="BU16" s="106"/>
      <c r="BV16" s="106"/>
      <c r="BW16" s="106"/>
      <c r="BX16" s="106"/>
    </row>
    <row r="17" spans="2:76" x14ac:dyDescent="0.35">
      <c r="B17" s="61" t="s">
        <v>236</v>
      </c>
      <c r="C17" s="63">
        <v>27.89</v>
      </c>
      <c r="D17" s="63">
        <v>26.35</v>
      </c>
      <c r="E17" s="63">
        <v>25.57</v>
      </c>
      <c r="F17" s="63">
        <v>27.21</v>
      </c>
      <c r="G17" s="63">
        <v>25.52</v>
      </c>
      <c r="H17" s="63">
        <v>32.82</v>
      </c>
      <c r="I17" s="63">
        <v>27.16</v>
      </c>
      <c r="J17" s="63">
        <v>31.69</v>
      </c>
      <c r="L17" s="54" t="s">
        <v>227</v>
      </c>
      <c r="M17" s="55">
        <f t="shared" si="19"/>
        <v>28.149080607247605</v>
      </c>
      <c r="N17" s="55">
        <f t="shared" si="15"/>
        <v>28.5</v>
      </c>
      <c r="O17" s="55">
        <f t="shared" si="16"/>
        <v>27.180710192807616</v>
      </c>
      <c r="P17" s="55">
        <f t="shared" si="17"/>
        <v>29.977598809637442</v>
      </c>
      <c r="Q17" s="55">
        <f t="shared" ref="Q17:Q22" si="24">G10*((LOG(1.91)/LOG(2)))</f>
        <v>26.112026692160839</v>
      </c>
      <c r="R17" s="55">
        <f t="shared" si="20"/>
        <v>36.329260509178354</v>
      </c>
      <c r="S17" s="55">
        <f t="shared" si="21"/>
        <v>30.793450597405482</v>
      </c>
      <c r="T17" s="55">
        <f t="shared" si="22"/>
        <v>35.135320181924691</v>
      </c>
      <c r="W17" s="22" t="s">
        <v>239</v>
      </c>
      <c r="X17" s="23">
        <f t="shared" ref="X17:AE17" si="25">AVERAGE(M33:M35)</f>
        <v>27.752046743035191</v>
      </c>
      <c r="Y17" s="23">
        <f t="shared" si="25"/>
        <v>28.28</v>
      </c>
      <c r="Z17" s="23">
        <f t="shared" si="25"/>
        <v>26.288666311877858</v>
      </c>
      <c r="AA17" s="23">
        <f t="shared" si="25"/>
        <v>28.823456237455218</v>
      </c>
      <c r="AB17" s="23">
        <f t="shared" si="25"/>
        <v>26.199160138398536</v>
      </c>
      <c r="AC17" s="23">
        <f t="shared" si="25"/>
        <v>36.992177343215864</v>
      </c>
      <c r="AD17" s="23">
        <f t="shared" si="25"/>
        <v>30.198511956906259</v>
      </c>
      <c r="AE17" s="23">
        <f t="shared" si="25"/>
        <v>34.848446780648175</v>
      </c>
      <c r="AH17" s="22" t="s">
        <v>239</v>
      </c>
      <c r="AI17" s="23">
        <f t="shared" si="10"/>
        <v>-1.9913336881221433</v>
      </c>
      <c r="AJ17" s="23">
        <f t="shared" si="3"/>
        <v>0.54345623745521721</v>
      </c>
      <c r="AK17" s="23">
        <f t="shared" si="4"/>
        <v>-2.0808398616014649</v>
      </c>
      <c r="AL17" s="23">
        <f t="shared" si="5"/>
        <v>8.7121773432158633</v>
      </c>
      <c r="AM17" s="23">
        <f t="shared" si="6"/>
        <v>1.9185119569062579</v>
      </c>
      <c r="AN17" s="23">
        <f t="shared" si="7"/>
        <v>6.5684467806481734</v>
      </c>
      <c r="AQ17" s="22" t="s">
        <v>240</v>
      </c>
      <c r="AR17" s="23">
        <f t="shared" si="14"/>
        <v>5.7251109924408681</v>
      </c>
      <c r="AS17" s="23">
        <f t="shared" si="14"/>
        <v>1.0499436441110273</v>
      </c>
      <c r="AT17" s="23">
        <f t="shared" si="0"/>
        <v>2.0679409674596343</v>
      </c>
      <c r="AU17" s="23">
        <f t="shared" si="8"/>
        <v>1.0593345620409259E-2</v>
      </c>
      <c r="AV17" s="23">
        <f t="shared" si="8"/>
        <v>0.97641897738695815</v>
      </c>
      <c r="AW17" s="23">
        <f t="shared" si="8"/>
        <v>1.9421909252454687E-2</v>
      </c>
      <c r="BH17" s="185"/>
      <c r="BI17" s="106"/>
      <c r="BJ17" s="106"/>
      <c r="BK17" s="106"/>
      <c r="BL17" s="106"/>
      <c r="BM17" s="106"/>
      <c r="BN17" s="106"/>
      <c r="BO17" s="106"/>
      <c r="BP17" s="106"/>
      <c r="BQ17" s="185"/>
      <c r="BR17" s="106"/>
      <c r="BS17" s="106"/>
      <c r="BT17" s="106"/>
      <c r="BU17" s="106"/>
      <c r="BV17" s="106"/>
      <c r="BW17" s="106"/>
      <c r="BX17" s="106"/>
    </row>
    <row r="18" spans="2:76" x14ac:dyDescent="0.35">
      <c r="B18" s="61" t="s">
        <v>236</v>
      </c>
      <c r="C18" s="64">
        <v>27.5</v>
      </c>
      <c r="D18" s="63">
        <v>25.93</v>
      </c>
      <c r="E18" s="63">
        <v>25.49</v>
      </c>
      <c r="F18" s="63">
        <v>27.36</v>
      </c>
      <c r="G18" s="63">
        <v>25.51</v>
      </c>
      <c r="H18" s="63">
        <v>32.369999999999997</v>
      </c>
      <c r="I18" s="63">
        <v>27.09</v>
      </c>
      <c r="J18" s="63">
        <v>31.41</v>
      </c>
      <c r="L18" s="54" t="s">
        <v>232</v>
      </c>
      <c r="M18" s="55">
        <f t="shared" si="19"/>
        <v>33.360150075035591</v>
      </c>
      <c r="N18" s="55" t="e">
        <f t="shared" si="15"/>
        <v>#VALUE!</v>
      </c>
      <c r="O18" s="55">
        <f t="shared" si="16"/>
        <v>27.410378206927593</v>
      </c>
      <c r="P18" s="55">
        <f t="shared" si="17"/>
        <v>33.088765743346045</v>
      </c>
      <c r="Q18" s="55">
        <f t="shared" si="24"/>
        <v>26.168041050456502</v>
      </c>
      <c r="R18" s="55">
        <f t="shared" si="20"/>
        <v>38.892302600136198</v>
      </c>
      <c r="S18" s="55">
        <f t="shared" si="21"/>
        <v>29.976305958647512</v>
      </c>
      <c r="T18" s="55" t="e">
        <f t="shared" si="22"/>
        <v>#VALUE!</v>
      </c>
      <c r="W18" s="22" t="s">
        <v>240</v>
      </c>
      <c r="X18" s="23">
        <f>AVERAGE(M36:M38)</f>
        <v>29.848881838407024</v>
      </c>
      <c r="Y18" s="23">
        <f>AVERAGE(N36:N38)</f>
        <v>30.63</v>
      </c>
      <c r="Z18" s="23">
        <f>AVERAGE(O36:O38)</f>
        <v>28.112696337062591</v>
      </c>
      <c r="AA18" s="23">
        <f>AVERAGE(P36:P38)</f>
        <v>30.559688106911953</v>
      </c>
      <c r="AB18" s="23">
        <f>AVERAGE(Q36:Q38)</f>
        <v>29.581804997697645</v>
      </c>
      <c r="AC18" s="23">
        <f>AVERAGE(R36,R38)</f>
        <v>37.190697892446337</v>
      </c>
      <c r="AD18" s="23">
        <f>AVERAGE(S36:S38)</f>
        <v>30.664427759706854</v>
      </c>
      <c r="AE18" s="23">
        <f>AVERAGE(T36:T38)</f>
        <v>36.316171159272201</v>
      </c>
      <c r="AH18" s="22" t="s">
        <v>240</v>
      </c>
      <c r="AI18" s="23">
        <f t="shared" si="10"/>
        <v>-2.5173036629374081</v>
      </c>
      <c r="AJ18" s="23">
        <f t="shared" si="3"/>
        <v>-7.0311893088046418E-2</v>
      </c>
      <c r="AK18" s="23">
        <f t="shared" si="4"/>
        <v>-1.0481950023023536</v>
      </c>
      <c r="AL18" s="23">
        <f t="shared" si="5"/>
        <v>6.5606978924463384</v>
      </c>
      <c r="AM18" s="23">
        <f t="shared" si="6"/>
        <v>3.4427759706854744E-2</v>
      </c>
      <c r="AN18" s="23">
        <f t="shared" si="7"/>
        <v>5.6861711592722024</v>
      </c>
      <c r="AQ18" s="22" t="s">
        <v>241</v>
      </c>
      <c r="AR18" s="23">
        <f t="shared" si="14"/>
        <v>4.0180629340824225</v>
      </c>
      <c r="AS18" s="23">
        <f t="shared" si="14"/>
        <v>0.71972535541958893</v>
      </c>
      <c r="AT18" s="23">
        <f t="shared" si="0"/>
        <v>2.4853091127528968</v>
      </c>
      <c r="AU18" s="23">
        <f t="shared" si="8"/>
        <v>6.4435560430547393E-4</v>
      </c>
      <c r="AV18" s="23">
        <f t="shared" si="8"/>
        <v>0.51742878424600491</v>
      </c>
      <c r="AW18" s="23" t="e">
        <f t="shared" si="8"/>
        <v>#VALUE!</v>
      </c>
      <c r="BH18" s="185"/>
      <c r="BI18" s="106"/>
      <c r="BJ18" s="106"/>
      <c r="BK18" s="106"/>
      <c r="BL18" s="106"/>
      <c r="BM18" s="106"/>
      <c r="BN18" s="106"/>
      <c r="BO18" s="106"/>
      <c r="BP18" s="106"/>
      <c r="BQ18" s="185"/>
      <c r="BR18" s="106"/>
      <c r="BS18" s="106"/>
      <c r="BT18" s="106"/>
      <c r="BU18" s="106"/>
      <c r="BV18" s="106"/>
      <c r="BW18" s="106"/>
      <c r="BX18" s="106"/>
    </row>
    <row r="19" spans="2:76" x14ac:dyDescent="0.35">
      <c r="B19" s="61" t="s">
        <v>236</v>
      </c>
      <c r="C19" s="63">
        <v>27.27</v>
      </c>
      <c r="D19" s="63">
        <v>25.8</v>
      </c>
      <c r="E19" s="63">
        <v>25.35</v>
      </c>
      <c r="F19" s="63">
        <v>27.18</v>
      </c>
      <c r="G19" s="63">
        <v>25.6</v>
      </c>
      <c r="H19" s="63">
        <v>31.71</v>
      </c>
      <c r="I19" s="63">
        <v>26.77</v>
      </c>
      <c r="J19" s="63">
        <v>31.13</v>
      </c>
      <c r="L19" s="54" t="s">
        <v>232</v>
      </c>
      <c r="M19" s="55">
        <f t="shared" si="19"/>
        <v>29.302960275114945</v>
      </c>
      <c r="N19" s="55">
        <f t="shared" si="15"/>
        <v>32.43</v>
      </c>
      <c r="O19" s="55">
        <f t="shared" si="16"/>
        <v>27.01095557367546</v>
      </c>
      <c r="P19" s="55">
        <f t="shared" si="17"/>
        <v>31.181921493653675</v>
      </c>
      <c r="Q19" s="55">
        <f t="shared" si="24"/>
        <v>25.72926191047382</v>
      </c>
      <c r="R19" s="55">
        <f t="shared" si="20"/>
        <v>35.903859332255891</v>
      </c>
      <c r="S19" s="55">
        <f t="shared" si="21"/>
        <v>30.288111149752527</v>
      </c>
      <c r="T19" s="55">
        <f t="shared" si="22"/>
        <v>38.277584647069766</v>
      </c>
      <c r="W19" s="22" t="s">
        <v>241</v>
      </c>
      <c r="X19" s="23">
        <f>AVERAGE(M39:M41)</f>
        <v>29.197498154933523</v>
      </c>
      <c r="Y19" s="23">
        <f>AVERAGE(N39:N41)</f>
        <v>29.563333333333333</v>
      </c>
      <c r="Z19" s="23">
        <f>AVERAGE(O39:O41)</f>
        <v>27.556833172453377</v>
      </c>
      <c r="AA19" s="23">
        <f>AVERAGE(P39:P41)</f>
        <v>30.037814943838253</v>
      </c>
      <c r="AB19" s="23">
        <f>AVERAGE(Q39:Q41)</f>
        <v>28.249908033778585</v>
      </c>
      <c r="AC19" s="23">
        <f>AVERAGE(R39:R40)</f>
        <v>40.163188616192059</v>
      </c>
      <c r="AD19" s="23">
        <f>AVERAGE(S39:S41)</f>
        <v>30.513901115725123</v>
      </c>
      <c r="AE19" s="23" t="e">
        <f>AVERAGE(T39:T41)</f>
        <v>#VALUE!</v>
      </c>
      <c r="AH19" s="22" t="s">
        <v>241</v>
      </c>
      <c r="AI19" s="23">
        <f t="shared" si="10"/>
        <v>-2.0065001608799555</v>
      </c>
      <c r="AJ19" s="23">
        <f t="shared" si="3"/>
        <v>0.47448161050492033</v>
      </c>
      <c r="AK19" s="23">
        <f t="shared" si="4"/>
        <v>-1.3134252995547477</v>
      </c>
      <c r="AL19" s="23">
        <f t="shared" si="5"/>
        <v>10.599855282858726</v>
      </c>
      <c r="AM19" s="23">
        <f t="shared" si="6"/>
        <v>0.95056778239178996</v>
      </c>
      <c r="AN19" s="23" t="e">
        <f t="shared" si="7"/>
        <v>#VALUE!</v>
      </c>
      <c r="AQ19" s="62" t="s">
        <v>196</v>
      </c>
      <c r="AR19" s="65">
        <f t="shared" si="14"/>
        <v>0.28042783657578235</v>
      </c>
      <c r="AS19" s="65">
        <f>POWER(2,-AJ20)</f>
        <v>6.8192234540501578E-2</v>
      </c>
      <c r="AT19" s="65">
        <f t="shared" si="0"/>
        <v>0.31488535345766006</v>
      </c>
      <c r="AU19" s="65">
        <f t="shared" si="8"/>
        <v>3.3533215066510548E-4</v>
      </c>
      <c r="AV19" s="65">
        <f t="shared" si="8"/>
        <v>4.5253430565033496E-2</v>
      </c>
      <c r="AW19" s="65">
        <f t="shared" si="8"/>
        <v>6.4192147716923614E-3</v>
      </c>
      <c r="BH19" s="185"/>
      <c r="BI19" s="106"/>
      <c r="BJ19" s="106"/>
      <c r="BK19" s="106"/>
      <c r="BL19" s="106"/>
      <c r="BM19" s="106"/>
      <c r="BN19" s="106"/>
      <c r="BO19" s="106"/>
      <c r="BP19" s="106"/>
      <c r="BQ19" s="185"/>
      <c r="BR19" s="106"/>
      <c r="BS19" s="106"/>
      <c r="BT19" s="106"/>
      <c r="BU19" s="106"/>
      <c r="BV19" s="106"/>
      <c r="BW19" s="106"/>
      <c r="BX19" s="106"/>
    </row>
    <row r="20" spans="2:76" x14ac:dyDescent="0.35">
      <c r="B20" s="61" t="s">
        <v>237</v>
      </c>
      <c r="C20" s="63">
        <v>28.91</v>
      </c>
      <c r="D20" s="63">
        <v>27.42</v>
      </c>
      <c r="E20" s="63">
        <v>26.83</v>
      </c>
      <c r="F20" s="63">
        <v>28.92</v>
      </c>
      <c r="G20" s="63">
        <v>27.11</v>
      </c>
      <c r="H20" s="63">
        <v>33.04</v>
      </c>
      <c r="I20" s="63">
        <v>28.16</v>
      </c>
      <c r="J20" s="63">
        <v>32.270000000000003</v>
      </c>
      <c r="L20" s="54" t="s">
        <v>232</v>
      </c>
      <c r="M20" s="55">
        <f t="shared" si="19"/>
        <v>27.041728345342658</v>
      </c>
      <c r="N20" s="55">
        <f t="shared" si="15"/>
        <v>28.44</v>
      </c>
      <c r="O20" s="55">
        <f t="shared" si="16"/>
        <v>26.841200954543304</v>
      </c>
      <c r="P20" s="55">
        <f t="shared" si="17"/>
        <v>29.706626205733791</v>
      </c>
      <c r="Q20" s="55">
        <f t="shared" si="24"/>
        <v>25.262475591343307</v>
      </c>
      <c r="R20" s="55">
        <f t="shared" si="20"/>
        <v>34.468130360142574</v>
      </c>
      <c r="S20" s="55">
        <f t="shared" si="21"/>
        <v>29.417206995286797</v>
      </c>
      <c r="T20" s="55">
        <f t="shared" si="22"/>
        <v>35.065269700217634</v>
      </c>
      <c r="W20" s="62" t="s">
        <v>196</v>
      </c>
      <c r="X20" s="65">
        <f>AVERAGE(M42:M44)</f>
        <v>24.66883064126063</v>
      </c>
      <c r="Y20" s="65">
        <f>AVERAGE(N42:N44)</f>
        <v>25.169999999999998</v>
      </c>
      <c r="Z20" s="65">
        <f>AVERAGE(O42:O44)</f>
        <v>27.004298529787928</v>
      </c>
      <c r="AA20" s="65">
        <f>AVERAGE(P42:P43)</f>
        <v>29.04424872952486</v>
      </c>
      <c r="AB20" s="65">
        <f>AVERAGE(Q42:Q44)</f>
        <v>26.837101441210237</v>
      </c>
      <c r="AC20" s="65">
        <f>AVERAGE(R43:R44)</f>
        <v>36.712121568408577</v>
      </c>
      <c r="AD20" s="65">
        <f>AVERAGE(S42:S44)</f>
        <v>29.635829025831693</v>
      </c>
      <c r="AE20" s="65">
        <f>AVERAGE(T42:T44)</f>
        <v>32.453387453711706</v>
      </c>
      <c r="AH20" s="62" t="s">
        <v>196</v>
      </c>
      <c r="AI20" s="65">
        <f t="shared" si="10"/>
        <v>1.8342985297879295</v>
      </c>
      <c r="AJ20" s="65">
        <f t="shared" si="3"/>
        <v>3.8742487295248615</v>
      </c>
      <c r="AK20" s="65">
        <f t="shared" si="4"/>
        <v>1.6671014412102387</v>
      </c>
      <c r="AL20" s="65">
        <f t="shared" si="5"/>
        <v>11.542121568408579</v>
      </c>
      <c r="AM20" s="65">
        <f t="shared" si="6"/>
        <v>4.4658290258316953</v>
      </c>
      <c r="AN20" s="65">
        <f t="shared" si="7"/>
        <v>7.2833874537117076</v>
      </c>
      <c r="AQ20" s="62" t="s">
        <v>202</v>
      </c>
      <c r="AR20" s="65">
        <f t="shared" si="14"/>
        <v>3.3102516328718647</v>
      </c>
      <c r="AS20" s="65">
        <f t="shared" si="14"/>
        <v>1.5575866534738978</v>
      </c>
      <c r="AT20" s="65">
        <f t="shared" si="0"/>
        <v>0.315478912445806</v>
      </c>
      <c r="AU20" s="65">
        <f t="shared" si="8"/>
        <v>1.926604980840167E-4</v>
      </c>
      <c r="AV20" s="65">
        <f t="shared" si="8"/>
        <v>7.9743820493561324E-2</v>
      </c>
      <c r="AW20" s="65">
        <f t="shared" si="8"/>
        <v>3.2757760376910909E-3</v>
      </c>
      <c r="BH20" s="185"/>
      <c r="BI20" s="106"/>
      <c r="BJ20" s="106"/>
      <c r="BK20" s="106"/>
      <c r="BL20" s="106"/>
      <c r="BM20" s="106"/>
      <c r="BN20" s="106"/>
      <c r="BO20" s="106"/>
      <c r="BP20" s="106"/>
      <c r="BQ20" s="185"/>
      <c r="BR20" s="106"/>
      <c r="BS20" s="106"/>
      <c r="BT20" s="106"/>
      <c r="BU20" s="106"/>
      <c r="BV20" s="106"/>
      <c r="BW20" s="106"/>
      <c r="BX20" s="106"/>
    </row>
    <row r="21" spans="2:76" x14ac:dyDescent="0.35">
      <c r="B21" s="61" t="s">
        <v>237</v>
      </c>
      <c r="C21" s="63">
        <v>28.54</v>
      </c>
      <c r="D21" s="63">
        <v>27.26</v>
      </c>
      <c r="E21" s="63">
        <v>26.86</v>
      </c>
      <c r="F21" s="63">
        <v>28.49</v>
      </c>
      <c r="G21" s="63">
        <v>26.87</v>
      </c>
      <c r="H21" s="63">
        <v>33.340000000000003</v>
      </c>
      <c r="I21" s="63">
        <v>28.24</v>
      </c>
      <c r="J21" s="63">
        <v>32.5</v>
      </c>
      <c r="L21" s="54" t="s">
        <v>234</v>
      </c>
      <c r="M21" s="55" t="e">
        <f t="shared" si="19"/>
        <v>#VALUE!</v>
      </c>
      <c r="N21" s="55">
        <f t="shared" si="15"/>
        <v>35.619999999999997</v>
      </c>
      <c r="O21" s="55">
        <f t="shared" si="16"/>
        <v>27.02094113950676</v>
      </c>
      <c r="P21" s="55">
        <f t="shared" si="17"/>
        <v>31.121705359452864</v>
      </c>
      <c r="Q21" s="55">
        <f t="shared" si="24"/>
        <v>25.831954900682536</v>
      </c>
      <c r="R21" s="55">
        <f>H14*((LOG(2.09)/LOG(2)))</f>
        <v>38.84976248244395</v>
      </c>
      <c r="S21" s="55">
        <f t="shared" si="21"/>
        <v>30.309614956035631</v>
      </c>
      <c r="T21" s="55" t="e">
        <f t="shared" si="22"/>
        <v>#VALUE!</v>
      </c>
      <c r="W21" s="62" t="s">
        <v>202</v>
      </c>
      <c r="X21" s="65">
        <f>AVERAGE(M45:M47)</f>
        <v>24.671932468324787</v>
      </c>
      <c r="Y21" s="65">
        <f>AVERAGE(N45:N47)</f>
        <v>24.97666666666667</v>
      </c>
      <c r="Z21" s="65">
        <f>AVERAGE(O45:O47)</f>
        <v>23.249725777217879</v>
      </c>
      <c r="AA21" s="65">
        <f>AVERAGE(P45:P47)</f>
        <v>24.337354239494744</v>
      </c>
      <c r="AB21" s="65">
        <f>AVERAGE(Q45:Q47)</f>
        <v>26.641051187175421</v>
      </c>
      <c r="AC21" s="65">
        <f>AVERAGE(R46:R47)</f>
        <v>37.318318245523088</v>
      </c>
      <c r="AD21" s="65">
        <f>AVERAGE(S45:S47)</f>
        <v>28.625150130525785</v>
      </c>
      <c r="AE21" s="65">
        <f>AVERAGE(T45:T47)</f>
        <v>33.230614226937604</v>
      </c>
      <c r="AH21" s="62" t="s">
        <v>202</v>
      </c>
      <c r="AI21" s="65">
        <f t="shared" si="10"/>
        <v>-1.726940889448791</v>
      </c>
      <c r="AJ21" s="65">
        <f t="shared" si="3"/>
        <v>-0.6393124271719266</v>
      </c>
      <c r="AK21" s="65">
        <f t="shared" si="4"/>
        <v>1.6643845205087509</v>
      </c>
      <c r="AL21" s="65">
        <f t="shared" si="5"/>
        <v>12.341651578856418</v>
      </c>
      <c r="AM21" s="65">
        <f t="shared" si="6"/>
        <v>3.6484834638591153</v>
      </c>
      <c r="AN21" s="65">
        <f t="shared" si="7"/>
        <v>8.2539475602709338</v>
      </c>
      <c r="AQ21" s="62" t="s">
        <v>203</v>
      </c>
      <c r="AR21" s="65">
        <f t="shared" si="14"/>
        <v>0.2368247570049917</v>
      </c>
      <c r="AS21" s="65">
        <f t="shared" si="14"/>
        <v>0.64294226435060253</v>
      </c>
      <c r="AT21" s="65">
        <f t="shared" si="0"/>
        <v>0.17167002647672974</v>
      </c>
      <c r="AU21" s="65">
        <f t="shared" si="8"/>
        <v>2.0226925498279818E-4</v>
      </c>
      <c r="AV21" s="65">
        <f t="shared" si="8"/>
        <v>3.7656921273841494E-2</v>
      </c>
      <c r="AW21" s="65">
        <f t="shared" si="8"/>
        <v>2.5464994586025091E-3</v>
      </c>
      <c r="BH21" s="185"/>
      <c r="BI21" s="106"/>
      <c r="BJ21" s="106"/>
      <c r="BK21" s="106"/>
      <c r="BL21" s="106"/>
      <c r="BM21" s="106"/>
      <c r="BN21" s="106"/>
      <c r="BO21" s="106"/>
      <c r="BP21" s="106"/>
      <c r="BQ21" s="185"/>
      <c r="BR21" s="106"/>
      <c r="BS21" s="106"/>
      <c r="BT21" s="106"/>
      <c r="BU21" s="106"/>
      <c r="BV21" s="106"/>
      <c r="BW21" s="106"/>
      <c r="BX21" s="106"/>
    </row>
    <row r="22" spans="2:76" x14ac:dyDescent="0.35">
      <c r="B22" s="61" t="s">
        <v>237</v>
      </c>
      <c r="C22" s="63">
        <v>28.31</v>
      </c>
      <c r="D22" s="63">
        <v>27.22</v>
      </c>
      <c r="E22" s="63">
        <v>26.8</v>
      </c>
      <c r="F22" s="63">
        <v>28.67</v>
      </c>
      <c r="G22" s="63">
        <v>26.98</v>
      </c>
      <c r="H22" s="63">
        <v>32.83</v>
      </c>
      <c r="I22" s="63">
        <v>28.43</v>
      </c>
      <c r="J22" s="63">
        <v>32.25</v>
      </c>
      <c r="L22" s="54" t="s">
        <v>234</v>
      </c>
      <c r="M22" s="55">
        <f t="shared" si="19"/>
        <v>32.131826557628422</v>
      </c>
      <c r="N22" s="55">
        <f t="shared" si="15"/>
        <v>30.24</v>
      </c>
      <c r="O22" s="55">
        <f t="shared" si="16"/>
        <v>26.731359730398967</v>
      </c>
      <c r="P22" s="55">
        <f t="shared" si="17"/>
        <v>29.736734272834195</v>
      </c>
      <c r="Q22" s="55">
        <f t="shared" si="24"/>
        <v>25.281147044108529</v>
      </c>
      <c r="R22" s="55">
        <f t="shared" si="20"/>
        <v>35.935764420525075</v>
      </c>
      <c r="S22" s="55">
        <f t="shared" si="21"/>
        <v>30.245103537186317</v>
      </c>
      <c r="T22" s="55">
        <f t="shared" si="22"/>
        <v>38.117469260310784</v>
      </c>
      <c r="W22" s="62" t="s">
        <v>203</v>
      </c>
      <c r="X22" s="65">
        <f t="shared" ref="X22:AE22" si="26">AVERAGE(M48:M50)</f>
        <v>24.709154393094703</v>
      </c>
      <c r="Y22" s="65">
        <f t="shared" si="26"/>
        <v>24.596666666666664</v>
      </c>
      <c r="Z22" s="65">
        <f t="shared" si="26"/>
        <v>26.674774857354919</v>
      </c>
      <c r="AA22" s="65">
        <f t="shared" si="26"/>
        <v>25.23390557092905</v>
      </c>
      <c r="AB22" s="65">
        <f t="shared" si="26"/>
        <v>27.138956594247968</v>
      </c>
      <c r="AC22" s="65">
        <f t="shared" si="26"/>
        <v>36.868101999946809</v>
      </c>
      <c r="AD22" s="65">
        <f t="shared" si="26"/>
        <v>29.327607802440529</v>
      </c>
      <c r="AE22" s="65">
        <f t="shared" si="26"/>
        <v>33.21393554081687</v>
      </c>
      <c r="AH22" s="62" t="s">
        <v>203</v>
      </c>
      <c r="AI22" s="65">
        <f t="shared" si="10"/>
        <v>2.0781081906882548</v>
      </c>
      <c r="AJ22" s="65">
        <f t="shared" si="3"/>
        <v>0.63723890426238583</v>
      </c>
      <c r="AK22" s="65">
        <f t="shared" si="4"/>
        <v>2.5422899275813045</v>
      </c>
      <c r="AL22" s="65">
        <f t="shared" si="5"/>
        <v>12.271435333280145</v>
      </c>
      <c r="AM22" s="65">
        <f t="shared" si="6"/>
        <v>4.7309411357738647</v>
      </c>
      <c r="AN22" s="65">
        <f t="shared" si="7"/>
        <v>8.6172688741502057</v>
      </c>
      <c r="AQ22" s="1"/>
      <c r="BH22" s="185"/>
      <c r="BI22" s="106"/>
      <c r="BJ22" s="106"/>
      <c r="BK22" s="106"/>
      <c r="BL22" s="106"/>
      <c r="BM22" s="106"/>
      <c r="BN22" s="106"/>
      <c r="BO22" s="106"/>
      <c r="BP22" s="106"/>
      <c r="BQ22" s="185"/>
      <c r="BR22" s="106"/>
      <c r="BS22" s="106"/>
      <c r="BT22" s="106"/>
      <c r="BU22" s="106"/>
      <c r="BV22" s="106"/>
      <c r="BW22" s="106"/>
      <c r="BX22" s="106"/>
    </row>
    <row r="23" spans="2:76" x14ac:dyDescent="0.35">
      <c r="B23" s="61" t="s">
        <v>238</v>
      </c>
      <c r="C23" s="63">
        <v>29.56</v>
      </c>
      <c r="D23" s="63">
        <v>27.66</v>
      </c>
      <c r="E23" s="63">
        <v>25.89</v>
      </c>
      <c r="F23" s="63">
        <v>28.35</v>
      </c>
      <c r="G23" s="63">
        <v>26.7</v>
      </c>
      <c r="H23" s="63">
        <v>30.56</v>
      </c>
      <c r="I23" s="63">
        <v>27.77</v>
      </c>
      <c r="J23" s="63">
        <v>31.64</v>
      </c>
      <c r="L23" s="54" t="s">
        <v>234</v>
      </c>
      <c r="M23" s="55">
        <f t="shared" si="19"/>
        <v>28.353801193482134</v>
      </c>
      <c r="N23" s="55">
        <f t="shared" si="15"/>
        <v>27.61</v>
      </c>
      <c r="O23" s="55">
        <f t="shared" si="16"/>
        <v>26.31196596548423</v>
      </c>
      <c r="P23" s="55">
        <f t="shared" si="17"/>
        <v>28.973996572957248</v>
      </c>
      <c r="Q23" s="55">
        <f>G16*((LOG(1.91)/LOG(2)))</f>
        <v>24.749010640299748</v>
      </c>
      <c r="R23" s="55">
        <f t="shared" si="20"/>
        <v>34.680830948603813</v>
      </c>
      <c r="S23" s="55">
        <f>I16*((LOG(2.107)/LOG(2)))</f>
        <v>29.922546442939751</v>
      </c>
      <c r="T23" s="55">
        <f t="shared" si="22"/>
        <v>35.785788940633068</v>
      </c>
      <c r="W23" s="1"/>
      <c r="AH23" s="1"/>
      <c r="AQ23" s="1"/>
      <c r="BH23" s="185"/>
      <c r="BI23" s="106"/>
      <c r="BJ23" s="106"/>
      <c r="BK23" s="106"/>
      <c r="BL23" s="106"/>
      <c r="BM23" s="106"/>
      <c r="BN23" s="106"/>
      <c r="BO23" s="106"/>
      <c r="BP23" s="106"/>
      <c r="BQ23" s="185"/>
      <c r="BR23" s="106"/>
      <c r="BS23" s="106"/>
      <c r="BT23" s="106"/>
      <c r="BU23" s="106"/>
      <c r="BV23" s="106"/>
      <c r="BW23" s="106"/>
      <c r="BX23" s="106"/>
    </row>
    <row r="24" spans="2:76" x14ac:dyDescent="0.35">
      <c r="B24" s="61" t="s">
        <v>238</v>
      </c>
      <c r="C24" s="63">
        <v>28.52</v>
      </c>
      <c r="D24" s="63">
        <v>27.36</v>
      </c>
      <c r="E24" s="63">
        <v>25.89</v>
      </c>
      <c r="F24" s="63">
        <v>28</v>
      </c>
      <c r="G24" s="63">
        <v>26.8</v>
      </c>
      <c r="H24" s="63">
        <v>30.32</v>
      </c>
      <c r="I24" s="63">
        <v>27.71</v>
      </c>
      <c r="J24" s="63">
        <v>31.89</v>
      </c>
      <c r="L24" s="61" t="s">
        <v>236</v>
      </c>
      <c r="M24" s="63">
        <f>C17*((LOG(1.906)/LOG(2)))</f>
        <v>25.95298704582267</v>
      </c>
      <c r="N24" s="63">
        <f t="shared" si="15"/>
        <v>26.35</v>
      </c>
      <c r="O24" s="63">
        <f t="shared" si="16"/>
        <v>25.533091830642569</v>
      </c>
      <c r="P24" s="63">
        <f t="shared" si="17"/>
        <v>27.308016860068122</v>
      </c>
      <c r="Q24" s="63">
        <f>G17*((LOG(1.91)/LOG(2)))</f>
        <v>23.824773728421331</v>
      </c>
      <c r="R24" s="63">
        <f>H17*((LOG(2.09)/LOG(2)))</f>
        <v>34.904166566488101</v>
      </c>
      <c r="S24" s="63">
        <f>I17*((LOG(2.107)/LOG(2)))</f>
        <v>29.202168932455756</v>
      </c>
      <c r="T24" s="63">
        <f>J17*((LOG(2.001)/LOG(2)))</f>
        <v>31.712853789951396</v>
      </c>
      <c r="W24" s="1"/>
      <c r="AH24" s="1"/>
      <c r="AQ24" s="1"/>
      <c r="BH24" s="185"/>
      <c r="BI24" s="106"/>
      <c r="BJ24" s="106"/>
      <c r="BK24" s="106"/>
      <c r="BL24" s="106"/>
      <c r="BM24" s="106"/>
      <c r="BN24" s="106"/>
      <c r="BO24" s="106"/>
      <c r="BP24" s="106"/>
      <c r="BQ24" s="185"/>
      <c r="BR24" s="106"/>
      <c r="BS24" s="106"/>
      <c r="BT24" s="106"/>
      <c r="BU24" s="106"/>
      <c r="BV24" s="106"/>
      <c r="BW24" s="106"/>
      <c r="BX24" s="106"/>
    </row>
    <row r="25" spans="2:76" x14ac:dyDescent="0.35">
      <c r="B25" s="61" t="s">
        <v>238</v>
      </c>
      <c r="C25" s="63">
        <v>28.51</v>
      </c>
      <c r="D25" s="63">
        <v>27.13</v>
      </c>
      <c r="E25" s="63">
        <v>25.85</v>
      </c>
      <c r="F25" s="63">
        <v>27.77</v>
      </c>
      <c r="G25" s="63">
        <v>26.7</v>
      </c>
      <c r="H25" s="63">
        <v>30.38</v>
      </c>
      <c r="I25" s="63">
        <v>27.69</v>
      </c>
      <c r="J25" s="63">
        <v>31.16</v>
      </c>
      <c r="L25" s="61" t="s">
        <v>236</v>
      </c>
      <c r="M25" s="63">
        <f t="shared" ref="M25:M50" si="27">C18*((LOG(1.906)/LOG(2)))</f>
        <v>25.590073279316005</v>
      </c>
      <c r="N25" s="63">
        <f t="shared" si="15"/>
        <v>25.93</v>
      </c>
      <c r="O25" s="63">
        <f t="shared" si="16"/>
        <v>25.453207303992141</v>
      </c>
      <c r="P25" s="63">
        <f t="shared" si="17"/>
        <v>27.458557195570151</v>
      </c>
      <c r="Q25" s="63">
        <f t="shared" ref="Q25:Q32" si="28">G18*((LOG(1.91)/LOG(2)))</f>
        <v>23.815438002038725</v>
      </c>
      <c r="R25" s="63">
        <f t="shared" ref="R25:R32" si="29">H18*((LOG(2.09)/LOG(2)))</f>
        <v>34.425590242450333</v>
      </c>
      <c r="S25" s="63">
        <f t="shared" ref="S25:S32" si="30">I18*((LOG(2.107)/LOG(2)))</f>
        <v>29.126905610464888</v>
      </c>
      <c r="T25" s="63">
        <f t="shared" ref="T25:T32" si="31">J18*((LOG(2.001)/LOG(2)))</f>
        <v>31.432651863123173</v>
      </c>
      <c r="W25" s="1"/>
      <c r="AH25" s="57" t="s">
        <v>205</v>
      </c>
      <c r="AQ25" s="183" t="s">
        <v>512</v>
      </c>
      <c r="AR25" s="183"/>
      <c r="AS25" s="183"/>
      <c r="AT25" s="183"/>
      <c r="AU25" s="183"/>
      <c r="AV25" s="183"/>
      <c r="AW25" s="183"/>
      <c r="AZ25" s="183" t="s">
        <v>514</v>
      </c>
      <c r="BA25" s="183"/>
      <c r="BB25" s="183"/>
      <c r="BC25" s="183"/>
      <c r="BD25" s="183"/>
      <c r="BE25" s="183"/>
      <c r="BF25" s="183"/>
      <c r="BH25" s="185"/>
      <c r="BI25" s="186"/>
      <c r="BJ25" s="186"/>
      <c r="BK25" s="106"/>
      <c r="BL25" s="106"/>
      <c r="BM25" s="106"/>
      <c r="BN25" s="106"/>
      <c r="BO25" s="106"/>
      <c r="BP25" s="106"/>
      <c r="BQ25" s="185"/>
      <c r="BR25" s="106"/>
      <c r="BS25" s="168"/>
      <c r="BT25" s="106"/>
      <c r="BU25" s="106"/>
      <c r="BV25" s="106"/>
      <c r="BW25" s="106"/>
      <c r="BX25" s="106"/>
    </row>
    <row r="26" spans="2:76" x14ac:dyDescent="0.35">
      <c r="B26" s="22" t="s">
        <v>239</v>
      </c>
      <c r="C26" s="23">
        <v>29.98</v>
      </c>
      <c r="D26" s="23">
        <v>28.25</v>
      </c>
      <c r="E26" s="23">
        <v>26.23</v>
      </c>
      <c r="F26" s="23">
        <v>28.37</v>
      </c>
      <c r="G26" s="23">
        <v>28.18</v>
      </c>
      <c r="H26" s="23">
        <v>34.81</v>
      </c>
      <c r="I26" s="23">
        <v>28.2</v>
      </c>
      <c r="J26" s="23">
        <v>34.869999999999997</v>
      </c>
      <c r="L26" s="61" t="s">
        <v>236</v>
      </c>
      <c r="M26" s="63">
        <f t="shared" si="27"/>
        <v>25.376047211888999</v>
      </c>
      <c r="N26" s="63">
        <f t="shared" si="15"/>
        <v>25.8</v>
      </c>
      <c r="O26" s="63">
        <f t="shared" si="16"/>
        <v>25.3134093823539</v>
      </c>
      <c r="P26" s="63">
        <f t="shared" si="17"/>
        <v>27.277908792967715</v>
      </c>
      <c r="Q26" s="63">
        <f t="shared" si="28"/>
        <v>23.899459539482216</v>
      </c>
      <c r="R26" s="63">
        <f t="shared" si="29"/>
        <v>33.72367830052827</v>
      </c>
      <c r="S26" s="63">
        <f t="shared" si="30"/>
        <v>28.782844709935219</v>
      </c>
      <c r="T26" s="63">
        <f t="shared" si="31"/>
        <v>31.15244993629495</v>
      </c>
      <c r="AH26" s="1" t="s">
        <v>187</v>
      </c>
      <c r="AI26" s="1" t="s">
        <v>172</v>
      </c>
      <c r="AJ26" s="1" t="s">
        <v>173</v>
      </c>
      <c r="AK26" s="57" t="s">
        <v>222</v>
      </c>
      <c r="AL26" s="57" t="s">
        <v>223</v>
      </c>
      <c r="AM26" s="57" t="s">
        <v>224</v>
      </c>
      <c r="AN26" s="57" t="s">
        <v>225</v>
      </c>
      <c r="AQ26" s="1" t="s">
        <v>187</v>
      </c>
      <c r="AR26" s="1" t="s">
        <v>172</v>
      </c>
      <c r="AS26" s="1" t="s">
        <v>173</v>
      </c>
      <c r="AT26" s="57" t="s">
        <v>222</v>
      </c>
      <c r="AU26" s="57" t="s">
        <v>223</v>
      </c>
      <c r="AV26" s="57" t="s">
        <v>224</v>
      </c>
      <c r="AW26" s="57" t="s">
        <v>225</v>
      </c>
      <c r="AZ26" s="1" t="s">
        <v>187</v>
      </c>
      <c r="BA26" s="1" t="s">
        <v>172</v>
      </c>
      <c r="BB26" s="1" t="s">
        <v>173</v>
      </c>
      <c r="BC26" s="57" t="s">
        <v>222</v>
      </c>
      <c r="BD26" s="57" t="s">
        <v>223</v>
      </c>
      <c r="BE26" s="57" t="s">
        <v>224</v>
      </c>
      <c r="BF26" s="57" t="s">
        <v>225</v>
      </c>
      <c r="BH26" s="185"/>
      <c r="BI26" s="168"/>
      <c r="BJ26" s="169"/>
      <c r="BK26" s="169"/>
      <c r="BL26" s="169"/>
      <c r="BM26" s="169"/>
      <c r="BN26" s="169"/>
      <c r="BO26" s="169"/>
      <c r="BP26" s="106"/>
      <c r="BQ26" s="185"/>
      <c r="BR26" s="168"/>
      <c r="BS26" s="169"/>
      <c r="BT26" s="169"/>
      <c r="BU26" s="169"/>
      <c r="BV26" s="169"/>
      <c r="BW26" s="169"/>
      <c r="BX26" s="169"/>
    </row>
    <row r="27" spans="2:76" x14ac:dyDescent="0.35">
      <c r="B27" s="22" t="s">
        <v>239</v>
      </c>
      <c r="C27" s="23">
        <v>29.81</v>
      </c>
      <c r="D27" s="23">
        <v>28.24</v>
      </c>
      <c r="E27" s="23">
        <v>26.26</v>
      </c>
      <c r="F27" s="23">
        <v>29.15</v>
      </c>
      <c r="G27" s="23">
        <v>28</v>
      </c>
      <c r="H27" s="23">
        <v>35.07</v>
      </c>
      <c r="I27" s="23">
        <v>27.87</v>
      </c>
      <c r="J27" s="23">
        <v>34.270000000000003</v>
      </c>
      <c r="L27" s="61" t="s">
        <v>237</v>
      </c>
      <c r="M27" s="63">
        <f t="shared" si="27"/>
        <v>26.902146127455481</v>
      </c>
      <c r="N27" s="63">
        <f t="shared" si="15"/>
        <v>27.42</v>
      </c>
      <c r="O27" s="63">
        <f t="shared" si="16"/>
        <v>26.791273125386784</v>
      </c>
      <c r="P27" s="63">
        <f t="shared" si="17"/>
        <v>29.024176684791257</v>
      </c>
      <c r="Q27" s="63">
        <f t="shared" si="28"/>
        <v>25.30915422325636</v>
      </c>
      <c r="R27" s="63">
        <f t="shared" si="29"/>
        <v>35.13813721379546</v>
      </c>
      <c r="S27" s="63">
        <f t="shared" si="30"/>
        <v>30.277359246610974</v>
      </c>
      <c r="T27" s="63">
        <f t="shared" si="31"/>
        <v>32.293272066952717</v>
      </c>
      <c r="AH27" s="54" t="s">
        <v>227</v>
      </c>
      <c r="AI27" s="60">
        <f t="shared" ref="AI27:AI38" si="32">Z11-X11</f>
        <v>-0.86518623418319152</v>
      </c>
      <c r="AJ27" s="60">
        <f t="shared" ref="AJ27:AJ38" si="33">AA11-$X11</f>
        <v>2.3804994325639441</v>
      </c>
      <c r="AK27" s="60">
        <f t="shared" ref="AK27:AK38" si="34">AB11-$X11</f>
        <v>-1.6496212702084385</v>
      </c>
      <c r="AL27" s="60">
        <f t="shared" ref="AL27:AL38" si="35">AC11-$X11</f>
        <v>8.6747087701031163</v>
      </c>
      <c r="AM27" s="60">
        <f t="shared" ref="AM27:AM38" si="36">AD11-$X11</f>
        <v>2.3361487667667085</v>
      </c>
      <c r="AN27" s="60">
        <f t="shared" ref="AN27:AN38" si="37">AE11-$X11</f>
        <v>7.4565785232815998</v>
      </c>
      <c r="AQ27" s="54" t="s">
        <v>227</v>
      </c>
      <c r="AR27" s="55">
        <f t="shared" ref="AR27:AR38" si="38">POWER(2,-AI27)</f>
        <v>1.8215747949064185</v>
      </c>
      <c r="AS27" s="55">
        <f t="shared" ref="AS27:AS38" si="39">POWER(2,-AJ27)</f>
        <v>0.19204290468710442</v>
      </c>
      <c r="AT27" s="55">
        <f t="shared" ref="AT27:AT38" si="40">POWER(2,-AK27)</f>
        <v>3.1375126378089138</v>
      </c>
      <c r="AU27" s="55">
        <f t="shared" ref="AU27:AU38" si="41">POWER(2,-AL27)</f>
        <v>2.4471041669597462E-3</v>
      </c>
      <c r="AV27" s="55">
        <f t="shared" ref="AV27:AV38" si="42">POWER(2,-AM27)</f>
        <v>0.19803828051248576</v>
      </c>
      <c r="AW27" s="55">
        <f t="shared" ref="AW27:AW38" si="43">POWER(2,-AN27)</f>
        <v>5.6930657487040803E-3</v>
      </c>
      <c r="AZ27" s="54" t="s">
        <v>229</v>
      </c>
      <c r="BA27" s="55">
        <f>AVERAGEA(AR27:AR28)</f>
        <v>1.971352168276725</v>
      </c>
      <c r="BB27" s="55">
        <f>AVERAGEA(AS27:AS29)</f>
        <v>0.29951795177233115</v>
      </c>
      <c r="BC27" s="55">
        <f>AVERAGEA(AT27:AT29)</f>
        <v>4.919843532678164</v>
      </c>
      <c r="BD27" s="55">
        <f>AVERAGEA(AU27:AU29)</f>
        <v>6.0829568506811649E-3</v>
      </c>
      <c r="BE27" s="55">
        <f>AVERAGEA(AV27:AV29)</f>
        <v>0.26246308780517086</v>
      </c>
      <c r="BF27" s="55">
        <f>AVERAGEA(AW27:AW29)</f>
        <v>3.679335009170654E-3</v>
      </c>
      <c r="BH27" s="185"/>
      <c r="BI27" s="168"/>
      <c r="BJ27" s="106"/>
      <c r="BK27" s="106"/>
      <c r="BL27" s="106"/>
      <c r="BM27" s="106"/>
      <c r="BN27" s="106"/>
      <c r="BO27" s="106"/>
      <c r="BP27" s="106"/>
      <c r="BQ27" s="185"/>
      <c r="BR27" s="168"/>
      <c r="BS27" s="106"/>
      <c r="BT27" s="106"/>
      <c r="BU27" s="106"/>
      <c r="BV27" s="106"/>
      <c r="BW27" s="106"/>
      <c r="BX27" s="106"/>
    </row>
    <row r="28" spans="2:76" x14ac:dyDescent="0.35">
      <c r="B28" s="22" t="s">
        <v>239</v>
      </c>
      <c r="C28" s="23">
        <v>29.68</v>
      </c>
      <c r="D28" s="23">
        <v>28.35</v>
      </c>
      <c r="E28" s="23">
        <v>26.49</v>
      </c>
      <c r="F28" s="23">
        <v>28.64</v>
      </c>
      <c r="G28" s="23">
        <v>28.01</v>
      </c>
      <c r="H28" s="23">
        <v>34.47</v>
      </c>
      <c r="I28" s="23">
        <v>28.19</v>
      </c>
      <c r="J28" s="23">
        <v>35.33</v>
      </c>
      <c r="L28" s="61" t="s">
        <v>237</v>
      </c>
      <c r="M28" s="63">
        <f t="shared" si="27"/>
        <v>26.557843323333774</v>
      </c>
      <c r="N28" s="63">
        <f t="shared" si="15"/>
        <v>27.26</v>
      </c>
      <c r="O28" s="63">
        <f t="shared" si="16"/>
        <v>26.821229822880696</v>
      </c>
      <c r="P28" s="63">
        <f t="shared" si="17"/>
        <v>28.592627723018769</v>
      </c>
      <c r="Q28" s="63">
        <f t="shared" si="28"/>
        <v>25.085096790073717</v>
      </c>
      <c r="R28" s="63">
        <f t="shared" si="29"/>
        <v>35.457188096487307</v>
      </c>
      <c r="S28" s="63">
        <f t="shared" si="30"/>
        <v>30.363374471743391</v>
      </c>
      <c r="T28" s="63">
        <f t="shared" si="31"/>
        <v>32.523437935418755</v>
      </c>
      <c r="AH28" s="54" t="s">
        <v>232</v>
      </c>
      <c r="AI28" s="60">
        <f t="shared" si="32"/>
        <v>-1.084832731846685</v>
      </c>
      <c r="AJ28" s="60">
        <f t="shared" si="33"/>
        <v>2.2719295394649315</v>
      </c>
      <c r="AK28" s="60">
        <f t="shared" si="34"/>
        <v>-2.2236928297636425</v>
      </c>
      <c r="AL28" s="60">
        <f t="shared" si="35"/>
        <v>7.0136505359704344</v>
      </c>
      <c r="AM28" s="60">
        <f t="shared" si="36"/>
        <v>1.7215303910001403</v>
      </c>
      <c r="AN28" s="60">
        <f t="shared" si="37"/>
        <v>8.4990828634148983</v>
      </c>
      <c r="AQ28" s="54" t="s">
        <v>232</v>
      </c>
      <c r="AR28" s="55">
        <f t="shared" si="38"/>
        <v>2.1211295416470315</v>
      </c>
      <c r="AS28" s="55">
        <f t="shared" si="39"/>
        <v>0.20705277744521747</v>
      </c>
      <c r="AT28" s="55">
        <f t="shared" si="40"/>
        <v>4.6708749770428994</v>
      </c>
      <c r="AU28" s="55">
        <f t="shared" si="41"/>
        <v>7.738928060549567E-3</v>
      </c>
      <c r="AV28" s="55">
        <f t="shared" si="42"/>
        <v>0.30322689152866072</v>
      </c>
      <c r="AW28" s="55">
        <f t="shared" si="43"/>
        <v>2.7638923414092542E-3</v>
      </c>
      <c r="AZ28" s="61" t="s">
        <v>231</v>
      </c>
      <c r="BA28" s="63">
        <f t="shared" ref="BA28:BF28" si="44">AVERAGEA(AR30:AR32)</f>
        <v>1.3525146751851811</v>
      </c>
      <c r="BB28" s="63">
        <f t="shared" si="44"/>
        <v>0.31181976030134467</v>
      </c>
      <c r="BC28" s="63">
        <f t="shared" si="44"/>
        <v>3.2844287553574145</v>
      </c>
      <c r="BD28" s="63">
        <f t="shared" si="44"/>
        <v>9.0743667055417244E-3</v>
      </c>
      <c r="BE28" s="63">
        <f t="shared" si="44"/>
        <v>9.8697572003071818E-2</v>
      </c>
      <c r="BF28" s="63">
        <f t="shared" si="44"/>
        <v>2.4737739129654667E-2</v>
      </c>
      <c r="BH28" s="185"/>
      <c r="BI28" s="168"/>
      <c r="BJ28" s="106"/>
      <c r="BK28" s="106"/>
      <c r="BL28" s="106"/>
      <c r="BM28" s="106"/>
      <c r="BN28" s="106"/>
      <c r="BO28" s="106"/>
      <c r="BP28" s="106"/>
      <c r="BQ28" s="185"/>
      <c r="BR28" s="168"/>
      <c r="BS28" s="106"/>
      <c r="BT28" s="106"/>
      <c r="BU28" s="106"/>
      <c r="BV28" s="106"/>
      <c r="BW28" s="106"/>
      <c r="BX28" s="106"/>
    </row>
    <row r="29" spans="2:76" x14ac:dyDescent="0.35">
      <c r="B29" s="22" t="s">
        <v>240</v>
      </c>
      <c r="C29" s="23">
        <v>32.44</v>
      </c>
      <c r="D29" s="23">
        <v>30.82</v>
      </c>
      <c r="E29" s="23">
        <v>28.2</v>
      </c>
      <c r="F29" s="23">
        <v>30.68</v>
      </c>
      <c r="G29" s="23">
        <v>31.79</v>
      </c>
      <c r="H29" s="23">
        <v>35.22</v>
      </c>
      <c r="I29" s="23">
        <v>28.67</v>
      </c>
      <c r="J29" s="23">
        <v>36.659999999999997</v>
      </c>
      <c r="L29" s="61" t="s">
        <v>237</v>
      </c>
      <c r="M29" s="63">
        <f t="shared" si="27"/>
        <v>26.343817255906767</v>
      </c>
      <c r="N29" s="63">
        <f t="shared" si="15"/>
        <v>27.22</v>
      </c>
      <c r="O29" s="63">
        <f t="shared" si="16"/>
        <v>26.761316427892879</v>
      </c>
      <c r="P29" s="63">
        <f t="shared" si="17"/>
        <v>28.773276125621209</v>
      </c>
      <c r="Q29" s="63">
        <f t="shared" si="28"/>
        <v>25.187789780282429</v>
      </c>
      <c r="R29" s="63">
        <f t="shared" si="29"/>
        <v>34.914801595911165</v>
      </c>
      <c r="S29" s="63">
        <f t="shared" si="30"/>
        <v>30.567660631432883</v>
      </c>
      <c r="T29" s="63">
        <f t="shared" si="31"/>
        <v>32.273257643607842</v>
      </c>
      <c r="AH29" s="54" t="s">
        <v>234</v>
      </c>
      <c r="AI29" s="60">
        <f t="shared" si="32"/>
        <v>-1.477650758529272</v>
      </c>
      <c r="AJ29" s="60">
        <f t="shared" si="33"/>
        <v>1.0015642294135887</v>
      </c>
      <c r="AK29" s="60">
        <f t="shared" si="34"/>
        <v>-2.7972502210865997</v>
      </c>
      <c r="AL29" s="60">
        <f t="shared" si="35"/>
        <v>6.9544964910823097</v>
      </c>
      <c r="AM29" s="60">
        <f t="shared" si="36"/>
        <v>1.8052871185717656</v>
      </c>
      <c r="AN29" s="60">
        <f t="shared" si="37"/>
        <v>8.5978279069897923</v>
      </c>
      <c r="AQ29" s="54" t="s">
        <v>234</v>
      </c>
      <c r="AR29" s="55">
        <f t="shared" si="38"/>
        <v>2.784948711209291</v>
      </c>
      <c r="AS29" s="55">
        <f t="shared" si="39"/>
        <v>0.49945817318467145</v>
      </c>
      <c r="AT29" s="55">
        <f t="shared" si="40"/>
        <v>6.9511429831826765</v>
      </c>
      <c r="AU29" s="55">
        <f t="shared" si="41"/>
        <v>8.06283832453418E-3</v>
      </c>
      <c r="AV29" s="55">
        <f t="shared" si="42"/>
        <v>0.28612409137436601</v>
      </c>
      <c r="AW29" s="55">
        <f t="shared" si="43"/>
        <v>2.5810469373986266E-3</v>
      </c>
      <c r="AZ29" s="22" t="s">
        <v>27</v>
      </c>
      <c r="BA29" s="23">
        <f t="shared" ref="BA29:BF29" si="45">AVERAGEA(AR33:AR35)</f>
        <v>3.0690546650272776</v>
      </c>
      <c r="BB29" s="23">
        <f t="shared" si="45"/>
        <v>0.54845112460334289</v>
      </c>
      <c r="BC29" s="23">
        <f t="shared" si="45"/>
        <v>2.0220171776578626</v>
      </c>
      <c r="BD29" s="23">
        <f t="shared" si="45"/>
        <v>2.772705123869134E-3</v>
      </c>
      <c r="BE29" s="23">
        <f t="shared" si="45"/>
        <v>0.38439597672986037</v>
      </c>
      <c r="BF29" s="23" t="e">
        <f t="shared" si="45"/>
        <v>#VALUE!</v>
      </c>
      <c r="BH29" s="185"/>
      <c r="BI29" s="168"/>
      <c r="BJ29" s="106"/>
      <c r="BK29" s="106"/>
      <c r="BL29" s="106"/>
      <c r="BM29" s="106"/>
      <c r="BN29" s="106"/>
      <c r="BO29" s="106"/>
      <c r="BP29" s="106"/>
      <c r="BQ29" s="185"/>
      <c r="BR29" s="168"/>
      <c r="BS29" s="106"/>
      <c r="BT29" s="106"/>
      <c r="BU29" s="106"/>
      <c r="BV29" s="106"/>
      <c r="BW29" s="106"/>
      <c r="BX29" s="106"/>
    </row>
    <row r="30" spans="2:76" x14ac:dyDescent="0.35">
      <c r="B30" s="22" t="s">
        <v>240</v>
      </c>
      <c r="C30" s="23">
        <v>31.92</v>
      </c>
      <c r="D30" s="23">
        <v>30.69</v>
      </c>
      <c r="E30" s="23">
        <v>27.87</v>
      </c>
      <c r="F30" s="23">
        <v>30.2</v>
      </c>
      <c r="G30" s="23">
        <v>31.73</v>
      </c>
      <c r="H30" s="23" t="s">
        <v>204</v>
      </c>
      <c r="I30" s="23">
        <v>28.31</v>
      </c>
      <c r="J30" s="23">
        <v>36.92</v>
      </c>
      <c r="L30" s="61" t="s">
        <v>238</v>
      </c>
      <c r="M30" s="63">
        <f t="shared" si="27"/>
        <v>27.507002404966585</v>
      </c>
      <c r="N30" s="63">
        <f t="shared" si="15"/>
        <v>27.66</v>
      </c>
      <c r="O30" s="63">
        <f t="shared" si="16"/>
        <v>25.852629937244277</v>
      </c>
      <c r="P30" s="63">
        <f t="shared" si="17"/>
        <v>28.452123409883544</v>
      </c>
      <c r="Q30" s="63">
        <f t="shared" si="28"/>
        <v>24.926389441569341</v>
      </c>
      <c r="R30" s="63">
        <f t="shared" si="29"/>
        <v>32.500649916876185</v>
      </c>
      <c r="S30" s="63">
        <f t="shared" si="30"/>
        <v>29.858035024090437</v>
      </c>
      <c r="T30" s="63">
        <f t="shared" si="31"/>
        <v>31.662817731589215</v>
      </c>
      <c r="AH30" s="61" t="s">
        <v>236</v>
      </c>
      <c r="AI30" s="63">
        <f t="shared" si="32"/>
        <v>-0.20646634001302289</v>
      </c>
      <c r="AJ30" s="63">
        <f t="shared" si="33"/>
        <v>1.7084584371927711</v>
      </c>
      <c r="AK30" s="63">
        <f t="shared" si="34"/>
        <v>-1.7931454223618033</v>
      </c>
      <c r="AL30" s="63">
        <f t="shared" si="35"/>
        <v>8.7114425241463458</v>
      </c>
      <c r="AM30" s="63">
        <f t="shared" si="36"/>
        <v>3.3976039052760676</v>
      </c>
      <c r="AN30" s="63">
        <f t="shared" si="37"/>
        <v>5.7929493507806136</v>
      </c>
      <c r="AQ30" s="61" t="s">
        <v>236</v>
      </c>
      <c r="AR30" s="63">
        <f t="shared" si="38"/>
        <v>1.1538585206276775</v>
      </c>
      <c r="AS30" s="63">
        <f t="shared" si="39"/>
        <v>0.30598685090735761</v>
      </c>
      <c r="AT30" s="63">
        <f t="shared" si="40"/>
        <v>3.4656967471076454</v>
      </c>
      <c r="AU30" s="63">
        <f t="shared" si="41"/>
        <v>2.385582799246068E-3</v>
      </c>
      <c r="AV30" s="63">
        <f t="shared" si="42"/>
        <v>9.4889751900446795E-2</v>
      </c>
      <c r="AW30" s="63">
        <f t="shared" si="43"/>
        <v>1.8036342846032172E-2</v>
      </c>
      <c r="AZ30" s="62" t="s">
        <v>235</v>
      </c>
      <c r="BA30" s="65">
        <f t="shared" ref="BA30:BF30" si="46">AVERAGEA(AR36:AR38)</f>
        <v>1.0447039880832751</v>
      </c>
      <c r="BB30" s="65">
        <f t="shared" si="46"/>
        <v>0.66808926787654654</v>
      </c>
      <c r="BC30" s="65">
        <f t="shared" si="46"/>
        <v>0.22115902052466227</v>
      </c>
      <c r="BD30" s="65">
        <f t="shared" si="46"/>
        <v>2.0385707806826623E-4</v>
      </c>
      <c r="BE30" s="65">
        <f t="shared" si="46"/>
        <v>4.5747847288613162E-2</v>
      </c>
      <c r="BF30" s="65">
        <f t="shared" si="46"/>
        <v>3.3134766233085325E-3</v>
      </c>
      <c r="BH30" s="185"/>
      <c r="BI30" s="168"/>
      <c r="BJ30" s="106"/>
      <c r="BK30" s="106"/>
      <c r="BL30" s="106"/>
      <c r="BM30" s="106"/>
      <c r="BN30" s="106"/>
      <c r="BO30" s="106"/>
      <c r="BP30" s="106"/>
      <c r="BQ30" s="185"/>
      <c r="BR30" s="168"/>
      <c r="BS30" s="106"/>
      <c r="BT30" s="106"/>
      <c r="BU30" s="106"/>
      <c r="BV30" s="106"/>
      <c r="BW30" s="106"/>
      <c r="BX30" s="106"/>
    </row>
    <row r="31" spans="2:76" x14ac:dyDescent="0.35">
      <c r="B31" s="22" t="s">
        <v>240</v>
      </c>
      <c r="C31" s="23">
        <v>31.87</v>
      </c>
      <c r="D31" s="23">
        <v>30.38</v>
      </c>
      <c r="E31" s="23">
        <v>28.39</v>
      </c>
      <c r="F31" s="23">
        <v>30.47</v>
      </c>
      <c r="G31" s="23">
        <v>31.54</v>
      </c>
      <c r="H31" s="23">
        <v>34.72</v>
      </c>
      <c r="I31" s="23">
        <v>28.58</v>
      </c>
      <c r="J31" s="23">
        <v>35.29</v>
      </c>
      <c r="L31" s="61" t="s">
        <v>238</v>
      </c>
      <c r="M31" s="63">
        <f t="shared" si="27"/>
        <v>26.539232360948816</v>
      </c>
      <c r="N31" s="63">
        <f t="shared" si="15"/>
        <v>27.36</v>
      </c>
      <c r="O31" s="63">
        <f t="shared" si="16"/>
        <v>25.852629937244277</v>
      </c>
      <c r="P31" s="63">
        <f t="shared" si="17"/>
        <v>28.100862627045476</v>
      </c>
      <c r="Q31" s="63">
        <f t="shared" si="28"/>
        <v>25.019746705395445</v>
      </c>
      <c r="R31" s="63">
        <f t="shared" si="29"/>
        <v>32.245409210722705</v>
      </c>
      <c r="S31" s="63">
        <f t="shared" si="30"/>
        <v>29.793523605241127</v>
      </c>
      <c r="T31" s="63">
        <f t="shared" si="31"/>
        <v>31.912998023400128</v>
      </c>
      <c r="AH31" s="61" t="s">
        <v>237</v>
      </c>
      <c r="AI31" s="63">
        <f t="shared" si="32"/>
        <v>0.1900042231547765</v>
      </c>
      <c r="AJ31" s="63">
        <f t="shared" si="33"/>
        <v>2.1954246089117362</v>
      </c>
      <c r="AK31" s="63">
        <f t="shared" si="34"/>
        <v>-1.407255304361172</v>
      </c>
      <c r="AL31" s="63">
        <f t="shared" si="35"/>
        <v>8.5687733998326365</v>
      </c>
      <c r="AM31" s="63">
        <f t="shared" si="36"/>
        <v>3.8015292143637431</v>
      </c>
      <c r="AN31" s="63">
        <f t="shared" si="37"/>
        <v>5.7620536464277663</v>
      </c>
      <c r="AQ31" s="61" t="s">
        <v>237</v>
      </c>
      <c r="AR31" s="63">
        <f t="shared" si="38"/>
        <v>0.87660315526006638</v>
      </c>
      <c r="AS31" s="63">
        <f t="shared" si="39"/>
        <v>0.21832895671433897</v>
      </c>
      <c r="AT31" s="63">
        <f t="shared" si="40"/>
        <v>2.6523208430441709</v>
      </c>
      <c r="AU31" s="63">
        <f t="shared" si="41"/>
        <v>2.6335537136502117E-3</v>
      </c>
      <c r="AV31" s="63">
        <f t="shared" si="42"/>
        <v>7.1717588347445307E-2</v>
      </c>
      <c r="AW31" s="63">
        <f t="shared" si="43"/>
        <v>1.8426761544606485E-2</v>
      </c>
    </row>
    <row r="32" spans="2:76" x14ac:dyDescent="0.35">
      <c r="B32" s="22" t="s">
        <v>241</v>
      </c>
      <c r="C32" s="23">
        <v>31.62</v>
      </c>
      <c r="D32" s="23">
        <v>29.84</v>
      </c>
      <c r="E32" s="23">
        <v>27.96</v>
      </c>
      <c r="F32" s="23">
        <v>29.88</v>
      </c>
      <c r="G32" s="23">
        <v>30.13</v>
      </c>
      <c r="H32" s="23">
        <v>38.590000000000003</v>
      </c>
      <c r="I32" s="23">
        <v>28.49</v>
      </c>
      <c r="J32" s="23" t="s">
        <v>204</v>
      </c>
      <c r="L32" s="61" t="s">
        <v>238</v>
      </c>
      <c r="M32" s="63">
        <f t="shared" si="27"/>
        <v>26.529926879756339</v>
      </c>
      <c r="N32" s="63">
        <f t="shared" si="15"/>
        <v>27.13</v>
      </c>
      <c r="O32" s="63">
        <f t="shared" si="16"/>
        <v>25.812687673919065</v>
      </c>
      <c r="P32" s="63">
        <f t="shared" si="17"/>
        <v>27.87003411260903</v>
      </c>
      <c r="Q32" s="63">
        <f t="shared" si="28"/>
        <v>24.926389441569341</v>
      </c>
      <c r="R32" s="63">
        <f t="shared" si="29"/>
        <v>32.309219387261081</v>
      </c>
      <c r="S32" s="63">
        <f t="shared" si="30"/>
        <v>29.772019798958024</v>
      </c>
      <c r="T32" s="63">
        <f t="shared" si="31"/>
        <v>31.182471571312259</v>
      </c>
      <c r="AH32" s="61" t="s">
        <v>238</v>
      </c>
      <c r="AI32" s="63">
        <f t="shared" si="32"/>
        <v>-1.0194046990880388</v>
      </c>
      <c r="AJ32" s="63">
        <f t="shared" si="33"/>
        <v>1.2822861679554372</v>
      </c>
      <c r="AK32" s="63">
        <f t="shared" si="34"/>
        <v>-1.9012120190458681</v>
      </c>
      <c r="AL32" s="63">
        <f t="shared" si="35"/>
        <v>5.4930389563960844</v>
      </c>
      <c r="AM32" s="63">
        <f t="shared" si="36"/>
        <v>2.9491389275392841</v>
      </c>
      <c r="AN32" s="63">
        <f t="shared" si="37"/>
        <v>4.7273752268766209</v>
      </c>
      <c r="AQ32" s="61" t="s">
        <v>238</v>
      </c>
      <c r="AR32" s="63">
        <f t="shared" si="38"/>
        <v>2.0270823496677992</v>
      </c>
      <c r="AS32" s="63">
        <f t="shared" si="39"/>
        <v>0.41114347328233736</v>
      </c>
      <c r="AT32" s="63">
        <f t="shared" si="40"/>
        <v>3.7352686759204272</v>
      </c>
      <c r="AU32" s="63">
        <f t="shared" si="41"/>
        <v>2.2203963603728897E-2</v>
      </c>
      <c r="AV32" s="63">
        <f t="shared" si="42"/>
        <v>0.12948537576132335</v>
      </c>
      <c r="AW32" s="63">
        <f t="shared" si="43"/>
        <v>3.7750112998325348E-2</v>
      </c>
    </row>
    <row r="33" spans="2:86" x14ac:dyDescent="0.35">
      <c r="B33" s="22" t="s">
        <v>241</v>
      </c>
      <c r="C33" s="23">
        <v>31.3</v>
      </c>
      <c r="D33" s="23">
        <v>29.62</v>
      </c>
      <c r="E33" s="23">
        <v>27.21</v>
      </c>
      <c r="F33" s="23">
        <v>29.7</v>
      </c>
      <c r="G33" s="23">
        <v>30.15</v>
      </c>
      <c r="H33" s="23">
        <v>36.94</v>
      </c>
      <c r="I33" s="23">
        <v>28.27</v>
      </c>
      <c r="J33" s="23" t="s">
        <v>204</v>
      </c>
      <c r="L33" s="22" t="s">
        <v>239</v>
      </c>
      <c r="M33" s="23">
        <f t="shared" si="27"/>
        <v>27.897832615050685</v>
      </c>
      <c r="N33" s="23">
        <f t="shared" si="15"/>
        <v>28.25</v>
      </c>
      <c r="O33" s="23">
        <f t="shared" si="16"/>
        <v>26.19213917550859</v>
      </c>
      <c r="P33" s="23">
        <f t="shared" si="17"/>
        <v>28.47219545461715</v>
      </c>
      <c r="Q33" s="23">
        <f>G26*((LOG(1.91)/LOG(2)))</f>
        <v>26.308076946195655</v>
      </c>
      <c r="R33" s="23">
        <f>H26*((LOG(2.09)/LOG(2)))</f>
        <v>37.020537421677361</v>
      </c>
      <c r="S33" s="23">
        <f>I26*((LOG(2.107)/LOG(2)))</f>
        <v>30.320366859177181</v>
      </c>
      <c r="T33" s="23">
        <f>J26*((LOG(2.001)/LOG(2)))</f>
        <v>34.895147101786215</v>
      </c>
      <c r="AH33" s="22" t="s">
        <v>239</v>
      </c>
      <c r="AI33" s="23">
        <f t="shared" si="32"/>
        <v>-1.4633804311573329</v>
      </c>
      <c r="AJ33" s="23">
        <f t="shared" si="33"/>
        <v>1.0714094944200276</v>
      </c>
      <c r="AK33" s="23">
        <f t="shared" si="34"/>
        <v>-1.5528866046366545</v>
      </c>
      <c r="AL33" s="23">
        <f t="shared" si="35"/>
        <v>9.2401306001806738</v>
      </c>
      <c r="AM33" s="23">
        <f t="shared" si="36"/>
        <v>2.4464652138710683</v>
      </c>
      <c r="AN33" s="23">
        <f t="shared" si="37"/>
        <v>7.0964000376129839</v>
      </c>
      <c r="AQ33" s="22" t="s">
        <v>239</v>
      </c>
      <c r="AR33" s="23">
        <f t="shared" si="38"/>
        <v>2.7575373583054441</v>
      </c>
      <c r="AS33" s="23">
        <f t="shared" si="39"/>
        <v>0.47585386876253938</v>
      </c>
      <c r="AT33" s="23">
        <f t="shared" si="40"/>
        <v>2.9340360649860764</v>
      </c>
      <c r="AU33" s="23">
        <f t="shared" si="41"/>
        <v>1.6536497345468603E-3</v>
      </c>
      <c r="AV33" s="23">
        <f t="shared" si="42"/>
        <v>0.18345966125388205</v>
      </c>
      <c r="AW33" s="23">
        <f t="shared" si="43"/>
        <v>7.307532027249237E-3</v>
      </c>
    </row>
    <row r="34" spans="2:86" x14ac:dyDescent="0.35">
      <c r="B34" s="22" t="s">
        <v>241</v>
      </c>
      <c r="C34" s="23">
        <v>31.21</v>
      </c>
      <c r="D34" s="23">
        <v>29.23</v>
      </c>
      <c r="E34" s="23">
        <v>27.62</v>
      </c>
      <c r="F34" s="23">
        <v>30.21</v>
      </c>
      <c r="G34" s="23">
        <v>30.5</v>
      </c>
      <c r="H34" s="23">
        <v>33.94</v>
      </c>
      <c r="I34" s="23">
        <v>28.38</v>
      </c>
      <c r="J34" s="23" t="s">
        <v>204</v>
      </c>
      <c r="L34" s="22" t="s">
        <v>239</v>
      </c>
      <c r="M34" s="23">
        <f t="shared" si="27"/>
        <v>27.73963943477855</v>
      </c>
      <c r="N34" s="23">
        <f t="shared" si="15"/>
        <v>28.24</v>
      </c>
      <c r="O34" s="23">
        <f t="shared" si="16"/>
        <v>26.222095873002502</v>
      </c>
      <c r="P34" s="23">
        <f t="shared" si="17"/>
        <v>29.2550051992277</v>
      </c>
      <c r="Q34" s="23">
        <f t="shared" ref="Q34:Q50" si="47">G27*((LOG(1.91)/LOG(2)))</f>
        <v>26.14003387130867</v>
      </c>
      <c r="R34" s="23">
        <f t="shared" ref="R34:R50" si="48">H27*((LOG(2.09)/LOG(2)))</f>
        <v>37.29704818667696</v>
      </c>
      <c r="S34" s="23">
        <f t="shared" ref="S34:S50" si="49">I27*((LOG(2.107)/LOG(2)))</f>
        <v>29.965554055505962</v>
      </c>
      <c r="T34" s="23">
        <f t="shared" ref="T34:T50" si="50">J27*((LOG(2.001)/LOG(2)))</f>
        <v>34.294714401440025</v>
      </c>
      <c r="AH34" s="22" t="s">
        <v>240</v>
      </c>
      <c r="AI34" s="23">
        <f t="shared" si="32"/>
        <v>-1.7361855013444334</v>
      </c>
      <c r="AJ34" s="23">
        <f t="shared" si="33"/>
        <v>0.71080626850492834</v>
      </c>
      <c r="AK34" s="23">
        <f t="shared" si="34"/>
        <v>-0.26707684070937887</v>
      </c>
      <c r="AL34" s="23">
        <f t="shared" si="35"/>
        <v>7.3418160540393131</v>
      </c>
      <c r="AM34" s="23">
        <f t="shared" si="36"/>
        <v>0.8155459212998295</v>
      </c>
      <c r="AN34" s="23">
        <f t="shared" si="37"/>
        <v>6.4672893208651772</v>
      </c>
      <c r="AQ34" s="22" t="s">
        <v>240</v>
      </c>
      <c r="AR34" s="23">
        <f t="shared" si="38"/>
        <v>3.3315314234075393</v>
      </c>
      <c r="AS34" s="23">
        <f t="shared" si="39"/>
        <v>0.6109785902459145</v>
      </c>
      <c r="AT34" s="23">
        <f t="shared" si="40"/>
        <v>1.2033671179370968</v>
      </c>
      <c r="AU34" s="23">
        <f t="shared" si="41"/>
        <v>6.1644331192893601E-3</v>
      </c>
      <c r="AV34" s="23">
        <f t="shared" si="42"/>
        <v>0.56819343937107181</v>
      </c>
      <c r="AW34" s="23">
        <f t="shared" si="43"/>
        <v>1.1301912061190621E-2</v>
      </c>
      <c r="AZ34" s="1"/>
    </row>
    <row r="35" spans="2:86" x14ac:dyDescent="0.35">
      <c r="B35" s="62" t="s">
        <v>196</v>
      </c>
      <c r="C35" s="65">
        <v>26.25</v>
      </c>
      <c r="D35" s="65">
        <v>25.15</v>
      </c>
      <c r="E35" s="65">
        <v>26.92</v>
      </c>
      <c r="F35" s="65">
        <v>28.82</v>
      </c>
      <c r="G35" s="65">
        <v>28.89</v>
      </c>
      <c r="H35" s="65">
        <v>36.35</v>
      </c>
      <c r="I35" s="65">
        <v>27.63</v>
      </c>
      <c r="J35" s="65">
        <v>32.630000000000003</v>
      </c>
      <c r="L35" s="22" t="s">
        <v>239</v>
      </c>
      <c r="M35" s="23">
        <f t="shared" si="27"/>
        <v>27.61866817927633</v>
      </c>
      <c r="N35" s="23">
        <f t="shared" si="15"/>
        <v>28.35</v>
      </c>
      <c r="O35" s="23">
        <f t="shared" si="16"/>
        <v>26.451763887122475</v>
      </c>
      <c r="P35" s="23">
        <f t="shared" si="17"/>
        <v>28.743168058520801</v>
      </c>
      <c r="Q35" s="23">
        <f t="shared" si="47"/>
        <v>26.149369597691283</v>
      </c>
      <c r="R35" s="23">
        <f t="shared" si="48"/>
        <v>36.658946421293265</v>
      </c>
      <c r="S35" s="23">
        <f t="shared" si="49"/>
        <v>30.309614956035631</v>
      </c>
      <c r="T35" s="23">
        <f t="shared" si="50"/>
        <v>35.355478838718291</v>
      </c>
      <c r="AH35" s="22" t="s">
        <v>241</v>
      </c>
      <c r="AI35" s="23">
        <f t="shared" si="32"/>
        <v>-1.6406649824801463</v>
      </c>
      <c r="AJ35" s="23">
        <f t="shared" si="33"/>
        <v>0.84031678890472961</v>
      </c>
      <c r="AK35" s="23">
        <f t="shared" si="34"/>
        <v>-0.94759012115493846</v>
      </c>
      <c r="AL35" s="23">
        <f t="shared" si="35"/>
        <v>10.965690461258536</v>
      </c>
      <c r="AM35" s="23">
        <f t="shared" si="36"/>
        <v>1.3164029607915992</v>
      </c>
      <c r="AN35" s="23" t="e">
        <f t="shared" si="37"/>
        <v>#VALUE!</v>
      </c>
      <c r="AQ35" s="22" t="s">
        <v>241</v>
      </c>
      <c r="AR35" s="23">
        <f t="shared" si="38"/>
        <v>3.11809521336885</v>
      </c>
      <c r="AS35" s="23">
        <f t="shared" si="39"/>
        <v>0.55852091480157484</v>
      </c>
      <c r="AT35" s="23">
        <f t="shared" si="40"/>
        <v>1.9286483500504144</v>
      </c>
      <c r="AU35" s="23">
        <f t="shared" si="41"/>
        <v>5.0003251777118083E-4</v>
      </c>
      <c r="AV35" s="23">
        <f t="shared" si="42"/>
        <v>0.40153482956462727</v>
      </c>
      <c r="AW35" s="23" t="e">
        <f t="shared" si="43"/>
        <v>#VALUE!</v>
      </c>
    </row>
    <row r="36" spans="2:86" x14ac:dyDescent="0.35">
      <c r="B36" s="62" t="s">
        <v>196</v>
      </c>
      <c r="C36" s="65">
        <v>26.93</v>
      </c>
      <c r="D36" s="65">
        <v>25.12</v>
      </c>
      <c r="E36" s="65">
        <v>27.06</v>
      </c>
      <c r="F36" s="65">
        <v>29.06</v>
      </c>
      <c r="G36" s="65">
        <v>28.59</v>
      </c>
      <c r="H36" s="65">
        <v>34.47</v>
      </c>
      <c r="I36" s="65">
        <v>27.64</v>
      </c>
      <c r="J36" s="65">
        <v>32.340000000000003</v>
      </c>
      <c r="L36" s="22" t="s">
        <v>240</v>
      </c>
      <c r="M36" s="23">
        <f t="shared" si="27"/>
        <v>30.186980988400407</v>
      </c>
      <c r="N36" s="23">
        <f t="shared" si="15"/>
        <v>30.82</v>
      </c>
      <c r="O36" s="23">
        <f t="shared" si="16"/>
        <v>28.159295644275339</v>
      </c>
      <c r="P36" s="23">
        <f t="shared" si="17"/>
        <v>30.790516621348399</v>
      </c>
      <c r="Q36" s="23">
        <f t="shared" si="47"/>
        <v>29.678274170317952</v>
      </c>
      <c r="R36" s="23">
        <f t="shared" si="48"/>
        <v>37.45657362802288</v>
      </c>
      <c r="S36" s="23">
        <f t="shared" si="49"/>
        <v>30.825706306830138</v>
      </c>
      <c r="T36" s="23">
        <f t="shared" si="50"/>
        <v>36.686437991152353</v>
      </c>
      <c r="AH36" s="62" t="s">
        <v>196</v>
      </c>
      <c r="AI36" s="65">
        <f t="shared" si="32"/>
        <v>2.3354678885272975</v>
      </c>
      <c r="AJ36" s="65">
        <f t="shared" si="33"/>
        <v>4.3754180882642295</v>
      </c>
      <c r="AK36" s="65">
        <f t="shared" si="34"/>
        <v>2.1682707999496067</v>
      </c>
      <c r="AL36" s="65">
        <f t="shared" si="35"/>
        <v>12.043290927147947</v>
      </c>
      <c r="AM36" s="65">
        <f t="shared" si="36"/>
        <v>4.9669983845710632</v>
      </c>
      <c r="AN36" s="65">
        <f t="shared" si="37"/>
        <v>7.7845568124510756</v>
      </c>
      <c r="AQ36" s="62" t="s">
        <v>196</v>
      </c>
      <c r="AR36" s="65">
        <f t="shared" si="38"/>
        <v>0.19813176650622305</v>
      </c>
      <c r="AS36" s="65">
        <f t="shared" si="39"/>
        <v>4.8180123829700668E-2</v>
      </c>
      <c r="AT36" s="65">
        <f t="shared" si="40"/>
        <v>0.22247716948970858</v>
      </c>
      <c r="AU36" s="65">
        <f t="shared" si="41"/>
        <v>2.3692352438647328E-4</v>
      </c>
      <c r="AV36" s="65">
        <f t="shared" si="42"/>
        <v>3.1973081730400178E-2</v>
      </c>
      <c r="AW36" s="65">
        <f t="shared" si="43"/>
        <v>4.5353926979162266E-3</v>
      </c>
    </row>
    <row r="37" spans="2:86" x14ac:dyDescent="0.35">
      <c r="B37" s="62" t="s">
        <v>196</v>
      </c>
      <c r="C37" s="65">
        <v>26.35</v>
      </c>
      <c r="D37" s="65">
        <v>25.24</v>
      </c>
      <c r="E37" s="65">
        <v>27.15</v>
      </c>
      <c r="F37" s="65">
        <v>25.48</v>
      </c>
      <c r="G37" s="65">
        <v>28.76</v>
      </c>
      <c r="H37" s="65">
        <v>34.57</v>
      </c>
      <c r="I37" s="65">
        <v>27.42</v>
      </c>
      <c r="J37" s="65">
        <v>32.32</v>
      </c>
      <c r="L37" s="22" t="s">
        <v>240</v>
      </c>
      <c r="M37" s="23">
        <f t="shared" si="27"/>
        <v>29.703095966391526</v>
      </c>
      <c r="N37" s="23">
        <f t="shared" si="15"/>
        <v>30.69</v>
      </c>
      <c r="O37" s="23">
        <f t="shared" si="16"/>
        <v>27.829771971842334</v>
      </c>
      <c r="P37" s="23">
        <f t="shared" si="17"/>
        <v>30.308787547741904</v>
      </c>
      <c r="Q37" s="23">
        <f t="shared" si="47"/>
        <v>29.622259812022293</v>
      </c>
      <c r="R37" s="23" t="e">
        <f t="shared" si="48"/>
        <v>#VALUE!</v>
      </c>
      <c r="S37" s="23">
        <f t="shared" si="49"/>
        <v>30.438637793734255</v>
      </c>
      <c r="T37" s="23">
        <f t="shared" si="50"/>
        <v>36.946625494635711</v>
      </c>
      <c r="AH37" s="62" t="s">
        <v>202</v>
      </c>
      <c r="AI37" s="65">
        <f t="shared" si="32"/>
        <v>-1.4222066911069078</v>
      </c>
      <c r="AJ37" s="65">
        <f t="shared" si="33"/>
        <v>-0.3345782288300434</v>
      </c>
      <c r="AK37" s="65">
        <f t="shared" si="34"/>
        <v>1.9691187188506341</v>
      </c>
      <c r="AL37" s="65">
        <f t="shared" si="35"/>
        <v>12.646385777198301</v>
      </c>
      <c r="AM37" s="65">
        <f t="shared" si="36"/>
        <v>3.9532176622009985</v>
      </c>
      <c r="AN37" s="65">
        <f t="shared" si="37"/>
        <v>8.558681758612817</v>
      </c>
      <c r="AQ37" s="62" t="s">
        <v>202</v>
      </c>
      <c r="AR37" s="65">
        <f t="shared" si="38"/>
        <v>2.6799511268707943</v>
      </c>
      <c r="AS37" s="65">
        <f t="shared" si="39"/>
        <v>1.26100869967847</v>
      </c>
      <c r="AT37" s="65">
        <f t="shared" si="40"/>
        <v>0.25540900229980718</v>
      </c>
      <c r="AU37" s="65">
        <f t="shared" si="41"/>
        <v>1.5597627498058398E-4</v>
      </c>
      <c r="AV37" s="65">
        <f t="shared" si="42"/>
        <v>6.4559908216794609E-2</v>
      </c>
      <c r="AW37" s="65">
        <f t="shared" si="43"/>
        <v>2.652039982824594E-3</v>
      </c>
    </row>
    <row r="38" spans="2:86" x14ac:dyDescent="0.35">
      <c r="B38" s="62" t="s">
        <v>202</v>
      </c>
      <c r="C38" s="65">
        <v>26.27</v>
      </c>
      <c r="D38" s="65">
        <v>24.82</v>
      </c>
      <c r="E38" s="65">
        <v>23.13</v>
      </c>
      <c r="F38" s="65">
        <v>24.37</v>
      </c>
      <c r="G38" s="65">
        <v>28.44</v>
      </c>
      <c r="H38" s="65">
        <v>38.450000000000003</v>
      </c>
      <c r="I38" s="65">
        <v>26.44</v>
      </c>
      <c r="J38" s="65">
        <v>32.770000000000003</v>
      </c>
      <c r="L38" s="22" t="s">
        <v>240</v>
      </c>
      <c r="M38" s="23">
        <f t="shared" si="27"/>
        <v>29.656568560429132</v>
      </c>
      <c r="N38" s="23">
        <f t="shared" si="15"/>
        <v>30.38</v>
      </c>
      <c r="O38" s="23">
        <f t="shared" si="16"/>
        <v>28.349021395070103</v>
      </c>
      <c r="P38" s="23">
        <f t="shared" si="17"/>
        <v>30.579760151645559</v>
      </c>
      <c r="Q38" s="23">
        <f t="shared" si="47"/>
        <v>29.444881010752695</v>
      </c>
      <c r="R38" s="23">
        <f t="shared" si="48"/>
        <v>36.924822156869801</v>
      </c>
      <c r="S38" s="23">
        <f t="shared" si="49"/>
        <v>30.728939178556164</v>
      </c>
      <c r="T38" s="23">
        <f t="shared" si="50"/>
        <v>35.315449992028547</v>
      </c>
      <c r="AH38" s="62" t="s">
        <v>203</v>
      </c>
      <c r="AI38" s="65">
        <f t="shared" si="32"/>
        <v>1.9656204642602155</v>
      </c>
      <c r="AJ38" s="65">
        <f t="shared" si="33"/>
        <v>0.52475117783434655</v>
      </c>
      <c r="AK38" s="65">
        <f t="shared" si="34"/>
        <v>2.4298022011532652</v>
      </c>
      <c r="AL38" s="65">
        <f t="shared" si="35"/>
        <v>12.158947606852106</v>
      </c>
      <c r="AM38" s="65">
        <f t="shared" si="36"/>
        <v>4.6184534093458254</v>
      </c>
      <c r="AN38" s="65">
        <f t="shared" si="37"/>
        <v>8.5047811477221664</v>
      </c>
      <c r="AQ38" s="62" t="s">
        <v>203</v>
      </c>
      <c r="AR38" s="65">
        <f t="shared" si="38"/>
        <v>0.25602907087280852</v>
      </c>
      <c r="AS38" s="65">
        <f t="shared" si="39"/>
        <v>0.69507898012146907</v>
      </c>
      <c r="AT38" s="65">
        <f t="shared" si="40"/>
        <v>0.18559088978447102</v>
      </c>
      <c r="AU38" s="65">
        <f t="shared" si="41"/>
        <v>2.186714348377414E-4</v>
      </c>
      <c r="AV38" s="65">
        <f t="shared" si="42"/>
        <v>4.0710551918644713E-2</v>
      </c>
      <c r="AW38" s="65">
        <f t="shared" si="43"/>
        <v>2.7529971891847769E-3</v>
      </c>
    </row>
    <row r="39" spans="2:86" x14ac:dyDescent="0.35">
      <c r="B39" s="62" t="s">
        <v>202</v>
      </c>
      <c r="C39" s="65">
        <v>26.66</v>
      </c>
      <c r="D39" s="65">
        <v>24.96</v>
      </c>
      <c r="E39" s="65">
        <v>23.42</v>
      </c>
      <c r="F39" s="65">
        <v>24.25</v>
      </c>
      <c r="G39" s="65">
        <v>28.59</v>
      </c>
      <c r="H39" s="65">
        <v>34.92</v>
      </c>
      <c r="I39" s="65">
        <v>26.67</v>
      </c>
      <c r="J39" s="65">
        <v>33.71</v>
      </c>
      <c r="L39" s="22" t="s">
        <v>241</v>
      </c>
      <c r="M39" s="23">
        <f t="shared" si="27"/>
        <v>29.423931530617168</v>
      </c>
      <c r="N39" s="23">
        <f t="shared" si="15"/>
        <v>29.84</v>
      </c>
      <c r="O39" s="23">
        <f t="shared" si="16"/>
        <v>27.919642064324062</v>
      </c>
      <c r="P39" s="23">
        <f t="shared" si="17"/>
        <v>29.987634832004243</v>
      </c>
      <c r="Q39" s="23">
        <f t="shared" si="47"/>
        <v>28.12854359080465</v>
      </c>
      <c r="R39" s="23">
        <f t="shared" si="48"/>
        <v>41.040578543594641</v>
      </c>
      <c r="S39" s="23">
        <f t="shared" si="49"/>
        <v>30.632172050282197</v>
      </c>
      <c r="T39" s="23" t="e">
        <f t="shared" si="50"/>
        <v>#VALUE!</v>
      </c>
    </row>
    <row r="40" spans="2:86" x14ac:dyDescent="0.35">
      <c r="B40" s="62" t="s">
        <v>202</v>
      </c>
      <c r="C40" s="65">
        <v>26.61</v>
      </c>
      <c r="D40" s="65">
        <v>25.15</v>
      </c>
      <c r="E40" s="65">
        <v>23.3</v>
      </c>
      <c r="F40" s="65">
        <v>24.13</v>
      </c>
      <c r="G40" s="65">
        <v>28.58</v>
      </c>
      <c r="H40" s="65">
        <v>35.26</v>
      </c>
      <c r="I40" s="65">
        <v>26.76</v>
      </c>
      <c r="J40" s="65">
        <v>33.14</v>
      </c>
      <c r="L40" s="22" t="s">
        <v>241</v>
      </c>
      <c r="M40" s="23">
        <f t="shared" si="27"/>
        <v>29.126156132457854</v>
      </c>
      <c r="N40" s="23">
        <f t="shared" si="15"/>
        <v>29.62</v>
      </c>
      <c r="O40" s="23">
        <f t="shared" si="16"/>
        <v>27.170724626976313</v>
      </c>
      <c r="P40" s="23">
        <f t="shared" si="17"/>
        <v>29.806986429401807</v>
      </c>
      <c r="Q40" s="23">
        <f t="shared" si="47"/>
        <v>28.147215043569872</v>
      </c>
      <c r="R40" s="23">
        <f t="shared" si="48"/>
        <v>39.28579868878947</v>
      </c>
      <c r="S40" s="23">
        <f t="shared" si="49"/>
        <v>30.395630181168048</v>
      </c>
      <c r="T40" s="23" t="e">
        <f t="shared" si="50"/>
        <v>#VALUE!</v>
      </c>
    </row>
    <row r="41" spans="2:86" x14ac:dyDescent="0.35">
      <c r="B41" s="62" t="s">
        <v>203</v>
      </c>
      <c r="C41" s="65">
        <v>26.52</v>
      </c>
      <c r="D41" s="65">
        <v>24.49</v>
      </c>
      <c r="E41" s="65">
        <v>26.74</v>
      </c>
      <c r="F41" s="65">
        <v>25.1</v>
      </c>
      <c r="G41" s="65">
        <v>28.84</v>
      </c>
      <c r="H41" s="65">
        <v>35.25</v>
      </c>
      <c r="I41" s="65">
        <v>27.32</v>
      </c>
      <c r="J41" s="65">
        <v>33.159999999999997</v>
      </c>
      <c r="L41" s="22" t="s">
        <v>241</v>
      </c>
      <c r="M41" s="23">
        <f t="shared" si="27"/>
        <v>29.042406801725548</v>
      </c>
      <c r="N41" s="23">
        <f t="shared" si="15"/>
        <v>29.23</v>
      </c>
      <c r="O41" s="23">
        <f t="shared" si="16"/>
        <v>27.580132826059749</v>
      </c>
      <c r="P41" s="23">
        <f t="shared" si="17"/>
        <v>30.318823570108709</v>
      </c>
      <c r="Q41" s="23">
        <f t="shared" si="47"/>
        <v>28.473965466961232</v>
      </c>
      <c r="R41" s="23">
        <f t="shared" si="48"/>
        <v>36.095289861870995</v>
      </c>
      <c r="S41" s="23">
        <f t="shared" si="49"/>
        <v>30.513901115725123</v>
      </c>
      <c r="T41" s="23" t="e">
        <f t="shared" si="50"/>
        <v>#VALUE!</v>
      </c>
      <c r="AH41" s="1"/>
    </row>
    <row r="42" spans="2:86" x14ac:dyDescent="0.35">
      <c r="B42" s="62" t="s">
        <v>203</v>
      </c>
      <c r="C42" s="65">
        <v>26.16</v>
      </c>
      <c r="D42" s="65">
        <v>24.64</v>
      </c>
      <c r="E42" s="65">
        <v>26.62</v>
      </c>
      <c r="F42" s="65">
        <v>25.05</v>
      </c>
      <c r="G42" s="65">
        <v>28.83</v>
      </c>
      <c r="H42" s="65">
        <v>34.619999999999997</v>
      </c>
      <c r="I42" s="65">
        <v>27.75</v>
      </c>
      <c r="J42" s="65">
        <v>32.97</v>
      </c>
      <c r="L42" s="62" t="s">
        <v>196</v>
      </c>
      <c r="M42" s="65">
        <f t="shared" si="27"/>
        <v>24.426888130256188</v>
      </c>
      <c r="N42" s="65">
        <f t="shared" si="15"/>
        <v>25.15</v>
      </c>
      <c r="O42" s="65">
        <f t="shared" si="16"/>
        <v>26.881143217868519</v>
      </c>
      <c r="P42" s="65">
        <f t="shared" si="17"/>
        <v>28.923816461123234</v>
      </c>
      <c r="Q42" s="65">
        <f t="shared" si="47"/>
        <v>26.970913519360984</v>
      </c>
      <c r="R42" s="65">
        <f t="shared" si="48"/>
        <v>38.658331952828846</v>
      </c>
      <c r="S42" s="65">
        <f t="shared" si="49"/>
        <v>29.707508380108706</v>
      </c>
      <c r="T42" s="65">
        <f t="shared" si="50"/>
        <v>32.653531687160431</v>
      </c>
      <c r="AH42" s="1"/>
      <c r="AQ42" s="183" t="s">
        <v>520</v>
      </c>
      <c r="AR42" s="183"/>
      <c r="AS42" s="183"/>
      <c r="AT42" s="183"/>
      <c r="AU42" s="183"/>
      <c r="AV42" s="183"/>
      <c r="AW42" s="183"/>
      <c r="AZ42" s="183" t="s">
        <v>515</v>
      </c>
      <c r="BA42" s="183"/>
      <c r="BB42" s="183"/>
      <c r="BC42" s="183"/>
      <c r="BD42" s="183"/>
      <c r="BE42" s="183"/>
      <c r="BF42" s="183"/>
      <c r="BI42" s="183" t="s">
        <v>517</v>
      </c>
      <c r="BJ42" s="183"/>
      <c r="BK42" s="183"/>
      <c r="BQ42" s="1" t="s">
        <v>173</v>
      </c>
      <c r="BR42" s="1" t="s">
        <v>245</v>
      </c>
      <c r="CB42" s="1" t="s">
        <v>242</v>
      </c>
    </row>
    <row r="43" spans="2:86" x14ac:dyDescent="0.35">
      <c r="B43" s="62" t="s">
        <v>203</v>
      </c>
      <c r="C43" s="65">
        <v>26.98</v>
      </c>
      <c r="D43" s="65">
        <v>24.66</v>
      </c>
      <c r="E43" s="65">
        <v>26.78</v>
      </c>
      <c r="F43" s="65">
        <v>25.28</v>
      </c>
      <c r="G43" s="65">
        <v>29.54</v>
      </c>
      <c r="H43" s="65">
        <v>34.130000000000003</v>
      </c>
      <c r="I43" s="65">
        <v>26.76</v>
      </c>
      <c r="J43" s="65">
        <v>33.44</v>
      </c>
      <c r="L43" s="62" t="s">
        <v>196</v>
      </c>
      <c r="M43" s="65">
        <f t="shared" si="27"/>
        <v>25.059660851344727</v>
      </c>
      <c r="N43" s="65">
        <f t="shared" si="15"/>
        <v>25.12</v>
      </c>
      <c r="O43" s="65">
        <f t="shared" si="16"/>
        <v>27.02094113950676</v>
      </c>
      <c r="P43" s="65">
        <f t="shared" si="17"/>
        <v>29.164680997926482</v>
      </c>
      <c r="Q43" s="65">
        <f t="shared" si="47"/>
        <v>26.690841727882678</v>
      </c>
      <c r="R43" s="65">
        <f t="shared" si="48"/>
        <v>36.658946421293265</v>
      </c>
      <c r="S43" s="65">
        <f t="shared" si="49"/>
        <v>29.71826028325026</v>
      </c>
      <c r="T43" s="65">
        <f t="shared" si="50"/>
        <v>32.363322548659774</v>
      </c>
      <c r="AH43" s="1"/>
      <c r="AQ43" s="1" t="s">
        <v>187</v>
      </c>
      <c r="AR43" s="1" t="s">
        <v>172</v>
      </c>
      <c r="AS43" s="1" t="s">
        <v>173</v>
      </c>
      <c r="AT43" s="57" t="s">
        <v>222</v>
      </c>
      <c r="AU43" s="57" t="s">
        <v>223</v>
      </c>
      <c r="AV43" s="57" t="s">
        <v>224</v>
      </c>
      <c r="AW43" s="57" t="s">
        <v>225</v>
      </c>
      <c r="AZ43" s="1" t="s">
        <v>187</v>
      </c>
      <c r="BA43" s="1" t="s">
        <v>172</v>
      </c>
      <c r="BB43" s="1" t="s">
        <v>173</v>
      </c>
      <c r="BC43" s="57" t="s">
        <v>222</v>
      </c>
      <c r="BD43" s="57" t="s">
        <v>223</v>
      </c>
      <c r="BE43" s="57" t="s">
        <v>224</v>
      </c>
      <c r="BF43" s="57" t="s">
        <v>225</v>
      </c>
      <c r="BH43" s="1" t="s">
        <v>172</v>
      </c>
      <c r="BI43" s="1" t="s">
        <v>180</v>
      </c>
      <c r="BJ43" s="57" t="s">
        <v>181</v>
      </c>
      <c r="BK43" s="57" t="s">
        <v>182</v>
      </c>
      <c r="BL43" s="57" t="s">
        <v>183</v>
      </c>
      <c r="BM43" s="58" t="s">
        <v>184</v>
      </c>
      <c r="BN43" s="57" t="s">
        <v>185</v>
      </c>
      <c r="BO43" s="57" t="s">
        <v>186</v>
      </c>
      <c r="BR43" s="1" t="s">
        <v>180</v>
      </c>
      <c r="BS43" s="57" t="s">
        <v>181</v>
      </c>
      <c r="BT43" s="57" t="s">
        <v>182</v>
      </c>
      <c r="BU43" s="57" t="s">
        <v>183</v>
      </c>
      <c r="BV43" s="58" t="s">
        <v>184</v>
      </c>
      <c r="BW43" s="57" t="s">
        <v>185</v>
      </c>
      <c r="BX43" s="57" t="s">
        <v>186</v>
      </c>
      <c r="CC43" s="1" t="s">
        <v>172</v>
      </c>
      <c r="CD43" s="1" t="s">
        <v>173</v>
      </c>
      <c r="CE43" s="1" t="s">
        <v>222</v>
      </c>
      <c r="CF43" s="1" t="s">
        <v>243</v>
      </c>
      <c r="CG43" s="1" t="s">
        <v>224</v>
      </c>
      <c r="CH43" s="1" t="s">
        <v>244</v>
      </c>
    </row>
    <row r="44" spans="2:86" x14ac:dyDescent="0.35">
      <c r="B44" s="1" t="s">
        <v>207</v>
      </c>
      <c r="C44" t="s">
        <v>204</v>
      </c>
      <c r="D44">
        <v>36.31</v>
      </c>
      <c r="E44">
        <v>27.82</v>
      </c>
      <c r="F44">
        <v>31.89</v>
      </c>
      <c r="G44" t="s">
        <v>204</v>
      </c>
      <c r="H44">
        <v>36.22</v>
      </c>
      <c r="I44">
        <v>28.07</v>
      </c>
      <c r="J44" t="s">
        <v>204</v>
      </c>
      <c r="L44" s="62" t="s">
        <v>196</v>
      </c>
      <c r="M44" s="65">
        <f t="shared" si="27"/>
        <v>24.519942942180975</v>
      </c>
      <c r="N44" s="65">
        <f t="shared" si="15"/>
        <v>25.24</v>
      </c>
      <c r="O44" s="65">
        <f t="shared" si="16"/>
        <v>27.110811231988492</v>
      </c>
      <c r="P44" s="65">
        <f t="shared" si="17"/>
        <v>25.571784990611384</v>
      </c>
      <c r="Q44" s="65">
        <f t="shared" si="47"/>
        <v>26.849549076387053</v>
      </c>
      <c r="R44" s="65">
        <f t="shared" si="48"/>
        <v>36.765296715523881</v>
      </c>
      <c r="S44" s="65">
        <f t="shared" si="49"/>
        <v>29.481718414136115</v>
      </c>
      <c r="T44" s="65">
        <f t="shared" si="50"/>
        <v>32.343308125314898</v>
      </c>
      <c r="AQ44" s="54" t="s">
        <v>227</v>
      </c>
      <c r="AR44" s="55">
        <f t="shared" ref="AR44:AW55" si="51">(AR10+AR27)/2</f>
        <v>3.7512100685089242</v>
      </c>
      <c r="AS44" s="55">
        <f t="shared" si="51"/>
        <v>0.39547828596572948</v>
      </c>
      <c r="AT44" s="55">
        <f t="shared" si="51"/>
        <v>6.4611505549666086</v>
      </c>
      <c r="AU44" s="55">
        <f t="shared" si="51"/>
        <v>5.0393768158507792E-3</v>
      </c>
      <c r="AV44" s="55">
        <f t="shared" si="51"/>
        <v>0.40782469865410936</v>
      </c>
      <c r="AW44" s="55">
        <f t="shared" si="51"/>
        <v>1.1723858727590256E-2</v>
      </c>
      <c r="AZ44" s="54" t="s">
        <v>229</v>
      </c>
      <c r="BA44" s="55">
        <f>AVERAGEA(AR44,AR46)</f>
        <v>3.606281923236935</v>
      </c>
      <c r="BB44" s="55">
        <f>AVERAGEA(AS45)</f>
        <v>0.60032262549413895</v>
      </c>
      <c r="BC44" s="55">
        <f>AVERAGEA(AT44,AT46)</f>
        <v>7.5502894842785686</v>
      </c>
      <c r="BD44" s="55">
        <f>AVERAGEA(AU44:AU46)</f>
        <v>1.2499508069132409E-2</v>
      </c>
      <c r="BE44" s="55">
        <f>AVERAGEA(AV44,AV46)</f>
        <v>0.38172113637207783</v>
      </c>
      <c r="BF44" s="55">
        <f>AVERAGEA(AW44:AW45)</f>
        <v>9.8687027272119712E-3</v>
      </c>
      <c r="BI44" s="54" t="s">
        <v>229</v>
      </c>
      <c r="BJ44" s="55">
        <f>STDEV(AR44:AR46)</f>
        <v>1.4757152379803682</v>
      </c>
      <c r="BK44" s="55">
        <f>BA44-CONFIDENCE(0.05,BJ44,3)</f>
        <v>1.9363836123795279</v>
      </c>
      <c r="BL44" s="55">
        <f>BA44+CONFIDENCE(0.05,BJ44,3)</f>
        <v>5.2761802340943422</v>
      </c>
      <c r="BM44" s="55">
        <f>BA44/BA47</f>
        <v>14.849627597484403</v>
      </c>
      <c r="BN44" s="55">
        <f>BK44/BA44</f>
        <v>0.53694737505199375</v>
      </c>
      <c r="BO44" s="55">
        <f>BL44/BA44</f>
        <v>1.4630526249480063</v>
      </c>
      <c r="BR44" s="54" t="s">
        <v>229</v>
      </c>
      <c r="BS44" s="55">
        <f>STDEV(AS44:AS46)</f>
        <v>0.12458844419923579</v>
      </c>
      <c r="BT44" s="55">
        <f>BB44-CONFIDENCE(0.05,BS44,3)</f>
        <v>0.45934011940753861</v>
      </c>
      <c r="BU44" s="55">
        <f>BB44+CONFIDENCE(0.05,BS44,3)</f>
        <v>0.7413051315807393</v>
      </c>
      <c r="BV44" s="55">
        <f>BB44/BB47</f>
        <v>1.6510595875035425</v>
      </c>
      <c r="BW44" s="55">
        <f>BT44/BB47</f>
        <v>1.2633172162195025</v>
      </c>
      <c r="BX44" s="55">
        <f>BU44/BB47</f>
        <v>2.0388019587875825</v>
      </c>
      <c r="CB44" s="54" t="s">
        <v>229</v>
      </c>
      <c r="CC44" s="55">
        <v>2.2299671689668981</v>
      </c>
      <c r="CD44" s="55">
        <v>1.6510595875035425</v>
      </c>
      <c r="CE44" s="55">
        <v>27.251203256894982</v>
      </c>
      <c r="CF44" s="55">
        <v>55.891486276836396</v>
      </c>
      <c r="CG44" s="55">
        <v>7.6370265920674179</v>
      </c>
      <c r="CH44" s="55">
        <v>2.6693909271664471</v>
      </c>
    </row>
    <row r="45" spans="2:86" x14ac:dyDescent="0.35">
      <c r="B45" s="1"/>
      <c r="L45" s="62" t="s">
        <v>202</v>
      </c>
      <c r="M45" s="65">
        <f t="shared" si="27"/>
        <v>24.445499092641143</v>
      </c>
      <c r="N45" s="65">
        <f t="shared" si="15"/>
        <v>24.82</v>
      </c>
      <c r="O45" s="65">
        <f t="shared" si="16"/>
        <v>23.096613767804559</v>
      </c>
      <c r="P45" s="65">
        <f t="shared" si="17"/>
        <v>24.457786507896365</v>
      </c>
      <c r="Q45" s="65">
        <f t="shared" si="47"/>
        <v>26.550805832143524</v>
      </c>
      <c r="R45" s="65">
        <f t="shared" si="48"/>
        <v>40.891688131671778</v>
      </c>
      <c r="S45" s="65">
        <f t="shared" si="49"/>
        <v>28.428031906264</v>
      </c>
      <c r="T45" s="65">
        <f t="shared" si="50"/>
        <v>32.793632650574544</v>
      </c>
      <c r="AQ45" s="54" t="s">
        <v>232</v>
      </c>
      <c r="AR45" s="55">
        <f t="shared" si="51"/>
        <v>6.1499395041519511</v>
      </c>
      <c r="AS45" s="55">
        <f t="shared" si="51"/>
        <v>0.60032262549413895</v>
      </c>
      <c r="AT45" s="55">
        <f t="shared" si="51"/>
        <v>13.5425951014599</v>
      </c>
      <c r="AU45" s="55">
        <f t="shared" si="51"/>
        <v>2.2438016379899037E-2</v>
      </c>
      <c r="AV45" s="55">
        <f t="shared" si="51"/>
        <v>0.87916697321809667</v>
      </c>
      <c r="AW45" s="55">
        <f t="shared" si="51"/>
        <v>8.0135467268336851E-3</v>
      </c>
      <c r="AZ45" s="61" t="s">
        <v>231</v>
      </c>
      <c r="BA45" s="63">
        <f>AVERAGEA(AR49)</f>
        <v>2.4715682232144642</v>
      </c>
      <c r="BB45" s="63">
        <f>AVERAGEA(AS47,AS49)</f>
        <v>0.42717500144636167</v>
      </c>
      <c r="BC45" s="63">
        <f>AVERAGEA(AT47:AT49)</f>
        <v>4.0105745110831688</v>
      </c>
      <c r="BD45" s="63">
        <f>AVERAGEA(AU48:AU49)</f>
        <v>1.5263357861333191E-2</v>
      </c>
      <c r="BE45" s="63">
        <f>AVERAGEA(AV47,AV49)</f>
        <v>0.13368187712796276</v>
      </c>
      <c r="BF45" s="63">
        <f>AVERAGEA(AW47:AW49)</f>
        <v>3.0335268952164901E-2</v>
      </c>
      <c r="BI45" s="61" t="s">
        <v>231</v>
      </c>
      <c r="BJ45" s="63">
        <f>STDEV(AR47:AR49)</f>
        <v>0.71652458133131391</v>
      </c>
      <c r="BK45" s="63">
        <f>BA45-CONFIDENCE(0.05,BJ45,3)</f>
        <v>1.6607592288650479</v>
      </c>
      <c r="BL45" s="63">
        <f>BA45+CONFIDENCE(0.05,BJ45,3)</f>
        <v>3.2823772175638806</v>
      </c>
      <c r="BM45" s="63">
        <f>BA45/BA47</f>
        <v>10.177204244633224</v>
      </c>
      <c r="BN45" s="63">
        <f>BK45/BA45</f>
        <v>0.67194553371668742</v>
      </c>
      <c r="BO45" s="63">
        <f>BL45/BA45</f>
        <v>1.3280544662833127</v>
      </c>
      <c r="BR45" s="61" t="s">
        <v>231</v>
      </c>
      <c r="BS45" s="63">
        <f>STDEV(AS47:AS49)</f>
        <v>0.11002203320127782</v>
      </c>
      <c r="BT45" s="63">
        <f>BB45-CONFIDENCE(0.05,BS45,3)</f>
        <v>0.30267563824174076</v>
      </c>
      <c r="BU45" s="63">
        <f>BB45+CONFIDENCE(0.05,BS45,3)</f>
        <v>0.55167436465098252</v>
      </c>
      <c r="BV45" s="63">
        <f>BB45/BB47</f>
        <v>1.1748539064295869</v>
      </c>
      <c r="BW45" s="63">
        <f>BT45/BB47</f>
        <v>0.83244491078682314</v>
      </c>
      <c r="BX45" s="63">
        <f>BU45/BB47</f>
        <v>1.5172629020723505</v>
      </c>
      <c r="CB45" s="61" t="s">
        <v>231</v>
      </c>
      <c r="CC45" s="63">
        <v>1.5283097968899408</v>
      </c>
      <c r="CD45" s="63">
        <v>1.1748539064295869</v>
      </c>
      <c r="CE45" s="63">
        <v>14.475336529284428</v>
      </c>
      <c r="CF45" s="63">
        <v>68.250026459190096</v>
      </c>
      <c r="CG45" s="63">
        <v>2.6745494373374186</v>
      </c>
      <c r="CH45" s="63">
        <v>8.2054038866504495</v>
      </c>
    </row>
    <row r="46" spans="2:86" x14ac:dyDescent="0.35">
      <c r="B46" s="1"/>
      <c r="L46" s="62" t="s">
        <v>202</v>
      </c>
      <c r="M46" s="65">
        <f t="shared" si="27"/>
        <v>24.808412859147808</v>
      </c>
      <c r="N46" s="65">
        <f t="shared" si="15"/>
        <v>24.96</v>
      </c>
      <c r="O46" s="65">
        <f t="shared" si="16"/>
        <v>23.386195176912359</v>
      </c>
      <c r="P46" s="65">
        <f t="shared" si="17"/>
        <v>24.337354239494744</v>
      </c>
      <c r="Q46" s="65">
        <f t="shared" si="47"/>
        <v>26.690841727882678</v>
      </c>
      <c r="R46" s="65">
        <f t="shared" si="48"/>
        <v>37.13752274533104</v>
      </c>
      <c r="S46" s="65">
        <f t="shared" si="49"/>
        <v>28.675325678519698</v>
      </c>
      <c r="T46" s="65">
        <f t="shared" si="50"/>
        <v>33.734310547783579</v>
      </c>
      <c r="AQ46" s="54" t="s">
        <v>234</v>
      </c>
      <c r="AR46" s="55">
        <f t="shared" si="51"/>
        <v>3.4613537779649457</v>
      </c>
      <c r="AS46" s="55">
        <f t="shared" si="51"/>
        <v>0.62076598672352057</v>
      </c>
      <c r="AT46" s="55">
        <f t="shared" si="51"/>
        <v>8.6394284135905295</v>
      </c>
      <c r="AU46" s="55">
        <f t="shared" si="51"/>
        <v>1.0021131011647417E-2</v>
      </c>
      <c r="AV46" s="55">
        <f t="shared" si="51"/>
        <v>0.3556175740900463</v>
      </c>
      <c r="AW46" s="55">
        <f t="shared" si="51"/>
        <v>3.2079285812018684E-3</v>
      </c>
      <c r="AZ46" s="22" t="s">
        <v>27</v>
      </c>
      <c r="BA46" s="23">
        <f>AVERAGEA(AR50:AR52)</f>
        <v>3.8210636379249134</v>
      </c>
      <c r="BB46" s="23">
        <f>AVERAGEA(AS50:AS52)</f>
        <v>0.68352459577064517</v>
      </c>
      <c r="BC46" s="23">
        <f>AVERAGEA(AT50:AT52)</f>
        <v>2.4749726424163909</v>
      </c>
      <c r="BD46" s="23">
        <f>AVERAGEA(AU50:AU51)</f>
        <v>5.1989491288661725E-3</v>
      </c>
      <c r="BE46" s="23">
        <f>AVERAGEA(AV50:AV52)</f>
        <v>0.48526048389407145</v>
      </c>
      <c r="BF46" s="23">
        <f>AVERAGEA(AW50:AW51)</f>
        <v>1.2141988340202388E-2</v>
      </c>
      <c r="BI46" s="22" t="s">
        <v>27</v>
      </c>
      <c r="BJ46" s="23">
        <f>STDEV(AR50:AR52)</f>
        <v>0.62071669215632108</v>
      </c>
      <c r="BK46" s="23">
        <f>BA46-CONFIDENCE(0.05,BJ46,3)</f>
        <v>3.1186694841778699</v>
      </c>
      <c r="BL46" s="23">
        <f>BA46+CONFIDENCE(0.05,BJ46,3)</f>
        <v>4.5234577916719569</v>
      </c>
      <c r="BM46" s="23">
        <f>BA46/BA47</f>
        <v>15.734036677460839</v>
      </c>
      <c r="BN46" s="23">
        <f>BK46/BA46</f>
        <v>0.81617836803982435</v>
      </c>
      <c r="BO46" s="23">
        <f>BL46/BA46</f>
        <v>1.1838216319601758</v>
      </c>
      <c r="BR46" s="22" t="s">
        <v>27</v>
      </c>
      <c r="BS46" s="23">
        <f>STDEV(AS50:AS52)</f>
        <v>0.13052829140597658</v>
      </c>
      <c r="BT46" s="23">
        <f>BB46-CONFIDENCE(0.05,BS46,3)</f>
        <v>0.53582064332230472</v>
      </c>
      <c r="BU46" s="23">
        <f>BB46+CONFIDENCE(0.05,BS46,3)</f>
        <v>0.83122854821898562</v>
      </c>
      <c r="BV46" s="23">
        <f>BB46/BB47</f>
        <v>1.8798888950965003</v>
      </c>
      <c r="BW46" s="23">
        <f>BT46/BB47</f>
        <v>1.4736606164250665</v>
      </c>
      <c r="BX46" s="23">
        <f>BU46/BB47</f>
        <v>2.2861171737679342</v>
      </c>
      <c r="CB46" s="22" t="s">
        <v>27</v>
      </c>
      <c r="CC46" s="23">
        <v>2.3627787966886444</v>
      </c>
      <c r="CD46" s="23">
        <v>1.8798888950965003</v>
      </c>
      <c r="CE46" s="23">
        <v>8.9329002118635987</v>
      </c>
      <c r="CF46" s="23">
        <v>23.24707438747733</v>
      </c>
      <c r="CG46" s="23">
        <v>9.7085198236604899</v>
      </c>
      <c r="CH46" s="23">
        <v>3.2842932256663229</v>
      </c>
    </row>
    <row r="47" spans="2:86" x14ac:dyDescent="0.35">
      <c r="B47" s="1"/>
      <c r="L47" s="62" t="s">
        <v>202</v>
      </c>
      <c r="M47" s="65">
        <f t="shared" si="27"/>
        <v>24.761885453185414</v>
      </c>
      <c r="N47" s="65">
        <f t="shared" si="15"/>
        <v>25.15</v>
      </c>
      <c r="O47" s="65">
        <f t="shared" si="16"/>
        <v>23.266368386936719</v>
      </c>
      <c r="P47" s="65">
        <f t="shared" si="17"/>
        <v>24.216921971093118</v>
      </c>
      <c r="Q47" s="65">
        <f t="shared" si="47"/>
        <v>26.681506001500065</v>
      </c>
      <c r="R47" s="65">
        <f t="shared" si="48"/>
        <v>37.499113745715128</v>
      </c>
      <c r="S47" s="65">
        <f t="shared" si="49"/>
        <v>28.772092806793669</v>
      </c>
      <c r="T47" s="65">
        <f t="shared" si="50"/>
        <v>33.163899482454696</v>
      </c>
      <c r="AQ47" s="61" t="s">
        <v>236</v>
      </c>
      <c r="AR47" s="63">
        <f t="shared" si="51"/>
        <v>1.3313443794794968</v>
      </c>
      <c r="AS47" s="63">
        <f t="shared" si="51"/>
        <v>0.35305357361189954</v>
      </c>
      <c r="AT47" s="63">
        <f t="shared" si="51"/>
        <v>3.9987882420213778</v>
      </c>
      <c r="AU47" s="63">
        <f t="shared" si="51"/>
        <v>2.7525317833866796E-3</v>
      </c>
      <c r="AV47" s="63">
        <f t="shared" si="51"/>
        <v>0.10948563936083089</v>
      </c>
      <c r="AW47" s="63">
        <f t="shared" si="51"/>
        <v>2.0810682804827552E-2</v>
      </c>
      <c r="AZ47" s="62" t="s">
        <v>235</v>
      </c>
      <c r="BA47" s="65">
        <f>AVERAGEA(AR53,AR55)</f>
        <v>0.2428533577399514</v>
      </c>
      <c r="BB47" s="65">
        <f>AVERAGEA(AS53,AS55)</f>
        <v>0.36359840071056848</v>
      </c>
      <c r="BC47" s="65">
        <f>AVERAGEA(AT53:AT55)</f>
        <v>0.24425189232569711</v>
      </c>
      <c r="BD47" s="65">
        <f>AVERAGEA(AU53:AU55)</f>
        <v>2.2363885632278651E-4</v>
      </c>
      <c r="BE47" s="65">
        <f>AVERAGEA(AV53,AV55)</f>
        <v>3.8898496371979972E-2</v>
      </c>
      <c r="BF47" s="65">
        <f>AVERAGEA(AW53:AW55)</f>
        <v>3.6969866896519269E-3</v>
      </c>
      <c r="BI47" s="62" t="s">
        <v>235</v>
      </c>
      <c r="BJ47" s="45">
        <f>STDEV(AR53:AR55)</f>
        <v>1.5890151547670239</v>
      </c>
      <c r="BK47" s="45">
        <f>BA47-CONFIDENCE(0.05,BJ47,3)</f>
        <v>-1.5552535226252526</v>
      </c>
      <c r="BL47" s="45">
        <f>BA47+CONFIDENCE(0.05,BJ47,3)</f>
        <v>2.0409602381051553</v>
      </c>
      <c r="BM47" s="45">
        <f>BA47/BA47</f>
        <v>1</v>
      </c>
      <c r="BN47" s="45">
        <f>BK47/BA47</f>
        <v>-6.4040849057999267</v>
      </c>
      <c r="BO47" s="45">
        <f>BL47/BA47</f>
        <v>8.4040849057999267</v>
      </c>
      <c r="BR47" s="62" t="s">
        <v>235</v>
      </c>
      <c r="BS47" s="45">
        <f>STDEV(AS53:AS55)</f>
        <v>0.67658871079291005</v>
      </c>
      <c r="BT47" s="45">
        <f>BB47-CONFIDENCE(0.05,BS47,3)</f>
        <v>-0.40201973225967713</v>
      </c>
      <c r="BU47" s="45">
        <f>BB47+CONFIDENCE(0.05,BS47,3)</f>
        <v>1.1292165336808142</v>
      </c>
      <c r="BV47" s="45">
        <f>BB47/BB47</f>
        <v>1</v>
      </c>
      <c r="BW47" s="45">
        <f>BT47/BB47</f>
        <v>-1.1056696934695618</v>
      </c>
      <c r="BX47" s="45">
        <f>BU47/BB47</f>
        <v>3.105669693469562</v>
      </c>
      <c r="CB47" s="1"/>
    </row>
    <row r="48" spans="2:86" x14ac:dyDescent="0.35">
      <c r="B48" s="1"/>
      <c r="L48" s="62" t="s">
        <v>203</v>
      </c>
      <c r="M48" s="65">
        <f t="shared" si="27"/>
        <v>24.678136122453108</v>
      </c>
      <c r="N48" s="65">
        <f t="shared" si="15"/>
        <v>24.49</v>
      </c>
      <c r="O48" s="65">
        <f t="shared" si="16"/>
        <v>26.701403032905056</v>
      </c>
      <c r="P48" s="65">
        <f t="shared" si="17"/>
        <v>25.190416140672909</v>
      </c>
      <c r="Q48" s="65">
        <f t="shared" si="47"/>
        <v>26.92423488744793</v>
      </c>
      <c r="R48" s="65">
        <f t="shared" si="48"/>
        <v>37.488478716292065</v>
      </c>
      <c r="S48" s="65">
        <f t="shared" si="49"/>
        <v>29.37419938272059</v>
      </c>
      <c r="T48" s="65">
        <f t="shared" si="50"/>
        <v>33.183913905799564</v>
      </c>
      <c r="AQ48" s="61" t="s">
        <v>237</v>
      </c>
      <c r="AR48" s="63">
        <f t="shared" si="51"/>
        <v>1.1496986165909582</v>
      </c>
      <c r="AS48" s="63">
        <f t="shared" si="51"/>
        <v>0.28634678986725021</v>
      </c>
      <c r="AT48" s="63">
        <f t="shared" si="51"/>
        <v>3.4786203833575926</v>
      </c>
      <c r="AU48" s="63">
        <f t="shared" si="51"/>
        <v>3.4540065742785942E-3</v>
      </c>
      <c r="AV48" s="63">
        <f t="shared" si="51"/>
        <v>9.4060364274910407E-2</v>
      </c>
      <c r="AW48" s="63">
        <f t="shared" si="51"/>
        <v>2.4167403606710061E-2</v>
      </c>
      <c r="AZ48" s="1"/>
      <c r="BI48" s="1"/>
      <c r="BR48" s="1"/>
    </row>
    <row r="49" spans="2:87" x14ac:dyDescent="0.35">
      <c r="B49" s="1"/>
      <c r="L49" s="62" t="s">
        <v>203</v>
      </c>
      <c r="M49" s="65">
        <f t="shared" si="27"/>
        <v>24.343138799523881</v>
      </c>
      <c r="N49" s="65">
        <f t="shared" si="15"/>
        <v>24.64</v>
      </c>
      <c r="O49" s="65">
        <f t="shared" si="16"/>
        <v>26.581576242929419</v>
      </c>
      <c r="P49" s="65">
        <f t="shared" si="17"/>
        <v>25.140236028838899</v>
      </c>
      <c r="Q49" s="65">
        <f t="shared" si="47"/>
        <v>26.914899161065321</v>
      </c>
      <c r="R49" s="65">
        <f t="shared" si="48"/>
        <v>36.818471862639186</v>
      </c>
      <c r="S49" s="65">
        <f t="shared" si="49"/>
        <v>29.836531217807334</v>
      </c>
      <c r="T49" s="65">
        <f t="shared" si="50"/>
        <v>32.993776884023269</v>
      </c>
      <c r="AQ49" s="61" t="s">
        <v>238</v>
      </c>
      <c r="AR49" s="63">
        <f t="shared" si="51"/>
        <v>2.4715682232144642</v>
      </c>
      <c r="AS49" s="63">
        <f t="shared" si="51"/>
        <v>0.50129642928082374</v>
      </c>
      <c r="AT49" s="63">
        <f t="shared" si="51"/>
        <v>4.5543149078705358</v>
      </c>
      <c r="AU49" s="63">
        <f t="shared" si="51"/>
        <v>2.7072709148387789E-2</v>
      </c>
      <c r="AV49" s="63">
        <f t="shared" si="51"/>
        <v>0.15787811489509462</v>
      </c>
      <c r="AW49" s="63">
        <f t="shared" si="51"/>
        <v>4.6027720444957093E-2</v>
      </c>
      <c r="CB49" s="1" t="s">
        <v>246</v>
      </c>
    </row>
    <row r="50" spans="2:87" x14ac:dyDescent="0.35">
      <c r="B50" s="1"/>
      <c r="L50" s="62" t="s">
        <v>203</v>
      </c>
      <c r="M50" s="65">
        <f t="shared" si="27"/>
        <v>25.106188257307121</v>
      </c>
      <c r="N50" s="65">
        <f t="shared" si="15"/>
        <v>24.66</v>
      </c>
      <c r="O50" s="65">
        <f t="shared" si="16"/>
        <v>26.741345296230271</v>
      </c>
      <c r="P50" s="65">
        <f t="shared" si="17"/>
        <v>25.371064543275345</v>
      </c>
      <c r="Q50" s="65">
        <f t="shared" si="47"/>
        <v>27.577735734230647</v>
      </c>
      <c r="R50" s="65">
        <f t="shared" si="48"/>
        <v>36.29735542090917</v>
      </c>
      <c r="S50" s="65">
        <f t="shared" si="49"/>
        <v>28.772092806793669</v>
      </c>
      <c r="T50" s="65">
        <f t="shared" si="50"/>
        <v>33.46411583262779</v>
      </c>
      <c r="AQ50" s="22" t="s">
        <v>239</v>
      </c>
      <c r="AR50" s="23">
        <f t="shared" si="51"/>
        <v>3.3667906321248995</v>
      </c>
      <c r="AS50" s="23">
        <f t="shared" si="51"/>
        <v>0.58098953502288297</v>
      </c>
      <c r="AT50" s="23">
        <f t="shared" si="51"/>
        <v>3.5822851531491517</v>
      </c>
      <c r="AU50" s="23">
        <f t="shared" si="51"/>
        <v>2.0190088878830345E-3</v>
      </c>
      <c r="AV50" s="23">
        <f t="shared" si="51"/>
        <v>0.22399343639788327</v>
      </c>
      <c r="AW50" s="23">
        <f t="shared" si="51"/>
        <v>8.9220660235821217E-3</v>
      </c>
      <c r="BH50" s="1" t="s">
        <v>222</v>
      </c>
      <c r="BI50" s="1" t="s">
        <v>245</v>
      </c>
      <c r="CC50" s="1" t="s">
        <v>172</v>
      </c>
      <c r="CD50" s="1" t="s">
        <v>173</v>
      </c>
      <c r="CE50" s="1" t="s">
        <v>222</v>
      </c>
      <c r="CF50" s="1" t="s">
        <v>243</v>
      </c>
      <c r="CG50" s="1" t="s">
        <v>224</v>
      </c>
      <c r="CH50" s="1" t="s">
        <v>244</v>
      </c>
    </row>
    <row r="51" spans="2:87" x14ac:dyDescent="0.35">
      <c r="B51" s="1"/>
      <c r="L51" s="1"/>
      <c r="AQ51" s="22" t="s">
        <v>240</v>
      </c>
      <c r="AR51" s="23">
        <f t="shared" si="51"/>
        <v>4.5283212079242041</v>
      </c>
      <c r="AS51" s="23">
        <f t="shared" si="51"/>
        <v>0.83046111717847082</v>
      </c>
      <c r="AT51" s="23">
        <f t="shared" si="51"/>
        <v>1.6356540426983655</v>
      </c>
      <c r="AU51" s="23">
        <f t="shared" si="51"/>
        <v>8.3788893698493096E-3</v>
      </c>
      <c r="AV51" s="23">
        <f t="shared" si="51"/>
        <v>0.77230620837901498</v>
      </c>
      <c r="AW51" s="23">
        <f t="shared" si="51"/>
        <v>1.5361910656822655E-2</v>
      </c>
      <c r="BI51" s="1" t="s">
        <v>180</v>
      </c>
      <c r="BJ51" s="57" t="s">
        <v>181</v>
      </c>
      <c r="BK51" s="57" t="s">
        <v>182</v>
      </c>
      <c r="BL51" s="57" t="s">
        <v>183</v>
      </c>
      <c r="BM51" s="58" t="s">
        <v>184</v>
      </c>
      <c r="BN51" s="57" t="s">
        <v>185</v>
      </c>
      <c r="BO51" s="57" t="s">
        <v>186</v>
      </c>
      <c r="BQ51" s="1" t="s">
        <v>243</v>
      </c>
      <c r="BR51" s="1" t="s">
        <v>245</v>
      </c>
      <c r="CB51" s="54" t="s">
        <v>229</v>
      </c>
      <c r="CC51" s="55">
        <v>1.4757152379803682</v>
      </c>
      <c r="CD51" s="55">
        <v>0.12458844419923579</v>
      </c>
      <c r="CE51" s="55">
        <v>1.5402750451414955</v>
      </c>
      <c r="CF51" s="55">
        <v>8.9601857848605661E-3</v>
      </c>
      <c r="CG51" s="55">
        <v>0.37020533040958681</v>
      </c>
      <c r="CH51" s="55">
        <v>4.2696886530274947E-3</v>
      </c>
    </row>
    <row r="52" spans="2:87" x14ac:dyDescent="0.35">
      <c r="B52" s="1"/>
      <c r="L52" s="1"/>
      <c r="AQ52" s="22" t="s">
        <v>241</v>
      </c>
      <c r="AR52" s="23">
        <f t="shared" si="51"/>
        <v>3.5680790737256363</v>
      </c>
      <c r="AS52" s="23">
        <f t="shared" si="51"/>
        <v>0.63912313511058194</v>
      </c>
      <c r="AT52" s="23">
        <f t="shared" si="51"/>
        <v>2.2069787314016556</v>
      </c>
      <c r="AU52" s="23">
        <f t="shared" si="51"/>
        <v>5.7219406103832743E-4</v>
      </c>
      <c r="AV52" s="23">
        <f t="shared" si="51"/>
        <v>0.45948180690531609</v>
      </c>
      <c r="AW52" s="23" t="e">
        <f t="shared" si="51"/>
        <v>#VALUE!</v>
      </c>
      <c r="BI52" s="54" t="s">
        <v>229</v>
      </c>
      <c r="BJ52" s="55">
        <f>STDEV(AT44,AT46)</f>
        <v>1.5402750451414955</v>
      </c>
      <c r="BK52" s="55">
        <f>BC44-CONFIDENCE(0.05,BJ52,3)</f>
        <v>5.8073362166429217</v>
      </c>
      <c r="BL52" s="55">
        <f>BJ69+CONFIDENCE(0.05,BJ52,3)</f>
        <v>27.066628267992602</v>
      </c>
      <c r="BM52" s="55">
        <f>BC44/BC47</f>
        <v>30.911897600411027</v>
      </c>
      <c r="BN52" s="55">
        <f>BK52/BC44</f>
        <v>0.76915411372439757</v>
      </c>
      <c r="BO52" s="55">
        <f>BL52/BC44</f>
        <v>3.584846425339256</v>
      </c>
      <c r="BR52" s="1" t="s">
        <v>516</v>
      </c>
      <c r="BS52" s="57" t="s">
        <v>181</v>
      </c>
      <c r="BT52" s="57" t="s">
        <v>182</v>
      </c>
      <c r="BU52" s="57" t="s">
        <v>183</v>
      </c>
      <c r="BV52" s="58" t="s">
        <v>184</v>
      </c>
      <c r="BW52" s="57" t="s">
        <v>185</v>
      </c>
      <c r="BX52" s="57" t="s">
        <v>186</v>
      </c>
      <c r="CB52" s="61" t="s">
        <v>231</v>
      </c>
      <c r="CC52" s="63">
        <v>0.71652458133131391</v>
      </c>
      <c r="CD52" s="63">
        <v>0.11002203320127782</v>
      </c>
      <c r="CE52" s="63">
        <v>0.53794410919776325</v>
      </c>
      <c r="CF52" s="63">
        <v>1.3843206548289319E-2</v>
      </c>
      <c r="CG52" s="63">
        <v>3.3297838002966158E-2</v>
      </c>
      <c r="CH52" s="63">
        <v>1.3693307453850402E-2</v>
      </c>
    </row>
    <row r="53" spans="2:87" x14ac:dyDescent="0.35">
      <c r="B53" s="1"/>
      <c r="L53" s="1"/>
      <c r="AQ53" s="62" t="s">
        <v>196</v>
      </c>
      <c r="AR53" s="65">
        <f t="shared" si="51"/>
        <v>0.2392798015410027</v>
      </c>
      <c r="AS53" s="65">
        <f t="shared" si="51"/>
        <v>5.818617918510112E-2</v>
      </c>
      <c r="AT53" s="65">
        <f t="shared" si="51"/>
        <v>0.26868126147368432</v>
      </c>
      <c r="AU53" s="65">
        <f t="shared" si="51"/>
        <v>2.861278375257894E-4</v>
      </c>
      <c r="AV53" s="65">
        <f t="shared" si="51"/>
        <v>3.8613256147716837E-2</v>
      </c>
      <c r="AW53" s="65">
        <f t="shared" si="51"/>
        <v>5.477303734804294E-3</v>
      </c>
      <c r="BI53" s="61" t="s">
        <v>231</v>
      </c>
      <c r="BJ53" s="63">
        <f>STDEV(AT47:AT49)</f>
        <v>0.53794410919776325</v>
      </c>
      <c r="BK53" s="63">
        <f>BC45-CONFIDENCE(0.05,BJ53,3)</f>
        <v>3.4018446313846655</v>
      </c>
      <c r="BL53" s="63">
        <f>BC45+CONFIDENCE(0.05,BJ53,3)</f>
        <v>4.6193043907816715</v>
      </c>
      <c r="BM53" s="63">
        <f>BC45/BC47</f>
        <v>16.419829844082756</v>
      </c>
      <c r="BN53" s="63">
        <f>BK53/BC45</f>
        <v>0.84821878311541488</v>
      </c>
      <c r="BO53" s="63">
        <f>BL53/BC45</f>
        <v>1.1517812168845849</v>
      </c>
      <c r="BR53" s="54" t="s">
        <v>229</v>
      </c>
      <c r="BS53" s="55">
        <f>STDEV(AU44:AU46)</f>
        <v>8.9601857848605661E-3</v>
      </c>
      <c r="BT53" s="55">
        <f>BD44-CONFIDENCE(0.05,BS53,3)</f>
        <v>2.3602896603120878E-3</v>
      </c>
      <c r="BU53" s="55">
        <f>BD44+CONFIDENCE(0.05,BS53,3)</f>
        <v>2.2638726477952731E-2</v>
      </c>
      <c r="BV53" s="55">
        <f>BD44/BD47</f>
        <v>55.891486276836396</v>
      </c>
      <c r="BW53" s="55">
        <f>BT53/BD44</f>
        <v>0.18883060415320133</v>
      </c>
      <c r="BX53" s="55">
        <f>BU53/BF44</f>
        <v>2.2939921389595295</v>
      </c>
      <c r="CB53" s="22" t="s">
        <v>27</v>
      </c>
      <c r="CC53" s="23">
        <v>0.62071669215632108</v>
      </c>
      <c r="CD53" s="23">
        <v>0.13052829140597658</v>
      </c>
      <c r="CE53" s="23">
        <v>1.0006041786338127</v>
      </c>
      <c r="CF53" s="23">
        <v>4.1530279020790886E-3</v>
      </c>
      <c r="CG53" s="23">
        <v>0.27506386371145908</v>
      </c>
      <c r="CH53" s="23">
        <v>4.5536578099521748E-3</v>
      </c>
    </row>
    <row r="54" spans="2:87" x14ac:dyDescent="0.35">
      <c r="L54" s="1"/>
      <c r="AQ54" s="62" t="s">
        <v>202</v>
      </c>
      <c r="AR54" s="65">
        <f t="shared" si="51"/>
        <v>2.9951013798713295</v>
      </c>
      <c r="AS54" s="65">
        <f t="shared" si="51"/>
        <v>1.409297676576184</v>
      </c>
      <c r="AT54" s="65">
        <f t="shared" si="51"/>
        <v>0.28544395737280659</v>
      </c>
      <c r="AU54" s="65">
        <f t="shared" si="51"/>
        <v>1.7431838653230033E-4</v>
      </c>
      <c r="AV54" s="65">
        <f t="shared" si="51"/>
        <v>7.2151864355177966E-2</v>
      </c>
      <c r="AW54" s="65">
        <f t="shared" si="51"/>
        <v>2.9639080102578427E-3</v>
      </c>
      <c r="BI54" s="22" t="s">
        <v>27</v>
      </c>
      <c r="BJ54" s="23">
        <f>STDEV(AT50:AT52)</f>
        <v>1.0006041786338127</v>
      </c>
      <c r="BK54" s="23">
        <f>BJ71-CONFIDENCE(0.05,BJ54,3)</f>
        <v>4.3498222971030565</v>
      </c>
      <c r="BL54" s="23">
        <f>BJ71+CONFIDENCE(0.05,BJ54,3)</f>
        <v>6.6143611251011123</v>
      </c>
      <c r="BM54" s="23">
        <f>BC46/BC47</f>
        <v>10.13286987810168</v>
      </c>
      <c r="BN54" s="23">
        <f>BK54/BC46</f>
        <v>1.7575233853317234</v>
      </c>
      <c r="BO54" s="23">
        <f>BL54/BC46</f>
        <v>2.6724986821039405</v>
      </c>
      <c r="BR54" s="61" t="s">
        <v>231</v>
      </c>
      <c r="BS54" s="63">
        <f>STDEV(AU47:AU49)</f>
        <v>1.3843206548289319E-2</v>
      </c>
      <c r="BT54" s="63">
        <f>BD45-CONFIDENCE(0.05,BS54,3)</f>
        <v>-4.0141718258084394E-4</v>
      </c>
      <c r="BU54" s="63">
        <f>BD45+CONFIDENCE(0.05,BS54,3)</f>
        <v>3.0928132905247225E-2</v>
      </c>
      <c r="BV54" s="63">
        <f>BD45/BD47</f>
        <v>68.250026459190096</v>
      </c>
      <c r="BW54" s="63">
        <f>BT54/BD45</f>
        <v>-2.6299401889656137E-2</v>
      </c>
      <c r="BX54" s="63">
        <f>BU54/BF45</f>
        <v>1.0195437183700991</v>
      </c>
      <c r="CB54" s="1"/>
    </row>
    <row r="55" spans="2:87" x14ac:dyDescent="0.35">
      <c r="L55" s="1"/>
      <c r="AQ55" s="62" t="s">
        <v>203</v>
      </c>
      <c r="AR55" s="65">
        <f t="shared" si="51"/>
        <v>0.24642691393890009</v>
      </c>
      <c r="AS55" s="65">
        <f t="shared" si="51"/>
        <v>0.6690106222360358</v>
      </c>
      <c r="AT55" s="65">
        <f t="shared" si="51"/>
        <v>0.17863045813060038</v>
      </c>
      <c r="AU55" s="65">
        <f t="shared" si="51"/>
        <v>2.1047034491026979E-4</v>
      </c>
      <c r="AV55" s="65">
        <f t="shared" si="51"/>
        <v>3.9183736596243107E-2</v>
      </c>
      <c r="AW55" s="65">
        <f t="shared" si="51"/>
        <v>2.6497483238936432E-3</v>
      </c>
      <c r="BI55" s="62" t="s">
        <v>235</v>
      </c>
      <c r="BJ55" s="45">
        <f>STDEV(AT53:AT55)</f>
        <v>5.7444551202160611E-2</v>
      </c>
      <c r="BK55" s="45">
        <f>BJ72-CONFIDENCE(0.05,BJ55,3)</f>
        <v>4.6691234775432502</v>
      </c>
      <c r="BL55" s="45">
        <f>BJ72+CONFIDENCE(0.05,BJ55,3)</f>
        <v>4.7991303468247963</v>
      </c>
      <c r="BM55" s="45">
        <f>BC47/BC47</f>
        <v>1</v>
      </c>
      <c r="BN55" s="45">
        <f>BK55/BC47</f>
        <v>19.116017620519472</v>
      </c>
      <c r="BO55" s="45">
        <f>BL55/BC47</f>
        <v>19.648283176555321</v>
      </c>
      <c r="BR55" s="22" t="s">
        <v>27</v>
      </c>
      <c r="BS55" s="23">
        <f>STDEV(AU50:AU52)</f>
        <v>4.1530279020790886E-3</v>
      </c>
      <c r="BT55" s="23">
        <f>BD46-CONFIDENCE(0.05,BS55,3)</f>
        <v>4.9944200165318465E-4</v>
      </c>
      <c r="BU55" s="23">
        <f>BD46+CONFIDENCE(0.05,BS55,3)</f>
        <v>9.8984562560791613E-3</v>
      </c>
      <c r="BV55" s="23">
        <f>BD46/BD47</f>
        <v>23.24707438747733</v>
      </c>
      <c r="BW55" s="23">
        <f>BT55/BD46</f>
        <v>9.6065952805756125E-2</v>
      </c>
      <c r="BX55" s="23">
        <f>BU55/BF46</f>
        <v>0.81522531390556163</v>
      </c>
    </row>
    <row r="56" spans="2:87" x14ac:dyDescent="0.35">
      <c r="L56" s="1"/>
      <c r="BI56" s="1"/>
      <c r="BR56" s="62" t="s">
        <v>235</v>
      </c>
      <c r="BS56" s="45">
        <f>STDEV(AU53:AU55)</f>
        <v>5.7056074194449674E-5</v>
      </c>
      <c r="BT56" s="45">
        <f>BD47-CONFIDENCE(0.05,BS56,3)</f>
        <v>1.5907501672195569E-4</v>
      </c>
      <c r="BU56" s="45">
        <f>BD47+CONFIDENCE(0.05,BS56,3)</f>
        <v>2.8820269592361733E-4</v>
      </c>
      <c r="BV56" s="45">
        <f>BD47/BD47</f>
        <v>1</v>
      </c>
      <c r="BW56" s="45">
        <f>BT56/BD47</f>
        <v>0.71130312208517399</v>
      </c>
      <c r="BX56" s="45">
        <f>BU56/BF47</f>
        <v>7.7956108614162134E-2</v>
      </c>
    </row>
    <row r="57" spans="2:87" x14ac:dyDescent="0.35">
      <c r="L57" s="1"/>
      <c r="BR57" s="1"/>
      <c r="CG57" s="1"/>
      <c r="CH57" s="1"/>
    </row>
    <row r="58" spans="2:87" x14ac:dyDescent="0.35">
      <c r="L58" s="1"/>
      <c r="BH58" s="1" t="s">
        <v>224</v>
      </c>
      <c r="BI58" s="1" t="s">
        <v>245</v>
      </c>
      <c r="CG58" s="1"/>
      <c r="CH58" s="47"/>
    </row>
    <row r="59" spans="2:87" x14ac:dyDescent="0.35">
      <c r="L59" s="1"/>
      <c r="BI59" s="1" t="s">
        <v>180</v>
      </c>
      <c r="BJ59" s="57" t="s">
        <v>181</v>
      </c>
      <c r="BK59" s="57" t="s">
        <v>182</v>
      </c>
      <c r="BL59" s="57" t="s">
        <v>183</v>
      </c>
      <c r="BM59" s="58" t="s">
        <v>184</v>
      </c>
      <c r="BN59" s="57" t="s">
        <v>185</v>
      </c>
      <c r="BO59" s="57" t="s">
        <v>186</v>
      </c>
      <c r="BQ59" s="1" t="s">
        <v>244</v>
      </c>
      <c r="BR59" s="1" t="s">
        <v>245</v>
      </c>
      <c r="CG59" s="1"/>
      <c r="CH59" s="47"/>
    </row>
    <row r="60" spans="2:87" x14ac:dyDescent="0.35">
      <c r="BI60" s="54" t="s">
        <v>229</v>
      </c>
      <c r="BJ60" s="55">
        <f>STDEV(AV45:AV46)</f>
        <v>0.37020533040958681</v>
      </c>
      <c r="BK60" s="55">
        <f>BE44-CONFIDENCE(0.05,BJ60,3)</f>
        <v>-3.7197934198366089E-2</v>
      </c>
      <c r="BL60" s="55">
        <f>BE44+CONFIDENCE(0.05,BJ60,3)</f>
        <v>0.8006402069425218</v>
      </c>
      <c r="BM60" s="55">
        <f>BE44/BE47</f>
        <v>9.8132620017427126</v>
      </c>
      <c r="BN60" s="55">
        <f>BK60/BE44</f>
        <v>-9.744792900885603E-2</v>
      </c>
      <c r="BO60" s="55">
        <f>BL60/BE44</f>
        <v>2.0974479290088563</v>
      </c>
      <c r="BR60" s="1" t="s">
        <v>180</v>
      </c>
      <c r="BS60" s="57" t="s">
        <v>181</v>
      </c>
      <c r="BT60" s="57" t="s">
        <v>182</v>
      </c>
      <c r="BU60" s="57" t="s">
        <v>183</v>
      </c>
      <c r="BV60" s="58" t="s">
        <v>184</v>
      </c>
      <c r="BW60" s="57" t="s">
        <v>185</v>
      </c>
      <c r="BX60" s="57" t="s">
        <v>186</v>
      </c>
      <c r="CG60" s="1"/>
      <c r="CH60" s="47"/>
    </row>
    <row r="61" spans="2:87" x14ac:dyDescent="0.35">
      <c r="BI61" s="61" t="s">
        <v>231</v>
      </c>
      <c r="BJ61" s="63">
        <f>STDEV(AV47:AV49)</f>
        <v>3.3297838002966158E-2</v>
      </c>
      <c r="BK61" s="63">
        <f>BE45-CONFIDENCE(0.05,BJ61,3)</f>
        <v>9.6002518668226844E-2</v>
      </c>
      <c r="BL61" s="63">
        <f>BE45+CONFIDENCE(0.05,BJ61,3)</f>
        <v>0.17136123558769867</v>
      </c>
      <c r="BM61" s="63">
        <f>BE45/BE47</f>
        <v>3.4366849517674098</v>
      </c>
      <c r="BN61" s="63">
        <f>BK61/BE45</f>
        <v>0.71814161149406563</v>
      </c>
      <c r="BO61" s="63">
        <f>BL61/BE45</f>
        <v>1.2818583885059345</v>
      </c>
      <c r="BR61" s="54" t="s">
        <v>229</v>
      </c>
      <c r="BS61" s="55">
        <f>STDEV(AW44:AW46)</f>
        <v>4.2696886530274947E-3</v>
      </c>
      <c r="BT61" s="55">
        <f>BF44-CONFIDENCE(0.05,BS61,3)</f>
        <v>5.0371839584991531E-3</v>
      </c>
      <c r="BU61" s="55">
        <f>BF44+CONFIDENCE(0.05,BS61,3)</f>
        <v>1.470022149592479E-2</v>
      </c>
      <c r="BV61" s="55">
        <f>BF44/BF47</f>
        <v>2.6693909271664471</v>
      </c>
      <c r="BW61" s="55">
        <f>BT61/BF44</f>
        <v>0.5104200721954687</v>
      </c>
      <c r="BX61" s="55">
        <f>BU61/BF44</f>
        <v>1.4895799278045314</v>
      </c>
      <c r="CG61" s="1"/>
      <c r="CH61" s="1"/>
      <c r="CI61" s="47"/>
    </row>
    <row r="62" spans="2:87" x14ac:dyDescent="0.35">
      <c r="AQ62" s="1"/>
      <c r="BI62" s="22" t="s">
        <v>27</v>
      </c>
      <c r="BJ62" s="23">
        <f>STDEV(AV50:AV52)</f>
        <v>0.27506386371145908</v>
      </c>
      <c r="BK62" s="23">
        <f>BE46-CONFIDENCE(0.05,BJ62,3)</f>
        <v>0.17400213975831202</v>
      </c>
      <c r="BL62" s="23">
        <f>BE46+CONFIDENCE(0.05,BJ62,3)</f>
        <v>0.79651882802983087</v>
      </c>
      <c r="BM62" s="23">
        <f>BE46/BE47</f>
        <v>12.475044774317357</v>
      </c>
      <c r="BN62" s="23">
        <f>BK62/BE46</f>
        <v>0.35857471509321442</v>
      </c>
      <c r="BO62" s="23">
        <f>BL62/BE46</f>
        <v>1.6414252849067856</v>
      </c>
      <c r="BR62" s="61" t="s">
        <v>231</v>
      </c>
      <c r="BS62" s="63">
        <f>STDEV(AW47:AW49)</f>
        <v>1.3693307453850402E-2</v>
      </c>
      <c r="BT62" s="63">
        <f>BF45-CONFIDENCE(0.05,BS62,3)</f>
        <v>1.4840117585068884E-2</v>
      </c>
      <c r="BU62" s="63">
        <f>BF45+CONFIDENCE(0.05,BS62,3)</f>
        <v>4.583042031926092E-2</v>
      </c>
      <c r="BV62" s="63">
        <f>BF45/BF47</f>
        <v>8.2054038866504495</v>
      </c>
      <c r="BW62" s="63">
        <f>BT62/BF45</f>
        <v>0.48920342880328432</v>
      </c>
      <c r="BX62" s="63">
        <f>BU62/BF45</f>
        <v>1.5107965711967157</v>
      </c>
      <c r="CG62" s="1"/>
      <c r="CH62" s="1"/>
      <c r="CI62" s="47"/>
    </row>
    <row r="63" spans="2:87" x14ac:dyDescent="0.35">
      <c r="AQ63" s="1"/>
      <c r="BI63" s="62" t="s">
        <v>235</v>
      </c>
      <c r="BJ63" s="45">
        <f>STDEV(AV53:AV55)</f>
        <v>1.9200959769263184E-2</v>
      </c>
      <c r="BK63" s="45">
        <f>BE47-CONFIDENCE(0.05,BJ63,3)</f>
        <v>1.7170964216511257E-2</v>
      </c>
      <c r="BL63" s="45">
        <f>BE47+CONFIDENCE(0.05,BJ63,3)</f>
        <v>6.0626028527448687E-2</v>
      </c>
      <c r="BM63" s="45">
        <f>BE47/BE47</f>
        <v>1</v>
      </c>
      <c r="BN63" s="45">
        <f>BK63/BE47</f>
        <v>0.44143002475746435</v>
      </c>
      <c r="BO63" s="45">
        <f>BL63/BE47</f>
        <v>1.5585699752425357</v>
      </c>
      <c r="BR63" s="22" t="s">
        <v>27</v>
      </c>
      <c r="BS63" s="23">
        <f>STDEV(AW50:AW51)</f>
        <v>4.5536578099521748E-3</v>
      </c>
      <c r="BT63" s="23">
        <f>BF46-CONFIDENCE(0.05,BS63,3)</f>
        <v>6.9891341245959648E-3</v>
      </c>
      <c r="BU63" s="23">
        <f>BF46+CONFIDENCE(0.05,BS63,3)</f>
        <v>1.7294842555808813E-2</v>
      </c>
      <c r="BV63" s="23">
        <f>BF46/BF47</f>
        <v>3.2842932256663229</v>
      </c>
      <c r="BW63" s="23">
        <f>BT63/BF46</f>
        <v>0.57561693593913188</v>
      </c>
      <c r="BX63" s="23">
        <f>BU63/BF46</f>
        <v>1.4243830640608681</v>
      </c>
      <c r="CG63" s="1"/>
      <c r="CH63" s="1"/>
      <c r="CI63" s="47"/>
    </row>
    <row r="64" spans="2:87" x14ac:dyDescent="0.35">
      <c r="AQ64" s="1"/>
      <c r="BI64" s="1"/>
      <c r="BR64" s="62" t="s">
        <v>235</v>
      </c>
      <c r="BS64" s="45">
        <f>STDEV(AW53:AW55)</f>
        <v>1.549780843564391E-3</v>
      </c>
      <c r="BT64" s="45">
        <f>BF47-CONFIDENCE(0.05,BS64,3)</f>
        <v>1.9432767961299272E-3</v>
      </c>
      <c r="BU64" s="45">
        <f>BF47+CONFIDENCE(0.05,BS64,3)</f>
        <v>5.4506965831739264E-3</v>
      </c>
      <c r="BV64" s="45">
        <f>BF47/BF47</f>
        <v>1</v>
      </c>
      <c r="BW64" s="45">
        <f>BT64/BF47</f>
        <v>0.5256380288220317</v>
      </c>
      <c r="BX64" s="45">
        <f>BU64/BF47</f>
        <v>1.4743619711779683</v>
      </c>
      <c r="CG64" s="1"/>
    </row>
    <row r="65" spans="61:85" x14ac:dyDescent="0.35">
      <c r="BR65" s="1"/>
      <c r="CG65" s="1"/>
    </row>
    <row r="66" spans="61:85" x14ac:dyDescent="0.35">
      <c r="BJ66" s="1"/>
      <c r="CG66" s="1"/>
    </row>
    <row r="67" spans="61:85" x14ac:dyDescent="0.35">
      <c r="BI67" s="1" t="s">
        <v>187</v>
      </c>
      <c r="BJ67" s="1" t="s">
        <v>172</v>
      </c>
      <c r="BK67" s="1" t="s">
        <v>173</v>
      </c>
      <c r="BL67" s="57" t="s">
        <v>222</v>
      </c>
      <c r="BM67" s="57" t="s">
        <v>223</v>
      </c>
      <c r="BN67" s="57" t="s">
        <v>224</v>
      </c>
      <c r="BO67" s="57" t="s">
        <v>225</v>
      </c>
      <c r="CG67" s="1"/>
    </row>
    <row r="68" spans="61:85" x14ac:dyDescent="0.35">
      <c r="BI68" s="54" t="s">
        <v>227</v>
      </c>
      <c r="BJ68" s="55">
        <f t="shared" ref="BJ68:BJ76" si="52">AR44/$BA$47</f>
        <v>15.446399849763408</v>
      </c>
      <c r="BK68" s="55">
        <f t="shared" ref="BK68:BK76" si="53">AS44/$BB$47</f>
        <v>1.0876788379510449</v>
      </c>
      <c r="BL68" s="55">
        <f t="shared" ref="BL68:BL76" si="54">AT44/$BC$47</f>
        <v>26.452816776342527</v>
      </c>
      <c r="BM68" s="55">
        <f t="shared" ref="BM68:BM76" si="55">AU44/$BD$47</f>
        <v>22.533547607564465</v>
      </c>
      <c r="BN68" s="55">
        <f t="shared" ref="BN68:BN76" si="56">AV44/$BE$47</f>
        <v>10.484330673200022</v>
      </c>
      <c r="BO68" s="55">
        <f t="shared" ref="BO68:BO76" si="57">AW44/$BF$47</f>
        <v>3.1711931125978876</v>
      </c>
      <c r="CG68" s="1"/>
    </row>
    <row r="69" spans="61:85" x14ac:dyDescent="0.35">
      <c r="BI69" s="54" t="s">
        <v>232</v>
      </c>
      <c r="BJ69" s="55">
        <f t="shared" si="52"/>
        <v>25.323675000356953</v>
      </c>
      <c r="BK69" s="55">
        <f t="shared" si="53"/>
        <v>1.6510595875035425</v>
      </c>
      <c r="BL69" s="55">
        <f t="shared" si="54"/>
        <v>55.445200331965324</v>
      </c>
      <c r="BM69" s="55">
        <f t="shared" si="55"/>
        <v>100.33147525809822</v>
      </c>
      <c r="BN69" s="55">
        <f t="shared" si="56"/>
        <v>22.601567032585692</v>
      </c>
      <c r="BO69" s="55">
        <f t="shared" si="57"/>
        <v>2.1675887417350062</v>
      </c>
      <c r="CG69" s="1"/>
    </row>
    <row r="70" spans="61:85" x14ac:dyDescent="0.35">
      <c r="BI70" s="54" t="s">
        <v>234</v>
      </c>
      <c r="BJ70" s="55">
        <f t="shared" si="52"/>
        <v>14.252855345205401</v>
      </c>
      <c r="BK70" s="55">
        <f t="shared" si="53"/>
        <v>1.7072847006762897</v>
      </c>
      <c r="BL70" s="55">
        <f t="shared" si="54"/>
        <v>35.370978424479532</v>
      </c>
      <c r="BM70" s="55">
        <f t="shared" si="55"/>
        <v>44.809435964846536</v>
      </c>
      <c r="BN70" s="55">
        <f t="shared" si="56"/>
        <v>9.142193330285405</v>
      </c>
      <c r="BO70" s="55">
        <f t="shared" si="57"/>
        <v>0.86771439837233943</v>
      </c>
    </row>
    <row r="71" spans="61:85" x14ac:dyDescent="0.35">
      <c r="BI71" s="61" t="s">
        <v>236</v>
      </c>
      <c r="BJ71" s="63">
        <f t="shared" si="52"/>
        <v>5.4820917111020844</v>
      </c>
      <c r="BK71" s="63">
        <f t="shared" si="53"/>
        <v>0.97099869779938108</v>
      </c>
      <c r="BL71" s="63">
        <f t="shared" si="54"/>
        <v>16.371575278070736</v>
      </c>
      <c r="BM71" s="63">
        <f t="shared" si="55"/>
        <v>12.307931763941081</v>
      </c>
      <c r="BN71" s="63">
        <f t="shared" si="56"/>
        <v>2.8146496541624022</v>
      </c>
      <c r="BO71" s="63">
        <f t="shared" si="57"/>
        <v>5.6290932458799006</v>
      </c>
    </row>
    <row r="72" spans="61:85" x14ac:dyDescent="0.35">
      <c r="BI72" s="61" t="s">
        <v>237</v>
      </c>
      <c r="BJ72" s="63">
        <f t="shared" si="52"/>
        <v>4.7341269121840233</v>
      </c>
      <c r="BK72" s="63">
        <f t="shared" si="53"/>
        <v>0.78753588934289043</v>
      </c>
      <c r="BL72" s="63">
        <f t="shared" si="54"/>
        <v>14.241938313088008</v>
      </c>
      <c r="BM72" s="63">
        <f t="shared" si="55"/>
        <v>15.444572696675278</v>
      </c>
      <c r="BN72" s="63">
        <f t="shared" si="56"/>
        <v>2.4180976913715764</v>
      </c>
      <c r="BO72" s="63">
        <f t="shared" si="57"/>
        <v>6.5370545353479308</v>
      </c>
    </row>
    <row r="73" spans="61:85" x14ac:dyDescent="0.35">
      <c r="BI73" s="61" t="s">
        <v>238</v>
      </c>
      <c r="BJ73" s="63">
        <f t="shared" si="52"/>
        <v>10.177204244633224</v>
      </c>
      <c r="BK73" s="63">
        <f t="shared" si="53"/>
        <v>1.3787091150597925</v>
      </c>
      <c r="BL73" s="63">
        <f t="shared" si="54"/>
        <v>18.645975941089517</v>
      </c>
      <c r="BM73" s="63">
        <f t="shared" si="55"/>
        <v>121.05548022170491</v>
      </c>
      <c r="BN73" s="63">
        <f t="shared" si="56"/>
        <v>4.058720249372417</v>
      </c>
      <c r="BO73" s="63">
        <f t="shared" si="57"/>
        <v>12.450063878723519</v>
      </c>
    </row>
    <row r="74" spans="61:85" x14ac:dyDescent="0.35">
      <c r="BI74" s="22" t="s">
        <v>239</v>
      </c>
      <c r="BJ74" s="23">
        <f t="shared" si="52"/>
        <v>13.863471617016208</v>
      </c>
      <c r="BK74" s="23">
        <f t="shared" si="53"/>
        <v>1.5978880377016897</v>
      </c>
      <c r="BL74" s="23">
        <f t="shared" si="54"/>
        <v>14.666355781483004</v>
      </c>
      <c r="BM74" s="23">
        <f t="shared" si="55"/>
        <v>9.0279878956674757</v>
      </c>
      <c r="BN74" s="23">
        <f t="shared" si="56"/>
        <v>5.7584086093166844</v>
      </c>
      <c r="BO74" s="23">
        <f t="shared" si="57"/>
        <v>2.413334635084158</v>
      </c>
    </row>
    <row r="75" spans="61:85" x14ac:dyDescent="0.35">
      <c r="BI75" s="22" t="s">
        <v>240</v>
      </c>
      <c r="BJ75" s="23">
        <f t="shared" si="52"/>
        <v>18.646319120582856</v>
      </c>
      <c r="BK75" s="23">
        <f t="shared" si="53"/>
        <v>2.2840065180581868</v>
      </c>
      <c r="BL75" s="23">
        <f t="shared" si="54"/>
        <v>6.6965869829057718</v>
      </c>
      <c r="BM75" s="23">
        <f t="shared" si="55"/>
        <v>37.466160879287173</v>
      </c>
      <c r="BN75" s="23">
        <f t="shared" si="56"/>
        <v>19.854397480909718</v>
      </c>
      <c r="BO75" s="23">
        <f t="shared" si="57"/>
        <v>4.1552518162484882</v>
      </c>
    </row>
    <row r="76" spans="61:85" x14ac:dyDescent="0.35">
      <c r="BI76" s="22" t="s">
        <v>241</v>
      </c>
      <c r="BJ76" s="23">
        <f t="shared" si="52"/>
        <v>14.692319294783452</v>
      </c>
      <c r="BK76" s="23">
        <f t="shared" si="53"/>
        <v>1.7577721295296251</v>
      </c>
      <c r="BL76" s="23">
        <f t="shared" si="54"/>
        <v>9.0356668699162626</v>
      </c>
      <c r="BM76" s="23">
        <f t="shared" si="55"/>
        <v>2.5585628116987769</v>
      </c>
      <c r="BN76" s="23">
        <f t="shared" si="56"/>
        <v>11.812328232725671</v>
      </c>
      <c r="BO76" s="23" t="e">
        <f t="shared" si="57"/>
        <v>#VALUE!</v>
      </c>
    </row>
    <row r="77" spans="61:85" x14ac:dyDescent="0.35">
      <c r="BI77" s="1"/>
    </row>
    <row r="78" spans="61:85" x14ac:dyDescent="0.35">
      <c r="BI78" s="1"/>
    </row>
    <row r="80" spans="61:85" x14ac:dyDescent="0.35">
      <c r="BJ80" s="1"/>
    </row>
    <row r="81" spans="61:67" x14ac:dyDescent="0.35">
      <c r="BI81" s="1"/>
      <c r="BJ81" s="57"/>
      <c r="BK81" s="57"/>
      <c r="BL81" s="57"/>
      <c r="BM81" s="57"/>
      <c r="BN81" s="57"/>
      <c r="BO81" s="57"/>
    </row>
    <row r="82" spans="61:67" x14ac:dyDescent="0.35">
      <c r="BI82" s="1"/>
    </row>
    <row r="83" spans="61:67" x14ac:dyDescent="0.35">
      <c r="BI83" s="1"/>
    </row>
    <row r="84" spans="61:67" x14ac:dyDescent="0.35">
      <c r="BI84" s="1"/>
    </row>
    <row r="85" spans="61:67" x14ac:dyDescent="0.35">
      <c r="BI85" s="1"/>
    </row>
    <row r="86" spans="61:67" x14ac:dyDescent="0.35">
      <c r="BI86" s="1"/>
    </row>
  </sheetData>
  <mergeCells count="15">
    <mergeCell ref="BQ9:BQ30"/>
    <mergeCell ref="BI42:BK42"/>
    <mergeCell ref="BI25:BJ25"/>
    <mergeCell ref="BI8:BJ8"/>
    <mergeCell ref="AQ42:AW42"/>
    <mergeCell ref="AZ42:BF42"/>
    <mergeCell ref="AZ25:BF25"/>
    <mergeCell ref="AQ8:AW8"/>
    <mergeCell ref="BH9:BH30"/>
    <mergeCell ref="B4:T4"/>
    <mergeCell ref="AZ8:BF8"/>
    <mergeCell ref="AQ25:AW25"/>
    <mergeCell ref="B6:G6"/>
    <mergeCell ref="L7:P7"/>
    <mergeCell ref="AH8:AL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0242" r:id="rId4">
          <objectPr defaultSize="0" autoPict="0" r:id="rId5">
            <anchor moveWithCells="1">
              <from>
                <xdr:col>87</xdr:col>
                <xdr:colOff>603250</xdr:colOff>
                <xdr:row>58</xdr:row>
                <xdr:rowOff>127000</xdr:rowOff>
              </from>
              <to>
                <xdr:col>93</xdr:col>
                <xdr:colOff>323850</xdr:colOff>
                <xdr:row>79</xdr:row>
                <xdr:rowOff>95250</xdr:rowOff>
              </to>
            </anchor>
          </objectPr>
        </oleObject>
      </mc:Choice>
      <mc:Fallback>
        <oleObject progId="Prism8.Document" shapeId="10242" r:id="rId4"/>
      </mc:Fallback>
    </mc:AlternateContent>
    <mc:AlternateContent xmlns:mc="http://schemas.openxmlformats.org/markup-compatibility/2006">
      <mc:Choice Requires="x14">
        <oleObject progId="Prism8.Document" shapeId="10243" r:id="rId6">
          <objectPr defaultSize="0" autoPict="0" r:id="rId7">
            <anchor moveWithCells="1">
              <from>
                <xdr:col>87</xdr:col>
                <xdr:colOff>285750</xdr:colOff>
                <xdr:row>42</xdr:row>
                <xdr:rowOff>38100</xdr:rowOff>
              </from>
              <to>
                <xdr:col>93</xdr:col>
                <xdr:colOff>120650</xdr:colOff>
                <xdr:row>58</xdr:row>
                <xdr:rowOff>12700</xdr:rowOff>
              </to>
            </anchor>
          </objectPr>
        </oleObject>
      </mc:Choice>
      <mc:Fallback>
        <oleObject progId="Prism8.Document" shapeId="10243" r:id="rId6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09E97-ACA0-49EB-8774-F2262386E475}">
  <dimension ref="C2:BM84"/>
  <sheetViews>
    <sheetView tabSelected="1" topLeftCell="AA40" zoomScale="40" zoomScaleNormal="40" workbookViewId="0">
      <selection activeCell="AF74" sqref="AF74"/>
    </sheetView>
  </sheetViews>
  <sheetFormatPr defaultColWidth="11.453125" defaultRowHeight="14.5" x14ac:dyDescent="0.35"/>
  <cols>
    <col min="2" max="2" width="9.7265625" customWidth="1"/>
    <col min="3" max="3" width="26" customWidth="1"/>
    <col min="9" max="9" width="20.54296875" customWidth="1"/>
    <col min="18" max="18" width="38" customWidth="1"/>
    <col min="24" max="24" width="20.6328125" customWidth="1"/>
    <col min="25" max="25" width="15.6328125" customWidth="1"/>
    <col min="26" max="26" width="13.26953125" customWidth="1"/>
    <col min="27" max="27" width="21.54296875" customWidth="1"/>
    <col min="28" max="28" width="25.7265625" customWidth="1"/>
    <col min="29" max="29" width="31.6328125" customWidth="1"/>
    <col min="30" max="30" width="13.453125" customWidth="1"/>
    <col min="31" max="31" width="16.26953125" customWidth="1"/>
    <col min="32" max="32" width="17" customWidth="1"/>
    <col min="33" max="33" width="20.54296875" customWidth="1"/>
    <col min="34" max="34" width="43.1796875" customWidth="1"/>
    <col min="35" max="35" width="17.1796875" customWidth="1"/>
    <col min="36" max="36" width="15.54296875" customWidth="1"/>
    <col min="37" max="37" width="14.54296875" customWidth="1"/>
    <col min="38" max="38" width="22.26953125" customWidth="1"/>
    <col min="39" max="39" width="18.81640625" customWidth="1"/>
    <col min="40" max="40" width="15.7265625" customWidth="1"/>
    <col min="41" max="41" width="21.7265625" customWidth="1"/>
    <col min="43" max="43" width="22.54296875" customWidth="1"/>
    <col min="52" max="52" width="21.1796875" customWidth="1"/>
    <col min="56" max="56" width="16.7265625" customWidth="1"/>
    <col min="58" max="58" width="16.81640625" customWidth="1"/>
    <col min="59" max="59" width="13.54296875" customWidth="1"/>
    <col min="60" max="60" width="13.26953125" customWidth="1"/>
    <col min="61" max="61" width="24.81640625" customWidth="1"/>
    <col min="62" max="62" width="25.7265625" customWidth="1"/>
    <col min="63" max="63" width="22.54296875" customWidth="1"/>
  </cols>
  <sheetData>
    <row r="2" spans="3:54" ht="24" x14ac:dyDescent="0.5">
      <c r="C2" s="127" t="s">
        <v>518</v>
      </c>
    </row>
    <row r="6" spans="3:54" x14ac:dyDescent="0.35">
      <c r="C6" s="184" t="s">
        <v>168</v>
      </c>
      <c r="D6" s="184"/>
      <c r="E6" s="184"/>
      <c r="F6" s="184"/>
      <c r="G6" s="184"/>
    </row>
    <row r="8" spans="3:54" x14ac:dyDescent="0.35">
      <c r="C8" s="53" t="s">
        <v>169</v>
      </c>
      <c r="D8" s="2" t="s">
        <v>170</v>
      </c>
      <c r="E8" s="2" t="s">
        <v>171</v>
      </c>
      <c r="F8" s="2" t="s">
        <v>172</v>
      </c>
      <c r="G8" s="2" t="s">
        <v>173</v>
      </c>
      <c r="I8" s="183" t="s">
        <v>174</v>
      </c>
      <c r="J8" s="183"/>
      <c r="K8" s="183"/>
      <c r="L8" s="183"/>
      <c r="M8" s="183"/>
    </row>
    <row r="9" spans="3:54" x14ac:dyDescent="0.35">
      <c r="C9" s="54" t="s">
        <v>175</v>
      </c>
      <c r="D9" s="55">
        <v>33.56</v>
      </c>
      <c r="E9" s="55">
        <v>29.98</v>
      </c>
      <c r="F9" s="55">
        <v>27.34</v>
      </c>
      <c r="G9" s="55">
        <v>29.75</v>
      </c>
      <c r="I9" t="s">
        <v>176</v>
      </c>
      <c r="J9">
        <v>0.90900000000000003</v>
      </c>
      <c r="L9" t="s">
        <v>172</v>
      </c>
      <c r="M9">
        <v>0.998</v>
      </c>
      <c r="R9" s="183" t="s">
        <v>177</v>
      </c>
      <c r="S9" s="183"/>
      <c r="T9" s="183"/>
      <c r="U9" s="183"/>
      <c r="V9" s="183"/>
      <c r="X9" s="183" t="s">
        <v>178</v>
      </c>
      <c r="Y9" s="183"/>
      <c r="Z9" s="183"/>
      <c r="AA9" s="183"/>
      <c r="AC9" s="183" t="s">
        <v>511</v>
      </c>
      <c r="AD9" s="183"/>
      <c r="AE9" s="183"/>
      <c r="AH9" s="183" t="s">
        <v>179</v>
      </c>
      <c r="AI9" s="183"/>
      <c r="AJ9" s="183"/>
      <c r="AL9" s="1" t="s">
        <v>172</v>
      </c>
      <c r="AM9" s="183" t="s">
        <v>521</v>
      </c>
      <c r="AN9" s="183"/>
      <c r="AO9" s="183"/>
      <c r="AV9" s="183" t="s">
        <v>522</v>
      </c>
      <c r="AW9" s="183"/>
      <c r="AX9" s="183"/>
    </row>
    <row r="10" spans="3:54" x14ac:dyDescent="0.35">
      <c r="C10" s="54" t="s">
        <v>175</v>
      </c>
      <c r="D10" s="55">
        <v>33.159999999999997</v>
      </c>
      <c r="E10" s="55">
        <v>29.1</v>
      </c>
      <c r="F10" s="55">
        <v>27.41</v>
      </c>
      <c r="G10" s="55">
        <v>29.43</v>
      </c>
      <c r="I10" t="s">
        <v>171</v>
      </c>
      <c r="J10">
        <v>1</v>
      </c>
      <c r="R10" s="1" t="s">
        <v>187</v>
      </c>
      <c r="S10" s="1" t="s">
        <v>188</v>
      </c>
      <c r="T10" s="1" t="s">
        <v>171</v>
      </c>
      <c r="U10" s="1" t="s">
        <v>172</v>
      </c>
      <c r="V10" s="1" t="s">
        <v>173</v>
      </c>
      <c r="X10" s="57" t="s">
        <v>189</v>
      </c>
      <c r="AC10" s="1" t="s">
        <v>187</v>
      </c>
      <c r="AD10" s="1" t="s">
        <v>172</v>
      </c>
      <c r="AE10" s="1" t="s">
        <v>173</v>
      </c>
      <c r="AH10" s="1" t="s">
        <v>187</v>
      </c>
      <c r="AI10" s="1" t="s">
        <v>172</v>
      </c>
      <c r="AJ10" s="1" t="s">
        <v>173</v>
      </c>
      <c r="AM10" s="1" t="s">
        <v>180</v>
      </c>
      <c r="AN10" s="57" t="s">
        <v>181</v>
      </c>
      <c r="AO10" s="57" t="s">
        <v>182</v>
      </c>
      <c r="AP10" s="57" t="s">
        <v>183</v>
      </c>
      <c r="AQ10" s="58" t="s">
        <v>184</v>
      </c>
      <c r="AR10" s="57" t="s">
        <v>185</v>
      </c>
      <c r="AS10" s="57" t="s">
        <v>186</v>
      </c>
      <c r="AU10" s="1" t="s">
        <v>173</v>
      </c>
      <c r="AV10" s="1" t="s">
        <v>180</v>
      </c>
      <c r="AW10" s="57" t="s">
        <v>181</v>
      </c>
      <c r="AX10" s="57" t="s">
        <v>182</v>
      </c>
      <c r="AY10" s="57" t="s">
        <v>183</v>
      </c>
      <c r="AZ10" s="58" t="s">
        <v>184</v>
      </c>
      <c r="BA10" s="57" t="s">
        <v>185</v>
      </c>
      <c r="BB10" s="57" t="s">
        <v>186</v>
      </c>
    </row>
    <row r="11" spans="3:54" x14ac:dyDescent="0.35">
      <c r="C11" s="54" t="s">
        <v>175</v>
      </c>
      <c r="D11" s="55">
        <v>33.299999999999997</v>
      </c>
      <c r="E11" s="55">
        <v>28.98</v>
      </c>
      <c r="F11" s="55">
        <v>27.17</v>
      </c>
      <c r="G11" s="55">
        <v>29.24</v>
      </c>
      <c r="I11" t="s">
        <v>173</v>
      </c>
      <c r="J11">
        <v>1.0049999999999999</v>
      </c>
      <c r="R11" s="59" t="s">
        <v>175</v>
      </c>
      <c r="S11" s="60">
        <f>AVERAGE(J16:J18)</f>
        <v>31.024474295723476</v>
      </c>
      <c r="T11" s="60">
        <f>AVERAGE(K16:K18)</f>
        <v>29.353333333333335</v>
      </c>
      <c r="U11" s="60">
        <f>AVERAGE(L16:L18)</f>
        <v>27.26725176334558</v>
      </c>
      <c r="V11" s="60">
        <f>AVERAGE(M16:M18)</f>
        <v>29.579503255754293</v>
      </c>
      <c r="X11" s="1" t="s">
        <v>187</v>
      </c>
      <c r="Y11" s="1" t="s">
        <v>172</v>
      </c>
      <c r="Z11" s="1" t="s">
        <v>173</v>
      </c>
      <c r="AC11" s="59" t="s">
        <v>175</v>
      </c>
      <c r="AD11">
        <f>POWER(2,-Y12)</f>
        <v>4.245932894088349</v>
      </c>
      <c r="AE11">
        <f>POWER(2,-Z12)</f>
        <v>0.85490148059951487</v>
      </c>
      <c r="AH11" s="59" t="s">
        <v>175</v>
      </c>
      <c r="AI11">
        <f>AVERAGEA(AD11:AD13)</f>
        <v>6.4975400680077557</v>
      </c>
      <c r="AJ11">
        <f>AVERAGEA(AE11:AE13)</f>
        <v>1.3713302165299168</v>
      </c>
      <c r="AM11" s="59" t="s">
        <v>190</v>
      </c>
      <c r="AN11">
        <f>STDEV(AD11:AD13)</f>
        <v>2.1352957775389951</v>
      </c>
      <c r="AO11">
        <f>AI11-CONFIDENCE(0.05,AN11,3)</f>
        <v>4.0812698281115427</v>
      </c>
      <c r="AP11">
        <f>AI11+CONFIDENCE(0.05,AN11,3)</f>
        <v>8.9138103079039688</v>
      </c>
      <c r="AQ11">
        <f>AI11/AI14</f>
        <v>11.109750424767164</v>
      </c>
      <c r="AR11">
        <f>AO11/AI14</f>
        <v>6.9783162138089176</v>
      </c>
      <c r="AS11">
        <f>AP11/AI14</f>
        <v>15.241184635725409</v>
      </c>
      <c r="AV11" s="59" t="s">
        <v>190</v>
      </c>
      <c r="AW11">
        <f>STDEV(AE11:AE13)</f>
        <v>0.51663086840201344</v>
      </c>
      <c r="AX11">
        <f>AJ11-CONFIDENCE(0.05,AW11,3)</f>
        <v>0.78671809606281451</v>
      </c>
      <c r="AY11">
        <f>AJ11+CONFIDENCE(0.05,AW11,3)</f>
        <v>1.955942336997019</v>
      </c>
      <c r="AZ11">
        <f>AJ11/AJ14</f>
        <v>9.9123716374481958</v>
      </c>
      <c r="BA11">
        <f>AX11/AJ14</f>
        <v>5.6866260570071541</v>
      </c>
      <c r="BB11">
        <f>AY11/AJ14</f>
        <v>14.138117217889237</v>
      </c>
    </row>
    <row r="12" spans="3:54" x14ac:dyDescent="0.35">
      <c r="C12" s="54" t="s">
        <v>192</v>
      </c>
      <c r="D12" s="55">
        <v>34.020000000000003</v>
      </c>
      <c r="E12" s="55">
        <v>30.77</v>
      </c>
      <c r="F12" s="55">
        <v>27.52</v>
      </c>
      <c r="G12" s="55">
        <v>29.75</v>
      </c>
      <c r="I12" t="s">
        <v>188</v>
      </c>
      <c r="J12">
        <v>0.90600000000000003</v>
      </c>
      <c r="R12" s="59" t="s">
        <v>192</v>
      </c>
      <c r="S12" s="60">
        <f>AVERAGE(J19:J21)</f>
        <v>31.961226069099652</v>
      </c>
      <c r="T12" s="60">
        <f>AVERAGE(K19:K21)</f>
        <v>30.546666666666667</v>
      </c>
      <c r="U12" s="60">
        <f>AVERAGE(L19:L21)</f>
        <v>27.460306036084109</v>
      </c>
      <c r="V12" s="60">
        <f>AVERAGE(M19:M21)</f>
        <v>29.629683367588303</v>
      </c>
      <c r="X12" s="59" t="s">
        <v>175</v>
      </c>
      <c r="Y12" s="60">
        <f>U11-T11</f>
        <v>-2.0860815699877548</v>
      </c>
      <c r="Z12" s="60">
        <f>V11-T11</f>
        <v>0.2261699224209579</v>
      </c>
      <c r="AC12" s="59" t="s">
        <v>192</v>
      </c>
      <c r="AD12">
        <f t="shared" ref="AD12:AE22" si="0">POWER(2,-Y13)</f>
        <v>8.493508529196399</v>
      </c>
      <c r="AE12">
        <f t="shared" si="0"/>
        <v>1.888162980427837</v>
      </c>
      <c r="AH12" s="61" t="s">
        <v>193</v>
      </c>
      <c r="AI12">
        <f>AVERAGEA(AD14:AD16)</f>
        <v>3.3551006575924553</v>
      </c>
      <c r="AJ12">
        <f>AVERAGEA(AE14:AE16)</f>
        <v>0.5379412461454427</v>
      </c>
      <c r="AM12" s="61" t="s">
        <v>191</v>
      </c>
      <c r="AN12">
        <f>STDEV(AD14:AD16)</f>
        <v>1.0300885682544605</v>
      </c>
      <c r="AO12">
        <f>AI12-CONFIDENCE(0.05,AN12,3)</f>
        <v>2.189467128920759</v>
      </c>
      <c r="AP12">
        <f>AI12+CONFIDENCE(0.05,AN12,3)</f>
        <v>4.5207341862641517</v>
      </c>
      <c r="AQ12">
        <f>AI12/AI14</f>
        <v>5.736683508787233</v>
      </c>
      <c r="AR12">
        <f>AO12/AI14</f>
        <v>3.7436373013393953</v>
      </c>
      <c r="AS12">
        <f>AP12/AI14</f>
        <v>7.7297297162350711</v>
      </c>
      <c r="AV12" s="61" t="s">
        <v>191</v>
      </c>
      <c r="AW12">
        <f>STDEV(AE14:AE16)</f>
        <v>0.34107462343609563</v>
      </c>
      <c r="AX12">
        <f>AJ12-CONFIDENCE(0.05,AW12,3)</f>
        <v>0.15198606800975462</v>
      </c>
      <c r="AY12">
        <f>AJ12+CONFIDENCE(0.05,AW12,3)</f>
        <v>0.92389642428113072</v>
      </c>
      <c r="AZ12">
        <f>AJ12/AJ14</f>
        <v>3.8883949953342958</v>
      </c>
      <c r="BA12">
        <f>AX12/AJ14</f>
        <v>1.0985992809517426</v>
      </c>
      <c r="BB12">
        <f>AY12/AJ14</f>
        <v>6.6781907097168478</v>
      </c>
    </row>
    <row r="13" spans="3:54" x14ac:dyDescent="0.35">
      <c r="C13" s="54" t="s">
        <v>192</v>
      </c>
      <c r="D13" s="55">
        <v>34.28</v>
      </c>
      <c r="E13" s="55">
        <v>30.78</v>
      </c>
      <c r="F13" s="55">
        <v>27.49</v>
      </c>
      <c r="G13" s="55">
        <v>29.83</v>
      </c>
      <c r="R13" s="59" t="s">
        <v>194</v>
      </c>
      <c r="S13" s="60">
        <f>AVERAGE(J22:J24)</f>
        <v>31.821643851212471</v>
      </c>
      <c r="T13" s="60">
        <f>AVERAGE(K22:K24)</f>
        <v>29.666666666666668</v>
      </c>
      <c r="U13" s="60">
        <f>AVERAGE(L22:L24)</f>
        <v>26.911099915362428</v>
      </c>
      <c r="V13" s="60">
        <f>AVERAGE(M22:M24)</f>
        <v>29.211515768971562</v>
      </c>
      <c r="X13" s="59" t="s">
        <v>192</v>
      </c>
      <c r="Y13" s="60">
        <f>U12-T12</f>
        <v>-3.0863606305825577</v>
      </c>
      <c r="Z13" s="60">
        <f>V12-T12</f>
        <v>-0.91698329907836396</v>
      </c>
      <c r="AC13" s="59" t="s">
        <v>194</v>
      </c>
      <c r="AD13">
        <f t="shared" si="0"/>
        <v>6.7531787807385193</v>
      </c>
      <c r="AE13">
        <f t="shared" si="0"/>
        <v>1.3709261885623987</v>
      </c>
      <c r="AH13" s="22" t="s">
        <v>195</v>
      </c>
      <c r="AI13">
        <f>AVERAGEA(AD17:AD19)</f>
        <v>4.7709202100967554</v>
      </c>
      <c r="AJ13">
        <f>AVERAGEA(AE17:AE19)</f>
        <v>1.0869280032286186</v>
      </c>
      <c r="AM13" s="22" t="s">
        <v>21</v>
      </c>
      <c r="AN13">
        <f>STDEV(AD17:AD19)</f>
        <v>3.8256259530289731</v>
      </c>
      <c r="AO13">
        <f>AI13-CONFIDENCE(0.05,AN13,3)</f>
        <v>0.44189645773761121</v>
      </c>
      <c r="AP13">
        <f>AI13+CONFIDENCE(0.05,AN13,3)</f>
        <v>9.0999439624558995</v>
      </c>
      <c r="AQ13">
        <f>AI13/AI14</f>
        <v>8.1575076530315904</v>
      </c>
      <c r="AR13">
        <f>AO13/AI14</f>
        <v>0.75557200227605759</v>
      </c>
      <c r="AS13">
        <f>AP13/AI14</f>
        <v>15.559443303787125</v>
      </c>
      <c r="AV13" s="22" t="s">
        <v>21</v>
      </c>
      <c r="AW13">
        <f>STDEV(AE17:AE19)</f>
        <v>0.93442489065102585</v>
      </c>
      <c r="AX13">
        <f>AJ13-CONFIDENCE(0.05,AW13,3)</f>
        <v>2.9546127402231281E-2</v>
      </c>
      <c r="AY13">
        <f>AJ13+CONFIDENCE(0.05,AW13,3)</f>
        <v>2.1443098790550059</v>
      </c>
      <c r="AZ13">
        <f>AJ13/AJ14</f>
        <v>7.8566301400509637</v>
      </c>
      <c r="BA13">
        <f>AX13/AJ14</f>
        <v>0.2135679588534167</v>
      </c>
      <c r="BB13">
        <f>AY13/AJ14</f>
        <v>15.499692321248512</v>
      </c>
    </row>
    <row r="14" spans="3:54" x14ac:dyDescent="0.35">
      <c r="C14" s="54" t="s">
        <v>192</v>
      </c>
      <c r="D14" s="55">
        <v>34.74</v>
      </c>
      <c r="E14" s="55">
        <v>30.09</v>
      </c>
      <c r="F14" s="55">
        <v>27.49</v>
      </c>
      <c r="G14" s="55">
        <v>28.99</v>
      </c>
      <c r="I14" s="78" t="s">
        <v>197</v>
      </c>
      <c r="J14" s="79"/>
      <c r="K14" s="79"/>
      <c r="L14" s="79"/>
      <c r="M14" s="79"/>
      <c r="R14" s="61" t="s">
        <v>193</v>
      </c>
      <c r="S14" s="63">
        <f>AVERAGE(J25:J27)</f>
        <v>30.472349078303083</v>
      </c>
      <c r="T14" s="63">
        <f>AVERAGE(K25:K27)</f>
        <v>29.236666666666665</v>
      </c>
      <c r="U14" s="63">
        <f>AVERAGE(L25:L27)</f>
        <v>27.220652456132829</v>
      </c>
      <c r="V14" s="63">
        <f>AVERAGE(M25:M27)</f>
        <v>31.295663080477436</v>
      </c>
      <c r="X14" s="59" t="s">
        <v>194</v>
      </c>
      <c r="Y14" s="60">
        <f>U13-T13</f>
        <v>-2.7555667513042401</v>
      </c>
      <c r="Z14" s="60">
        <f t="shared" ref="Z14:Z23" si="1">V13-T13</f>
        <v>-0.45515089769510553</v>
      </c>
      <c r="AC14" s="61" t="s">
        <v>193</v>
      </c>
      <c r="AD14">
        <f t="shared" si="0"/>
        <v>4.0446481629588806</v>
      </c>
      <c r="AE14">
        <f t="shared" si="0"/>
        <v>0.23998291179817716</v>
      </c>
      <c r="AH14" s="62" t="s">
        <v>196</v>
      </c>
      <c r="AI14">
        <f>AVERAGEA(AD20:AD22)</f>
        <v>0.58485022791535213</v>
      </c>
      <c r="AJ14">
        <f>AVERAGEA(AE20:AE22)</f>
        <v>0.13834531903032513</v>
      </c>
      <c r="AM14" s="62" t="s">
        <v>196</v>
      </c>
      <c r="AN14">
        <f>STDEV(AD20:AD22)</f>
        <v>0.77911946961854839</v>
      </c>
      <c r="AO14">
        <f>AI14-CONFIDENCE(0.05,AN14,3)</f>
        <v>-0.29679024904599038</v>
      </c>
      <c r="AP14">
        <f>AI14+CONFIDENCE(0.05,AN14,3)</f>
        <v>1.4664907048766946</v>
      </c>
      <c r="AQ14">
        <f>AI14/AI14</f>
        <v>1</v>
      </c>
      <c r="AR14">
        <f>AO14/AI14</f>
        <v>-0.50746368023805588</v>
      </c>
      <c r="AS14">
        <f>AP14/AI14</f>
        <v>2.5074636802380561</v>
      </c>
      <c r="AV14" s="62" t="s">
        <v>196</v>
      </c>
      <c r="AW14">
        <f>STDEV(AE20:AE22)</f>
        <v>0.16429386813724217</v>
      </c>
      <c r="AX14">
        <f>AJ14-CONFIDENCE(0.05,AW14,3)</f>
        <v>-4.7567278349969766E-2</v>
      </c>
      <c r="AY14">
        <f>AJ14+CONFIDENCE(0.05,AW14,3)</f>
        <v>0.32425791641062002</v>
      </c>
      <c r="AZ14">
        <f>AJ14/AJ14</f>
        <v>1</v>
      </c>
      <c r="BA14">
        <f>AX14/AJ14</f>
        <v>-0.34383005282269852</v>
      </c>
      <c r="BB14">
        <f>AY14/AJ14</f>
        <v>2.3438300528226983</v>
      </c>
    </row>
    <row r="15" spans="3:54" x14ac:dyDescent="0.35">
      <c r="C15" s="54" t="s">
        <v>194</v>
      </c>
      <c r="D15" s="55">
        <v>33.9</v>
      </c>
      <c r="E15" s="55">
        <v>29.95</v>
      </c>
      <c r="F15" s="55">
        <v>26.81</v>
      </c>
      <c r="G15" s="55">
        <v>29.47</v>
      </c>
      <c r="I15" s="1" t="s">
        <v>169</v>
      </c>
      <c r="J15" s="1" t="s">
        <v>170</v>
      </c>
      <c r="K15" s="1" t="s">
        <v>171</v>
      </c>
      <c r="L15" s="1" t="s">
        <v>172</v>
      </c>
      <c r="M15" s="1" t="s">
        <v>173</v>
      </c>
      <c r="R15" s="61" t="s">
        <v>198</v>
      </c>
      <c r="S15" s="63">
        <f>AVERAGE(J28:J30)</f>
        <v>31.458730084705806</v>
      </c>
      <c r="T15" s="63">
        <f>AVERAGE(K28:K30)</f>
        <v>29.959999999999997</v>
      </c>
      <c r="U15" s="63">
        <f>AVERAGE(L28:L30)</f>
        <v>28.84164264274774</v>
      </c>
      <c r="V15" s="63">
        <f>AVERAGE(M28:M30)</f>
        <v>31.068179906829922</v>
      </c>
      <c r="X15" s="61" t="s">
        <v>193</v>
      </c>
      <c r="Y15" s="63">
        <f t="shared" ref="Y15:Y23" si="2">U14-T14</f>
        <v>-2.0160142105338359</v>
      </c>
      <c r="Z15" s="63">
        <f t="shared" si="1"/>
        <v>2.058996413810771</v>
      </c>
      <c r="AC15" s="61" t="s">
        <v>198</v>
      </c>
      <c r="AD15">
        <f t="shared" si="0"/>
        <v>2.1709964355285982</v>
      </c>
      <c r="AE15">
        <f t="shared" si="0"/>
        <v>0.46387888804446042</v>
      </c>
    </row>
    <row r="16" spans="3:54" x14ac:dyDescent="0.35">
      <c r="C16" s="54" t="s">
        <v>194</v>
      </c>
      <c r="D16" s="55">
        <v>34.56</v>
      </c>
      <c r="E16" s="55">
        <v>29.53</v>
      </c>
      <c r="F16" s="55">
        <v>27.01</v>
      </c>
      <c r="G16" s="55">
        <v>28.92</v>
      </c>
      <c r="I16" s="59" t="s">
        <v>175</v>
      </c>
      <c r="J16" s="60">
        <f>D9*(((LOG(1.906)/LOG(2))))</f>
        <v>31.229194881958009</v>
      </c>
      <c r="K16" s="60">
        <f>E9*((LOG(2)/LOG(2)))</f>
        <v>29.98</v>
      </c>
      <c r="L16" s="60">
        <f>F9*((LOG(1.998)/LOG(2)))</f>
        <v>27.300536982783257</v>
      </c>
      <c r="M16" s="60">
        <f>G9*((LOG(2.005)/LOG(2)))</f>
        <v>29.857166541235816</v>
      </c>
      <c r="R16" s="61" t="s">
        <v>199</v>
      </c>
      <c r="S16" s="63">
        <f>AVERAGE(J31:J33)</f>
        <v>31.446322776449168</v>
      </c>
      <c r="T16" s="63">
        <f>AVERAGE(K31:K33)</f>
        <v>29.429999999999996</v>
      </c>
      <c r="U16" s="63">
        <f>AVERAGE(L31,L33)</f>
        <v>27.485269950662367</v>
      </c>
      <c r="V16" s="63">
        <f>AVERAGE(M31:M33)</f>
        <v>29.566121892598563</v>
      </c>
      <c r="X16" s="61" t="s">
        <v>198</v>
      </c>
      <c r="Y16" s="63">
        <f t="shared" si="2"/>
        <v>-1.1183573572522576</v>
      </c>
      <c r="Z16" s="63">
        <f t="shared" si="1"/>
        <v>1.1081799068299247</v>
      </c>
      <c r="AC16" s="61" t="s">
        <v>199</v>
      </c>
      <c r="AD16">
        <f t="shared" si="0"/>
        <v>3.8496573742898863</v>
      </c>
      <c r="AE16">
        <f t="shared" si="0"/>
        <v>0.90996193859369057</v>
      </c>
    </row>
    <row r="17" spans="3:54" x14ac:dyDescent="0.35">
      <c r="C17" s="54" t="s">
        <v>194</v>
      </c>
      <c r="D17" s="55">
        <v>34.130000000000003</v>
      </c>
      <c r="E17" s="55">
        <v>29.52</v>
      </c>
      <c r="F17" s="55">
        <v>27.03</v>
      </c>
      <c r="G17" s="55">
        <v>28.93</v>
      </c>
      <c r="I17" s="59" t="s">
        <v>175</v>
      </c>
      <c r="J17" s="60">
        <f>D10*((LOG(1.906)/LOG(2)))</f>
        <v>30.856975634258859</v>
      </c>
      <c r="K17" s="60">
        <f t="shared" ref="K17:K51" si="3">E10*((LOG(2)/LOG(2)))</f>
        <v>29.1</v>
      </c>
      <c r="L17" s="60">
        <f t="shared" ref="L17:L51" si="4">F10*((LOG(1.998)/LOG(2)))</f>
        <v>27.370435943602381</v>
      </c>
      <c r="M17" s="60">
        <f t="shared" ref="M17:M50" si="5">G10*((LOG(2.005)/LOG(2)))</f>
        <v>29.536013825498156</v>
      </c>
      <c r="R17" s="22" t="s">
        <v>195</v>
      </c>
      <c r="S17" s="23">
        <f>AVERAGE(J34:J36)</f>
        <v>30.363785131057501</v>
      </c>
      <c r="T17" s="23">
        <f>AVERAGE(K34:K36)</f>
        <v>29.006666666666671</v>
      </c>
      <c r="U17" s="23">
        <f>AVERAGE(L34:L36)</f>
        <v>28.711830286940792</v>
      </c>
      <c r="V17" s="23">
        <f>AVERAGE(M34:M36)</f>
        <v>30.907603548961092</v>
      </c>
      <c r="X17" s="61" t="s">
        <v>199</v>
      </c>
      <c r="Y17" s="63">
        <f t="shared" si="2"/>
        <v>-1.9447300493376289</v>
      </c>
      <c r="Z17" s="63">
        <f t="shared" si="1"/>
        <v>0.13612189259856677</v>
      </c>
      <c r="AC17" s="22" t="s">
        <v>195</v>
      </c>
      <c r="AD17">
        <f t="shared" si="0"/>
        <v>1.2267458405217897</v>
      </c>
      <c r="AE17">
        <f t="shared" si="0"/>
        <v>0.26776942041617141</v>
      </c>
    </row>
    <row r="18" spans="3:54" x14ac:dyDescent="0.35">
      <c r="C18" s="61" t="s">
        <v>193</v>
      </c>
      <c r="D18" s="63">
        <v>32.25</v>
      </c>
      <c r="E18" s="63">
        <v>29</v>
      </c>
      <c r="F18" s="63">
        <v>27.13</v>
      </c>
      <c r="G18" s="63">
        <v>29.4</v>
      </c>
      <c r="I18" s="59" t="s">
        <v>175</v>
      </c>
      <c r="J18" s="60">
        <f t="shared" ref="J18:J51" si="6">D11*((LOG(1.906)/LOG(2)))</f>
        <v>30.987252370953559</v>
      </c>
      <c r="K18" s="60">
        <f t="shared" si="3"/>
        <v>28.98</v>
      </c>
      <c r="L18" s="60">
        <f t="shared" si="4"/>
        <v>27.1307823636511</v>
      </c>
      <c r="M18" s="60">
        <f t="shared" si="5"/>
        <v>29.345329400528914</v>
      </c>
      <c r="R18" s="22" t="s">
        <v>200</v>
      </c>
      <c r="S18" s="23">
        <f>AVERAGE(J37:J39)</f>
        <v>30.078417041154825</v>
      </c>
      <c r="T18" s="23">
        <f>AVERAGE(K37:K39)</f>
        <v>27.923333333333332</v>
      </c>
      <c r="U18" s="23">
        <f>AVERAGE(L37:L39)</f>
        <v>25.832658805581673</v>
      </c>
      <c r="V18" s="23">
        <f>AVERAGE(M37:M39)</f>
        <v>28.094171945467608</v>
      </c>
      <c r="X18" s="22" t="s">
        <v>195</v>
      </c>
      <c r="Y18" s="23">
        <f t="shared" si="2"/>
        <v>-0.29483637972587928</v>
      </c>
      <c r="Z18" s="23">
        <f t="shared" si="1"/>
        <v>1.9009368822944204</v>
      </c>
      <c r="AC18" s="22" t="s">
        <v>200</v>
      </c>
      <c r="AD18">
        <f t="shared" si="0"/>
        <v>4.259471767611311</v>
      </c>
      <c r="AE18">
        <f t="shared" si="0"/>
        <v>0.88832616337400694</v>
      </c>
    </row>
    <row r="19" spans="3:54" x14ac:dyDescent="0.35">
      <c r="C19" s="61" t="s">
        <v>193</v>
      </c>
      <c r="D19" s="64">
        <v>32.75</v>
      </c>
      <c r="E19" s="63">
        <v>29.38</v>
      </c>
      <c r="F19" s="63">
        <v>27.42</v>
      </c>
      <c r="G19" s="63">
        <v>29.38</v>
      </c>
      <c r="I19" s="59" t="s">
        <v>192</v>
      </c>
      <c r="J19" s="60">
        <f t="shared" si="6"/>
        <v>31.657247016812022</v>
      </c>
      <c r="K19" s="60">
        <f t="shared" si="3"/>
        <v>30.77</v>
      </c>
      <c r="L19" s="60">
        <f t="shared" si="4"/>
        <v>27.480277167746717</v>
      </c>
      <c r="M19" s="60">
        <f t="shared" si="5"/>
        <v>29.857166541235816</v>
      </c>
      <c r="R19" s="22" t="s">
        <v>201</v>
      </c>
      <c r="S19" s="23">
        <f>AVERAGE(J40:J42)</f>
        <v>31.620025092042102</v>
      </c>
      <c r="T19" s="23">
        <f>AVERAGE(K40:K42)</f>
        <v>29.786666666666665</v>
      </c>
      <c r="U19" s="23">
        <f>AVERAGE(L40:L42)</f>
        <v>26.644818159861003</v>
      </c>
      <c r="V19" s="23">
        <f>AVERAGE(M40:M42)</f>
        <v>28.713059991420398</v>
      </c>
      <c r="X19" s="22" t="s">
        <v>200</v>
      </c>
      <c r="Y19" s="23">
        <f t="shared" si="2"/>
        <v>-2.0906745277516592</v>
      </c>
      <c r="Z19" s="23">
        <f t="shared" si="1"/>
        <v>0.17083861213427554</v>
      </c>
      <c r="AC19" s="22" t="s">
        <v>201</v>
      </c>
      <c r="AD19">
        <f t="shared" si="0"/>
        <v>8.8265430221571659</v>
      </c>
      <c r="AE19">
        <f t="shared" si="0"/>
        <v>2.1046884258956773</v>
      </c>
    </row>
    <row r="20" spans="3:54" x14ac:dyDescent="0.35">
      <c r="C20" s="61" t="s">
        <v>193</v>
      </c>
      <c r="D20" s="63">
        <v>33.24</v>
      </c>
      <c r="E20" s="63">
        <v>29.33</v>
      </c>
      <c r="F20" s="63">
        <v>27.23</v>
      </c>
      <c r="G20" s="63">
        <v>34.770000000000003</v>
      </c>
      <c r="I20" s="59" t="s">
        <v>192</v>
      </c>
      <c r="J20" s="60">
        <f t="shared" si="6"/>
        <v>31.899189527816461</v>
      </c>
      <c r="K20" s="60">
        <f t="shared" si="3"/>
        <v>30.78</v>
      </c>
      <c r="L20" s="60">
        <f t="shared" si="4"/>
        <v>27.450320470252805</v>
      </c>
      <c r="M20" s="60">
        <f t="shared" si="5"/>
        <v>29.93745472017023</v>
      </c>
      <c r="R20" s="62" t="s">
        <v>196</v>
      </c>
      <c r="S20" s="65">
        <f>AVERAGE(J43:J45)</f>
        <v>31.098918145263308</v>
      </c>
      <c r="T20" s="65">
        <f>AVERAGE(K43:K45)</f>
        <v>28.39</v>
      </c>
      <c r="U20" s="65">
        <f>AVERAGE(L43:L45)</f>
        <v>31.524431329424559</v>
      </c>
      <c r="V20" s="65">
        <f>AVERAGE(M43:M45)</f>
        <v>32.894735977587878</v>
      </c>
      <c r="X20" s="22" t="s">
        <v>201</v>
      </c>
      <c r="Y20" s="23">
        <f t="shared" si="2"/>
        <v>-3.1418485068056619</v>
      </c>
      <c r="Z20" s="23">
        <f t="shared" si="1"/>
        <v>-1.0736066752462676</v>
      </c>
      <c r="AC20" s="62" t="s">
        <v>196</v>
      </c>
      <c r="AD20">
        <f t="shared" si="0"/>
        <v>0.11387860815836623</v>
      </c>
      <c r="AE20">
        <f t="shared" si="0"/>
        <v>4.4049334170250906E-2</v>
      </c>
    </row>
    <row r="21" spans="3:54" x14ac:dyDescent="0.35">
      <c r="C21" s="61" t="s">
        <v>198</v>
      </c>
      <c r="D21" s="63">
        <v>33.26</v>
      </c>
      <c r="E21" s="63">
        <v>29.82</v>
      </c>
      <c r="F21" s="63">
        <v>29.01</v>
      </c>
      <c r="G21" s="63">
        <v>30.91</v>
      </c>
      <c r="I21" s="59" t="s">
        <v>192</v>
      </c>
      <c r="J21" s="60">
        <f t="shared" si="6"/>
        <v>32.327241662670474</v>
      </c>
      <c r="K21" s="60">
        <f t="shared" si="3"/>
        <v>30.09</v>
      </c>
      <c r="L21" s="60">
        <f t="shared" si="4"/>
        <v>27.450320470252805</v>
      </c>
      <c r="M21" s="60">
        <f t="shared" si="5"/>
        <v>29.094428841358866</v>
      </c>
      <c r="R21" s="62" t="s">
        <v>202</v>
      </c>
      <c r="S21" s="65">
        <f>AVERAGE(J46:J48)</f>
        <v>29.675179522814087</v>
      </c>
      <c r="T21" s="65">
        <f>AVERAGE(K46:K48)</f>
        <v>25.676666666666666</v>
      </c>
      <c r="U21" s="65">
        <f>AVERAGE(L46:L48)</f>
        <v>28.352349917013871</v>
      </c>
      <c r="V21" s="65">
        <f>AVERAGE(M46:M48)</f>
        <v>30.218463346440689</v>
      </c>
      <c r="X21" s="62" t="s">
        <v>196</v>
      </c>
      <c r="Y21" s="65">
        <f t="shared" si="2"/>
        <v>3.134431329424558</v>
      </c>
      <c r="Z21" s="65">
        <f t="shared" si="1"/>
        <v>4.5047359775878775</v>
      </c>
      <c r="AC21" s="62" t="s">
        <v>202</v>
      </c>
      <c r="AD21">
        <f t="shared" si="0"/>
        <v>0.15650891573848719</v>
      </c>
      <c r="AE21">
        <f t="shared" si="0"/>
        <v>4.2932182336926215E-2</v>
      </c>
    </row>
    <row r="22" spans="3:54" x14ac:dyDescent="0.35">
      <c r="C22" s="61" t="s">
        <v>198</v>
      </c>
      <c r="D22" s="63">
        <v>33.76</v>
      </c>
      <c r="E22" s="63">
        <v>29.92</v>
      </c>
      <c r="F22" s="63">
        <v>28.96</v>
      </c>
      <c r="G22" s="63">
        <v>30.86</v>
      </c>
      <c r="I22" s="59" t="s">
        <v>194</v>
      </c>
      <c r="J22" s="60">
        <f t="shared" si="6"/>
        <v>31.545581242502273</v>
      </c>
      <c r="K22" s="60">
        <f t="shared" si="3"/>
        <v>29.95</v>
      </c>
      <c r="L22" s="60">
        <f t="shared" si="4"/>
        <v>26.77130199372418</v>
      </c>
      <c r="M22" s="60">
        <f t="shared" si="5"/>
        <v>29.576157914965361</v>
      </c>
      <c r="R22" s="62" t="s">
        <v>203</v>
      </c>
      <c r="S22" s="65">
        <f>AVERAGE(J49:J51)</f>
        <v>27.547326156800661</v>
      </c>
      <c r="T22" s="65">
        <f>AVERAGE(K49:K51)</f>
        <v>25.693333333333332</v>
      </c>
      <c r="U22" s="65">
        <f>AVERAGE(L49:L51)</f>
        <v>25.123683631559132</v>
      </c>
      <c r="V22" s="65">
        <f>AVERAGE(M49:M51)</f>
        <v>27.301326178490257</v>
      </c>
      <c r="X22" s="62" t="s">
        <v>202</v>
      </c>
      <c r="Y22" s="65">
        <f t="shared" si="2"/>
        <v>2.6756832503472054</v>
      </c>
      <c r="Z22" s="65">
        <f t="shared" si="1"/>
        <v>4.5417966797740235</v>
      </c>
      <c r="AC22" s="62" t="s">
        <v>203</v>
      </c>
      <c r="AD22">
        <f t="shared" si="0"/>
        <v>1.4841631598492029</v>
      </c>
      <c r="AE22">
        <f>POWER(2,-Z23)</f>
        <v>0.32805444058379829</v>
      </c>
    </row>
    <row r="23" spans="3:54" x14ac:dyDescent="0.35">
      <c r="C23" s="61" t="s">
        <v>198</v>
      </c>
      <c r="D23" s="63">
        <v>34.4</v>
      </c>
      <c r="E23" s="63">
        <v>30.14</v>
      </c>
      <c r="F23" s="63">
        <v>28.68</v>
      </c>
      <c r="G23" s="63">
        <v>31.1</v>
      </c>
      <c r="I23" s="59" t="s">
        <v>194</v>
      </c>
      <c r="J23" s="60">
        <f>D16*((LOG(1.906)/LOG(2)))</f>
        <v>32.159743001205861</v>
      </c>
      <c r="K23" s="60">
        <f t="shared" si="3"/>
        <v>29.53</v>
      </c>
      <c r="L23" s="60">
        <f t="shared" si="4"/>
        <v>26.971013310350248</v>
      </c>
      <c r="M23" s="60">
        <f t="shared" si="5"/>
        <v>29.024176684791257</v>
      </c>
      <c r="S23" s="66"/>
      <c r="X23" s="62" t="s">
        <v>203</v>
      </c>
      <c r="Y23" s="65">
        <f t="shared" si="2"/>
        <v>-0.56964970177419971</v>
      </c>
      <c r="Z23" s="65">
        <f t="shared" si="1"/>
        <v>1.6079928451569252</v>
      </c>
    </row>
    <row r="24" spans="3:54" x14ac:dyDescent="0.35">
      <c r="C24" s="61" t="s">
        <v>199</v>
      </c>
      <c r="D24" s="63">
        <v>33.44</v>
      </c>
      <c r="E24" s="63">
        <v>29.63</v>
      </c>
      <c r="F24" s="63">
        <v>27.38</v>
      </c>
      <c r="G24" s="63">
        <v>29.57</v>
      </c>
      <c r="I24" s="59" t="s">
        <v>194</v>
      </c>
      <c r="J24" s="60">
        <f t="shared" si="6"/>
        <v>31.759607309929283</v>
      </c>
      <c r="K24" s="60">
        <f t="shared" si="3"/>
        <v>29.52</v>
      </c>
      <c r="L24" s="60">
        <f t="shared" si="4"/>
        <v>26.990984442012856</v>
      </c>
      <c r="M24" s="60">
        <f>G17*((LOG(2.005)/LOG(2)))</f>
        <v>29.034212707158058</v>
      </c>
      <c r="S24" s="67"/>
      <c r="T24" s="67"/>
      <c r="U24" s="67"/>
      <c r="V24" s="67"/>
    </row>
    <row r="25" spans="3:54" x14ac:dyDescent="0.35">
      <c r="C25" s="61" t="s">
        <v>199</v>
      </c>
      <c r="D25" s="63">
        <v>33.97</v>
      </c>
      <c r="E25" s="63">
        <v>29.23</v>
      </c>
      <c r="F25" s="63" t="s">
        <v>204</v>
      </c>
      <c r="G25" s="63">
        <v>29.52</v>
      </c>
      <c r="I25" s="61" t="s">
        <v>193</v>
      </c>
      <c r="J25" s="63">
        <f t="shared" si="6"/>
        <v>30.010176845743317</v>
      </c>
      <c r="K25" s="63">
        <f t="shared" si="3"/>
        <v>29</v>
      </c>
      <c r="L25" s="60">
        <f t="shared" si="4"/>
        <v>27.090840100325885</v>
      </c>
      <c r="M25" s="63">
        <f t="shared" si="5"/>
        <v>29.505905758397748</v>
      </c>
      <c r="AW25" s="1"/>
    </row>
    <row r="26" spans="3:54" x14ac:dyDescent="0.35">
      <c r="C26" s="61" t="s">
        <v>199</v>
      </c>
      <c r="D26" s="63">
        <v>33.97</v>
      </c>
      <c r="E26" s="63">
        <v>29.43</v>
      </c>
      <c r="F26" s="63">
        <v>27.67</v>
      </c>
      <c r="G26" s="63">
        <v>29.29</v>
      </c>
      <c r="I26" s="61" t="s">
        <v>193</v>
      </c>
      <c r="J26" s="63">
        <f t="shared" si="6"/>
        <v>30.475450905367243</v>
      </c>
      <c r="K26" s="63">
        <f t="shared" si="3"/>
        <v>29.38</v>
      </c>
      <c r="L26" s="60">
        <f t="shared" si="4"/>
        <v>27.380421509433685</v>
      </c>
      <c r="M26" s="63">
        <f t="shared" si="5"/>
        <v>29.485833713664142</v>
      </c>
      <c r="X26" s="57" t="s">
        <v>205</v>
      </c>
      <c r="AC26" s="183" t="s">
        <v>512</v>
      </c>
      <c r="AD26" s="183"/>
      <c r="AE26" s="183"/>
      <c r="AH26" s="183" t="s">
        <v>206</v>
      </c>
      <c r="AI26" s="183"/>
      <c r="AJ26" s="183"/>
      <c r="AL26" s="1" t="s">
        <v>172</v>
      </c>
      <c r="AM26" s="183" t="s">
        <v>522</v>
      </c>
      <c r="AN26" s="183"/>
      <c r="AO26" s="183"/>
      <c r="AU26" s="1" t="s">
        <v>173</v>
      </c>
      <c r="AV26" s="183" t="s">
        <v>522</v>
      </c>
      <c r="AW26" s="183"/>
      <c r="AX26" s="183"/>
    </row>
    <row r="27" spans="3:54" x14ac:dyDescent="0.35">
      <c r="C27" s="22" t="s">
        <v>195</v>
      </c>
      <c r="D27" s="23">
        <v>33.25</v>
      </c>
      <c r="E27" s="23">
        <v>29.23</v>
      </c>
      <c r="F27" s="23">
        <v>28.66</v>
      </c>
      <c r="G27" s="23">
        <v>30.62</v>
      </c>
      <c r="I27" s="61" t="s">
        <v>193</v>
      </c>
      <c r="J27" s="63">
        <f t="shared" si="6"/>
        <v>30.931419483798692</v>
      </c>
      <c r="K27" s="63">
        <f t="shared" si="3"/>
        <v>29.33</v>
      </c>
      <c r="L27" s="60">
        <f t="shared" si="4"/>
        <v>27.19069575863892</v>
      </c>
      <c r="M27" s="63">
        <f t="shared" si="5"/>
        <v>34.895249769370402</v>
      </c>
      <c r="X27" s="1" t="s">
        <v>187</v>
      </c>
      <c r="Y27" s="1" t="s">
        <v>172</v>
      </c>
      <c r="Z27" s="1" t="s">
        <v>173</v>
      </c>
      <c r="AC27" s="1" t="s">
        <v>187</v>
      </c>
      <c r="AD27" s="1" t="s">
        <v>172</v>
      </c>
      <c r="AE27" s="1" t="s">
        <v>173</v>
      </c>
      <c r="AH27" s="1" t="s">
        <v>187</v>
      </c>
      <c r="AI27" s="1" t="s">
        <v>172</v>
      </c>
      <c r="AJ27" s="1" t="s">
        <v>173</v>
      </c>
      <c r="AL27" s="1"/>
      <c r="AM27" s="1" t="s">
        <v>180</v>
      </c>
      <c r="AN27" s="57" t="s">
        <v>181</v>
      </c>
      <c r="AO27" s="57" t="s">
        <v>182</v>
      </c>
      <c r="AP27" s="57" t="s">
        <v>183</v>
      </c>
      <c r="AQ27" s="58" t="s">
        <v>184</v>
      </c>
      <c r="AR27" s="57" t="s">
        <v>185</v>
      </c>
      <c r="AS27" s="57" t="s">
        <v>186</v>
      </c>
      <c r="AV27" s="1" t="s">
        <v>180</v>
      </c>
      <c r="AW27" s="57" t="s">
        <v>181</v>
      </c>
      <c r="AX27" s="57" t="s">
        <v>182</v>
      </c>
      <c r="AY27" s="57" t="s">
        <v>183</v>
      </c>
      <c r="AZ27" s="58" t="s">
        <v>184</v>
      </c>
      <c r="BA27" s="57" t="s">
        <v>185</v>
      </c>
      <c r="BB27" s="57" t="s">
        <v>186</v>
      </c>
    </row>
    <row r="28" spans="3:54" x14ac:dyDescent="0.35">
      <c r="C28" s="22" t="s">
        <v>195</v>
      </c>
      <c r="D28" s="23">
        <v>33.35</v>
      </c>
      <c r="E28" s="23">
        <v>29</v>
      </c>
      <c r="F28" s="23">
        <v>28.76</v>
      </c>
      <c r="G28" s="23">
        <v>30.64</v>
      </c>
      <c r="I28" s="61" t="s">
        <v>198</v>
      </c>
      <c r="J28" s="63">
        <f t="shared" si="6"/>
        <v>30.950030446183646</v>
      </c>
      <c r="K28" s="63">
        <f t="shared" si="3"/>
        <v>29.82</v>
      </c>
      <c r="L28" s="60">
        <f t="shared" si="4"/>
        <v>28.968126476610912</v>
      </c>
      <c r="M28" s="63">
        <f t="shared" si="5"/>
        <v>31.021345135784845</v>
      </c>
      <c r="X28" s="59" t="s">
        <v>175</v>
      </c>
      <c r="Y28" s="60">
        <f>U11-S11</f>
        <v>-3.7572225323778952</v>
      </c>
      <c r="Z28" s="60">
        <f>V11-S11</f>
        <v>-1.4449710399691824</v>
      </c>
      <c r="AC28" s="59" t="s">
        <v>175</v>
      </c>
      <c r="AD28">
        <f>POWER(2,-Y28)</f>
        <v>13.521867706612554</v>
      </c>
      <c r="AE28">
        <f>POWER(2,-Z28)</f>
        <v>2.7225735806961877</v>
      </c>
      <c r="AH28" s="59" t="s">
        <v>175</v>
      </c>
      <c r="AI28">
        <f>AVERAGEA(AD28:AD30)</f>
        <v>22.079928189529028</v>
      </c>
      <c r="AJ28">
        <f>AVERAGEA(AE28:AE30)</f>
        <v>4.6205284709122978</v>
      </c>
      <c r="AM28" s="59" t="s">
        <v>190</v>
      </c>
      <c r="AN28">
        <f>STDEV(AD28:AD30)</f>
        <v>8.291392116307847</v>
      </c>
      <c r="AO28">
        <f>AI28-CONFIDENCE(0.05,AN28,3)</f>
        <v>12.697507155083432</v>
      </c>
      <c r="AP28">
        <f>AI28+CONFIDENCE(0.05,AN28,3)</f>
        <v>31.462349223974623</v>
      </c>
      <c r="AQ28">
        <f>AI28/AI31</f>
        <v>7.6921256023237934</v>
      </c>
      <c r="AR28">
        <f>AO28/AI31</f>
        <v>4.4235116633950504</v>
      </c>
      <c r="AS28">
        <f>AP28/AI31</f>
        <v>10.960739541252536</v>
      </c>
      <c r="AV28" s="59" t="s">
        <v>190</v>
      </c>
      <c r="AW28">
        <f>STDEV(AE28:AE30)</f>
        <v>1.7288865722357729</v>
      </c>
      <c r="AX28">
        <f>AJ28-CONFIDENCE(0.05,AW28,3)</f>
        <v>2.6641450899344448</v>
      </c>
      <c r="AY28">
        <f>AJ28+CONFIDENCE(0.05,AW28,3)</f>
        <v>6.5769118518901504</v>
      </c>
      <c r="AZ28">
        <f>AJ28/AJ31</f>
        <v>6.4170145632643996</v>
      </c>
      <c r="BA28">
        <f>AX28/AJ31</f>
        <v>3.6999788981677226</v>
      </c>
      <c r="BB28">
        <f>AY28/AJ31</f>
        <v>9.1340502283610761</v>
      </c>
    </row>
    <row r="29" spans="3:54" x14ac:dyDescent="0.35">
      <c r="C29" s="22" t="s">
        <v>195</v>
      </c>
      <c r="D29" s="23">
        <v>31.29</v>
      </c>
      <c r="E29" s="23">
        <v>28.79</v>
      </c>
      <c r="F29" s="23">
        <v>28.84</v>
      </c>
      <c r="G29" s="23">
        <v>31.13</v>
      </c>
      <c r="I29" s="61" t="s">
        <v>198</v>
      </c>
      <c r="J29" s="63">
        <f t="shared" si="6"/>
        <v>31.415304505807573</v>
      </c>
      <c r="K29" s="63">
        <f t="shared" si="3"/>
        <v>29.92</v>
      </c>
      <c r="L29" s="60">
        <f t="shared" si="4"/>
        <v>28.918198647454393</v>
      </c>
      <c r="M29" s="63">
        <f t="shared" si="5"/>
        <v>30.971165023950835</v>
      </c>
      <c r="X29" s="59" t="s">
        <v>192</v>
      </c>
      <c r="Y29" s="60">
        <f t="shared" ref="Y29:Y39" si="7">U12-S12</f>
        <v>-4.500920033015543</v>
      </c>
      <c r="Z29" s="60">
        <f t="shared" ref="Z29:Z39" si="8">V12-S12</f>
        <v>-2.3315427015113492</v>
      </c>
      <c r="AC29" s="59" t="s">
        <v>192</v>
      </c>
      <c r="AD29">
        <f t="shared" ref="AD29:AE39" si="9">POWER(2,-Y29)</f>
        <v>22.641851517750908</v>
      </c>
      <c r="AE29">
        <f t="shared" si="9"/>
        <v>5.0334329679193202</v>
      </c>
      <c r="AH29" s="61" t="s">
        <v>193</v>
      </c>
      <c r="AI29">
        <f>AVERAGEA(AD31:AD33)</f>
        <v>10.411264783884794</v>
      </c>
      <c r="AJ29">
        <f>AVERAGEA(AE31:AE33)</f>
        <v>1.8524328812977122</v>
      </c>
      <c r="AM29" s="61" t="s">
        <v>191</v>
      </c>
      <c r="AN29">
        <f>STDEV(AD31:AD33)</f>
        <v>4.7813950656707718</v>
      </c>
      <c r="AO29">
        <f>AI29-CONFIDENCE(0.05,AN29,3)</f>
        <v>5.0007063385895503</v>
      </c>
      <c r="AP29">
        <f>AI29+CONFIDENCE(0.05,AN29,3)</f>
        <v>15.821823229180039</v>
      </c>
      <c r="AQ29">
        <f>AI29/AI31</f>
        <v>3.6270388068866524</v>
      </c>
      <c r="AR29">
        <f>AO29/AI31</f>
        <v>1.74212800542573</v>
      </c>
      <c r="AS29">
        <f>AP29/AI31</f>
        <v>5.5119496083475745</v>
      </c>
      <c r="AV29" s="61" t="s">
        <v>191</v>
      </c>
      <c r="AW29">
        <f>STDEV(AE31:AE33)</f>
        <v>1.6271143922980624</v>
      </c>
      <c r="AX29">
        <f>AJ29-CONFIDENCE(0.05,AW29,3)</f>
        <v>1.12134472632055E-2</v>
      </c>
      <c r="AY29">
        <f>AJ29+CONFIDENCE(0.05,AW29,3)</f>
        <v>3.6936523153322192</v>
      </c>
      <c r="AZ29">
        <f>AJ29/AJ31</f>
        <v>2.5726686571872186</v>
      </c>
      <c r="BA29">
        <f>AX29/AJ31</f>
        <v>1.5573295315758446E-2</v>
      </c>
      <c r="BB29">
        <f>AY29/AJ31</f>
        <v>5.1297640190586788</v>
      </c>
    </row>
    <row r="30" spans="3:54" x14ac:dyDescent="0.35">
      <c r="C30" s="22" t="s">
        <v>200</v>
      </c>
      <c r="D30" s="23">
        <v>32.56</v>
      </c>
      <c r="E30" s="23">
        <v>27.92</v>
      </c>
      <c r="F30" s="23">
        <v>25.71</v>
      </c>
      <c r="G30" s="23">
        <v>28.04</v>
      </c>
      <c r="I30" s="61" t="s">
        <v>198</v>
      </c>
      <c r="J30" s="63">
        <f t="shared" si="6"/>
        <v>32.010855302126203</v>
      </c>
      <c r="K30" s="63">
        <f t="shared" si="3"/>
        <v>30.14</v>
      </c>
      <c r="L30" s="60">
        <f t="shared" si="4"/>
        <v>28.6386028041779</v>
      </c>
      <c r="M30" s="63">
        <f t="shared" si="5"/>
        <v>31.212029560754083</v>
      </c>
      <c r="X30" s="59" t="s">
        <v>194</v>
      </c>
      <c r="Y30" s="60">
        <f t="shared" si="7"/>
        <v>-4.9105439358500433</v>
      </c>
      <c r="Z30" s="60">
        <f t="shared" si="8"/>
        <v>-2.6101280822409088</v>
      </c>
      <c r="AC30" s="59" t="s">
        <v>194</v>
      </c>
      <c r="AD30">
        <f t="shared" si="9"/>
        <v>30.076065344223622</v>
      </c>
      <c r="AE30">
        <f t="shared" si="9"/>
        <v>6.1055788641213846</v>
      </c>
      <c r="AH30" s="22" t="s">
        <v>195</v>
      </c>
      <c r="AI30">
        <f>AVERAGEA(AD34:AD36)</f>
        <v>17.856271583574781</v>
      </c>
      <c r="AJ30">
        <f>AVERAGEA(AE34:AE36)</f>
        <v>4.0476320281453502</v>
      </c>
      <c r="AM30" s="22" t="s">
        <v>21</v>
      </c>
      <c r="AN30">
        <f>STDEV(AD34:AD36)</f>
        <v>14.188995342960794</v>
      </c>
      <c r="AO30">
        <f>AI30-CONFIDENCE(0.05,AN30,3)</f>
        <v>1.800206872607113</v>
      </c>
      <c r="AP30">
        <f>AI30+CONFIDENCE(0.05,AN30,3)</f>
        <v>33.912336294542449</v>
      </c>
      <c r="AQ30">
        <f>AI30/AI31</f>
        <v>6.2207033750770622</v>
      </c>
      <c r="AR30">
        <f>AO30/AI31</f>
        <v>0.62714956567781266</v>
      </c>
      <c r="AS30">
        <f>AP30/AI31</f>
        <v>11.814257184476313</v>
      </c>
      <c r="AV30" s="22" t="s">
        <v>21</v>
      </c>
      <c r="AW30">
        <f>STDEV(AE34:AE36)</f>
        <v>3.4081299951859423</v>
      </c>
      <c r="AX30">
        <f>AJ30-CONFIDENCE(0.05,AW30,3)</f>
        <v>0.19104074571584695</v>
      </c>
      <c r="AY30">
        <f>AJ30+CONFIDENCE(0.05,AW30,3)</f>
        <v>7.9042233105748529</v>
      </c>
      <c r="AZ30">
        <f>AJ30/AJ31</f>
        <v>5.6213729305764382</v>
      </c>
      <c r="BA30">
        <f>AX30/AJ31</f>
        <v>0.26531840570899706</v>
      </c>
      <c r="BB30">
        <f>AY30/AJ31</f>
        <v>10.977427455443879</v>
      </c>
    </row>
    <row r="31" spans="3:54" x14ac:dyDescent="0.35">
      <c r="C31" s="22" t="s">
        <v>200</v>
      </c>
      <c r="D31" s="23">
        <v>32.729999999999997</v>
      </c>
      <c r="E31" s="23">
        <v>28.05</v>
      </c>
      <c r="F31" s="23">
        <v>25.9</v>
      </c>
      <c r="G31" s="23">
        <v>28.02</v>
      </c>
      <c r="I31" s="61" t="s">
        <v>199</v>
      </c>
      <c r="J31" s="63">
        <f t="shared" si="6"/>
        <v>31.117529107648259</v>
      </c>
      <c r="K31" s="63">
        <f t="shared" si="3"/>
        <v>29.63</v>
      </c>
      <c r="L31" s="60">
        <f t="shared" si="4"/>
        <v>27.340479246108469</v>
      </c>
      <c r="M31" s="63">
        <f t="shared" si="5"/>
        <v>29.676518138633384</v>
      </c>
      <c r="X31" s="61" t="s">
        <v>193</v>
      </c>
      <c r="Y31" s="63">
        <f t="shared" si="7"/>
        <v>-3.2516966221702539</v>
      </c>
      <c r="Z31" s="63">
        <f t="shared" si="8"/>
        <v>0.82331400217435302</v>
      </c>
      <c r="AC31" s="61" t="s">
        <v>193</v>
      </c>
      <c r="AD31">
        <f t="shared" si="9"/>
        <v>9.5248516462403749</v>
      </c>
      <c r="AE31">
        <f t="shared" si="9"/>
        <v>0.56514226711829441</v>
      </c>
      <c r="AH31" s="62" t="s">
        <v>196</v>
      </c>
      <c r="AI31">
        <f>AVERAGEA(AD37:AD39)</f>
        <v>2.8704586132679211</v>
      </c>
      <c r="AJ31">
        <f>AVERAGEA(AE37:AE39)</f>
        <v>0.72004332004535587</v>
      </c>
      <c r="AM31" s="62" t="s">
        <v>196</v>
      </c>
      <c r="AN31">
        <f>STDEV(AD37:AD39)</f>
        <v>2.3323165626771472</v>
      </c>
      <c r="AO31">
        <f>AI31-CONFIDENCE(0.05,AN31,3)</f>
        <v>0.23124246359288847</v>
      </c>
      <c r="AP31">
        <f>AI31+CONFIDENCE(0.05,AN31,3)</f>
        <v>5.5096747629429537</v>
      </c>
      <c r="AQ31">
        <f>AI31/AI31</f>
        <v>1</v>
      </c>
      <c r="AR31">
        <f>AO31/AI31</f>
        <v>8.0559413929200213E-2</v>
      </c>
      <c r="AS31">
        <f>AP31/AI31</f>
        <v>1.9194405860707997</v>
      </c>
      <c r="AV31" s="62" t="s">
        <v>196</v>
      </c>
      <c r="AW31">
        <f>STDEV(AE37:AE39)</f>
        <v>0.44990838079996875</v>
      </c>
      <c r="AX31">
        <f>AJ31-CONFIDENCE(0.05,AW31,3)</f>
        <v>0.21093341469080151</v>
      </c>
      <c r="AY31">
        <f>AJ31+CONFIDENCE(0.05,AW31,3)</f>
        <v>1.2291532253999102</v>
      </c>
      <c r="AZ31">
        <f>AJ31/AJ31</f>
        <v>1</v>
      </c>
      <c r="BA31">
        <f>AX31/AJ31</f>
        <v>0.29294545038972752</v>
      </c>
      <c r="BB31">
        <f>AY31/AJ31</f>
        <v>1.7070545496102725</v>
      </c>
    </row>
    <row r="32" spans="3:54" x14ac:dyDescent="0.35">
      <c r="C32" s="22" t="s">
        <v>200</v>
      </c>
      <c r="D32" s="23">
        <v>31.68</v>
      </c>
      <c r="E32" s="23">
        <v>27.8</v>
      </c>
      <c r="F32" s="23">
        <v>26</v>
      </c>
      <c r="G32" s="23">
        <v>27.92</v>
      </c>
      <c r="I32" s="61" t="s">
        <v>199</v>
      </c>
      <c r="J32" s="63">
        <f t="shared" si="6"/>
        <v>31.610719610849625</v>
      </c>
      <c r="K32" s="63">
        <f t="shared" si="3"/>
        <v>29.23</v>
      </c>
      <c r="L32" s="60" t="e">
        <f t="shared" si="4"/>
        <v>#VALUE!</v>
      </c>
      <c r="M32" s="63">
        <f t="shared" si="5"/>
        <v>29.626338026799374</v>
      </c>
      <c r="X32" s="61" t="s">
        <v>198</v>
      </c>
      <c r="Y32" s="63">
        <f t="shared" si="7"/>
        <v>-2.6170874419580663</v>
      </c>
      <c r="Z32" s="63">
        <f t="shared" si="8"/>
        <v>-0.39055017787588397</v>
      </c>
      <c r="AC32" s="61" t="s">
        <v>198</v>
      </c>
      <c r="AD32">
        <f t="shared" si="9"/>
        <v>6.1351024768847919</v>
      </c>
      <c r="AE32">
        <f t="shared" si="9"/>
        <v>1.3108932232416108</v>
      </c>
    </row>
    <row r="33" spans="3:54" x14ac:dyDescent="0.35">
      <c r="C33" s="22" t="s">
        <v>201</v>
      </c>
      <c r="D33" s="23">
        <v>33.82</v>
      </c>
      <c r="E33" s="23">
        <v>30.16</v>
      </c>
      <c r="F33" s="23">
        <v>26.54</v>
      </c>
      <c r="G33" s="23">
        <v>28.65</v>
      </c>
      <c r="I33" s="61" t="s">
        <v>199</v>
      </c>
      <c r="J33" s="63">
        <f t="shared" si="6"/>
        <v>31.610719610849625</v>
      </c>
      <c r="K33" s="63">
        <f t="shared" si="3"/>
        <v>29.43</v>
      </c>
      <c r="L33" s="60">
        <f t="shared" si="4"/>
        <v>27.630060655216266</v>
      </c>
      <c r="M33" s="63">
        <f>G26*((LOG(2.005)/LOG(2)))</f>
        <v>29.395509512362928</v>
      </c>
      <c r="X33" s="61" t="s">
        <v>199</v>
      </c>
      <c r="Y33" s="63">
        <f t="shared" si="7"/>
        <v>-3.9610528257868012</v>
      </c>
      <c r="Z33" s="63">
        <f t="shared" si="8"/>
        <v>-1.8802008838506055</v>
      </c>
      <c r="AC33" s="61" t="s">
        <v>199</v>
      </c>
      <c r="AD33">
        <f t="shared" si="9"/>
        <v>15.573840228529212</v>
      </c>
      <c r="AE33">
        <f t="shared" si="9"/>
        <v>3.6812631535332314</v>
      </c>
    </row>
    <row r="34" spans="3:54" x14ac:dyDescent="0.35">
      <c r="C34" s="22" t="s">
        <v>201</v>
      </c>
      <c r="D34" s="23">
        <v>35.06</v>
      </c>
      <c r="E34" s="23">
        <v>29.63</v>
      </c>
      <c r="F34" s="23">
        <v>26.69</v>
      </c>
      <c r="G34" s="23">
        <v>28.79</v>
      </c>
      <c r="I34" s="22" t="s">
        <v>195</v>
      </c>
      <c r="J34" s="68">
        <f t="shared" si="6"/>
        <v>30.940724964991169</v>
      </c>
      <c r="K34" s="68">
        <f t="shared" si="3"/>
        <v>29.23</v>
      </c>
      <c r="L34" s="60">
        <f t="shared" si="4"/>
        <v>28.618631672515292</v>
      </c>
      <c r="M34" s="68">
        <f t="shared" si="5"/>
        <v>30.730300487147588</v>
      </c>
      <c r="X34" s="22" t="s">
        <v>195</v>
      </c>
      <c r="Y34" s="23">
        <f t="shared" si="7"/>
        <v>-1.6519548441167089</v>
      </c>
      <c r="Z34" s="23">
        <f t="shared" si="8"/>
        <v>0.54381841790359076</v>
      </c>
      <c r="AC34" s="22" t="s">
        <v>195</v>
      </c>
      <c r="AD34">
        <f t="shared" si="9"/>
        <v>3.1425917030376826</v>
      </c>
      <c r="AE34">
        <f t="shared" si="9"/>
        <v>0.68595297504261055</v>
      </c>
    </row>
    <row r="35" spans="3:54" x14ac:dyDescent="0.35">
      <c r="C35" s="22" t="s">
        <v>201</v>
      </c>
      <c r="D35" s="23">
        <v>33.06</v>
      </c>
      <c r="E35" s="23">
        <v>29.57</v>
      </c>
      <c r="F35" s="23">
        <v>26.82</v>
      </c>
      <c r="G35" s="23">
        <v>28.39</v>
      </c>
      <c r="I35" s="22" t="s">
        <v>195</v>
      </c>
      <c r="J35" s="68">
        <f t="shared" si="6"/>
        <v>31.033779776915956</v>
      </c>
      <c r="K35" s="68">
        <f t="shared" si="3"/>
        <v>29</v>
      </c>
      <c r="L35" s="60">
        <f t="shared" si="4"/>
        <v>28.718487330828328</v>
      </c>
      <c r="M35" s="68">
        <f t="shared" si="5"/>
        <v>30.750372531881194</v>
      </c>
      <c r="X35" s="22" t="s">
        <v>200</v>
      </c>
      <c r="Y35" s="23">
        <f t="shared" si="7"/>
        <v>-4.2457582355731525</v>
      </c>
      <c r="Z35" s="23">
        <f t="shared" si="8"/>
        <v>-1.9842450956872177</v>
      </c>
      <c r="AC35" s="22" t="s">
        <v>200</v>
      </c>
      <c r="AD35">
        <f t="shared" si="9"/>
        <v>18.971452519830731</v>
      </c>
      <c r="AE35">
        <f t="shared" si="9"/>
        <v>3.9565557773433375</v>
      </c>
    </row>
    <row r="36" spans="3:54" x14ac:dyDescent="0.35">
      <c r="C36" s="62" t="s">
        <v>196</v>
      </c>
      <c r="D36" s="65">
        <v>34.4</v>
      </c>
      <c r="E36" s="65">
        <v>28.08</v>
      </c>
      <c r="F36" s="65">
        <v>31.46</v>
      </c>
      <c r="G36" s="65">
        <v>32.5</v>
      </c>
      <c r="I36" s="22" t="s">
        <v>195</v>
      </c>
      <c r="J36" s="68">
        <f t="shared" si="6"/>
        <v>29.116850651265374</v>
      </c>
      <c r="K36" s="68">
        <f t="shared" si="3"/>
        <v>28.79</v>
      </c>
      <c r="L36" s="60">
        <f t="shared" si="4"/>
        <v>28.798371857478752</v>
      </c>
      <c r="M36" s="68">
        <f t="shared" si="5"/>
        <v>31.242137627854486</v>
      </c>
      <c r="X36" s="22" t="s">
        <v>201</v>
      </c>
      <c r="Y36" s="23">
        <f t="shared" si="7"/>
        <v>-4.9752069321810986</v>
      </c>
      <c r="Z36" s="23">
        <f t="shared" si="8"/>
        <v>-2.9069651006217043</v>
      </c>
      <c r="AC36" s="22" t="s">
        <v>201</v>
      </c>
      <c r="AD36">
        <f t="shared" si="9"/>
        <v>31.454770527855924</v>
      </c>
      <c r="AE36">
        <f t="shared" si="9"/>
        <v>7.5003873320501002</v>
      </c>
    </row>
    <row r="37" spans="3:54" x14ac:dyDescent="0.35">
      <c r="C37" s="62" t="s">
        <v>196</v>
      </c>
      <c r="D37" s="65">
        <v>32.590000000000003</v>
      </c>
      <c r="E37" s="65">
        <v>28.18</v>
      </c>
      <c r="F37" s="65">
        <v>31.51</v>
      </c>
      <c r="G37" s="65">
        <v>32.85</v>
      </c>
      <c r="I37" s="22" t="s">
        <v>200</v>
      </c>
      <c r="J37" s="68">
        <f t="shared" si="6"/>
        <v>30.298646762710153</v>
      </c>
      <c r="K37" s="68">
        <f t="shared" si="3"/>
        <v>27.92</v>
      </c>
      <c r="L37" s="60">
        <f t="shared" si="4"/>
        <v>25.672889752280817</v>
      </c>
      <c r="M37" s="68">
        <f t="shared" si="5"/>
        <v>28.141006716512681</v>
      </c>
      <c r="X37" s="62" t="s">
        <v>196</v>
      </c>
      <c r="Y37" s="65">
        <f t="shared" si="7"/>
        <v>0.42551318416125028</v>
      </c>
      <c r="Z37" s="65">
        <f t="shared" si="8"/>
        <v>1.7958178323245697</v>
      </c>
      <c r="AC37" s="62" t="s">
        <v>196</v>
      </c>
      <c r="AD37">
        <f t="shared" si="9"/>
        <v>0.74457383048846715</v>
      </c>
      <c r="AE37">
        <f t="shared" si="9"/>
        <v>0.28800827481136282</v>
      </c>
    </row>
    <row r="38" spans="3:54" x14ac:dyDescent="0.35">
      <c r="C38" s="62" t="s">
        <v>196</v>
      </c>
      <c r="D38" s="65">
        <v>33.270000000000003</v>
      </c>
      <c r="E38" s="65">
        <v>28.91</v>
      </c>
      <c r="F38" s="65">
        <v>31.74</v>
      </c>
      <c r="G38" s="65">
        <v>32.979999999999997</v>
      </c>
      <c r="I38" s="22" t="s">
        <v>200</v>
      </c>
      <c r="J38" s="68">
        <f t="shared" si="6"/>
        <v>30.456839942982281</v>
      </c>
      <c r="K38" s="68">
        <f t="shared" si="3"/>
        <v>28.05</v>
      </c>
      <c r="L38" s="60">
        <f t="shared" si="4"/>
        <v>25.862615503075578</v>
      </c>
      <c r="M38" s="68">
        <f t="shared" si="5"/>
        <v>28.120934671779079</v>
      </c>
      <c r="X38" s="62" t="s">
        <v>202</v>
      </c>
      <c r="Y38" s="65">
        <f t="shared" si="7"/>
        <v>-1.3228296058002158</v>
      </c>
      <c r="Z38" s="65">
        <f t="shared" si="8"/>
        <v>0.54328382362660221</v>
      </c>
      <c r="AC38" s="62" t="s">
        <v>202</v>
      </c>
      <c r="AD38">
        <f t="shared" si="9"/>
        <v>2.5015626875637769</v>
      </c>
      <c r="AE38">
        <f t="shared" si="9"/>
        <v>0.68620720374289235</v>
      </c>
    </row>
    <row r="39" spans="3:54" x14ac:dyDescent="0.35">
      <c r="C39" s="62" t="s">
        <v>202</v>
      </c>
      <c r="D39" s="65">
        <v>31.44</v>
      </c>
      <c r="E39" s="65">
        <v>25.5</v>
      </c>
      <c r="F39" s="65">
        <v>28.07</v>
      </c>
      <c r="G39" s="65">
        <v>30.01</v>
      </c>
      <c r="I39" s="22" t="s">
        <v>200</v>
      </c>
      <c r="J39" s="68">
        <f t="shared" si="6"/>
        <v>29.479764417772039</v>
      </c>
      <c r="K39" s="68">
        <f t="shared" si="3"/>
        <v>27.8</v>
      </c>
      <c r="L39" s="60">
        <f t="shared" si="4"/>
        <v>25.962471161388613</v>
      </c>
      <c r="M39" s="68">
        <f t="shared" si="5"/>
        <v>28.020574448111063</v>
      </c>
      <c r="X39" s="62" t="s">
        <v>203</v>
      </c>
      <c r="Y39" s="65">
        <f t="shared" si="7"/>
        <v>-2.4236425252415295</v>
      </c>
      <c r="Z39" s="65">
        <f t="shared" si="8"/>
        <v>-0.24599997831040454</v>
      </c>
      <c r="AC39" s="62" t="s">
        <v>203</v>
      </c>
      <c r="AD39">
        <f t="shared" si="9"/>
        <v>5.3652393217515186</v>
      </c>
      <c r="AE39">
        <f>POWER(2,-Z39)</f>
        <v>1.1859144815818123</v>
      </c>
    </row>
    <row r="40" spans="3:54" x14ac:dyDescent="0.35">
      <c r="C40" s="62" t="s">
        <v>202</v>
      </c>
      <c r="D40" s="65">
        <v>30.63</v>
      </c>
      <c r="E40" s="65">
        <v>25.88</v>
      </c>
      <c r="F40" s="65">
        <v>28.41</v>
      </c>
      <c r="G40" s="65">
        <v>30.05</v>
      </c>
      <c r="I40" s="22" t="s">
        <v>201</v>
      </c>
      <c r="J40" s="68">
        <f t="shared" si="6"/>
        <v>31.471137392962447</v>
      </c>
      <c r="K40" s="68">
        <f t="shared" si="3"/>
        <v>30.16</v>
      </c>
      <c r="L40" s="60">
        <f t="shared" si="4"/>
        <v>26.501691716278991</v>
      </c>
      <c r="M40" s="68">
        <f t="shared" si="5"/>
        <v>28.753204080887603</v>
      </c>
    </row>
    <row r="41" spans="3:54" x14ac:dyDescent="0.35">
      <c r="C41" s="62" t="s">
        <v>202</v>
      </c>
      <c r="D41" s="65">
        <v>33.6</v>
      </c>
      <c r="E41" s="65">
        <v>25.65</v>
      </c>
      <c r="F41" s="65">
        <v>28.7</v>
      </c>
      <c r="G41" s="65">
        <v>30.27</v>
      </c>
      <c r="I41" s="22" t="s">
        <v>201</v>
      </c>
      <c r="J41" s="68">
        <f t="shared" si="6"/>
        <v>32.625017060829791</v>
      </c>
      <c r="K41" s="68">
        <f t="shared" si="3"/>
        <v>29.63</v>
      </c>
      <c r="L41" s="60">
        <f t="shared" si="4"/>
        <v>26.651475203748543</v>
      </c>
      <c r="M41" s="68">
        <f t="shared" si="5"/>
        <v>28.893708394022831</v>
      </c>
    </row>
    <row r="42" spans="3:54" x14ac:dyDescent="0.35">
      <c r="C42" s="62" t="s">
        <v>203</v>
      </c>
      <c r="D42" s="65">
        <v>28.59</v>
      </c>
      <c r="E42" s="65">
        <v>25.59</v>
      </c>
      <c r="F42" s="65">
        <v>24.84</v>
      </c>
      <c r="G42" s="65">
        <v>27.07</v>
      </c>
      <c r="I42" s="22" t="s">
        <v>201</v>
      </c>
      <c r="J42" s="68">
        <f t="shared" si="6"/>
        <v>30.763920822334079</v>
      </c>
      <c r="K42" s="68">
        <f t="shared" si="3"/>
        <v>29.57</v>
      </c>
      <c r="L42" s="60">
        <f t="shared" si="4"/>
        <v>26.781287559555484</v>
      </c>
      <c r="M42" s="68">
        <f>G35*((LOG(2.005)/LOG(2)))</f>
        <v>28.492267499350753</v>
      </c>
    </row>
    <row r="43" spans="3:54" x14ac:dyDescent="0.35">
      <c r="C43" s="62" t="s">
        <v>203</v>
      </c>
      <c r="D43" s="65">
        <v>29.89</v>
      </c>
      <c r="E43" s="65">
        <v>25.77</v>
      </c>
      <c r="F43" s="65">
        <v>25.4</v>
      </c>
      <c r="G43" s="65">
        <v>27.1</v>
      </c>
      <c r="I43" s="62" t="s">
        <v>196</v>
      </c>
      <c r="J43" s="65">
        <f t="shared" si="6"/>
        <v>32.010855302126203</v>
      </c>
      <c r="K43" s="65">
        <f t="shared" si="3"/>
        <v>28.08</v>
      </c>
      <c r="L43" s="60">
        <f t="shared" si="4"/>
        <v>31.414590105280222</v>
      </c>
      <c r="M43" s="65">
        <f t="shared" si="5"/>
        <v>32.617072692106355</v>
      </c>
      <c r="AC43" s="183" t="s">
        <v>519</v>
      </c>
      <c r="AD43" s="183"/>
      <c r="AE43" s="183"/>
      <c r="AH43" s="183" t="s">
        <v>523</v>
      </c>
      <c r="AI43" s="183"/>
      <c r="AJ43" s="183"/>
      <c r="AM43" s="183" t="s">
        <v>524</v>
      </c>
      <c r="AN43" s="183"/>
      <c r="AO43" s="183"/>
      <c r="AV43" s="183" t="s">
        <v>524</v>
      </c>
      <c r="AW43" s="183"/>
      <c r="AX43" s="183"/>
      <c r="AY43" s="183"/>
    </row>
    <row r="44" spans="3:54" x14ac:dyDescent="0.35">
      <c r="C44" s="62" t="s">
        <v>203</v>
      </c>
      <c r="D44" s="65">
        <v>30.33</v>
      </c>
      <c r="E44" s="65">
        <v>25.72</v>
      </c>
      <c r="F44" s="65">
        <v>25.24</v>
      </c>
      <c r="G44" s="65">
        <v>27.44</v>
      </c>
      <c r="I44" s="62" t="s">
        <v>196</v>
      </c>
      <c r="J44" s="65">
        <f t="shared" si="6"/>
        <v>30.326563206287588</v>
      </c>
      <c r="K44" s="65">
        <f t="shared" si="3"/>
        <v>28.18</v>
      </c>
      <c r="L44" s="60">
        <f t="shared" si="4"/>
        <v>31.464517934436738</v>
      </c>
      <c r="M44" s="65">
        <f t="shared" si="5"/>
        <v>32.968333474944423</v>
      </c>
      <c r="AC44" s="1" t="s">
        <v>187</v>
      </c>
      <c r="AD44" s="1" t="s">
        <v>172</v>
      </c>
      <c r="AE44" s="1" t="s">
        <v>173</v>
      </c>
      <c r="AH44" s="1" t="s">
        <v>187</v>
      </c>
      <c r="AI44" s="1" t="s">
        <v>172</v>
      </c>
      <c r="AJ44" s="1" t="s">
        <v>173</v>
      </c>
      <c r="AL44" s="1" t="s">
        <v>172</v>
      </c>
      <c r="AM44" s="1" t="s">
        <v>180</v>
      </c>
      <c r="AN44" s="57" t="s">
        <v>181</v>
      </c>
      <c r="AO44" s="57" t="s">
        <v>182</v>
      </c>
      <c r="AP44" s="57" t="s">
        <v>183</v>
      </c>
      <c r="AQ44" s="58" t="s">
        <v>184</v>
      </c>
      <c r="AR44" s="57" t="s">
        <v>185</v>
      </c>
      <c r="AS44" s="57" t="s">
        <v>186</v>
      </c>
      <c r="AU44" s="57" t="s">
        <v>173</v>
      </c>
      <c r="AV44" s="1" t="s">
        <v>180</v>
      </c>
      <c r="AW44" s="57" t="s">
        <v>181</v>
      </c>
      <c r="AX44" s="57" t="s">
        <v>182</v>
      </c>
      <c r="AY44" s="57" t="s">
        <v>183</v>
      </c>
      <c r="AZ44" s="58" t="s">
        <v>184</v>
      </c>
      <c r="BA44" s="57" t="s">
        <v>185</v>
      </c>
      <c r="BB44" s="57" t="s">
        <v>186</v>
      </c>
    </row>
    <row r="45" spans="3:54" x14ac:dyDescent="0.35">
      <c r="C45" s="1" t="s">
        <v>207</v>
      </c>
      <c r="D45" t="s">
        <v>204</v>
      </c>
      <c r="E45">
        <v>34.61</v>
      </c>
      <c r="F45">
        <v>31.47</v>
      </c>
      <c r="G45">
        <v>36.75</v>
      </c>
      <c r="I45" s="62" t="s">
        <v>196</v>
      </c>
      <c r="J45" s="65">
        <f t="shared" si="6"/>
        <v>30.959335927376131</v>
      </c>
      <c r="K45" s="65">
        <f t="shared" si="3"/>
        <v>28.91</v>
      </c>
      <c r="L45" s="60">
        <f t="shared" si="4"/>
        <v>31.694185948556711</v>
      </c>
      <c r="M45" s="65">
        <f t="shared" si="5"/>
        <v>33.098801765712849</v>
      </c>
      <c r="AC45" s="59" t="s">
        <v>175</v>
      </c>
      <c r="AD45">
        <f>(AD11+AD28)/2</f>
        <v>8.8839003003504509</v>
      </c>
      <c r="AE45">
        <f>(AE11+AE28)/2</f>
        <v>1.7887375306478512</v>
      </c>
      <c r="AH45" s="59" t="s">
        <v>175</v>
      </c>
      <c r="AI45">
        <f>AVERAGEA(AD45:AD47)</f>
        <v>14.288734128768391</v>
      </c>
      <c r="AJ45">
        <f>AVERAGEA(AE45:AE47)</f>
        <v>2.995929343721107</v>
      </c>
      <c r="AM45" s="59" t="s">
        <v>190</v>
      </c>
      <c r="AN45">
        <f>STDEV(AD45:AD47)</f>
        <v>4.8923860516086775</v>
      </c>
      <c r="AO45">
        <f>AI45-CONFIDENCE(0.05,AN45,3)</f>
        <v>8.752579867174763</v>
      </c>
      <c r="AP45">
        <f>AI45+CONFIDENCE(0.05,AN45,3)</f>
        <v>19.82488839036202</v>
      </c>
      <c r="AQ45">
        <f>AI45/AI48</f>
        <v>8.2705973824760655</v>
      </c>
      <c r="AR45">
        <f>AO45/AI48</f>
        <v>5.0661635584374771</v>
      </c>
      <c r="AS45">
        <f>AP45/AI48</f>
        <v>11.475031206514654</v>
      </c>
      <c r="AV45" s="59" t="s">
        <v>190</v>
      </c>
      <c r="AW45">
        <f>STDEV(AE45:AE47)</f>
        <v>1.0546228294006588</v>
      </c>
      <c r="AX45">
        <f>AJ45-CONFIDENCE(0.05,AW45,3)</f>
        <v>1.8025331951402737</v>
      </c>
      <c r="AY45">
        <f>AJ45+CONFIDENCE(0.05,AW45,3)</f>
        <v>4.1893254923019398</v>
      </c>
      <c r="AZ45">
        <f>AJ45/AJ48</f>
        <v>6.980356466383677</v>
      </c>
      <c r="BA45">
        <f>AX45/AJ48</f>
        <v>4.1998067380790465</v>
      </c>
      <c r="BB45">
        <f>AY45/AJ48</f>
        <v>9.7609061946883067</v>
      </c>
    </row>
    <row r="46" spans="3:54" x14ac:dyDescent="0.35">
      <c r="D46" s="66"/>
      <c r="I46" s="62" t="s">
        <v>202</v>
      </c>
      <c r="J46" s="65">
        <f t="shared" si="6"/>
        <v>29.256432869152555</v>
      </c>
      <c r="K46" s="65">
        <f t="shared" si="3"/>
        <v>25.5</v>
      </c>
      <c r="L46" s="60">
        <f t="shared" si="4"/>
        <v>28.029483288468398</v>
      </c>
      <c r="M46" s="65">
        <f t="shared" si="5"/>
        <v>30.11810312277267</v>
      </c>
      <c r="AC46" s="59" t="s">
        <v>192</v>
      </c>
      <c r="AD46">
        <f>(AD12+AD29)/2</f>
        <v>15.567680023473653</v>
      </c>
      <c r="AE46">
        <f t="shared" ref="AE46:AE55" si="10">(AE12+AE29)/2</f>
        <v>3.4607979741735786</v>
      </c>
      <c r="AH46" s="61" t="s">
        <v>193</v>
      </c>
      <c r="AI46">
        <f>AVERAGEA(AD48:AD50)</f>
        <v>6.883182720738624</v>
      </c>
      <c r="AJ46">
        <f>AVERAGEA(AE48:AE50)</f>
        <v>1.1951870637215773</v>
      </c>
      <c r="AM46" s="61" t="s">
        <v>191</v>
      </c>
      <c r="AN46">
        <f>STDEV(AD48:AD50)</f>
        <v>2.7806566431437476</v>
      </c>
      <c r="AO46">
        <f>AI46-CONFIDENCE(0.05,AN46,3)</f>
        <v>3.7366313319930233</v>
      </c>
      <c r="AP46">
        <f>AI46+CONFIDENCE(0.05,AN46,3)</f>
        <v>10.029734109484224</v>
      </c>
      <c r="AQ46">
        <f>AI46/AI48</f>
        <v>3.9841201103062458</v>
      </c>
      <c r="AR46">
        <f>AO46/AI48</f>
        <v>2.1628349324128209</v>
      </c>
      <c r="AS46">
        <f>AP46/AI48</f>
        <v>5.8054052881996707</v>
      </c>
      <c r="AV46" s="61" t="s">
        <v>191</v>
      </c>
      <c r="AW46">
        <f>STDEV(AE48:AE50)</f>
        <v>0.98334410558124863</v>
      </c>
      <c r="AX46">
        <f>AJ46-CONFIDENCE(0.05,AW46,3)</f>
        <v>8.244890215794376E-2</v>
      </c>
      <c r="AY46">
        <f>AJ46+CONFIDENCE(0.05,AW46,3)</f>
        <v>2.3079252252852109</v>
      </c>
      <c r="AZ46">
        <f>AJ46/AJ48</f>
        <v>2.7847224655921901</v>
      </c>
      <c r="BA46">
        <f>AX46/AJ48</f>
        <v>0.19210156892739244</v>
      </c>
      <c r="BB46">
        <f>AY46/AJ48</f>
        <v>5.3773433622569877</v>
      </c>
    </row>
    <row r="47" spans="3:54" x14ac:dyDescent="0.35">
      <c r="D47" s="66"/>
      <c r="I47" s="62" t="s">
        <v>202</v>
      </c>
      <c r="J47" s="65">
        <f t="shared" si="6"/>
        <v>28.502688892561789</v>
      </c>
      <c r="K47" s="65">
        <f t="shared" si="3"/>
        <v>25.88</v>
      </c>
      <c r="L47" s="60">
        <f t="shared" si="4"/>
        <v>28.368992526732711</v>
      </c>
      <c r="M47" s="65">
        <f t="shared" si="5"/>
        <v>30.158247212239878</v>
      </c>
      <c r="AC47" s="59" t="s">
        <v>194</v>
      </c>
      <c r="AD47">
        <f t="shared" ref="AD47:AD55" si="11">(AD13+AD30)/2</f>
        <v>18.414622062481072</v>
      </c>
      <c r="AE47">
        <f t="shared" si="10"/>
        <v>3.7382525263418915</v>
      </c>
      <c r="AH47" s="22" t="s">
        <v>195</v>
      </c>
      <c r="AI47">
        <f>AVERAGEA(AD51:AD53)</f>
        <v>11.313595896835769</v>
      </c>
      <c r="AJ47">
        <f>AVERAGEA(AE51:AE53)</f>
        <v>2.5672800156869839</v>
      </c>
      <c r="AM47" s="22" t="s">
        <v>21</v>
      </c>
      <c r="AN47">
        <f>STDEV(AD51:AD53)</f>
        <v>8.9817993028269481</v>
      </c>
      <c r="AO47">
        <f>AI47-CONFIDENCE(0.05,AN47,3)</f>
        <v>1.1499199394214923</v>
      </c>
      <c r="AP47">
        <f>AI47+CONFIDENCE(0.05,AN47,3)</f>
        <v>21.477271854250048</v>
      </c>
      <c r="AQ47">
        <f>AI47/AI48</f>
        <v>6.5485294755657328</v>
      </c>
      <c r="AR47">
        <f>AO47/AI48</f>
        <v>0.66559603918224652</v>
      </c>
      <c r="AS47">
        <f>AP47/AI48</f>
        <v>12.43146291194922</v>
      </c>
      <c r="AV47" s="22" t="s">
        <v>21</v>
      </c>
      <c r="AW47">
        <f>STDEV(AE51:AE53)</f>
        <v>2.1664725822064197</v>
      </c>
      <c r="AX47">
        <f>AJ47-CONFIDENCE(0.05,AW47,3)</f>
        <v>0.11573054839503349</v>
      </c>
      <c r="AY47">
        <f>AJ47+CONFIDENCE(0.05,AW47,3)</f>
        <v>5.0188294829789344</v>
      </c>
      <c r="AZ47">
        <f>AJ47/AJ48</f>
        <v>5.9816262676809178</v>
      </c>
      <c r="BA47">
        <f>AX47/AJ48</f>
        <v>0.26964603939691695</v>
      </c>
      <c r="BB47">
        <f>AY47/AJ48</f>
        <v>11.693606495964918</v>
      </c>
    </row>
    <row r="48" spans="3:54" x14ac:dyDescent="0.35">
      <c r="I48" s="62" t="s">
        <v>202</v>
      </c>
      <c r="J48" s="65">
        <f t="shared" si="6"/>
        <v>31.266416806727921</v>
      </c>
      <c r="K48" s="65">
        <f t="shared" si="3"/>
        <v>25.65</v>
      </c>
      <c r="L48" s="60">
        <f t="shared" si="4"/>
        <v>28.658573935840504</v>
      </c>
      <c r="M48" s="65">
        <f t="shared" si="5"/>
        <v>30.37903970430952</v>
      </c>
      <c r="AC48" s="61" t="s">
        <v>193</v>
      </c>
      <c r="AD48">
        <f t="shared" si="11"/>
        <v>6.7847499045996278</v>
      </c>
      <c r="AE48">
        <f t="shared" si="10"/>
        <v>0.40256258945823575</v>
      </c>
      <c r="AH48" s="62" t="s">
        <v>196</v>
      </c>
      <c r="AI48">
        <f>AVERAGEA(AD54:AD56)</f>
        <v>1.7276544205916364</v>
      </c>
      <c r="AJ48">
        <f>AVERAGEA(AE54:AE56)</f>
        <v>0.42919431953784049</v>
      </c>
      <c r="AM48" s="62" t="s">
        <v>196</v>
      </c>
      <c r="AN48">
        <f>STDEV(AD54:AD56)</f>
        <v>1.5370069139719578</v>
      </c>
      <c r="AO48">
        <f>AI48-CONFIDENCE(0.05,AN48,3)</f>
        <v>-1.1600676435472357E-2</v>
      </c>
      <c r="AP48">
        <f>AI48+CONFIDENCE(0.05,AN48,3)</f>
        <v>3.4669095176187454</v>
      </c>
      <c r="AQ48">
        <f>AI48/AI48</f>
        <v>1</v>
      </c>
      <c r="AR48">
        <f>AO48/AI48</f>
        <v>-6.7146972781163593E-3</v>
      </c>
      <c r="AS48">
        <f>AP48/AI48</f>
        <v>2.0067146972781167</v>
      </c>
      <c r="AV48" s="62" t="s">
        <v>196</v>
      </c>
      <c r="AW48">
        <f>STDEV(AE54:AE56)</f>
        <v>0.30073144793489404</v>
      </c>
      <c r="AX48">
        <f>AJ48-CONFIDENCE(0.05,AW48,3)</f>
        <v>8.8890903266643451E-2</v>
      </c>
      <c r="AY48">
        <f>AJ48+CONFIDENCE(0.05,AW48,3)</f>
        <v>0.76949773580903758</v>
      </c>
      <c r="AZ48">
        <f>AJ48/AJ48</f>
        <v>1</v>
      </c>
      <c r="BA48">
        <f>AX48/AJ48</f>
        <v>0.20711108982607648</v>
      </c>
      <c r="BB48">
        <f>AY48/AJ48</f>
        <v>1.7928889101739236</v>
      </c>
    </row>
    <row r="49" spans="9:65" x14ac:dyDescent="0.35">
      <c r="I49" s="62" t="s">
        <v>203</v>
      </c>
      <c r="J49" s="65">
        <f t="shared" si="6"/>
        <v>26.604370729296168</v>
      </c>
      <c r="K49" s="65">
        <f t="shared" si="3"/>
        <v>25.59</v>
      </c>
      <c r="L49" s="60">
        <f t="shared" si="4"/>
        <v>24.804145524957427</v>
      </c>
      <c r="M49" s="65">
        <f t="shared" si="5"/>
        <v>27.167512546932894</v>
      </c>
      <c r="AC49" s="61" t="s">
        <v>198</v>
      </c>
      <c r="AD49">
        <f t="shared" si="11"/>
        <v>4.1530494562066949</v>
      </c>
      <c r="AE49">
        <f t="shared" si="10"/>
        <v>0.88738605564303563</v>
      </c>
    </row>
    <row r="50" spans="9:65" x14ac:dyDescent="0.35">
      <c r="I50" s="62" t="s">
        <v>203</v>
      </c>
      <c r="J50" s="65">
        <f t="shared" si="6"/>
        <v>27.814083284318379</v>
      </c>
      <c r="K50" s="65">
        <f t="shared" si="3"/>
        <v>25.77</v>
      </c>
      <c r="L50" s="60">
        <f t="shared" si="4"/>
        <v>25.363337211510412</v>
      </c>
      <c r="M50" s="65">
        <f t="shared" si="5"/>
        <v>27.197620614033301</v>
      </c>
      <c r="AC50" s="61" t="s">
        <v>199</v>
      </c>
      <c r="AD50">
        <f t="shared" si="11"/>
        <v>9.7117488014095485</v>
      </c>
      <c r="AE50">
        <f t="shared" si="10"/>
        <v>2.2956125460634609</v>
      </c>
    </row>
    <row r="51" spans="9:65" x14ac:dyDescent="0.35">
      <c r="I51" s="62" t="s">
        <v>203</v>
      </c>
      <c r="J51" s="65">
        <f t="shared" si="6"/>
        <v>28.223524456787434</v>
      </c>
      <c r="K51" s="65">
        <f t="shared" si="3"/>
        <v>25.72</v>
      </c>
      <c r="L51" s="60">
        <f t="shared" si="4"/>
        <v>25.20356815820956</v>
      </c>
      <c r="M51" s="65">
        <f>G44*((LOG(2.005)/LOG(2)))</f>
        <v>27.538845374504568</v>
      </c>
      <c r="AC51" s="22" t="s">
        <v>195</v>
      </c>
      <c r="AD51">
        <f t="shared" si="11"/>
        <v>2.1846687717797364</v>
      </c>
      <c r="AE51">
        <f t="shared" si="10"/>
        <v>0.47686119772939095</v>
      </c>
    </row>
    <row r="52" spans="9:65" x14ac:dyDescent="0.35">
      <c r="AC52" s="22" t="s">
        <v>200</v>
      </c>
      <c r="AD52">
        <f t="shared" si="11"/>
        <v>11.615462143721022</v>
      </c>
      <c r="AE52">
        <f t="shared" si="10"/>
        <v>2.4224409703586725</v>
      </c>
    </row>
    <row r="53" spans="9:65" x14ac:dyDescent="0.35">
      <c r="AC53" s="22" t="s">
        <v>201</v>
      </c>
      <c r="AD53">
        <f t="shared" si="11"/>
        <v>20.140656775006544</v>
      </c>
      <c r="AE53">
        <f t="shared" si="10"/>
        <v>4.8025378789728883</v>
      </c>
    </row>
    <row r="54" spans="9:65" x14ac:dyDescent="0.35">
      <c r="AC54" s="62" t="s">
        <v>196</v>
      </c>
      <c r="AD54">
        <f t="shared" si="11"/>
        <v>0.4292262193234167</v>
      </c>
      <c r="AE54">
        <f t="shared" si="10"/>
        <v>0.16602880449080687</v>
      </c>
      <c r="AV54" s="106"/>
      <c r="AW54" s="168"/>
      <c r="AX54" s="168"/>
      <c r="AY54" s="106"/>
      <c r="AZ54" s="106"/>
      <c r="BA54" s="106"/>
    </row>
    <row r="55" spans="9:65" x14ac:dyDescent="0.35">
      <c r="AC55" s="62" t="s">
        <v>202</v>
      </c>
      <c r="AD55">
        <f t="shared" si="11"/>
        <v>1.3290358016511321</v>
      </c>
      <c r="AE55">
        <f t="shared" si="10"/>
        <v>0.36456969303990927</v>
      </c>
      <c r="AV55" s="168"/>
      <c r="AW55" s="106"/>
      <c r="AX55" s="106"/>
      <c r="AY55" s="106"/>
      <c r="AZ55" s="106"/>
      <c r="BA55" s="106"/>
    </row>
    <row r="56" spans="9:65" x14ac:dyDescent="0.35">
      <c r="AC56" s="62" t="s">
        <v>203</v>
      </c>
      <c r="AD56">
        <f>(AD22+AD39)/2</f>
        <v>3.4247012408003608</v>
      </c>
      <c r="AE56">
        <f>(AE22+AE39)/2</f>
        <v>0.75698446108280537</v>
      </c>
      <c r="AH56" s="78" t="s">
        <v>525</v>
      </c>
      <c r="AV56" s="168"/>
      <c r="AW56" s="106"/>
      <c r="AX56" s="106"/>
      <c r="AY56" s="106"/>
      <c r="AZ56" s="106"/>
      <c r="BA56" s="106"/>
    </row>
    <row r="57" spans="9:65" x14ac:dyDescent="0.35">
      <c r="AH57" s="1" t="s">
        <v>187</v>
      </c>
      <c r="AI57" s="1" t="s">
        <v>172</v>
      </c>
      <c r="AJ57" s="1" t="s">
        <v>173</v>
      </c>
      <c r="AV57" s="168"/>
      <c r="AW57" s="106"/>
      <c r="AX57" s="106"/>
      <c r="AY57" s="106"/>
      <c r="AZ57" s="106"/>
      <c r="BA57" s="106"/>
    </row>
    <row r="58" spans="9:65" x14ac:dyDescent="0.35">
      <c r="AH58" s="59" t="s">
        <v>175</v>
      </c>
      <c r="AI58">
        <f t="shared" ref="AI58:AI66" si="12">AD45/$AI$48</f>
        <v>5.1421743807469049</v>
      </c>
      <c r="AJ58">
        <f t="shared" ref="AJ58:AJ66" si="13">AE45/$AJ$48</f>
        <v>4.1676635715355612</v>
      </c>
      <c r="AV58" s="106"/>
      <c r="AW58" s="106"/>
      <c r="AX58" s="106"/>
      <c r="AY58" s="106"/>
      <c r="AZ58" s="106"/>
      <c r="BA58" s="106"/>
    </row>
    <row r="59" spans="9:65" x14ac:dyDescent="0.35">
      <c r="AH59" s="59" t="s">
        <v>192</v>
      </c>
      <c r="AI59">
        <f t="shared" si="12"/>
        <v>9.0108761555117542</v>
      </c>
      <c r="AJ59">
        <f t="shared" si="13"/>
        <v>8.0634757186446233</v>
      </c>
      <c r="AV59" s="106"/>
      <c r="AW59" s="106"/>
      <c r="AX59" s="106"/>
      <c r="AY59" s="106"/>
      <c r="AZ59" s="106"/>
      <c r="BA59" s="106"/>
    </row>
    <row r="60" spans="9:65" x14ac:dyDescent="0.35">
      <c r="AH60" s="59" t="s">
        <v>194</v>
      </c>
      <c r="AI60">
        <f t="shared" si="12"/>
        <v>10.658741611169537</v>
      </c>
      <c r="AJ60">
        <f t="shared" si="13"/>
        <v>8.7099301089708465</v>
      </c>
      <c r="AV60" s="168"/>
      <c r="AW60" s="106"/>
      <c r="AX60" s="106"/>
      <c r="AY60" s="106"/>
      <c r="AZ60" s="106"/>
      <c r="BA60" s="106"/>
    </row>
    <row r="61" spans="9:65" x14ac:dyDescent="0.35">
      <c r="AH61" s="61" t="s">
        <v>193</v>
      </c>
      <c r="AI61">
        <f t="shared" si="12"/>
        <v>3.9271452807536509</v>
      </c>
      <c r="AJ61">
        <f t="shared" si="13"/>
        <v>0.9379494814649878</v>
      </c>
      <c r="AV61" s="168"/>
      <c r="AW61" s="170"/>
      <c r="AX61" s="106"/>
      <c r="AY61" s="106"/>
      <c r="AZ61" s="106"/>
      <c r="BA61" s="106"/>
    </row>
    <row r="62" spans="9:65" x14ac:dyDescent="0.35">
      <c r="AH62" s="61" t="s">
        <v>198</v>
      </c>
      <c r="AI62">
        <f t="shared" si="12"/>
        <v>2.4038658464952039</v>
      </c>
      <c r="AJ62">
        <f t="shared" si="13"/>
        <v>2.0675624425751469</v>
      </c>
      <c r="AV62" s="168"/>
      <c r="AW62" s="170"/>
      <c r="AX62" s="106"/>
      <c r="AY62" s="106"/>
      <c r="AZ62" s="106"/>
      <c r="BA62" s="106"/>
      <c r="BK62" s="69"/>
      <c r="BL62" s="1"/>
      <c r="BM62" s="47"/>
    </row>
    <row r="63" spans="9:65" x14ac:dyDescent="0.35">
      <c r="AH63" s="61" t="s">
        <v>199</v>
      </c>
      <c r="AI63">
        <f t="shared" si="12"/>
        <v>5.6213492036698831</v>
      </c>
      <c r="AJ63">
        <f t="shared" si="13"/>
        <v>5.3486554727364357</v>
      </c>
      <c r="AV63" s="168"/>
      <c r="AW63" s="170"/>
      <c r="AX63" s="106"/>
      <c r="AY63" s="106"/>
      <c r="AZ63" s="106"/>
      <c r="BA63" s="106"/>
      <c r="BL63" s="1"/>
      <c r="BM63" s="47"/>
    </row>
    <row r="64" spans="9:65" x14ac:dyDescent="0.35">
      <c r="AH64" s="22" t="s">
        <v>195</v>
      </c>
      <c r="AI64">
        <f t="shared" si="12"/>
        <v>1.2645288002861099</v>
      </c>
      <c r="AJ64">
        <f t="shared" si="13"/>
        <v>1.1110612979288228</v>
      </c>
      <c r="BL64" s="1"/>
      <c r="BM64" s="47"/>
    </row>
    <row r="65" spans="33:41" x14ac:dyDescent="0.35">
      <c r="AH65" s="22" t="s">
        <v>200</v>
      </c>
      <c r="AI65">
        <f t="shared" si="12"/>
        <v>6.723255533790895</v>
      </c>
      <c r="AJ65">
        <f t="shared" si="13"/>
        <v>5.6441589743479694</v>
      </c>
    </row>
    <row r="66" spans="33:41" x14ac:dyDescent="0.35">
      <c r="AH66" s="22" t="s">
        <v>201</v>
      </c>
      <c r="AI66">
        <f t="shared" si="12"/>
        <v>11.657804092620191</v>
      </c>
      <c r="AJ66">
        <f t="shared" si="13"/>
        <v>11.189658530765961</v>
      </c>
    </row>
    <row r="73" spans="33:41" x14ac:dyDescent="0.35">
      <c r="AH73" s="1"/>
      <c r="AI73" s="1"/>
      <c r="AJ73" s="1"/>
      <c r="AK73" s="1"/>
      <c r="AL73" s="1"/>
    </row>
    <row r="74" spans="33:41" x14ac:dyDescent="0.35">
      <c r="AG74" s="187" t="s">
        <v>526</v>
      </c>
      <c r="AH74" s="76"/>
      <c r="AI74" s="76"/>
      <c r="AJ74" s="76"/>
      <c r="AK74" s="77" t="s">
        <v>208</v>
      </c>
      <c r="AL74" s="77" t="s">
        <v>209</v>
      </c>
      <c r="AM74" s="77" t="s">
        <v>210</v>
      </c>
      <c r="AN74" s="77" t="s">
        <v>82</v>
      </c>
      <c r="AO74" s="77" t="s">
        <v>211</v>
      </c>
    </row>
    <row r="75" spans="33:41" x14ac:dyDescent="0.35">
      <c r="AG75" s="75"/>
      <c r="AH75" s="76"/>
      <c r="AI75" s="76"/>
      <c r="AJ75" s="76"/>
      <c r="AK75" s="74"/>
      <c r="AL75" s="74"/>
      <c r="AM75" s="74"/>
      <c r="AN75" s="74"/>
      <c r="AO75" s="74"/>
    </row>
    <row r="76" spans="33:41" x14ac:dyDescent="0.35">
      <c r="AG76" s="75" t="s">
        <v>172</v>
      </c>
      <c r="AH76" s="76"/>
      <c r="AI76" s="76"/>
      <c r="AJ76" s="76"/>
      <c r="AK76" s="74"/>
      <c r="AL76" s="74"/>
      <c r="AM76" s="74"/>
      <c r="AN76" s="74"/>
      <c r="AO76" s="74"/>
    </row>
    <row r="77" spans="33:41" x14ac:dyDescent="0.35">
      <c r="AG77" s="75" t="s">
        <v>212</v>
      </c>
      <c r="AH77" s="76"/>
      <c r="AI77" s="76"/>
      <c r="AJ77" s="76"/>
      <c r="AK77" s="74">
        <v>-0.78039999999999998</v>
      </c>
      <c r="AL77" s="74" t="s">
        <v>213</v>
      </c>
      <c r="AM77" s="74" t="s">
        <v>214</v>
      </c>
      <c r="AN77" s="77" t="s">
        <v>162</v>
      </c>
      <c r="AO77" s="74">
        <v>0.94230000000000003</v>
      </c>
    </row>
    <row r="78" spans="33:41" x14ac:dyDescent="0.35">
      <c r="AG78" s="75" t="s">
        <v>215</v>
      </c>
      <c r="AH78" s="76"/>
      <c r="AI78" s="76"/>
      <c r="AJ78" s="76"/>
      <c r="AK78" s="74">
        <v>-5.8410000000000002</v>
      </c>
      <c r="AL78" s="74" t="s">
        <v>216</v>
      </c>
      <c r="AM78" s="74" t="s">
        <v>214</v>
      </c>
      <c r="AN78" s="77" t="s">
        <v>162</v>
      </c>
      <c r="AO78" s="74">
        <v>0.1061</v>
      </c>
    </row>
    <row r="79" spans="33:41" x14ac:dyDescent="0.35">
      <c r="AG79" s="75" t="s">
        <v>217</v>
      </c>
      <c r="AH79" s="76"/>
      <c r="AI79" s="76"/>
      <c r="AJ79" s="76"/>
      <c r="AK79" s="74">
        <v>-5.0609999999999999</v>
      </c>
      <c r="AL79" s="74" t="s">
        <v>218</v>
      </c>
      <c r="AM79" s="74" t="s">
        <v>214</v>
      </c>
      <c r="AN79" s="77" t="s">
        <v>162</v>
      </c>
      <c r="AO79" s="74">
        <v>0.16159999999999999</v>
      </c>
    </row>
    <row r="80" spans="33:41" x14ac:dyDescent="0.35">
      <c r="AG80" s="75"/>
      <c r="AH80" s="76"/>
      <c r="AI80" s="76"/>
      <c r="AJ80" s="76"/>
      <c r="AK80" s="74"/>
      <c r="AL80" s="74"/>
      <c r="AM80" s="74"/>
      <c r="AN80" s="77"/>
      <c r="AO80" s="74"/>
    </row>
    <row r="81" spans="33:41" x14ac:dyDescent="0.35">
      <c r="AG81" s="75" t="s">
        <v>173</v>
      </c>
      <c r="AH81" s="76"/>
      <c r="AI81" s="76"/>
      <c r="AJ81" s="76"/>
      <c r="AK81" s="74"/>
      <c r="AL81" s="74"/>
      <c r="AM81" s="74"/>
      <c r="AN81" s="77"/>
      <c r="AO81" s="74"/>
    </row>
    <row r="82" spans="33:41" x14ac:dyDescent="0.35">
      <c r="AG82" s="75" t="s">
        <v>212</v>
      </c>
      <c r="AH82" s="76"/>
      <c r="AI82" s="76"/>
      <c r="AJ82" s="76"/>
      <c r="AK82" s="74">
        <v>-0.33050000000000002</v>
      </c>
      <c r="AL82" s="74" t="s">
        <v>219</v>
      </c>
      <c r="AM82" s="74" t="s">
        <v>214</v>
      </c>
      <c r="AN82" s="77" t="s">
        <v>162</v>
      </c>
      <c r="AO82" s="74">
        <v>0.98929999999999996</v>
      </c>
    </row>
    <row r="83" spans="33:41" x14ac:dyDescent="0.35">
      <c r="AG83" s="75" t="s">
        <v>215</v>
      </c>
      <c r="AH83" s="76"/>
      <c r="AI83" s="76"/>
      <c r="AJ83" s="76"/>
      <c r="AK83" s="74">
        <v>-5.0090000000000003</v>
      </c>
      <c r="AL83" s="74" t="s">
        <v>220</v>
      </c>
      <c r="AM83" s="74" t="s">
        <v>214</v>
      </c>
      <c r="AN83" s="77" t="s">
        <v>162</v>
      </c>
      <c r="AO83" s="74">
        <v>0.1661</v>
      </c>
    </row>
    <row r="84" spans="33:41" x14ac:dyDescent="0.35">
      <c r="AG84" s="75" t="s">
        <v>217</v>
      </c>
      <c r="AH84" s="76"/>
      <c r="AI84" s="76"/>
      <c r="AJ84" s="76"/>
      <c r="AK84" s="74">
        <v>-4.6790000000000003</v>
      </c>
      <c r="AL84" s="74" t="s">
        <v>221</v>
      </c>
      <c r="AM84" s="74" t="s">
        <v>214</v>
      </c>
      <c r="AN84" s="77" t="s">
        <v>162</v>
      </c>
      <c r="AO84" s="74">
        <v>0.1983</v>
      </c>
    </row>
  </sheetData>
  <mergeCells count="16">
    <mergeCell ref="AV26:AX26"/>
    <mergeCell ref="AV9:AX9"/>
    <mergeCell ref="AV43:AY43"/>
    <mergeCell ref="AM26:AO26"/>
    <mergeCell ref="C6:G6"/>
    <mergeCell ref="I8:M8"/>
    <mergeCell ref="R9:V9"/>
    <mergeCell ref="AC9:AE9"/>
    <mergeCell ref="AC43:AE43"/>
    <mergeCell ref="AC26:AE26"/>
    <mergeCell ref="X9:AA9"/>
    <mergeCell ref="AH43:AJ43"/>
    <mergeCell ref="AM43:AO43"/>
    <mergeCell ref="AH26:AJ26"/>
    <mergeCell ref="AH9:AJ9"/>
    <mergeCell ref="AM9:AO9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9220" r:id="rId4">
          <objectPr defaultSize="0" autoPict="0" r:id="rId5">
            <anchor moveWithCells="1" sizeWithCells="1">
              <from>
                <xdr:col>36</xdr:col>
                <xdr:colOff>469900</xdr:colOff>
                <xdr:row>53</xdr:row>
                <xdr:rowOff>146050</xdr:rowOff>
              </from>
              <to>
                <xdr:col>40</xdr:col>
                <xdr:colOff>762000</xdr:colOff>
                <xdr:row>71</xdr:row>
                <xdr:rowOff>114300</xdr:rowOff>
              </to>
            </anchor>
          </objectPr>
        </oleObject>
      </mc:Choice>
      <mc:Fallback>
        <oleObject progId="Prism8.Document" shapeId="922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E788-2AD6-43A6-9FB2-16CDC19DB528}">
  <dimension ref="B1:L42"/>
  <sheetViews>
    <sheetView topLeftCell="A13" zoomScale="56" zoomScaleNormal="10" workbookViewId="0">
      <selection activeCell="I38" sqref="I38"/>
    </sheetView>
  </sheetViews>
  <sheetFormatPr defaultRowHeight="14.5" x14ac:dyDescent="0.35"/>
  <cols>
    <col min="2" max="2" width="17.453125" customWidth="1"/>
    <col min="3" max="3" width="21.90625" customWidth="1"/>
    <col min="4" max="4" width="22.36328125" customWidth="1"/>
    <col min="5" max="5" width="37.08984375" customWidth="1"/>
    <col min="6" max="6" width="14.54296875" customWidth="1"/>
    <col min="7" max="7" width="24.6328125" customWidth="1"/>
    <col min="8" max="8" width="13.6328125" customWidth="1"/>
    <col min="9" max="9" width="16.36328125" customWidth="1"/>
    <col min="10" max="10" width="15.90625" customWidth="1"/>
    <col min="11" max="11" width="11.54296875" customWidth="1"/>
  </cols>
  <sheetData>
    <row r="1" spans="2:12" x14ac:dyDescent="0.35">
      <c r="C1" s="1"/>
    </row>
    <row r="2" spans="2:12" ht="23.5" x14ac:dyDescent="0.55000000000000004">
      <c r="B2" s="128" t="s">
        <v>343</v>
      </c>
      <c r="C2" s="1"/>
    </row>
    <row r="3" spans="2:12" x14ac:dyDescent="0.35">
      <c r="C3" s="1"/>
    </row>
    <row r="4" spans="2:12" x14ac:dyDescent="0.35">
      <c r="B4" s="1" t="s">
        <v>0</v>
      </c>
      <c r="C4" s="1" t="s">
        <v>325</v>
      </c>
      <c r="D4" s="1" t="s">
        <v>326</v>
      </c>
      <c r="E4" s="1" t="s">
        <v>327</v>
      </c>
      <c r="F4" s="1" t="s">
        <v>328</v>
      </c>
      <c r="G4" s="1" t="s">
        <v>3</v>
      </c>
      <c r="H4" s="1" t="s">
        <v>329</v>
      </c>
      <c r="I4" s="1" t="s">
        <v>330</v>
      </c>
      <c r="J4" s="1" t="s">
        <v>331</v>
      </c>
      <c r="K4" s="1" t="s">
        <v>308</v>
      </c>
    </row>
    <row r="5" spans="2:12" x14ac:dyDescent="0.35">
      <c r="B5" s="1" t="s">
        <v>332</v>
      </c>
      <c r="C5" s="173" t="s">
        <v>29</v>
      </c>
      <c r="D5" s="172">
        <v>1</v>
      </c>
      <c r="E5" s="1" t="s">
        <v>16</v>
      </c>
      <c r="F5" s="104">
        <v>2</v>
      </c>
      <c r="G5" s="104" t="s">
        <v>333</v>
      </c>
      <c r="H5" s="173" t="s">
        <v>13</v>
      </c>
      <c r="I5" s="1">
        <f>SUM('WHO cone_FZ_FG hybrids'!I23:I24)</f>
        <v>18</v>
      </c>
      <c r="J5" s="1">
        <f>SUM('WHO cone_FZ_FG hybrids'!H23:H24)</f>
        <v>0</v>
      </c>
      <c r="K5" s="107">
        <f>J5/(I5+J5)*100</f>
        <v>0</v>
      </c>
    </row>
    <row r="6" spans="2:12" x14ac:dyDescent="0.35">
      <c r="C6" s="173"/>
      <c r="D6" s="172"/>
      <c r="E6" s="5" t="s">
        <v>22</v>
      </c>
      <c r="F6" s="116">
        <v>2</v>
      </c>
      <c r="G6" s="116" t="s">
        <v>333</v>
      </c>
      <c r="H6" s="173"/>
      <c r="I6" s="5">
        <f>SUM('WHO cone_FZ_FG hybrids'!I44:I45)</f>
        <v>16</v>
      </c>
      <c r="J6" s="5">
        <f>SUM('WHO cone_FZ_FG hybrids'!H44:H45)</f>
        <v>1</v>
      </c>
      <c r="K6" s="117">
        <f t="shared" ref="K6:K25" si="0">J6/(I6+J6)*100</f>
        <v>5.8823529411764701</v>
      </c>
    </row>
    <row r="7" spans="2:12" x14ac:dyDescent="0.35">
      <c r="C7" s="173"/>
      <c r="D7" s="172"/>
      <c r="E7" s="9" t="s">
        <v>40</v>
      </c>
      <c r="F7" s="118">
        <v>2</v>
      </c>
      <c r="G7" s="118" t="s">
        <v>333</v>
      </c>
      <c r="H7" s="173"/>
      <c r="I7" s="9">
        <f>SUM('WHO cone_FZ_FG hybrids'!I61:I62)</f>
        <v>10</v>
      </c>
      <c r="J7" s="9">
        <f>SUM('WHO cone_FZ_FG hybrids'!H61:H62)</f>
        <v>6</v>
      </c>
      <c r="K7" s="119">
        <f t="shared" si="0"/>
        <v>37.5</v>
      </c>
    </row>
    <row r="8" spans="2:12" x14ac:dyDescent="0.35">
      <c r="C8" s="173"/>
      <c r="D8" s="172"/>
      <c r="E8" s="17" t="s">
        <v>335</v>
      </c>
      <c r="F8" s="120">
        <v>2</v>
      </c>
      <c r="G8" s="120" t="s">
        <v>333</v>
      </c>
      <c r="H8" s="173"/>
      <c r="I8" s="17">
        <f>SUM('WHO cone_FZ_FG hybrids'!I96:I97)</f>
        <v>19</v>
      </c>
      <c r="J8" s="17">
        <f>SUM('WHO cone_FZ_FG hybrids'!H96:H97)</f>
        <v>2</v>
      </c>
      <c r="K8" s="121">
        <f t="shared" si="0"/>
        <v>9.5238095238095237</v>
      </c>
    </row>
    <row r="9" spans="2:12" x14ac:dyDescent="0.35">
      <c r="C9" s="171">
        <v>44379</v>
      </c>
      <c r="D9" s="172">
        <v>2</v>
      </c>
      <c r="E9" s="1" t="s">
        <v>16</v>
      </c>
      <c r="F9" s="104">
        <v>3</v>
      </c>
      <c r="G9" s="104" t="s">
        <v>333</v>
      </c>
      <c r="H9" s="173" t="s">
        <v>13</v>
      </c>
      <c r="I9">
        <f>SUM('WHO cone_FZ_FG hybrids'!I5:I7)</f>
        <v>33</v>
      </c>
      <c r="J9">
        <f>SUM('WHO cone_FZ_FG hybrids'!H5:H7)</f>
        <v>0</v>
      </c>
      <c r="K9" s="107">
        <f t="shared" si="0"/>
        <v>0</v>
      </c>
      <c r="L9" s="3"/>
    </row>
    <row r="10" spans="2:12" x14ac:dyDescent="0.35">
      <c r="C10" s="171"/>
      <c r="D10" s="172"/>
      <c r="E10" s="5" t="s">
        <v>22</v>
      </c>
      <c r="F10" s="105">
        <v>3</v>
      </c>
      <c r="G10" s="116" t="s">
        <v>333</v>
      </c>
      <c r="H10" s="173"/>
      <c r="I10" s="6">
        <f>SUM('WHO cone_FZ_FG hybrids'!I25:I27)</f>
        <v>29</v>
      </c>
      <c r="J10" s="7">
        <f>SUM('WHO cone_FZ_FG hybrids'!H25:H27)</f>
        <v>4</v>
      </c>
      <c r="K10" s="117">
        <f t="shared" si="0"/>
        <v>12.121212121212121</v>
      </c>
    </row>
    <row r="11" spans="2:12" x14ac:dyDescent="0.35">
      <c r="C11" s="171"/>
      <c r="D11" s="172"/>
      <c r="E11" s="17" t="s">
        <v>335</v>
      </c>
      <c r="F11" s="120">
        <v>3</v>
      </c>
      <c r="G11" s="120" t="s">
        <v>333</v>
      </c>
      <c r="H11" s="173"/>
      <c r="I11" s="18">
        <f>SUM('WHO cone_FZ_FG hybrids'!I76:I78)</f>
        <v>10</v>
      </c>
      <c r="J11" s="18">
        <f>SUM('WHO cone_FZ_FG hybrids'!H76:H78)</f>
        <v>24</v>
      </c>
      <c r="K11" s="121">
        <f t="shared" si="0"/>
        <v>70.588235294117652</v>
      </c>
    </row>
    <row r="12" spans="2:12" x14ac:dyDescent="0.35">
      <c r="C12" s="171">
        <v>44381</v>
      </c>
      <c r="D12" s="172">
        <v>3</v>
      </c>
      <c r="E12" s="1" t="s">
        <v>16</v>
      </c>
      <c r="F12" s="104">
        <v>5</v>
      </c>
      <c r="G12" s="104" t="s">
        <v>333</v>
      </c>
      <c r="H12" s="173" t="s">
        <v>13</v>
      </c>
      <c r="I12" s="106">
        <f>SUM('WHO cone_FZ_FG hybrids'!I8:I12)</f>
        <v>49</v>
      </c>
      <c r="J12" s="106">
        <f>SUM('WHO cone_FZ_FG hybrids'!H8:H12)</f>
        <v>1</v>
      </c>
      <c r="K12" s="107">
        <f t="shared" si="0"/>
        <v>2</v>
      </c>
    </row>
    <row r="13" spans="2:12" x14ac:dyDescent="0.35">
      <c r="C13" s="171"/>
      <c r="D13" s="172"/>
      <c r="E13" s="5" t="s">
        <v>22</v>
      </c>
      <c r="F13" s="116">
        <v>5</v>
      </c>
      <c r="G13" s="116" t="s">
        <v>333</v>
      </c>
      <c r="H13" s="173"/>
      <c r="I13" s="6">
        <f>SUM('WHO cone_FZ_FG hybrids'!I28:I32)</f>
        <v>38</v>
      </c>
      <c r="J13" s="6">
        <f>SUM('WHO cone_FZ_FG hybrids'!H28:H32)</f>
        <v>12</v>
      </c>
      <c r="K13" s="117">
        <f t="shared" si="0"/>
        <v>24</v>
      </c>
    </row>
    <row r="14" spans="2:12" x14ac:dyDescent="0.35">
      <c r="C14" s="171"/>
      <c r="D14" s="172"/>
      <c r="E14" s="9" t="s">
        <v>24</v>
      </c>
      <c r="F14" s="118">
        <v>4</v>
      </c>
      <c r="G14" s="118" t="s">
        <v>333</v>
      </c>
      <c r="H14" s="173"/>
      <c r="I14" s="10">
        <f>SUM('WHO cone_FZ_FG hybrids'!I46:I49)</f>
        <v>28</v>
      </c>
      <c r="J14" s="10">
        <f>SUM('WHO cone_FZ_FG hybrids'!H46:H49)</f>
        <v>13</v>
      </c>
      <c r="K14" s="119">
        <f t="shared" si="0"/>
        <v>31.707317073170731</v>
      </c>
    </row>
    <row r="15" spans="2:12" x14ac:dyDescent="0.35">
      <c r="C15" s="171"/>
      <c r="D15" s="172"/>
      <c r="E15" s="13" t="s">
        <v>26</v>
      </c>
      <c r="F15" s="122">
        <v>5</v>
      </c>
      <c r="G15" s="122" t="s">
        <v>333</v>
      </c>
      <c r="H15" s="173"/>
      <c r="I15" s="14">
        <f>SUM('WHO cone_FZ_FG hybrids'!I63:I66)</f>
        <v>2</v>
      </c>
      <c r="J15" s="14">
        <f>SUM('WHO cone_FZ_FG hybrids'!H63:H66)</f>
        <v>41</v>
      </c>
      <c r="K15" s="123">
        <f t="shared" si="0"/>
        <v>95.348837209302332</v>
      </c>
    </row>
    <row r="16" spans="2:12" x14ac:dyDescent="0.35">
      <c r="C16" s="171"/>
      <c r="D16" s="172"/>
      <c r="E16" s="17" t="s">
        <v>335</v>
      </c>
      <c r="F16" s="120">
        <v>5</v>
      </c>
      <c r="G16" s="120" t="s">
        <v>333</v>
      </c>
      <c r="H16" s="173"/>
      <c r="I16" s="18">
        <f>SUM('WHO cone_FZ_FG hybrids'!I79:I83)</f>
        <v>41</v>
      </c>
      <c r="J16" s="18">
        <f>SUM('WHO cone_FZ_FG hybrids'!H79:H83)</f>
        <v>13</v>
      </c>
      <c r="K16" s="121">
        <f t="shared" si="0"/>
        <v>24.074074074074073</v>
      </c>
    </row>
    <row r="17" spans="3:11" x14ac:dyDescent="0.35">
      <c r="C17" s="171">
        <v>44384</v>
      </c>
      <c r="D17" s="173">
        <v>4</v>
      </c>
      <c r="E17" s="1" t="s">
        <v>16</v>
      </c>
      <c r="F17" s="104">
        <v>7</v>
      </c>
      <c r="G17" s="104" t="s">
        <v>333</v>
      </c>
      <c r="H17" s="173" t="s">
        <v>13</v>
      </c>
      <c r="I17">
        <f>SUM('WHO cone_FZ_FG hybrids'!I13:I19)</f>
        <v>77</v>
      </c>
      <c r="J17">
        <f>SUM('WHO cone_FZ_FG hybrids'!H13:H19)</f>
        <v>3</v>
      </c>
      <c r="K17" s="107">
        <f t="shared" si="0"/>
        <v>3.75</v>
      </c>
    </row>
    <row r="18" spans="3:11" x14ac:dyDescent="0.35">
      <c r="C18" s="171"/>
      <c r="D18" s="173"/>
      <c r="E18" s="5" t="s">
        <v>22</v>
      </c>
      <c r="F18" s="116">
        <v>7</v>
      </c>
      <c r="G18" s="116" t="s">
        <v>333</v>
      </c>
      <c r="H18" s="173"/>
      <c r="I18" s="6">
        <f>SUM('WHO cone_FZ_FG hybrids'!I33:I39)</f>
        <v>68</v>
      </c>
      <c r="J18" s="6">
        <f>SUM('WHO cone_FZ_FG hybrids'!H33:H39)</f>
        <v>12</v>
      </c>
      <c r="K18" s="117">
        <f t="shared" si="0"/>
        <v>15</v>
      </c>
    </row>
    <row r="19" spans="3:11" x14ac:dyDescent="0.35">
      <c r="C19" s="171"/>
      <c r="D19" s="173"/>
      <c r="E19" s="9" t="s">
        <v>24</v>
      </c>
      <c r="F19" s="118">
        <v>8</v>
      </c>
      <c r="G19" s="118" t="s">
        <v>333</v>
      </c>
      <c r="H19" s="173"/>
      <c r="I19" s="10">
        <f>SUM('WHO cone_FZ_FG hybrids'!I50:I57)</f>
        <v>67</v>
      </c>
      <c r="J19" s="10">
        <f>SUM('WHO cone_FZ_FG hybrids'!H50:H57)</f>
        <v>33</v>
      </c>
      <c r="K19" s="119">
        <f t="shared" si="0"/>
        <v>33</v>
      </c>
    </row>
    <row r="20" spans="3:11" x14ac:dyDescent="0.35">
      <c r="C20" s="171"/>
      <c r="D20" s="173"/>
      <c r="E20" s="13" t="s">
        <v>26</v>
      </c>
      <c r="F20" s="122">
        <v>8</v>
      </c>
      <c r="G20" s="122" t="s">
        <v>333</v>
      </c>
      <c r="H20" s="173"/>
      <c r="I20" s="14">
        <f>SUM('WHO cone_FZ_FG hybrids'!I68:I75)</f>
        <v>3</v>
      </c>
      <c r="J20" s="14">
        <f>SUM('WHO cone_FZ_FG hybrids'!H68:H75)</f>
        <v>94</v>
      </c>
      <c r="K20" s="123">
        <f t="shared" si="0"/>
        <v>96.907216494845358</v>
      </c>
    </row>
    <row r="21" spans="3:11" x14ac:dyDescent="0.35">
      <c r="C21" s="171"/>
      <c r="D21" s="173"/>
      <c r="E21" s="17" t="s">
        <v>335</v>
      </c>
      <c r="F21" s="120">
        <v>8</v>
      </c>
      <c r="G21" s="120" t="s">
        <v>333</v>
      </c>
      <c r="H21" s="173"/>
      <c r="I21" s="18">
        <f>SUM('WHO cone_FZ_FG hybrids'!I84:I91)</f>
        <v>87</v>
      </c>
      <c r="J21" s="18">
        <f>SUM('WHO cone_FZ_FG hybrids'!H84:H91)</f>
        <v>10</v>
      </c>
      <c r="K21" s="121">
        <f t="shared" si="0"/>
        <v>10.309278350515463</v>
      </c>
    </row>
    <row r="22" spans="3:11" x14ac:dyDescent="0.35">
      <c r="C22" s="171">
        <v>44386</v>
      </c>
      <c r="D22" s="173">
        <v>5</v>
      </c>
      <c r="E22" s="1" t="s">
        <v>16</v>
      </c>
      <c r="F22" s="104">
        <v>3</v>
      </c>
      <c r="G22" s="104" t="s">
        <v>333</v>
      </c>
      <c r="H22" s="173" t="s">
        <v>13</v>
      </c>
      <c r="I22">
        <f>SUM('WHO cone_FZ_FG hybrids'!I20:I22)</f>
        <v>28</v>
      </c>
      <c r="J22">
        <f>SUM('WHO cone_FZ_FG hybrids'!H20:H22)</f>
        <v>0</v>
      </c>
      <c r="K22" s="107">
        <f t="shared" si="0"/>
        <v>0</v>
      </c>
    </row>
    <row r="23" spans="3:11" x14ac:dyDescent="0.35">
      <c r="C23" s="171"/>
      <c r="D23" s="173"/>
      <c r="E23" s="5" t="s">
        <v>22</v>
      </c>
      <c r="F23" s="116">
        <v>3</v>
      </c>
      <c r="G23" s="116" t="s">
        <v>333</v>
      </c>
      <c r="H23" s="173"/>
      <c r="I23" s="6">
        <f>SUM('WHO cone_FZ_FG hybrids'!I40:I43)</f>
        <v>32</v>
      </c>
      <c r="J23" s="6">
        <f>SUM('WHO cone_FZ_FG hybrids'!H40:H43)</f>
        <v>11</v>
      </c>
      <c r="K23" s="117">
        <f t="shared" si="0"/>
        <v>25.581395348837212</v>
      </c>
    </row>
    <row r="24" spans="3:11" x14ac:dyDescent="0.35">
      <c r="C24" s="171"/>
      <c r="D24" s="173"/>
      <c r="E24" s="9" t="s">
        <v>40</v>
      </c>
      <c r="F24" s="118">
        <v>3</v>
      </c>
      <c r="G24" s="118" t="s">
        <v>333</v>
      </c>
      <c r="H24" s="173"/>
      <c r="I24" s="10">
        <f>SUM('WHO cone_FZ_FG hybrids'!I58:I60)</f>
        <v>23</v>
      </c>
      <c r="J24" s="10">
        <f>SUM('WHO cone_FZ_FG hybrids'!H58:H60)</f>
        <v>9</v>
      </c>
      <c r="K24" s="119">
        <f t="shared" si="0"/>
        <v>28.125</v>
      </c>
    </row>
    <row r="25" spans="3:11" x14ac:dyDescent="0.35">
      <c r="C25" s="171"/>
      <c r="D25" s="173"/>
      <c r="E25" s="17" t="s">
        <v>335</v>
      </c>
      <c r="F25" s="120">
        <v>4</v>
      </c>
      <c r="G25" s="120" t="s">
        <v>333</v>
      </c>
      <c r="H25" s="173"/>
      <c r="I25" s="18">
        <f>SUM('WHO cone_FZ_FG hybrids'!I92:I95)</f>
        <v>43</v>
      </c>
      <c r="J25" s="18">
        <f>SUM('WHO cone_FZ_FG hybrids'!H92:H95)</f>
        <v>3</v>
      </c>
      <c r="K25" s="121">
        <f t="shared" si="0"/>
        <v>6.5217391304347823</v>
      </c>
    </row>
    <row r="28" spans="3:11" x14ac:dyDescent="0.35">
      <c r="E28" s="22" t="s">
        <v>334</v>
      </c>
    </row>
    <row r="29" spans="3:11" x14ac:dyDescent="0.35">
      <c r="E29" s="57" t="s">
        <v>327</v>
      </c>
      <c r="F29" s="57" t="s">
        <v>308</v>
      </c>
      <c r="G29" s="57" t="s">
        <v>336</v>
      </c>
      <c r="H29" s="57" t="s">
        <v>330</v>
      </c>
      <c r="I29" s="57" t="s">
        <v>331</v>
      </c>
    </row>
    <row r="30" spans="3:11" x14ac:dyDescent="0.35">
      <c r="E30" s="1" t="s">
        <v>16</v>
      </c>
      <c r="F30" s="72">
        <f>AVERAGE(K5,K9,K12,K17,K22)</f>
        <v>1.1499999999999999</v>
      </c>
      <c r="G30" s="72">
        <f>STDEV(K5,K9,K12,K17,K22)/SQRT(COUNT(K5,K12,K9,K17,K22))</f>
        <v>0.75663729752107778</v>
      </c>
      <c r="H30" s="2">
        <f>SUM(H8,H12,H15,H18,H22,H26)</f>
        <v>0</v>
      </c>
      <c r="I30" s="2">
        <f>SUM(I15,I18,I12,I8,I22,I26)</f>
        <v>166</v>
      </c>
    </row>
    <row r="31" spans="3:11" x14ac:dyDescent="0.35">
      <c r="E31" s="5" t="s">
        <v>22</v>
      </c>
      <c r="F31" s="114">
        <f>AVERAGE(K6,K10,K13,K18,K23)</f>
        <v>16.51699208224516</v>
      </c>
      <c r="G31" s="115">
        <f>STDEV(K6,K10,K13,K18,K23)/SQRT(COUNT(K6,K10,K13,K18,K23))</f>
        <v>3.6937684698742976</v>
      </c>
      <c r="H31" s="21">
        <f>SUM(H6,H9,H14:H16)</f>
        <v>0</v>
      </c>
      <c r="I31" s="21">
        <f>SUM(I6,I9,I14:I16)</f>
        <v>120</v>
      </c>
    </row>
    <row r="32" spans="3:11" x14ac:dyDescent="0.35">
      <c r="E32" s="9" t="s">
        <v>24</v>
      </c>
      <c r="F32" s="112">
        <f>AVERAGE(K7,K14,K19,K24)</f>
        <v>32.583079268292678</v>
      </c>
      <c r="G32" s="113">
        <f>STDEV(K7,K14,K19,K24)/SQRT(COUNT(K7,K14,K19,K24))</f>
        <v>1.9363058161356097</v>
      </c>
      <c r="H32" s="26">
        <f>SUM(H7,H10,H13,H19)</f>
        <v>0</v>
      </c>
      <c r="I32" s="26">
        <f>SUM(I7,I10,I13,I19,I23)</f>
        <v>176</v>
      </c>
    </row>
    <row r="33" spans="3:9" x14ac:dyDescent="0.35">
      <c r="E33" s="13" t="s">
        <v>26</v>
      </c>
      <c r="F33" s="108">
        <f>AVERAGE(K15,K20)</f>
        <v>96.128026852073845</v>
      </c>
      <c r="G33" s="109">
        <f>STDEV(K15,K20)/SQRT(COUNT(K15,K20))</f>
        <v>0.77918964277151292</v>
      </c>
      <c r="H33" s="70">
        <f>SUM(H11,H17)</f>
        <v>0</v>
      </c>
      <c r="I33" s="70">
        <f>SUM(I17,I11)</f>
        <v>87</v>
      </c>
    </row>
    <row r="34" spans="3:9" x14ac:dyDescent="0.35">
      <c r="E34" s="17" t="s">
        <v>335</v>
      </c>
      <c r="F34" s="110">
        <f>AVERAGE(K8,K11,K16,K21,K25)</f>
        <v>24.203427274590297</v>
      </c>
      <c r="G34" s="111">
        <f>STDEV(K8,K11,K16,K21,K25)/SQRT(COUNT(K8,K11,K16,K21,K25))</f>
        <v>11.984881715143191</v>
      </c>
      <c r="H34" s="38">
        <v>3</v>
      </c>
      <c r="I34" s="38">
        <f>SUM(I24,I20)</f>
        <v>26</v>
      </c>
    </row>
    <row r="40" spans="3:9" x14ac:dyDescent="0.35">
      <c r="C40" s="39" t="s">
        <v>52</v>
      </c>
      <c r="D40" s="125"/>
      <c r="E40" s="126"/>
    </row>
    <row r="41" spans="3:9" x14ac:dyDescent="0.35">
      <c r="C41" s="39" t="s">
        <v>53</v>
      </c>
      <c r="D41" s="125"/>
      <c r="E41" s="126"/>
    </row>
    <row r="42" spans="3:9" ht="16.5" x14ac:dyDescent="0.35">
      <c r="C42" s="39" t="s">
        <v>54</v>
      </c>
      <c r="D42" s="125"/>
      <c r="E42" s="126"/>
    </row>
  </sheetData>
  <mergeCells count="15">
    <mergeCell ref="H5:H8"/>
    <mergeCell ref="H9:H11"/>
    <mergeCell ref="H12:H16"/>
    <mergeCell ref="H17:H21"/>
    <mergeCell ref="H22:H25"/>
    <mergeCell ref="C17:C21"/>
    <mergeCell ref="C22:C25"/>
    <mergeCell ref="D5:D8"/>
    <mergeCell ref="D9:D11"/>
    <mergeCell ref="D12:D16"/>
    <mergeCell ref="D17:D21"/>
    <mergeCell ref="D22:D25"/>
    <mergeCell ref="C5:C8"/>
    <mergeCell ref="C9:C11"/>
    <mergeCell ref="C12:C1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8.Document" shapeId="20481" r:id="rId3">
          <objectPr defaultSize="0" autoPict="0" r:id="rId4">
            <anchor moveWithCells="1">
              <from>
                <xdr:col>10</xdr:col>
                <xdr:colOff>304800</xdr:colOff>
                <xdr:row>25</xdr:row>
                <xdr:rowOff>69850</xdr:rowOff>
              </from>
              <to>
                <xdr:col>17</xdr:col>
                <xdr:colOff>311150</xdr:colOff>
                <xdr:row>36</xdr:row>
                <xdr:rowOff>57150</xdr:rowOff>
              </to>
            </anchor>
          </objectPr>
        </oleObject>
      </mc:Choice>
      <mc:Fallback>
        <oleObject progId="Prism8.Document" shapeId="20481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3F32-A31F-40CD-85B4-A13526045FD8}">
  <dimension ref="B3:S73"/>
  <sheetViews>
    <sheetView zoomScale="40" zoomScaleNormal="40" workbookViewId="0">
      <selection activeCell="P32" sqref="P32"/>
    </sheetView>
  </sheetViews>
  <sheetFormatPr defaultRowHeight="14.5" x14ac:dyDescent="0.35"/>
  <cols>
    <col min="2" max="2" width="15.54296875" customWidth="1"/>
    <col min="3" max="3" width="11.54296875" customWidth="1"/>
    <col min="4" max="4" width="12.7265625" customWidth="1"/>
    <col min="7" max="7" width="22.90625" customWidth="1"/>
    <col min="8" max="8" width="14.90625" customWidth="1"/>
    <col min="9" max="9" width="15.26953125" customWidth="1"/>
    <col min="10" max="10" width="10.54296875" customWidth="1"/>
    <col min="11" max="11" width="19.81640625" customWidth="1"/>
    <col min="15" max="15" width="26.453125" customWidth="1"/>
    <col min="18" max="18" width="19.54296875" customWidth="1"/>
  </cols>
  <sheetData>
    <row r="3" spans="2:19" ht="23.5" x14ac:dyDescent="0.55000000000000004">
      <c r="B3" s="128" t="s">
        <v>339</v>
      </c>
    </row>
    <row r="5" spans="2:19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19</v>
      </c>
      <c r="L5" s="1" t="s">
        <v>10</v>
      </c>
    </row>
    <row r="6" spans="2:19" x14ac:dyDescent="0.35">
      <c r="B6" s="69" t="s">
        <v>62</v>
      </c>
      <c r="C6" s="1" t="s">
        <v>63</v>
      </c>
      <c r="D6" s="1" t="s">
        <v>16</v>
      </c>
      <c r="E6" s="1" t="s">
        <v>12</v>
      </c>
      <c r="F6" s="174" t="s">
        <v>247</v>
      </c>
      <c r="G6" s="2">
        <v>1</v>
      </c>
      <c r="H6">
        <v>0</v>
      </c>
      <c r="I6">
        <v>8</v>
      </c>
      <c r="J6">
        <f t="shared" ref="J6:J10" si="0">SUM(H6:I6)</f>
        <v>8</v>
      </c>
      <c r="K6" s="3">
        <f t="shared" ref="K6:K10" si="1">(H6/J6)*100</f>
        <v>0</v>
      </c>
      <c r="L6" s="3">
        <f>AVERAGE(K6:K10)</f>
        <v>1.8181818181818183</v>
      </c>
    </row>
    <row r="7" spans="2:19" x14ac:dyDescent="0.35">
      <c r="B7" s="1" t="s">
        <v>64</v>
      </c>
      <c r="C7" s="1" t="s">
        <v>63</v>
      </c>
      <c r="D7" s="1" t="s">
        <v>16</v>
      </c>
      <c r="E7" s="1" t="s">
        <v>14</v>
      </c>
      <c r="F7" s="174"/>
      <c r="G7" s="2">
        <v>0</v>
      </c>
      <c r="H7">
        <v>1</v>
      </c>
      <c r="I7">
        <v>10</v>
      </c>
      <c r="J7">
        <f t="shared" si="0"/>
        <v>11</v>
      </c>
      <c r="K7" s="3">
        <f t="shared" si="1"/>
        <v>9.0909090909090917</v>
      </c>
      <c r="O7" s="79" t="s">
        <v>82</v>
      </c>
    </row>
    <row r="8" spans="2:19" x14ac:dyDescent="0.35">
      <c r="C8" s="1" t="s">
        <v>63</v>
      </c>
      <c r="D8" s="1" t="s">
        <v>16</v>
      </c>
      <c r="E8" s="1" t="s">
        <v>15</v>
      </c>
      <c r="F8" s="174"/>
      <c r="G8" s="2">
        <v>0</v>
      </c>
      <c r="H8">
        <v>0</v>
      </c>
      <c r="I8">
        <v>10</v>
      </c>
      <c r="J8">
        <f t="shared" si="0"/>
        <v>10</v>
      </c>
      <c r="K8" s="3">
        <f t="shared" si="1"/>
        <v>0</v>
      </c>
      <c r="P8" s="1" t="s">
        <v>17</v>
      </c>
      <c r="Q8" s="1" t="s">
        <v>18</v>
      </c>
      <c r="R8" s="1" t="s">
        <v>19</v>
      </c>
      <c r="S8" s="1" t="s">
        <v>65</v>
      </c>
    </row>
    <row r="9" spans="2:19" x14ac:dyDescent="0.35">
      <c r="C9" s="1" t="s">
        <v>63</v>
      </c>
      <c r="D9" s="1" t="s">
        <v>16</v>
      </c>
      <c r="E9" s="1" t="s">
        <v>23</v>
      </c>
      <c r="F9" s="174"/>
      <c r="G9" s="2">
        <v>0</v>
      </c>
      <c r="H9">
        <v>0</v>
      </c>
      <c r="I9">
        <v>10</v>
      </c>
      <c r="J9">
        <f t="shared" si="0"/>
        <v>10</v>
      </c>
      <c r="K9" s="3">
        <f t="shared" si="1"/>
        <v>0</v>
      </c>
      <c r="O9" s="1" t="s">
        <v>21</v>
      </c>
      <c r="P9">
        <f>SUM(I6:I17)</f>
        <v>125</v>
      </c>
      <c r="Q9">
        <f>SUM(H6:H17)</f>
        <v>3</v>
      </c>
      <c r="R9" s="3">
        <f>AVERAGE(K6:K17)</f>
        <v>2.3484848484848491</v>
      </c>
      <c r="S9">
        <f>STDEV(K6:K17)/SQRT(COUNT(K6:K17))</f>
        <v>1.2281566724517767</v>
      </c>
    </row>
    <row r="10" spans="2:19" x14ac:dyDescent="0.35">
      <c r="C10" s="1" t="s">
        <v>63</v>
      </c>
      <c r="D10" s="1" t="s">
        <v>16</v>
      </c>
      <c r="E10" s="1" t="s">
        <v>25</v>
      </c>
      <c r="F10" s="174"/>
      <c r="G10" s="2">
        <v>1</v>
      </c>
      <c r="H10">
        <v>0</v>
      </c>
      <c r="I10">
        <v>10</v>
      </c>
      <c r="J10">
        <f t="shared" si="0"/>
        <v>10</v>
      </c>
      <c r="K10" s="3">
        <f t="shared" si="1"/>
        <v>0</v>
      </c>
      <c r="O10" s="5" t="s">
        <v>22</v>
      </c>
      <c r="P10" s="6">
        <f>SUM(I18,I20:I23,I25:I27,I29:I31)</f>
        <v>110</v>
      </c>
      <c r="Q10" s="6">
        <f>SUM(H18,H20:H23,H25:H27,H29:H31)</f>
        <v>20</v>
      </c>
      <c r="R10" s="8">
        <f>AVERAGE(K18,K20:K23,K25:K27,K29:K31)</f>
        <v>16.671964399237126</v>
      </c>
      <c r="S10" s="8">
        <f>STDEV(K18,K20:K23,K25:K27,K29:K31)/SQRT(COUNT(K18,K20:K23,K25:K27,K29:K31))</f>
        <v>5.5348503139679375</v>
      </c>
    </row>
    <row r="11" spans="2:19" x14ac:dyDescent="0.35">
      <c r="C11" s="1" t="s">
        <v>66</v>
      </c>
      <c r="D11" s="1" t="s">
        <v>16</v>
      </c>
      <c r="E11" s="1" t="s">
        <v>12</v>
      </c>
      <c r="F11" s="174"/>
      <c r="G11" s="2">
        <v>0</v>
      </c>
      <c r="H11">
        <v>1</v>
      </c>
      <c r="I11">
        <v>9</v>
      </c>
      <c r="J11">
        <f t="shared" ref="J11:J17" si="2">SUM(H11:I11)</f>
        <v>10</v>
      </c>
      <c r="K11" s="3">
        <f>(H11/J11)*100</f>
        <v>10</v>
      </c>
      <c r="L11" s="3">
        <f>AVERAGE(K11:K14)</f>
        <v>4.7727272727272734</v>
      </c>
      <c r="O11" s="27" t="s">
        <v>40</v>
      </c>
      <c r="P11" s="28">
        <f>SUM(I32:I43)</f>
        <v>134</v>
      </c>
      <c r="Q11" s="28">
        <f>SUM(H32:H43)</f>
        <v>12</v>
      </c>
      <c r="R11" s="31">
        <f>AVERAGE(K32:K43)</f>
        <v>8.7088837088837092</v>
      </c>
      <c r="S11" s="31">
        <f>STDEV(K32:K43)/SQRT(COUNT(K32:K43))</f>
        <v>3.092105427996819</v>
      </c>
    </row>
    <row r="12" spans="2:19" x14ac:dyDescent="0.35">
      <c r="C12" s="1" t="s">
        <v>66</v>
      </c>
      <c r="D12" s="1" t="s">
        <v>16</v>
      </c>
      <c r="E12" s="1" t="s">
        <v>14</v>
      </c>
      <c r="F12" s="174"/>
      <c r="G12" s="2">
        <v>1</v>
      </c>
      <c r="H12">
        <v>1</v>
      </c>
      <c r="I12">
        <v>10</v>
      </c>
      <c r="J12">
        <f t="shared" si="2"/>
        <v>11</v>
      </c>
      <c r="K12" s="3">
        <f>(H12/J12)*100</f>
        <v>9.0909090909090917</v>
      </c>
      <c r="O12" s="40" t="s">
        <v>67</v>
      </c>
      <c r="P12" s="41">
        <f>SUM(I44:I54)</f>
        <v>0</v>
      </c>
      <c r="Q12" s="41">
        <f>SUM(H44:H54)</f>
        <v>129</v>
      </c>
      <c r="R12" s="42">
        <f>AVERAGE(K44:K54)</f>
        <v>100</v>
      </c>
      <c r="S12" s="41">
        <f>STDEV(K44:K48)/SQRT(COUNT(K44:K48))</f>
        <v>0</v>
      </c>
    </row>
    <row r="13" spans="2:19" x14ac:dyDescent="0.35">
      <c r="C13" s="1" t="s">
        <v>66</v>
      </c>
      <c r="D13" s="1" t="s">
        <v>16</v>
      </c>
      <c r="E13" s="1" t="s">
        <v>15</v>
      </c>
      <c r="F13" s="174"/>
      <c r="G13" s="2">
        <v>0</v>
      </c>
      <c r="H13">
        <v>0</v>
      </c>
      <c r="I13">
        <v>9</v>
      </c>
      <c r="J13">
        <f t="shared" si="2"/>
        <v>9</v>
      </c>
      <c r="K13" s="3">
        <f t="shared" ref="K13:K14" si="3">(H13/J13)*100</f>
        <v>0</v>
      </c>
      <c r="O13" s="17" t="s">
        <v>51</v>
      </c>
      <c r="P13" s="18">
        <f>SUM(I55:I68)</f>
        <v>157</v>
      </c>
      <c r="Q13" s="18">
        <f>SUM(H55:H68)</f>
        <v>16</v>
      </c>
      <c r="R13" s="20">
        <f>AVERAGE(K55:K68)</f>
        <v>10.680093715807999</v>
      </c>
      <c r="S13" s="18">
        <f>STDEV(K55:K68)/SQRT(COUNT(K55:K68))</f>
        <v>3.0528098556656791</v>
      </c>
    </row>
    <row r="14" spans="2:19" x14ac:dyDescent="0.35">
      <c r="C14" s="1" t="s">
        <v>66</v>
      </c>
      <c r="D14" s="1" t="s">
        <v>16</v>
      </c>
      <c r="E14" s="1" t="s">
        <v>23</v>
      </c>
      <c r="F14" s="174"/>
      <c r="G14" s="2">
        <v>0</v>
      </c>
      <c r="H14">
        <v>0</v>
      </c>
      <c r="I14">
        <v>10</v>
      </c>
      <c r="J14">
        <f t="shared" si="2"/>
        <v>10</v>
      </c>
      <c r="K14" s="3">
        <f t="shared" si="3"/>
        <v>0</v>
      </c>
    </row>
    <row r="15" spans="2:19" x14ac:dyDescent="0.35">
      <c r="C15" s="1" t="s">
        <v>68</v>
      </c>
      <c r="D15" s="1" t="s">
        <v>16</v>
      </c>
      <c r="E15" s="1" t="s">
        <v>12</v>
      </c>
      <c r="F15" s="174"/>
      <c r="G15" s="2">
        <v>0</v>
      </c>
      <c r="H15">
        <v>0</v>
      </c>
      <c r="I15">
        <v>11</v>
      </c>
      <c r="J15">
        <f t="shared" si="2"/>
        <v>11</v>
      </c>
      <c r="K15" s="3">
        <f>(H15/J15)*100</f>
        <v>0</v>
      </c>
      <c r="L15" s="3">
        <f>AVERAGE(K15:K17)</f>
        <v>0</v>
      </c>
    </row>
    <row r="16" spans="2:19" x14ac:dyDescent="0.35">
      <c r="C16" s="1" t="s">
        <v>68</v>
      </c>
      <c r="D16" s="1" t="s">
        <v>16</v>
      </c>
      <c r="E16" s="1" t="s">
        <v>14</v>
      </c>
      <c r="F16" s="174"/>
      <c r="G16" s="2">
        <v>0</v>
      </c>
      <c r="H16">
        <v>0</v>
      </c>
      <c r="I16">
        <v>12</v>
      </c>
      <c r="J16">
        <f t="shared" si="2"/>
        <v>12</v>
      </c>
      <c r="K16" s="3">
        <f>(H16/J16)*100</f>
        <v>0</v>
      </c>
    </row>
    <row r="17" spans="3:12" x14ac:dyDescent="0.35">
      <c r="C17" s="1" t="s">
        <v>68</v>
      </c>
      <c r="D17" s="1" t="s">
        <v>16</v>
      </c>
      <c r="E17" s="1" t="s">
        <v>15</v>
      </c>
      <c r="F17" s="174"/>
      <c r="G17" s="2">
        <v>1</v>
      </c>
      <c r="H17">
        <v>0</v>
      </c>
      <c r="I17">
        <v>16</v>
      </c>
      <c r="J17">
        <f t="shared" si="2"/>
        <v>16</v>
      </c>
      <c r="K17" s="3">
        <f t="shared" ref="K17" si="4">(H17/J17)*100</f>
        <v>0</v>
      </c>
    </row>
    <row r="18" spans="3:12" x14ac:dyDescent="0.35">
      <c r="C18" s="1" t="s">
        <v>63</v>
      </c>
      <c r="D18" s="5" t="s">
        <v>22</v>
      </c>
      <c r="E18" s="5" t="s">
        <v>12</v>
      </c>
      <c r="F18" s="174"/>
      <c r="G18" s="21">
        <v>0</v>
      </c>
      <c r="H18" s="6">
        <v>0</v>
      </c>
      <c r="I18" s="6">
        <v>13</v>
      </c>
      <c r="J18" s="6">
        <f>SUM(H18:I18)</f>
        <v>13</v>
      </c>
      <c r="K18" s="6">
        <f>(H18/J18)*100</f>
        <v>0</v>
      </c>
      <c r="L18" s="8">
        <f>AVERAGE(K18,K20:K22)</f>
        <v>6.25</v>
      </c>
    </row>
    <row r="19" spans="3:12" x14ac:dyDescent="0.35">
      <c r="C19" s="1" t="s">
        <v>63</v>
      </c>
      <c r="D19" s="5" t="s">
        <v>22</v>
      </c>
      <c r="E19" s="43" t="s">
        <v>14</v>
      </c>
      <c r="F19" s="174"/>
      <c r="G19" s="44">
        <v>1</v>
      </c>
      <c r="H19" s="45">
        <v>8</v>
      </c>
      <c r="I19" s="45">
        <v>5</v>
      </c>
      <c r="J19" s="45">
        <f>SUM(H19:I19)</f>
        <v>13</v>
      </c>
      <c r="K19" s="45">
        <f>(H19/J19)*100</f>
        <v>61.53846153846154</v>
      </c>
      <c r="L19" s="6"/>
    </row>
    <row r="20" spans="3:12" x14ac:dyDescent="0.35">
      <c r="C20" s="1" t="s">
        <v>63</v>
      </c>
      <c r="D20" s="5" t="s">
        <v>22</v>
      </c>
      <c r="E20" s="5" t="s">
        <v>15</v>
      </c>
      <c r="F20" s="174"/>
      <c r="G20" s="21">
        <v>0</v>
      </c>
      <c r="H20" s="6">
        <v>0</v>
      </c>
      <c r="I20" s="6">
        <v>13</v>
      </c>
      <c r="J20" s="6">
        <f>SUM(H20:I20)</f>
        <v>13</v>
      </c>
      <c r="K20" s="6">
        <f>(H20/J20)*100</f>
        <v>0</v>
      </c>
      <c r="L20" s="6"/>
    </row>
    <row r="21" spans="3:12" x14ac:dyDescent="0.35">
      <c r="C21" s="1" t="s">
        <v>63</v>
      </c>
      <c r="D21" s="5" t="s">
        <v>22</v>
      </c>
      <c r="E21" s="5" t="s">
        <v>23</v>
      </c>
      <c r="F21" s="174"/>
      <c r="G21" s="21">
        <v>1</v>
      </c>
      <c r="H21" s="6">
        <v>0</v>
      </c>
      <c r="I21" s="6">
        <v>17</v>
      </c>
      <c r="J21" s="6">
        <f>SUM(H21:I21)</f>
        <v>17</v>
      </c>
      <c r="K21" s="6">
        <f>(H21/J21)*100</f>
        <v>0</v>
      </c>
      <c r="L21" s="6"/>
    </row>
    <row r="22" spans="3:12" x14ac:dyDescent="0.35">
      <c r="C22" s="1" t="s">
        <v>63</v>
      </c>
      <c r="D22" s="5" t="s">
        <v>22</v>
      </c>
      <c r="E22" s="5" t="s">
        <v>25</v>
      </c>
      <c r="F22" s="174"/>
      <c r="G22" s="21">
        <v>0</v>
      </c>
      <c r="H22" s="6">
        <v>2</v>
      </c>
      <c r="I22" s="6">
        <v>6</v>
      </c>
      <c r="J22" s="6">
        <f>SUM(H22:I22)</f>
        <v>8</v>
      </c>
      <c r="K22" s="6">
        <f>(H22/J22)*100</f>
        <v>25</v>
      </c>
      <c r="L22" s="6"/>
    </row>
    <row r="23" spans="3:12" x14ac:dyDescent="0.35">
      <c r="C23" s="1" t="s">
        <v>66</v>
      </c>
      <c r="D23" s="5" t="s">
        <v>22</v>
      </c>
      <c r="E23" s="5" t="s">
        <v>12</v>
      </c>
      <c r="F23" s="174"/>
      <c r="G23" s="21">
        <v>0</v>
      </c>
      <c r="H23" s="6">
        <v>2</v>
      </c>
      <c r="I23" s="6">
        <v>6</v>
      </c>
      <c r="J23" s="6">
        <f t="shared" ref="J23:J31" si="5">SUM(H23:I23)</f>
        <v>8</v>
      </c>
      <c r="K23" s="6">
        <f t="shared" ref="K23:K31" si="6">(H23/J23)*100</f>
        <v>25</v>
      </c>
      <c r="L23" s="8">
        <f>AVERAGE(K23,K25:K26)</f>
        <v>8.3333333333333339</v>
      </c>
    </row>
    <row r="24" spans="3:12" x14ac:dyDescent="0.35">
      <c r="C24" s="1" t="s">
        <v>66</v>
      </c>
      <c r="D24" s="5" t="s">
        <v>22</v>
      </c>
      <c r="E24" s="43" t="s">
        <v>14</v>
      </c>
      <c r="F24" s="174"/>
      <c r="G24" s="44">
        <v>0</v>
      </c>
      <c r="H24" s="45">
        <v>6</v>
      </c>
      <c r="I24" s="45">
        <v>4</v>
      </c>
      <c r="J24" s="45">
        <f t="shared" si="5"/>
        <v>10</v>
      </c>
      <c r="K24" s="45">
        <f t="shared" si="6"/>
        <v>60</v>
      </c>
      <c r="L24" s="6"/>
    </row>
    <row r="25" spans="3:12" x14ac:dyDescent="0.35">
      <c r="C25" s="1" t="s">
        <v>66</v>
      </c>
      <c r="D25" s="5" t="s">
        <v>22</v>
      </c>
      <c r="E25" s="5" t="s">
        <v>15</v>
      </c>
      <c r="F25" s="174"/>
      <c r="G25" s="21">
        <v>0</v>
      </c>
      <c r="H25" s="6">
        <v>0</v>
      </c>
      <c r="I25" s="6">
        <v>10</v>
      </c>
      <c r="J25" s="6">
        <f t="shared" si="5"/>
        <v>10</v>
      </c>
      <c r="K25" s="6">
        <f t="shared" si="6"/>
        <v>0</v>
      </c>
      <c r="L25" s="6"/>
    </row>
    <row r="26" spans="3:12" x14ac:dyDescent="0.35">
      <c r="C26" s="1" t="s">
        <v>66</v>
      </c>
      <c r="D26" s="5" t="s">
        <v>22</v>
      </c>
      <c r="E26" s="5" t="s">
        <v>23</v>
      </c>
      <c r="F26" s="174"/>
      <c r="G26" s="21">
        <v>0</v>
      </c>
      <c r="H26" s="6">
        <v>0</v>
      </c>
      <c r="I26" s="6">
        <v>14</v>
      </c>
      <c r="J26" s="6">
        <f t="shared" si="5"/>
        <v>14</v>
      </c>
      <c r="K26" s="6">
        <f t="shared" si="6"/>
        <v>0</v>
      </c>
      <c r="L26" s="6"/>
    </row>
    <row r="27" spans="3:12" x14ac:dyDescent="0.35">
      <c r="C27" s="1" t="s">
        <v>68</v>
      </c>
      <c r="D27" s="5" t="s">
        <v>22</v>
      </c>
      <c r="E27" s="5" t="s">
        <v>12</v>
      </c>
      <c r="F27" s="174"/>
      <c r="G27" s="21">
        <v>3</v>
      </c>
      <c r="H27" s="6">
        <v>7</v>
      </c>
      <c r="I27" s="6">
        <v>6</v>
      </c>
      <c r="J27" s="6">
        <f t="shared" si="5"/>
        <v>13</v>
      </c>
      <c r="K27" s="6">
        <f t="shared" si="6"/>
        <v>53.846153846153847</v>
      </c>
      <c r="L27" s="8">
        <f>AVERAGE(K27,K29:K31)</f>
        <v>33.3479020979021</v>
      </c>
    </row>
    <row r="28" spans="3:12" x14ac:dyDescent="0.35">
      <c r="C28" s="1" t="s">
        <v>68</v>
      </c>
      <c r="D28" s="5" t="s">
        <v>22</v>
      </c>
      <c r="E28" s="43" t="s">
        <v>14</v>
      </c>
      <c r="F28" s="174"/>
      <c r="G28" s="44">
        <v>4</v>
      </c>
      <c r="H28" s="45">
        <v>8</v>
      </c>
      <c r="I28" s="45">
        <v>2</v>
      </c>
      <c r="J28" s="45">
        <f t="shared" si="5"/>
        <v>10</v>
      </c>
      <c r="K28" s="45">
        <f t="shared" si="6"/>
        <v>80</v>
      </c>
      <c r="L28" s="6"/>
    </row>
    <row r="29" spans="3:12" x14ac:dyDescent="0.35">
      <c r="C29" s="1" t="s">
        <v>68</v>
      </c>
      <c r="D29" s="5" t="s">
        <v>22</v>
      </c>
      <c r="E29" s="5" t="s">
        <v>15</v>
      </c>
      <c r="F29" s="174"/>
      <c r="G29" s="21">
        <v>3</v>
      </c>
      <c r="H29" s="6">
        <v>2</v>
      </c>
      <c r="I29" s="6">
        <v>9</v>
      </c>
      <c r="J29" s="6">
        <f t="shared" si="5"/>
        <v>11</v>
      </c>
      <c r="K29" s="6">
        <f t="shared" si="6"/>
        <v>18.181818181818183</v>
      </c>
      <c r="L29" s="6"/>
    </row>
    <row r="30" spans="3:12" x14ac:dyDescent="0.35">
      <c r="C30" s="1" t="s">
        <v>68</v>
      </c>
      <c r="D30" s="5" t="s">
        <v>22</v>
      </c>
      <c r="E30" s="5" t="s">
        <v>23</v>
      </c>
      <c r="F30" s="174"/>
      <c r="G30" s="21">
        <v>3</v>
      </c>
      <c r="H30" s="6">
        <v>3</v>
      </c>
      <c r="I30" s="6">
        <v>9</v>
      </c>
      <c r="J30" s="6">
        <f t="shared" si="5"/>
        <v>12</v>
      </c>
      <c r="K30" s="6">
        <f t="shared" si="6"/>
        <v>25</v>
      </c>
      <c r="L30" s="6"/>
    </row>
    <row r="31" spans="3:12" x14ac:dyDescent="0.35">
      <c r="C31" s="1" t="s">
        <v>68</v>
      </c>
      <c r="D31" s="5" t="s">
        <v>22</v>
      </c>
      <c r="E31" s="5" t="s">
        <v>25</v>
      </c>
      <c r="F31" s="174"/>
      <c r="G31" s="21">
        <v>4</v>
      </c>
      <c r="H31" s="6">
        <v>4</v>
      </c>
      <c r="I31" s="6">
        <v>7</v>
      </c>
      <c r="J31" s="6">
        <f t="shared" si="5"/>
        <v>11</v>
      </c>
      <c r="K31" s="6">
        <f t="shared" si="6"/>
        <v>36.363636363636367</v>
      </c>
      <c r="L31" s="6"/>
    </row>
    <row r="32" spans="3:12" x14ac:dyDescent="0.35">
      <c r="C32" s="1" t="s">
        <v>63</v>
      </c>
      <c r="D32" s="27" t="s">
        <v>40</v>
      </c>
      <c r="E32" s="27" t="s">
        <v>14</v>
      </c>
      <c r="F32" s="174"/>
      <c r="G32" s="29">
        <v>1</v>
      </c>
      <c r="H32" s="28">
        <v>1</v>
      </c>
      <c r="I32" s="28">
        <v>12</v>
      </c>
      <c r="J32" s="28">
        <f>SUM(H32:I32)</f>
        <v>13</v>
      </c>
      <c r="K32" s="28">
        <f>(H32/J32)*100</f>
        <v>7.6923076923076925</v>
      </c>
      <c r="L32" s="28"/>
    </row>
    <row r="33" spans="3:12" x14ac:dyDescent="0.35">
      <c r="C33" s="1" t="s">
        <v>63</v>
      </c>
      <c r="D33" s="27" t="s">
        <v>40</v>
      </c>
      <c r="E33" s="27" t="s">
        <v>15</v>
      </c>
      <c r="F33" s="174"/>
      <c r="G33" s="29">
        <v>0</v>
      </c>
      <c r="H33" s="28">
        <v>0</v>
      </c>
      <c r="I33" s="28">
        <v>12</v>
      </c>
      <c r="J33" s="28">
        <f>SUM(H33:I33)</f>
        <v>12</v>
      </c>
      <c r="K33" s="28">
        <f>(H33/J33)*100</f>
        <v>0</v>
      </c>
      <c r="L33" s="28"/>
    </row>
    <row r="34" spans="3:12" x14ac:dyDescent="0.35">
      <c r="C34" s="1" t="s">
        <v>63</v>
      </c>
      <c r="D34" s="27" t="s">
        <v>40</v>
      </c>
      <c r="E34" s="27" t="s">
        <v>23</v>
      </c>
      <c r="F34" s="174"/>
      <c r="G34" s="29">
        <v>0</v>
      </c>
      <c r="H34" s="28">
        <v>0</v>
      </c>
      <c r="I34" s="28">
        <v>13</v>
      </c>
      <c r="J34" s="28">
        <f>SUM(H34:I34)</f>
        <v>13</v>
      </c>
      <c r="K34" s="28">
        <f>(H34/J34)*100</f>
        <v>0</v>
      </c>
      <c r="L34" s="28"/>
    </row>
    <row r="35" spans="3:12" x14ac:dyDescent="0.35">
      <c r="C35" s="1" t="s">
        <v>63</v>
      </c>
      <c r="D35" s="27" t="s">
        <v>40</v>
      </c>
      <c r="E35" s="27" t="s">
        <v>25</v>
      </c>
      <c r="F35" s="174"/>
      <c r="G35" s="29">
        <v>0</v>
      </c>
      <c r="H35" s="28">
        <v>1</v>
      </c>
      <c r="I35" s="28">
        <v>12</v>
      </c>
      <c r="J35" s="28">
        <f>SUM(H35:I35)</f>
        <v>13</v>
      </c>
      <c r="K35" s="28">
        <f>(H35/J35)*100</f>
        <v>7.6923076923076925</v>
      </c>
      <c r="L35" s="28"/>
    </row>
    <row r="36" spans="3:12" x14ac:dyDescent="0.35">
      <c r="C36" s="1" t="s">
        <v>66</v>
      </c>
      <c r="D36" s="27" t="s">
        <v>40</v>
      </c>
      <c r="E36" s="27" t="s">
        <v>12</v>
      </c>
      <c r="F36" s="174"/>
      <c r="G36" s="29">
        <v>0</v>
      </c>
      <c r="H36" s="28">
        <v>0</v>
      </c>
      <c r="I36" s="28">
        <v>11</v>
      </c>
      <c r="J36" s="28">
        <f t="shared" ref="J36:J43" si="7">SUM(H36:I36)</f>
        <v>11</v>
      </c>
      <c r="K36" s="28">
        <f t="shared" ref="K36:K43" si="8">(H36/J36)*100</f>
        <v>0</v>
      </c>
      <c r="L36" s="28">
        <f>AVERAGE(K36:K39)</f>
        <v>7.4786324786324787</v>
      </c>
    </row>
    <row r="37" spans="3:12" x14ac:dyDescent="0.35">
      <c r="C37" s="1" t="s">
        <v>66</v>
      </c>
      <c r="D37" s="27" t="s">
        <v>40</v>
      </c>
      <c r="E37" s="27" t="s">
        <v>14</v>
      </c>
      <c r="F37" s="174"/>
      <c r="G37" s="29">
        <v>0</v>
      </c>
      <c r="H37" s="28">
        <v>1</v>
      </c>
      <c r="I37" s="28">
        <v>12</v>
      </c>
      <c r="J37" s="28">
        <f t="shared" si="7"/>
        <v>13</v>
      </c>
      <c r="K37" s="28">
        <f t="shared" si="8"/>
        <v>7.6923076923076925</v>
      </c>
      <c r="L37" s="28"/>
    </row>
    <row r="38" spans="3:12" x14ac:dyDescent="0.35">
      <c r="C38" s="1" t="s">
        <v>66</v>
      </c>
      <c r="D38" s="27" t="s">
        <v>40</v>
      </c>
      <c r="E38" s="27" t="s">
        <v>15</v>
      </c>
      <c r="F38" s="174"/>
      <c r="G38" s="29">
        <v>0</v>
      </c>
      <c r="H38" s="28">
        <v>2</v>
      </c>
      <c r="I38" s="28">
        <v>7</v>
      </c>
      <c r="J38" s="28">
        <f t="shared" si="7"/>
        <v>9</v>
      </c>
      <c r="K38" s="28">
        <f t="shared" si="8"/>
        <v>22.222222222222221</v>
      </c>
      <c r="L38" s="28"/>
    </row>
    <row r="39" spans="3:12" x14ac:dyDescent="0.35">
      <c r="C39" s="1" t="s">
        <v>66</v>
      </c>
      <c r="D39" s="27" t="s">
        <v>40</v>
      </c>
      <c r="E39" s="27" t="s">
        <v>23</v>
      </c>
      <c r="F39" s="174"/>
      <c r="G39" s="29">
        <v>0</v>
      </c>
      <c r="H39" s="28">
        <v>0</v>
      </c>
      <c r="I39" s="28">
        <v>16</v>
      </c>
      <c r="J39" s="28">
        <f t="shared" si="7"/>
        <v>16</v>
      </c>
      <c r="K39" s="28">
        <f t="shared" si="8"/>
        <v>0</v>
      </c>
      <c r="L39" s="28"/>
    </row>
    <row r="40" spans="3:12" x14ac:dyDescent="0.35">
      <c r="C40" s="1" t="s">
        <v>68</v>
      </c>
      <c r="D40" s="27" t="s">
        <v>40</v>
      </c>
      <c r="E40" s="27" t="s">
        <v>12</v>
      </c>
      <c r="F40" s="174"/>
      <c r="G40" s="29">
        <v>1</v>
      </c>
      <c r="H40" s="28">
        <v>1</v>
      </c>
      <c r="I40" s="28">
        <v>12</v>
      </c>
      <c r="J40" s="28">
        <f t="shared" si="7"/>
        <v>13</v>
      </c>
      <c r="K40" s="28">
        <f t="shared" si="8"/>
        <v>7.6923076923076925</v>
      </c>
      <c r="L40" s="28">
        <f>AVERAGE(K40:K43)</f>
        <v>14.801864801864802</v>
      </c>
    </row>
    <row r="41" spans="3:12" x14ac:dyDescent="0.35">
      <c r="C41" s="1" t="s">
        <v>68</v>
      </c>
      <c r="D41" s="27" t="s">
        <v>40</v>
      </c>
      <c r="E41" s="27" t="s">
        <v>14</v>
      </c>
      <c r="F41" s="174"/>
      <c r="G41" s="29">
        <v>0</v>
      </c>
      <c r="H41" s="28">
        <v>0</v>
      </c>
      <c r="I41" s="28">
        <v>10</v>
      </c>
      <c r="J41" s="28">
        <f t="shared" si="7"/>
        <v>10</v>
      </c>
      <c r="K41" s="28">
        <f t="shared" si="8"/>
        <v>0</v>
      </c>
      <c r="L41" s="28"/>
    </row>
    <row r="42" spans="3:12" x14ac:dyDescent="0.35">
      <c r="C42" s="1" t="s">
        <v>68</v>
      </c>
      <c r="D42" s="27" t="s">
        <v>40</v>
      </c>
      <c r="E42" s="27" t="s">
        <v>15</v>
      </c>
      <c r="F42" s="174"/>
      <c r="G42" s="29">
        <v>2</v>
      </c>
      <c r="H42" s="28">
        <v>2</v>
      </c>
      <c r="I42" s="28">
        <v>9</v>
      </c>
      <c r="J42" s="28">
        <f t="shared" si="7"/>
        <v>11</v>
      </c>
      <c r="K42" s="28">
        <f t="shared" si="8"/>
        <v>18.181818181818183</v>
      </c>
      <c r="L42" s="28"/>
    </row>
    <row r="43" spans="3:12" x14ac:dyDescent="0.35">
      <c r="C43" s="1" t="s">
        <v>68</v>
      </c>
      <c r="D43" s="27" t="s">
        <v>40</v>
      </c>
      <c r="E43" s="27" t="s">
        <v>23</v>
      </c>
      <c r="F43" s="174"/>
      <c r="G43" s="29">
        <v>1</v>
      </c>
      <c r="H43" s="28">
        <v>4</v>
      </c>
      <c r="I43" s="28">
        <v>8</v>
      </c>
      <c r="J43" s="28">
        <f t="shared" si="7"/>
        <v>12</v>
      </c>
      <c r="K43" s="28">
        <f t="shared" si="8"/>
        <v>33.333333333333329</v>
      </c>
      <c r="L43" s="28"/>
    </row>
    <row r="44" spans="3:12" x14ac:dyDescent="0.35">
      <c r="C44" s="1" t="s">
        <v>63</v>
      </c>
      <c r="D44" s="40" t="s">
        <v>67</v>
      </c>
      <c r="E44" s="40" t="s">
        <v>12</v>
      </c>
      <c r="F44" s="174"/>
      <c r="G44" s="46" t="s">
        <v>59</v>
      </c>
      <c r="H44" s="41">
        <v>14</v>
      </c>
      <c r="I44" s="41">
        <v>0</v>
      </c>
      <c r="J44" s="41">
        <f>SUM(H44:I44)</f>
        <v>14</v>
      </c>
      <c r="K44" s="41">
        <f>(H44/J44)*100</f>
        <v>100</v>
      </c>
      <c r="L44" s="41">
        <f>AVERAGE(K44:K48)</f>
        <v>100</v>
      </c>
    </row>
    <row r="45" spans="3:12" x14ac:dyDescent="0.35">
      <c r="C45" s="1" t="s">
        <v>63</v>
      </c>
      <c r="D45" s="40" t="s">
        <v>67</v>
      </c>
      <c r="E45" s="40" t="s">
        <v>14</v>
      </c>
      <c r="F45" s="174"/>
      <c r="G45" s="46" t="s">
        <v>59</v>
      </c>
      <c r="H45" s="41">
        <v>14</v>
      </c>
      <c r="I45" s="41">
        <v>0</v>
      </c>
      <c r="J45" s="41">
        <f t="shared" ref="J45:J48" si="9">SUM(H45:I45)</f>
        <v>14</v>
      </c>
      <c r="K45" s="41">
        <f>(H45/J45)*100</f>
        <v>100</v>
      </c>
      <c r="L45" s="41"/>
    </row>
    <row r="46" spans="3:12" x14ac:dyDescent="0.35">
      <c r="C46" s="1" t="s">
        <v>63</v>
      </c>
      <c r="D46" s="40" t="s">
        <v>67</v>
      </c>
      <c r="E46" s="40" t="s">
        <v>15</v>
      </c>
      <c r="F46" s="174"/>
      <c r="G46" s="46" t="s">
        <v>59</v>
      </c>
      <c r="H46" s="41">
        <v>8</v>
      </c>
      <c r="I46" s="41">
        <v>0</v>
      </c>
      <c r="J46" s="41">
        <f t="shared" si="9"/>
        <v>8</v>
      </c>
      <c r="K46" s="41">
        <f>(H46/J46)*100</f>
        <v>100</v>
      </c>
      <c r="L46" s="41"/>
    </row>
    <row r="47" spans="3:12" x14ac:dyDescent="0.35">
      <c r="C47" s="1" t="s">
        <v>63</v>
      </c>
      <c r="D47" s="40" t="s">
        <v>67</v>
      </c>
      <c r="E47" s="40" t="s">
        <v>23</v>
      </c>
      <c r="F47" s="174"/>
      <c r="G47" s="46" t="s">
        <v>59</v>
      </c>
      <c r="H47" s="41">
        <v>15</v>
      </c>
      <c r="I47" s="41">
        <v>0</v>
      </c>
      <c r="J47" s="41">
        <f t="shared" si="9"/>
        <v>15</v>
      </c>
      <c r="K47" s="41">
        <f>(H47/J47)*100</f>
        <v>100</v>
      </c>
      <c r="L47" s="41"/>
    </row>
    <row r="48" spans="3:12" x14ac:dyDescent="0.35">
      <c r="C48" s="1" t="s">
        <v>63</v>
      </c>
      <c r="D48" s="40" t="s">
        <v>67</v>
      </c>
      <c r="E48" s="40" t="s">
        <v>25</v>
      </c>
      <c r="F48" s="174"/>
      <c r="G48" s="46" t="s">
        <v>59</v>
      </c>
      <c r="H48" s="41">
        <v>12</v>
      </c>
      <c r="I48" s="41">
        <v>0</v>
      </c>
      <c r="J48" s="41">
        <f t="shared" si="9"/>
        <v>12</v>
      </c>
      <c r="K48" s="41">
        <f>(H48/J48)*100</f>
        <v>100</v>
      </c>
      <c r="L48" s="41"/>
    </row>
    <row r="49" spans="3:12" x14ac:dyDescent="0.35">
      <c r="C49" s="1" t="s">
        <v>66</v>
      </c>
      <c r="D49" s="40" t="s">
        <v>67</v>
      </c>
      <c r="E49" s="40" t="s">
        <v>12</v>
      </c>
      <c r="F49" s="174"/>
      <c r="G49" s="46" t="s">
        <v>59</v>
      </c>
      <c r="H49" s="41">
        <v>14</v>
      </c>
      <c r="I49" s="41">
        <v>0</v>
      </c>
      <c r="J49" s="41">
        <f t="shared" ref="J49" si="10">SUM(H49:I49)</f>
        <v>14</v>
      </c>
      <c r="K49" s="41">
        <f t="shared" ref="K49:K54" si="11">(H49/J49)*100</f>
        <v>100</v>
      </c>
      <c r="L49" s="41">
        <f>AVERAGE(K49:K52)</f>
        <v>100</v>
      </c>
    </row>
    <row r="50" spans="3:12" x14ac:dyDescent="0.35">
      <c r="C50" s="1" t="s">
        <v>66</v>
      </c>
      <c r="D50" s="40" t="s">
        <v>67</v>
      </c>
      <c r="E50" s="40" t="s">
        <v>14</v>
      </c>
      <c r="F50" s="174"/>
      <c r="G50" s="46" t="s">
        <v>59</v>
      </c>
      <c r="H50" s="41">
        <v>9</v>
      </c>
      <c r="I50" s="41">
        <v>0</v>
      </c>
      <c r="J50" s="41">
        <f t="shared" ref="J50:J68" si="12">SUM(H50:I50)</f>
        <v>9</v>
      </c>
      <c r="K50" s="41">
        <f t="shared" si="11"/>
        <v>100</v>
      </c>
      <c r="L50" s="41"/>
    </row>
    <row r="51" spans="3:12" x14ac:dyDescent="0.35">
      <c r="C51" s="1" t="s">
        <v>66</v>
      </c>
      <c r="D51" s="40" t="s">
        <v>67</v>
      </c>
      <c r="E51" s="40" t="s">
        <v>15</v>
      </c>
      <c r="F51" s="174"/>
      <c r="G51" s="46" t="s">
        <v>59</v>
      </c>
      <c r="H51" s="41">
        <v>12</v>
      </c>
      <c r="I51" s="41">
        <v>0</v>
      </c>
      <c r="J51" s="41">
        <f t="shared" si="12"/>
        <v>12</v>
      </c>
      <c r="K51" s="41">
        <f t="shared" si="11"/>
        <v>100</v>
      </c>
      <c r="L51" s="41"/>
    </row>
    <row r="52" spans="3:12" x14ac:dyDescent="0.35">
      <c r="C52" s="1" t="s">
        <v>66</v>
      </c>
      <c r="D52" s="40" t="s">
        <v>67</v>
      </c>
      <c r="E52" s="40" t="s">
        <v>23</v>
      </c>
      <c r="F52" s="174"/>
      <c r="G52" s="46" t="s">
        <v>59</v>
      </c>
      <c r="H52" s="41">
        <v>10</v>
      </c>
      <c r="I52" s="41">
        <v>0</v>
      </c>
      <c r="J52" s="41">
        <f t="shared" si="12"/>
        <v>10</v>
      </c>
      <c r="K52" s="41">
        <f t="shared" si="11"/>
        <v>100</v>
      </c>
      <c r="L52" s="41"/>
    </row>
    <row r="53" spans="3:12" x14ac:dyDescent="0.35">
      <c r="C53" s="1" t="s">
        <v>68</v>
      </c>
      <c r="D53" s="40" t="s">
        <v>67</v>
      </c>
      <c r="E53" s="40" t="s">
        <v>12</v>
      </c>
      <c r="F53" s="174"/>
      <c r="G53" s="46" t="s">
        <v>59</v>
      </c>
      <c r="H53" s="41">
        <v>10</v>
      </c>
      <c r="I53" s="41">
        <v>0</v>
      </c>
      <c r="J53" s="41">
        <f t="shared" si="12"/>
        <v>10</v>
      </c>
      <c r="K53" s="41">
        <f t="shared" si="11"/>
        <v>100</v>
      </c>
      <c r="L53" s="41">
        <f>AVERAGE(K53:K54)</f>
        <v>100</v>
      </c>
    </row>
    <row r="54" spans="3:12" x14ac:dyDescent="0.35">
      <c r="C54" s="1" t="s">
        <v>68</v>
      </c>
      <c r="D54" s="40" t="s">
        <v>67</v>
      </c>
      <c r="E54" s="40" t="s">
        <v>14</v>
      </c>
      <c r="F54" s="174"/>
      <c r="G54" s="46" t="s">
        <v>59</v>
      </c>
      <c r="H54" s="41">
        <v>11</v>
      </c>
      <c r="I54" s="41">
        <v>0</v>
      </c>
      <c r="J54" s="41">
        <f t="shared" si="12"/>
        <v>11</v>
      </c>
      <c r="K54" s="41">
        <f t="shared" si="11"/>
        <v>100</v>
      </c>
      <c r="L54" s="41"/>
    </row>
    <row r="55" spans="3:12" x14ac:dyDescent="0.35">
      <c r="C55" s="1" t="s">
        <v>63</v>
      </c>
      <c r="D55" s="17" t="s">
        <v>51</v>
      </c>
      <c r="E55" s="17" t="s">
        <v>12</v>
      </c>
      <c r="F55" s="174"/>
      <c r="G55" s="38" t="s">
        <v>69</v>
      </c>
      <c r="H55" s="18">
        <v>0</v>
      </c>
      <c r="I55" s="18">
        <v>16</v>
      </c>
      <c r="J55" s="18">
        <f t="shared" si="12"/>
        <v>16</v>
      </c>
      <c r="K55" s="18">
        <f t="shared" ref="K55:K68" si="13">H55/J55*100</f>
        <v>0</v>
      </c>
      <c r="L55" s="20">
        <f>AVERAGE(K55:K59)</f>
        <v>5.9523809523809517</v>
      </c>
    </row>
    <row r="56" spans="3:12" x14ac:dyDescent="0.35">
      <c r="C56" s="1" t="s">
        <v>63</v>
      </c>
      <c r="D56" s="17" t="s">
        <v>51</v>
      </c>
      <c r="E56" s="17" t="s">
        <v>14</v>
      </c>
      <c r="F56" s="174"/>
      <c r="G56" s="38" t="s">
        <v>70</v>
      </c>
      <c r="H56" s="18">
        <v>1</v>
      </c>
      <c r="I56" s="18">
        <v>13</v>
      </c>
      <c r="J56" s="18">
        <f t="shared" si="12"/>
        <v>14</v>
      </c>
      <c r="K56" s="20">
        <f t="shared" si="13"/>
        <v>7.1428571428571423</v>
      </c>
      <c r="L56" s="18"/>
    </row>
    <row r="57" spans="3:12" x14ac:dyDescent="0.35">
      <c r="C57" s="1" t="s">
        <v>63</v>
      </c>
      <c r="D57" s="17" t="s">
        <v>51</v>
      </c>
      <c r="E57" s="17" t="s">
        <v>15</v>
      </c>
      <c r="F57" s="174"/>
      <c r="G57" s="38" t="s">
        <v>71</v>
      </c>
      <c r="H57" s="18">
        <v>2</v>
      </c>
      <c r="I57" s="18">
        <v>12</v>
      </c>
      <c r="J57" s="18">
        <f t="shared" si="12"/>
        <v>14</v>
      </c>
      <c r="K57" s="20">
        <f t="shared" si="13"/>
        <v>14.285714285714285</v>
      </c>
      <c r="L57" s="18"/>
    </row>
    <row r="58" spans="3:12" x14ac:dyDescent="0.35">
      <c r="C58" s="1" t="s">
        <v>63</v>
      </c>
      <c r="D58" s="17" t="s">
        <v>51</v>
      </c>
      <c r="E58" s="17" t="s">
        <v>23</v>
      </c>
      <c r="F58" s="174"/>
      <c r="G58" s="38" t="s">
        <v>72</v>
      </c>
      <c r="H58" s="18">
        <v>0</v>
      </c>
      <c r="I58" s="18">
        <v>16</v>
      </c>
      <c r="J58" s="18">
        <f t="shared" si="12"/>
        <v>16</v>
      </c>
      <c r="K58" s="20">
        <f t="shared" si="13"/>
        <v>0</v>
      </c>
      <c r="L58" s="18"/>
    </row>
    <row r="59" spans="3:12" x14ac:dyDescent="0.35">
      <c r="C59" s="1" t="s">
        <v>63</v>
      </c>
      <c r="D59" s="17" t="s">
        <v>51</v>
      </c>
      <c r="E59" s="17" t="s">
        <v>25</v>
      </c>
      <c r="F59" s="174"/>
      <c r="G59" s="38" t="s">
        <v>72</v>
      </c>
      <c r="H59" s="18">
        <v>1</v>
      </c>
      <c r="I59" s="18">
        <v>11</v>
      </c>
      <c r="J59" s="18">
        <f t="shared" si="12"/>
        <v>12</v>
      </c>
      <c r="K59" s="20">
        <f t="shared" si="13"/>
        <v>8.3333333333333321</v>
      </c>
      <c r="L59" s="18"/>
    </row>
    <row r="60" spans="3:12" x14ac:dyDescent="0.35">
      <c r="C60" s="1" t="s">
        <v>66</v>
      </c>
      <c r="D60" s="17" t="s">
        <v>51</v>
      </c>
      <c r="E60" s="17" t="s">
        <v>12</v>
      </c>
      <c r="F60" s="174"/>
      <c r="G60" s="38" t="s">
        <v>69</v>
      </c>
      <c r="H60" s="18">
        <v>2</v>
      </c>
      <c r="I60" s="18">
        <v>8</v>
      </c>
      <c r="J60" s="18">
        <f t="shared" si="12"/>
        <v>10</v>
      </c>
      <c r="K60" s="18">
        <f t="shared" si="13"/>
        <v>20</v>
      </c>
      <c r="L60" s="20">
        <f>AVERAGE(K60:K63)</f>
        <v>16.458333333333332</v>
      </c>
    </row>
    <row r="61" spans="3:12" x14ac:dyDescent="0.35">
      <c r="C61" s="1" t="s">
        <v>66</v>
      </c>
      <c r="D61" s="17" t="s">
        <v>51</v>
      </c>
      <c r="E61" s="17" t="s">
        <v>14</v>
      </c>
      <c r="F61" s="174"/>
      <c r="G61" s="38" t="s">
        <v>70</v>
      </c>
      <c r="H61" s="18">
        <v>1</v>
      </c>
      <c r="I61" s="18">
        <v>11</v>
      </c>
      <c r="J61" s="18">
        <f t="shared" si="12"/>
        <v>12</v>
      </c>
      <c r="K61" s="20">
        <f t="shared" si="13"/>
        <v>8.3333333333333321</v>
      </c>
      <c r="L61" s="18"/>
    </row>
    <row r="62" spans="3:12" x14ac:dyDescent="0.35">
      <c r="C62" s="1" t="s">
        <v>66</v>
      </c>
      <c r="D62" s="17" t="s">
        <v>51</v>
      </c>
      <c r="E62" s="17" t="s">
        <v>15</v>
      </c>
      <c r="F62" s="174"/>
      <c r="G62" s="38" t="s">
        <v>71</v>
      </c>
      <c r="H62" s="18">
        <v>3</v>
      </c>
      <c r="I62" s="18">
        <v>5</v>
      </c>
      <c r="J62" s="18">
        <f t="shared" si="12"/>
        <v>8</v>
      </c>
      <c r="K62" s="20">
        <f t="shared" si="13"/>
        <v>37.5</v>
      </c>
      <c r="L62" s="18"/>
    </row>
    <row r="63" spans="3:12" x14ac:dyDescent="0.35">
      <c r="C63" s="1" t="s">
        <v>66</v>
      </c>
      <c r="D63" s="17" t="s">
        <v>51</v>
      </c>
      <c r="E63" s="17" t="s">
        <v>23</v>
      </c>
      <c r="F63" s="174"/>
      <c r="G63" s="38" t="s">
        <v>72</v>
      </c>
      <c r="H63" s="18">
        <v>0</v>
      </c>
      <c r="I63" s="18">
        <v>13</v>
      </c>
      <c r="J63" s="18">
        <f t="shared" si="12"/>
        <v>13</v>
      </c>
      <c r="K63" s="20">
        <f t="shared" si="13"/>
        <v>0</v>
      </c>
      <c r="L63" s="18"/>
    </row>
    <row r="64" spans="3:12" x14ac:dyDescent="0.35">
      <c r="C64" s="1" t="s">
        <v>68</v>
      </c>
      <c r="D64" s="17" t="s">
        <v>51</v>
      </c>
      <c r="E64" s="17" t="s">
        <v>12</v>
      </c>
      <c r="F64" s="174"/>
      <c r="G64" s="38">
        <v>0</v>
      </c>
      <c r="H64" s="18">
        <v>1</v>
      </c>
      <c r="I64" s="18">
        <v>13</v>
      </c>
      <c r="J64" s="18">
        <f t="shared" si="12"/>
        <v>14</v>
      </c>
      <c r="K64" s="18">
        <f t="shared" si="13"/>
        <v>7.1428571428571423</v>
      </c>
      <c r="L64" s="20">
        <f>AVERAGE(K64:K68)</f>
        <v>10.785214785214785</v>
      </c>
    </row>
    <row r="65" spans="2:12" x14ac:dyDescent="0.35">
      <c r="C65" s="1" t="s">
        <v>68</v>
      </c>
      <c r="D65" s="17" t="s">
        <v>51</v>
      </c>
      <c r="E65" s="17" t="s">
        <v>14</v>
      </c>
      <c r="F65" s="174"/>
      <c r="G65" s="38">
        <v>2</v>
      </c>
      <c r="H65" s="18">
        <v>1</v>
      </c>
      <c r="I65" s="18">
        <v>10</v>
      </c>
      <c r="J65" s="18">
        <f t="shared" si="12"/>
        <v>11</v>
      </c>
      <c r="K65" s="20">
        <f t="shared" si="13"/>
        <v>9.0909090909090917</v>
      </c>
      <c r="L65" s="18"/>
    </row>
    <row r="66" spans="2:12" x14ac:dyDescent="0.35">
      <c r="C66" s="1" t="s">
        <v>68</v>
      </c>
      <c r="D66" s="17" t="s">
        <v>51</v>
      </c>
      <c r="E66" s="17" t="s">
        <v>15</v>
      </c>
      <c r="F66" s="174"/>
      <c r="G66" s="38">
        <v>5</v>
      </c>
      <c r="H66" s="18">
        <v>3</v>
      </c>
      <c r="I66" s="18">
        <v>7</v>
      </c>
      <c r="J66" s="18">
        <f t="shared" si="12"/>
        <v>10</v>
      </c>
      <c r="K66" s="20">
        <f t="shared" si="13"/>
        <v>30</v>
      </c>
      <c r="L66" s="18"/>
    </row>
    <row r="67" spans="2:12" x14ac:dyDescent="0.35">
      <c r="C67" s="1" t="s">
        <v>68</v>
      </c>
      <c r="D67" s="17" t="s">
        <v>51</v>
      </c>
      <c r="E67" s="17" t="s">
        <v>23</v>
      </c>
      <c r="F67" s="174"/>
      <c r="G67" s="38">
        <v>2</v>
      </c>
      <c r="H67" s="18">
        <v>1</v>
      </c>
      <c r="I67" s="18">
        <v>12</v>
      </c>
      <c r="J67" s="18">
        <f t="shared" si="12"/>
        <v>13</v>
      </c>
      <c r="K67" s="20">
        <f t="shared" si="13"/>
        <v>7.6923076923076925</v>
      </c>
      <c r="L67" s="18"/>
    </row>
    <row r="68" spans="2:12" x14ac:dyDescent="0.35">
      <c r="C68" s="1" t="s">
        <v>68</v>
      </c>
      <c r="D68" s="17" t="s">
        <v>51</v>
      </c>
      <c r="E68" s="17" t="s">
        <v>25</v>
      </c>
      <c r="F68" s="174"/>
      <c r="G68" s="38">
        <v>2</v>
      </c>
      <c r="H68" s="18">
        <v>0</v>
      </c>
      <c r="I68" s="18">
        <v>10</v>
      </c>
      <c r="J68" s="18">
        <f t="shared" si="12"/>
        <v>10</v>
      </c>
      <c r="K68" s="20">
        <f t="shared" si="13"/>
        <v>0</v>
      </c>
      <c r="L68" s="18"/>
    </row>
    <row r="71" spans="2:12" x14ac:dyDescent="0.35">
      <c r="B71" s="39" t="s">
        <v>337</v>
      </c>
      <c r="C71" s="39"/>
      <c r="D71" s="39"/>
    </row>
    <row r="72" spans="2:12" x14ac:dyDescent="0.35">
      <c r="B72" s="39" t="s">
        <v>53</v>
      </c>
      <c r="C72" s="39"/>
      <c r="D72" s="39"/>
    </row>
    <row r="73" spans="2:12" ht="16.5" x14ac:dyDescent="0.35">
      <c r="B73" s="39" t="s">
        <v>73</v>
      </c>
      <c r="C73" s="39"/>
      <c r="D73" s="39"/>
    </row>
  </sheetData>
  <mergeCells count="1">
    <mergeCell ref="F6:F68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2052" r:id="rId4">
          <objectPr defaultSize="0" autoPict="0" r:id="rId5">
            <anchor moveWithCells="1">
              <from>
                <xdr:col>13</xdr:col>
                <xdr:colOff>533400</xdr:colOff>
                <xdr:row>14</xdr:row>
                <xdr:rowOff>76200</xdr:rowOff>
              </from>
              <to>
                <xdr:col>18</xdr:col>
                <xdr:colOff>317500</xdr:colOff>
                <xdr:row>28</xdr:row>
                <xdr:rowOff>107950</xdr:rowOff>
              </to>
            </anchor>
          </objectPr>
        </oleObject>
      </mc:Choice>
      <mc:Fallback>
        <oleObject progId="Prism8.Document" shapeId="2052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1796-378E-4D96-AFFC-FF247E418351}">
  <dimension ref="C2:AB76"/>
  <sheetViews>
    <sheetView zoomScale="40" zoomScaleNormal="40" workbookViewId="0">
      <selection activeCell="C2" sqref="C2"/>
    </sheetView>
  </sheetViews>
  <sheetFormatPr defaultRowHeight="14.5" x14ac:dyDescent="0.35"/>
  <cols>
    <col min="2" max="2" width="7.1796875" customWidth="1"/>
    <col min="3" max="3" width="12" customWidth="1"/>
    <col min="4" max="4" width="12.7265625" customWidth="1"/>
    <col min="5" max="5" width="20.7265625" customWidth="1"/>
    <col min="6" max="6" width="13.81640625" customWidth="1"/>
    <col min="8" max="8" width="7.1796875" customWidth="1"/>
    <col min="9" max="9" width="16.54296875" customWidth="1"/>
    <col min="13" max="13" width="11.1796875" customWidth="1"/>
    <col min="16" max="16" width="11.7265625" customWidth="1"/>
    <col min="20" max="20" width="14.7265625" customWidth="1"/>
    <col min="21" max="21" width="14.1796875" customWidth="1"/>
    <col min="22" max="22" width="16.453125" customWidth="1"/>
    <col min="23" max="23" width="13.81640625" customWidth="1"/>
    <col min="24" max="24" width="13.1796875" customWidth="1"/>
  </cols>
  <sheetData>
    <row r="2" spans="3:26" ht="23.5" x14ac:dyDescent="0.55000000000000004">
      <c r="C2" s="128" t="s">
        <v>338</v>
      </c>
    </row>
    <row r="5" spans="3:26" ht="31" x14ac:dyDescent="0.35">
      <c r="C5" s="81" t="s">
        <v>299</v>
      </c>
      <c r="D5" s="82" t="s">
        <v>300</v>
      </c>
      <c r="E5" s="82" t="s">
        <v>301</v>
      </c>
      <c r="F5" s="82" t="s">
        <v>302</v>
      </c>
      <c r="G5" s="82" t="s">
        <v>303</v>
      </c>
      <c r="H5" s="82" t="s">
        <v>304</v>
      </c>
      <c r="I5" s="82" t="s">
        <v>305</v>
      </c>
      <c r="J5" s="82" t="s">
        <v>306</v>
      </c>
      <c r="K5" s="82" t="s">
        <v>307</v>
      </c>
      <c r="L5" s="82" t="s">
        <v>8</v>
      </c>
      <c r="M5" s="82" t="s">
        <v>308</v>
      </c>
      <c r="N5" s="82" t="s">
        <v>309</v>
      </c>
      <c r="O5" s="82" t="s">
        <v>10</v>
      </c>
      <c r="P5" s="82" t="s">
        <v>310</v>
      </c>
      <c r="Q5" s="83" t="s">
        <v>311</v>
      </c>
    </row>
    <row r="6" spans="3:26" ht="15.5" x14ac:dyDescent="0.35">
      <c r="C6" s="88">
        <v>44273</v>
      </c>
      <c r="D6" s="131" t="s">
        <v>312</v>
      </c>
      <c r="E6" s="131" t="s">
        <v>313</v>
      </c>
      <c r="F6" s="131" t="s">
        <v>314</v>
      </c>
      <c r="G6" s="131" t="s">
        <v>315</v>
      </c>
      <c r="H6" s="131">
        <v>1</v>
      </c>
      <c r="I6" s="135">
        <v>0</v>
      </c>
      <c r="J6" s="131">
        <v>0</v>
      </c>
      <c r="K6" s="131">
        <v>12</v>
      </c>
      <c r="L6" s="124">
        <v>12</v>
      </c>
      <c r="M6" s="136">
        <v>0</v>
      </c>
      <c r="N6" s="136">
        <v>0</v>
      </c>
      <c r="O6" s="136"/>
      <c r="P6" s="131"/>
      <c r="Q6" s="137"/>
    </row>
    <row r="7" spans="3:26" ht="15.5" x14ac:dyDescent="0.35">
      <c r="C7" s="88">
        <v>44273</v>
      </c>
      <c r="D7" s="131" t="s">
        <v>312</v>
      </c>
      <c r="E7" s="131" t="s">
        <v>313</v>
      </c>
      <c r="F7" s="131" t="s">
        <v>314</v>
      </c>
      <c r="G7" s="131" t="s">
        <v>315</v>
      </c>
      <c r="H7" s="131">
        <v>2</v>
      </c>
      <c r="I7" s="135">
        <v>0</v>
      </c>
      <c r="J7" s="131">
        <v>0</v>
      </c>
      <c r="K7" s="131">
        <v>10</v>
      </c>
      <c r="L7" s="124">
        <v>10</v>
      </c>
      <c r="M7" s="136">
        <v>0</v>
      </c>
      <c r="N7" s="136">
        <v>0</v>
      </c>
      <c r="O7" s="131"/>
      <c r="P7" s="131"/>
      <c r="Q7" s="137"/>
    </row>
    <row r="8" spans="3:26" ht="15.5" x14ac:dyDescent="0.35">
      <c r="C8" s="88">
        <v>44273</v>
      </c>
      <c r="D8" s="131" t="s">
        <v>312</v>
      </c>
      <c r="E8" s="131" t="s">
        <v>313</v>
      </c>
      <c r="F8" s="131" t="s">
        <v>314</v>
      </c>
      <c r="G8" s="131" t="s">
        <v>315</v>
      </c>
      <c r="H8" s="131">
        <v>3</v>
      </c>
      <c r="I8" s="135">
        <v>0</v>
      </c>
      <c r="J8" s="131">
        <v>0</v>
      </c>
      <c r="K8" s="131">
        <v>11</v>
      </c>
      <c r="L8" s="124">
        <v>11</v>
      </c>
      <c r="M8" s="136">
        <v>0</v>
      </c>
      <c r="N8" s="136">
        <v>0</v>
      </c>
      <c r="O8" s="131"/>
      <c r="P8" s="131"/>
      <c r="Q8" s="137"/>
      <c r="T8" s="56"/>
      <c r="U8" s="56"/>
      <c r="V8" s="56"/>
      <c r="W8" s="56"/>
      <c r="X8" s="56"/>
      <c r="Y8" s="56"/>
      <c r="Z8" s="56"/>
    </row>
    <row r="9" spans="3:26" ht="15.5" x14ac:dyDescent="0.35">
      <c r="C9" s="88">
        <v>44273</v>
      </c>
      <c r="D9" s="131" t="s">
        <v>312</v>
      </c>
      <c r="E9" s="131" t="s">
        <v>313</v>
      </c>
      <c r="F9" s="131" t="s">
        <v>314</v>
      </c>
      <c r="G9" s="131" t="s">
        <v>315</v>
      </c>
      <c r="H9" s="131">
        <v>4</v>
      </c>
      <c r="I9" s="135">
        <v>0</v>
      </c>
      <c r="J9" s="131">
        <v>0</v>
      </c>
      <c r="K9" s="131">
        <v>11</v>
      </c>
      <c r="L9" s="124">
        <v>11</v>
      </c>
      <c r="M9" s="136">
        <v>0</v>
      </c>
      <c r="N9" s="136">
        <v>0</v>
      </c>
      <c r="O9" s="131"/>
      <c r="P9" s="131"/>
      <c r="Q9" s="137"/>
      <c r="T9" s="92"/>
      <c r="U9" s="92"/>
      <c r="V9" s="92"/>
      <c r="W9" s="92"/>
      <c r="X9" s="92"/>
      <c r="Y9" s="49"/>
      <c r="Z9" s="49"/>
    </row>
    <row r="10" spans="3:26" ht="15.5" x14ac:dyDescent="0.35">
      <c r="C10" s="88">
        <v>44273</v>
      </c>
      <c r="D10" s="131" t="s">
        <v>312</v>
      </c>
      <c r="E10" s="131" t="s">
        <v>313</v>
      </c>
      <c r="F10" s="131" t="s">
        <v>314</v>
      </c>
      <c r="G10" s="131" t="s">
        <v>315</v>
      </c>
      <c r="H10" s="131">
        <v>5</v>
      </c>
      <c r="I10" s="135">
        <v>0</v>
      </c>
      <c r="J10" s="131">
        <v>0</v>
      </c>
      <c r="K10" s="131">
        <v>10</v>
      </c>
      <c r="L10" s="124">
        <v>10</v>
      </c>
      <c r="M10" s="136">
        <v>0</v>
      </c>
      <c r="N10" s="136">
        <v>0</v>
      </c>
      <c r="O10" s="136">
        <v>0</v>
      </c>
      <c r="P10" s="136">
        <v>0</v>
      </c>
      <c r="Q10" s="136">
        <v>0</v>
      </c>
      <c r="T10" s="92"/>
      <c r="U10" s="92"/>
      <c r="V10" s="92"/>
      <c r="W10" s="92"/>
      <c r="X10" s="92"/>
      <c r="Y10" s="49"/>
      <c r="Z10" s="49"/>
    </row>
    <row r="11" spans="3:26" x14ac:dyDescent="0.35">
      <c r="D11" s="106"/>
      <c r="I11">
        <v>0</v>
      </c>
      <c r="J11" s="66">
        <v>0</v>
      </c>
      <c r="K11" s="66">
        <v>54</v>
      </c>
      <c r="L11">
        <v>54</v>
      </c>
      <c r="N11">
        <v>0</v>
      </c>
      <c r="S11" s="56"/>
      <c r="T11" s="103" t="s">
        <v>82</v>
      </c>
      <c r="U11" s="92"/>
      <c r="V11" s="92"/>
      <c r="W11" s="92"/>
      <c r="X11" s="92"/>
      <c r="Y11" s="49"/>
      <c r="Z11" s="49"/>
    </row>
    <row r="12" spans="3:26" x14ac:dyDescent="0.35">
      <c r="D12" s="106"/>
      <c r="M12" t="s">
        <v>316</v>
      </c>
      <c r="S12" s="92"/>
      <c r="T12" s="92"/>
      <c r="U12" s="92"/>
      <c r="V12" s="92"/>
      <c r="W12" s="92"/>
      <c r="X12" s="92"/>
      <c r="Y12" s="49"/>
      <c r="Z12" s="49"/>
    </row>
    <row r="13" spans="3:26" ht="15.5" x14ac:dyDescent="0.35">
      <c r="C13" s="88">
        <v>44273</v>
      </c>
      <c r="D13" s="131" t="s">
        <v>312</v>
      </c>
      <c r="E13" s="132" t="s">
        <v>317</v>
      </c>
      <c r="F13" s="84" t="s">
        <v>314</v>
      </c>
      <c r="G13" s="132" t="s">
        <v>315</v>
      </c>
      <c r="H13" s="132">
        <v>1</v>
      </c>
      <c r="I13" s="133">
        <v>0</v>
      </c>
      <c r="J13" s="132">
        <v>0</v>
      </c>
      <c r="K13" s="132">
        <v>10</v>
      </c>
      <c r="L13" s="85">
        <v>10</v>
      </c>
      <c r="M13" s="86">
        <v>0</v>
      </c>
      <c r="N13" s="86">
        <v>0</v>
      </c>
      <c r="O13" s="86"/>
      <c r="P13" s="86"/>
      <c r="Q13" s="134"/>
      <c r="S13" s="92"/>
      <c r="T13" s="89"/>
      <c r="U13" s="89" t="s">
        <v>319</v>
      </c>
      <c r="V13" s="89" t="s">
        <v>320</v>
      </c>
      <c r="W13" s="89" t="s">
        <v>321</v>
      </c>
      <c r="X13" s="89" t="s">
        <v>322</v>
      </c>
    </row>
    <row r="14" spans="3:26" ht="15.5" x14ac:dyDescent="0.35">
      <c r="C14" s="88">
        <v>44273</v>
      </c>
      <c r="D14" s="131" t="s">
        <v>312</v>
      </c>
      <c r="E14" s="132" t="s">
        <v>317</v>
      </c>
      <c r="F14" s="84" t="s">
        <v>314</v>
      </c>
      <c r="G14" s="84" t="s">
        <v>315</v>
      </c>
      <c r="H14" s="84">
        <v>2</v>
      </c>
      <c r="I14" s="133">
        <v>0</v>
      </c>
      <c r="J14" s="132">
        <v>0</v>
      </c>
      <c r="K14" s="84">
        <v>10</v>
      </c>
      <c r="L14" s="85">
        <v>10</v>
      </c>
      <c r="M14" s="86">
        <v>0</v>
      </c>
      <c r="N14" s="86">
        <v>0</v>
      </c>
      <c r="O14" s="86"/>
      <c r="P14" s="86"/>
      <c r="Q14" s="134"/>
      <c r="S14" s="92"/>
      <c r="T14" s="96" t="s">
        <v>313</v>
      </c>
      <c r="U14" s="90">
        <v>0</v>
      </c>
      <c r="V14" s="90">
        <v>0</v>
      </c>
      <c r="W14" s="90">
        <v>0</v>
      </c>
      <c r="X14" s="91">
        <v>0</v>
      </c>
    </row>
    <row r="15" spans="3:26" ht="15.5" x14ac:dyDescent="0.35">
      <c r="C15" s="88">
        <v>44273</v>
      </c>
      <c r="D15" s="131" t="s">
        <v>312</v>
      </c>
      <c r="E15" s="132" t="s">
        <v>317</v>
      </c>
      <c r="F15" s="84" t="s">
        <v>314</v>
      </c>
      <c r="G15" s="84" t="s">
        <v>315</v>
      </c>
      <c r="H15" s="84">
        <v>3</v>
      </c>
      <c r="I15" s="133">
        <v>0</v>
      </c>
      <c r="J15" s="132">
        <v>0</v>
      </c>
      <c r="K15" s="84">
        <v>9</v>
      </c>
      <c r="L15" s="85">
        <v>9</v>
      </c>
      <c r="M15" s="86">
        <v>0</v>
      </c>
      <c r="N15" s="86">
        <v>0</v>
      </c>
      <c r="O15" s="86"/>
      <c r="P15" s="86"/>
      <c r="Q15" s="134"/>
      <c r="S15" s="92"/>
      <c r="T15" s="96" t="s">
        <v>317</v>
      </c>
      <c r="U15" s="90">
        <v>0</v>
      </c>
      <c r="V15" s="90">
        <v>0</v>
      </c>
      <c r="W15" s="90">
        <v>0</v>
      </c>
      <c r="X15" s="91">
        <v>0</v>
      </c>
    </row>
    <row r="16" spans="3:26" ht="15.5" x14ac:dyDescent="0.35">
      <c r="C16" s="88">
        <v>44273</v>
      </c>
      <c r="D16" s="131" t="s">
        <v>312</v>
      </c>
      <c r="E16" s="132" t="s">
        <v>317</v>
      </c>
      <c r="F16" s="84" t="s">
        <v>314</v>
      </c>
      <c r="G16" s="84" t="s">
        <v>315</v>
      </c>
      <c r="H16" s="84">
        <v>4</v>
      </c>
      <c r="I16" s="133">
        <v>0</v>
      </c>
      <c r="J16" s="132">
        <v>0</v>
      </c>
      <c r="K16" s="84">
        <v>11</v>
      </c>
      <c r="L16" s="85">
        <v>11</v>
      </c>
      <c r="M16" s="86">
        <v>0</v>
      </c>
      <c r="N16" s="86">
        <v>0</v>
      </c>
      <c r="O16" s="86">
        <v>0</v>
      </c>
      <c r="P16" s="86">
        <v>0</v>
      </c>
      <c r="Q16" s="134">
        <v>0</v>
      </c>
      <c r="S16" s="92"/>
      <c r="T16" s="96" t="s">
        <v>318</v>
      </c>
      <c r="U16" s="90">
        <v>94.74</v>
      </c>
      <c r="V16" s="90">
        <v>100</v>
      </c>
      <c r="W16" s="90">
        <v>0</v>
      </c>
      <c r="X16" s="91">
        <v>3.21</v>
      </c>
    </row>
    <row r="17" spans="3:28" x14ac:dyDescent="0.35">
      <c r="D17" s="106"/>
      <c r="I17" s="66">
        <v>0</v>
      </c>
      <c r="J17" s="66">
        <v>0</v>
      </c>
      <c r="K17" s="66">
        <v>40</v>
      </c>
      <c r="L17">
        <v>40</v>
      </c>
      <c r="M17" s="87">
        <v>0</v>
      </c>
      <c r="N17">
        <v>0</v>
      </c>
      <c r="T17" s="97" t="s">
        <v>324</v>
      </c>
      <c r="U17" s="98">
        <v>0</v>
      </c>
      <c r="V17" s="98">
        <v>0</v>
      </c>
      <c r="W17" s="98">
        <v>0</v>
      </c>
      <c r="X17" s="99">
        <v>0</v>
      </c>
    </row>
    <row r="18" spans="3:28" x14ac:dyDescent="0.35">
      <c r="D18" s="106"/>
      <c r="I18" s="66"/>
      <c r="J18" s="66"/>
      <c r="K18" s="66"/>
      <c r="M18" t="s">
        <v>316</v>
      </c>
      <c r="T18" s="100"/>
      <c r="U18" s="92"/>
      <c r="V18" s="92"/>
      <c r="W18" s="92"/>
      <c r="X18" s="49"/>
    </row>
    <row r="19" spans="3:28" ht="15.5" x14ac:dyDescent="0.35">
      <c r="C19" s="88">
        <v>44273</v>
      </c>
      <c r="D19" s="130" t="s">
        <v>312</v>
      </c>
      <c r="E19" s="138" t="s">
        <v>340</v>
      </c>
      <c r="F19" s="138" t="s">
        <v>314</v>
      </c>
      <c r="G19" s="138" t="s">
        <v>315</v>
      </c>
      <c r="H19" s="138">
        <v>1</v>
      </c>
      <c r="I19" s="139">
        <v>8</v>
      </c>
      <c r="J19" s="139">
        <v>9</v>
      </c>
      <c r="K19" s="138">
        <v>0</v>
      </c>
      <c r="L19" s="140">
        <v>9</v>
      </c>
      <c r="M19" s="141">
        <v>100</v>
      </c>
      <c r="N19" s="141">
        <v>88.888888888888886</v>
      </c>
      <c r="O19" s="141"/>
      <c r="P19" s="141"/>
      <c r="Q19" s="141"/>
    </row>
    <row r="20" spans="3:28" ht="15.5" x14ac:dyDescent="0.35">
      <c r="C20" s="88">
        <v>44273</v>
      </c>
      <c r="D20" s="130" t="s">
        <v>312</v>
      </c>
      <c r="E20" s="138" t="s">
        <v>340</v>
      </c>
      <c r="F20" s="138" t="s">
        <v>314</v>
      </c>
      <c r="G20" s="138" t="s">
        <v>315</v>
      </c>
      <c r="H20" s="138">
        <v>2</v>
      </c>
      <c r="I20" s="139">
        <v>8</v>
      </c>
      <c r="J20" s="139">
        <v>9</v>
      </c>
      <c r="K20" s="138">
        <v>0</v>
      </c>
      <c r="L20" s="140">
        <v>9</v>
      </c>
      <c r="M20" s="141">
        <v>100</v>
      </c>
      <c r="N20" s="141">
        <v>88.888888888888886</v>
      </c>
      <c r="O20" s="141"/>
      <c r="P20" s="141"/>
      <c r="Q20" s="141"/>
      <c r="V20" s="56"/>
      <c r="W20" s="56"/>
      <c r="X20" s="56"/>
      <c r="Y20" s="56"/>
      <c r="Z20" s="56"/>
      <c r="AA20" s="56"/>
      <c r="AB20" s="56"/>
    </row>
    <row r="21" spans="3:28" ht="15.5" x14ac:dyDescent="0.35">
      <c r="C21" s="88">
        <v>44273</v>
      </c>
      <c r="D21" s="130" t="s">
        <v>312</v>
      </c>
      <c r="E21" s="138" t="s">
        <v>340</v>
      </c>
      <c r="F21" s="138" t="s">
        <v>314</v>
      </c>
      <c r="G21" s="138" t="s">
        <v>315</v>
      </c>
      <c r="H21" s="138">
        <v>3</v>
      </c>
      <c r="I21" s="139">
        <v>10</v>
      </c>
      <c r="J21" s="139">
        <v>10</v>
      </c>
      <c r="K21" s="138">
        <v>0</v>
      </c>
      <c r="L21" s="140">
        <v>10</v>
      </c>
      <c r="M21" s="141">
        <v>100</v>
      </c>
      <c r="N21" s="141">
        <v>100</v>
      </c>
      <c r="O21" s="141"/>
      <c r="P21" s="141"/>
      <c r="Q21" s="141"/>
      <c r="V21" s="92"/>
      <c r="W21" s="92"/>
      <c r="X21" s="92"/>
      <c r="Y21" s="92"/>
      <c r="Z21" s="92"/>
      <c r="AA21" s="49"/>
      <c r="AB21" s="49"/>
    </row>
    <row r="22" spans="3:28" ht="15.5" x14ac:dyDescent="0.35">
      <c r="C22" s="88">
        <v>44273</v>
      </c>
      <c r="D22" s="130" t="s">
        <v>312</v>
      </c>
      <c r="E22" s="138" t="s">
        <v>340</v>
      </c>
      <c r="F22" s="138" t="s">
        <v>314</v>
      </c>
      <c r="G22" s="138" t="s">
        <v>315</v>
      </c>
      <c r="H22" s="138">
        <v>4</v>
      </c>
      <c r="I22" s="139">
        <v>10</v>
      </c>
      <c r="J22" s="139">
        <v>10</v>
      </c>
      <c r="K22" s="138">
        <v>0</v>
      </c>
      <c r="L22" s="140">
        <v>10</v>
      </c>
      <c r="M22" s="141">
        <v>100</v>
      </c>
      <c r="N22" s="141">
        <v>100</v>
      </c>
      <c r="O22" s="141">
        <v>100</v>
      </c>
      <c r="P22" s="141">
        <v>0</v>
      </c>
      <c r="Q22" s="141">
        <v>3.207501495497922</v>
      </c>
      <c r="V22" s="92"/>
      <c r="W22" s="92"/>
      <c r="X22" s="92"/>
      <c r="Y22" s="92"/>
      <c r="Z22" s="92"/>
      <c r="AA22" s="49"/>
      <c r="AB22" s="49"/>
    </row>
    <row r="23" spans="3:28" x14ac:dyDescent="0.35">
      <c r="D23" s="106"/>
      <c r="I23">
        <v>36</v>
      </c>
      <c r="J23" s="66">
        <v>38</v>
      </c>
      <c r="K23" s="66">
        <v>0</v>
      </c>
      <c r="L23">
        <v>38</v>
      </c>
      <c r="N23">
        <v>94.73684210526315</v>
      </c>
      <c r="V23" s="92"/>
      <c r="W23" s="92"/>
      <c r="X23" s="92"/>
      <c r="Y23" s="92"/>
      <c r="Z23" s="92"/>
      <c r="AA23" s="49"/>
      <c r="AB23" s="49"/>
    </row>
    <row r="24" spans="3:28" x14ac:dyDescent="0.35">
      <c r="D24" s="106"/>
      <c r="I24" s="66"/>
      <c r="J24" s="66"/>
      <c r="K24" s="66"/>
      <c r="V24" s="92"/>
      <c r="W24" s="92"/>
      <c r="X24" s="92"/>
      <c r="Y24" s="92"/>
      <c r="Z24" s="92"/>
      <c r="AA24" s="49"/>
      <c r="AB24" s="49"/>
    </row>
    <row r="25" spans="3:28" ht="15.5" x14ac:dyDescent="0.35">
      <c r="D25" s="106"/>
      <c r="M25" t="s">
        <v>316</v>
      </c>
      <c r="V25" s="92"/>
      <c r="W25" s="93"/>
      <c r="X25" s="93"/>
      <c r="Y25" s="93"/>
      <c r="Z25" s="93"/>
      <c r="AA25" s="49"/>
      <c r="AB25" s="49"/>
    </row>
    <row r="26" spans="3:28" ht="15.5" x14ac:dyDescent="0.35">
      <c r="C26" s="88">
        <v>44273</v>
      </c>
      <c r="D26" s="124" t="s">
        <v>312</v>
      </c>
      <c r="E26" s="129" t="s">
        <v>323</v>
      </c>
      <c r="F26" s="129" t="s">
        <v>314</v>
      </c>
      <c r="G26" s="129" t="s">
        <v>315</v>
      </c>
      <c r="H26" s="129">
        <v>1</v>
      </c>
      <c r="I26" s="129">
        <v>0</v>
      </c>
      <c r="J26" s="129">
        <v>0</v>
      </c>
      <c r="K26" s="129">
        <v>11</v>
      </c>
      <c r="L26" s="129">
        <v>11</v>
      </c>
      <c r="M26" s="129">
        <v>0</v>
      </c>
      <c r="N26" s="129">
        <v>0</v>
      </c>
      <c r="O26" s="129"/>
      <c r="P26" s="129"/>
      <c r="Q26" s="129"/>
    </row>
    <row r="27" spans="3:28" ht="15.5" x14ac:dyDescent="0.35">
      <c r="C27" s="88">
        <v>44273</v>
      </c>
      <c r="D27" s="124" t="s">
        <v>312</v>
      </c>
      <c r="E27" s="129" t="s">
        <v>323</v>
      </c>
      <c r="F27" s="129" t="s">
        <v>314</v>
      </c>
      <c r="G27" s="129" t="s">
        <v>315</v>
      </c>
      <c r="H27" s="129">
        <v>2</v>
      </c>
      <c r="I27" s="129">
        <v>0</v>
      </c>
      <c r="J27" s="129">
        <v>0</v>
      </c>
      <c r="K27" s="129">
        <v>10</v>
      </c>
      <c r="L27" s="129">
        <v>10</v>
      </c>
      <c r="M27" s="129">
        <v>0</v>
      </c>
      <c r="N27" s="129">
        <v>0</v>
      </c>
      <c r="O27" s="129"/>
      <c r="P27" s="129"/>
      <c r="Q27" s="129"/>
    </row>
    <row r="28" spans="3:28" ht="15.5" x14ac:dyDescent="0.35">
      <c r="C28" s="88">
        <v>44273</v>
      </c>
      <c r="D28" s="124" t="s">
        <v>312</v>
      </c>
      <c r="E28" s="129" t="s">
        <v>323</v>
      </c>
      <c r="F28" s="129" t="s">
        <v>314</v>
      </c>
      <c r="G28" s="129" t="s">
        <v>315</v>
      </c>
      <c r="H28" s="129">
        <v>3</v>
      </c>
      <c r="I28" s="129">
        <v>0</v>
      </c>
      <c r="J28" s="129">
        <v>0</v>
      </c>
      <c r="K28" s="129">
        <v>10</v>
      </c>
      <c r="L28" s="129">
        <v>10</v>
      </c>
      <c r="M28" s="129">
        <v>0</v>
      </c>
      <c r="N28" s="129">
        <v>0</v>
      </c>
      <c r="O28" s="129"/>
      <c r="P28" s="129"/>
      <c r="Q28" s="129"/>
    </row>
    <row r="29" spans="3:28" ht="15.5" x14ac:dyDescent="0.35">
      <c r="C29" s="88">
        <v>44273</v>
      </c>
      <c r="D29" s="124" t="s">
        <v>312</v>
      </c>
      <c r="E29" s="129" t="s">
        <v>323</v>
      </c>
      <c r="F29" s="129" t="s">
        <v>314</v>
      </c>
      <c r="G29" s="129" t="s">
        <v>315</v>
      </c>
      <c r="H29" s="129">
        <v>4</v>
      </c>
      <c r="I29" s="129">
        <v>0</v>
      </c>
      <c r="J29" s="129">
        <v>0</v>
      </c>
      <c r="K29" s="129">
        <v>12</v>
      </c>
      <c r="L29" s="129">
        <v>12</v>
      </c>
      <c r="M29" s="129">
        <v>0</v>
      </c>
      <c r="N29" s="129">
        <v>0</v>
      </c>
      <c r="O29" s="129">
        <v>0</v>
      </c>
      <c r="P29" s="129">
        <v>0</v>
      </c>
      <c r="Q29" s="129">
        <v>0</v>
      </c>
    </row>
    <row r="33" spans="3:5" ht="15.5" x14ac:dyDescent="0.35">
      <c r="C33" s="94"/>
    </row>
    <row r="34" spans="3:5" ht="15.5" x14ac:dyDescent="0.35">
      <c r="C34" s="94"/>
    </row>
    <row r="35" spans="3:5" ht="15.5" x14ac:dyDescent="0.35">
      <c r="C35" s="94"/>
    </row>
    <row r="36" spans="3:5" ht="15.5" x14ac:dyDescent="0.35">
      <c r="C36" s="94"/>
    </row>
    <row r="46" spans="3:5" ht="15.5" x14ac:dyDescent="0.35">
      <c r="C46" s="94"/>
      <c r="D46" s="95"/>
      <c r="E46" s="95"/>
    </row>
    <row r="47" spans="3:5" ht="15.5" x14ac:dyDescent="0.35">
      <c r="C47" s="94"/>
      <c r="D47" s="95"/>
      <c r="E47" s="95"/>
    </row>
    <row r="48" spans="3:5" ht="15.5" x14ac:dyDescent="0.35">
      <c r="C48" s="94"/>
      <c r="D48" s="95"/>
      <c r="E48" s="95"/>
    </row>
    <row r="49" spans="3:5" ht="15.5" x14ac:dyDescent="0.35">
      <c r="C49" s="94"/>
      <c r="D49" s="95"/>
      <c r="E49" s="95"/>
    </row>
    <row r="60" spans="3:5" ht="15.5" x14ac:dyDescent="0.35">
      <c r="C60" s="94"/>
    </row>
    <row r="61" spans="3:5" ht="15.5" x14ac:dyDescent="0.35">
      <c r="C61" s="94"/>
    </row>
    <row r="62" spans="3:5" ht="15.5" x14ac:dyDescent="0.35">
      <c r="C62" s="94"/>
    </row>
    <row r="63" spans="3:5" ht="15.5" x14ac:dyDescent="0.35">
      <c r="C63" s="94"/>
    </row>
    <row r="73" spans="3:3" ht="15.5" x14ac:dyDescent="0.35">
      <c r="C73" s="94"/>
    </row>
    <row r="74" spans="3:3" ht="15.5" x14ac:dyDescent="0.35">
      <c r="C74" s="94"/>
    </row>
    <row r="75" spans="3:3" ht="15.5" x14ac:dyDescent="0.35">
      <c r="C75" s="94"/>
    </row>
    <row r="76" spans="3:3" ht="15.5" x14ac:dyDescent="0.35">
      <c r="C76" s="94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11265" r:id="rId4">
          <objectPr defaultSize="0" autoPict="0" r:id="rId5">
            <anchor moveWithCells="1">
              <from>
                <xdr:col>18</xdr:col>
                <xdr:colOff>571500</xdr:colOff>
                <xdr:row>18</xdr:row>
                <xdr:rowOff>114300</xdr:rowOff>
              </from>
              <to>
                <xdr:col>23</xdr:col>
                <xdr:colOff>133350</xdr:colOff>
                <xdr:row>30</xdr:row>
                <xdr:rowOff>107950</xdr:rowOff>
              </to>
            </anchor>
          </objectPr>
        </oleObject>
      </mc:Choice>
      <mc:Fallback>
        <oleObject progId="Prism8.Document" shapeId="1126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7E80-EA7F-4839-A755-77905D2AB236}">
  <dimension ref="B3:N31"/>
  <sheetViews>
    <sheetView zoomScale="25" zoomScaleNormal="25" workbookViewId="0">
      <selection activeCell="I30" sqref="I30"/>
    </sheetView>
  </sheetViews>
  <sheetFormatPr defaultRowHeight="14.5" x14ac:dyDescent="0.35"/>
  <cols>
    <col min="4" max="4" width="13.81640625" customWidth="1"/>
    <col min="5" max="5" width="20.54296875" customWidth="1"/>
    <col min="8" max="8" width="15" customWidth="1"/>
    <col min="9" max="9" width="19.1796875" customWidth="1"/>
    <col min="13" max="13" width="15.453125" customWidth="1"/>
  </cols>
  <sheetData>
    <row r="3" spans="2:14" ht="23.5" x14ac:dyDescent="0.55000000000000004">
      <c r="B3" s="128" t="s">
        <v>344</v>
      </c>
    </row>
    <row r="5" spans="2:14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55</v>
      </c>
      <c r="H5" s="1" t="s">
        <v>56</v>
      </c>
      <c r="I5" s="1" t="s">
        <v>5</v>
      </c>
      <c r="J5" s="1" t="s">
        <v>6</v>
      </c>
      <c r="K5" s="1" t="s">
        <v>7</v>
      </c>
      <c r="L5" s="1" t="s">
        <v>8</v>
      </c>
      <c r="M5" s="1" t="s">
        <v>19</v>
      </c>
      <c r="N5" s="1" t="s">
        <v>10</v>
      </c>
    </row>
    <row r="6" spans="2:14" x14ac:dyDescent="0.35">
      <c r="B6" s="1" t="s">
        <v>57</v>
      </c>
      <c r="C6" s="1" t="s">
        <v>58</v>
      </c>
      <c r="D6" s="1" t="s">
        <v>16</v>
      </c>
      <c r="E6" t="s">
        <v>12</v>
      </c>
      <c r="F6" s="1" t="s">
        <v>13</v>
      </c>
      <c r="H6" s="1"/>
      <c r="I6" s="2">
        <v>0</v>
      </c>
      <c r="J6">
        <v>0</v>
      </c>
      <c r="K6">
        <v>8</v>
      </c>
      <c r="L6">
        <f t="shared" ref="L6:L20" si="0">SUM(J6:K6)</f>
        <v>8</v>
      </c>
      <c r="M6" s="3">
        <f t="shared" ref="M6:M15" si="1">(J6/L6)*100</f>
        <v>0</v>
      </c>
      <c r="N6" s="3">
        <f>AVERAGE(M6:M7)</f>
        <v>0</v>
      </c>
    </row>
    <row r="7" spans="2:14" x14ac:dyDescent="0.35">
      <c r="B7" s="1"/>
      <c r="D7" s="1"/>
      <c r="E7" t="s">
        <v>14</v>
      </c>
      <c r="F7" s="1"/>
      <c r="I7" s="2">
        <v>0</v>
      </c>
      <c r="J7">
        <v>0</v>
      </c>
      <c r="K7">
        <v>10</v>
      </c>
      <c r="L7">
        <f t="shared" si="0"/>
        <v>10</v>
      </c>
      <c r="M7" s="3">
        <f t="shared" si="1"/>
        <v>0</v>
      </c>
    </row>
    <row r="8" spans="2:14" x14ac:dyDescent="0.35">
      <c r="E8" t="s">
        <v>15</v>
      </c>
      <c r="F8" s="1"/>
      <c r="I8" s="2">
        <v>0</v>
      </c>
      <c r="J8">
        <v>0</v>
      </c>
      <c r="K8">
        <v>10</v>
      </c>
      <c r="L8">
        <f t="shared" si="0"/>
        <v>10</v>
      </c>
      <c r="M8" s="3">
        <f t="shared" si="1"/>
        <v>0</v>
      </c>
    </row>
    <row r="9" spans="2:14" x14ac:dyDescent="0.35">
      <c r="E9" t="s">
        <v>23</v>
      </c>
      <c r="F9" s="1"/>
      <c r="I9" s="2">
        <v>1</v>
      </c>
      <c r="J9">
        <v>0</v>
      </c>
      <c r="K9">
        <v>10</v>
      </c>
      <c r="L9">
        <f t="shared" si="0"/>
        <v>10</v>
      </c>
      <c r="M9" s="3">
        <f t="shared" si="1"/>
        <v>0</v>
      </c>
    </row>
    <row r="10" spans="2:14" x14ac:dyDescent="0.35">
      <c r="E10" t="s">
        <v>25</v>
      </c>
      <c r="F10" s="1"/>
      <c r="I10" s="2">
        <v>0</v>
      </c>
      <c r="J10">
        <v>0</v>
      </c>
      <c r="K10">
        <v>10</v>
      </c>
      <c r="L10">
        <f t="shared" si="0"/>
        <v>10</v>
      </c>
      <c r="M10" s="3">
        <f t="shared" si="1"/>
        <v>0</v>
      </c>
    </row>
    <row r="11" spans="2:14" x14ac:dyDescent="0.35">
      <c r="D11" s="5" t="s">
        <v>22</v>
      </c>
      <c r="E11" s="6" t="s">
        <v>12</v>
      </c>
      <c r="F11" s="5" t="s">
        <v>13</v>
      </c>
      <c r="G11" s="6"/>
      <c r="H11" s="6"/>
      <c r="I11" s="21" t="s">
        <v>59</v>
      </c>
      <c r="J11" s="6">
        <v>16</v>
      </c>
      <c r="K11" s="6">
        <v>0</v>
      </c>
      <c r="L11" s="6">
        <f t="shared" si="0"/>
        <v>16</v>
      </c>
      <c r="M11" s="6">
        <f t="shared" si="1"/>
        <v>100</v>
      </c>
      <c r="N11" s="8">
        <f>AVERAGE(M11:M15)</f>
        <v>98.333333333333329</v>
      </c>
    </row>
    <row r="12" spans="2:14" x14ac:dyDescent="0.35">
      <c r="D12" s="5"/>
      <c r="E12" s="6" t="s">
        <v>14</v>
      </c>
      <c r="F12" s="5"/>
      <c r="G12" s="6"/>
      <c r="H12" s="6"/>
      <c r="I12" s="21" t="s">
        <v>59</v>
      </c>
      <c r="J12" s="6">
        <v>14</v>
      </c>
      <c r="K12" s="6">
        <v>0</v>
      </c>
      <c r="L12" s="6">
        <f t="shared" si="0"/>
        <v>14</v>
      </c>
      <c r="M12" s="6">
        <f t="shared" si="1"/>
        <v>100</v>
      </c>
      <c r="N12" s="6"/>
    </row>
    <row r="13" spans="2:14" x14ac:dyDescent="0.35">
      <c r="D13" s="5"/>
      <c r="E13" s="6" t="s">
        <v>15</v>
      </c>
      <c r="F13" s="5"/>
      <c r="G13" s="6"/>
      <c r="H13" s="6"/>
      <c r="I13" s="21" t="s">
        <v>59</v>
      </c>
      <c r="J13" s="6">
        <v>16</v>
      </c>
      <c r="K13" s="6">
        <v>0</v>
      </c>
      <c r="L13" s="6">
        <f t="shared" si="0"/>
        <v>16</v>
      </c>
      <c r="M13" s="6">
        <f t="shared" si="1"/>
        <v>100</v>
      </c>
      <c r="N13" s="6"/>
    </row>
    <row r="14" spans="2:14" x14ac:dyDescent="0.35">
      <c r="D14" s="5"/>
      <c r="E14" s="6" t="s">
        <v>23</v>
      </c>
      <c r="F14" s="5"/>
      <c r="G14" s="6"/>
      <c r="H14" s="6"/>
      <c r="I14" s="21" t="s">
        <v>59</v>
      </c>
      <c r="J14" s="6">
        <v>11</v>
      </c>
      <c r="K14" s="6">
        <v>0</v>
      </c>
      <c r="L14" s="6">
        <f t="shared" si="0"/>
        <v>11</v>
      </c>
      <c r="M14" s="6">
        <f t="shared" si="1"/>
        <v>100</v>
      </c>
      <c r="N14" s="6"/>
    </row>
    <row r="15" spans="2:14" x14ac:dyDescent="0.35">
      <c r="D15" s="5"/>
      <c r="E15" s="6" t="s">
        <v>25</v>
      </c>
      <c r="F15" s="5"/>
      <c r="G15" s="6"/>
      <c r="H15" s="6"/>
      <c r="I15" s="21" t="s">
        <v>59</v>
      </c>
      <c r="J15" s="6">
        <v>11</v>
      </c>
      <c r="K15" s="6">
        <v>1</v>
      </c>
      <c r="L15" s="6">
        <f t="shared" si="0"/>
        <v>12</v>
      </c>
      <c r="M15" s="6">
        <f t="shared" si="1"/>
        <v>91.666666666666657</v>
      </c>
      <c r="N15" s="6"/>
    </row>
    <row r="16" spans="2:14" x14ac:dyDescent="0.35">
      <c r="D16" s="17" t="s">
        <v>51</v>
      </c>
      <c r="E16" s="18" t="s">
        <v>12</v>
      </c>
      <c r="F16" s="17" t="s">
        <v>13</v>
      </c>
      <c r="G16" s="18"/>
      <c r="H16" s="18"/>
      <c r="I16" s="38" t="s">
        <v>59</v>
      </c>
      <c r="J16" s="18">
        <v>12</v>
      </c>
      <c r="K16" s="18">
        <v>0</v>
      </c>
      <c r="L16" s="18">
        <f t="shared" si="0"/>
        <v>12</v>
      </c>
      <c r="M16" s="18">
        <f>J16/L16*100</f>
        <v>100</v>
      </c>
      <c r="N16" s="20">
        <f>AVERAGE(M16:M20)</f>
        <v>92.562770562770567</v>
      </c>
    </row>
    <row r="17" spans="2:14" x14ac:dyDescent="0.35">
      <c r="D17" s="17"/>
      <c r="E17" s="18" t="s">
        <v>14</v>
      </c>
      <c r="F17" s="17"/>
      <c r="G17" s="18"/>
      <c r="H17" s="18"/>
      <c r="I17" s="38" t="s">
        <v>59</v>
      </c>
      <c r="J17" s="18">
        <v>10</v>
      </c>
      <c r="K17" s="18">
        <v>0</v>
      </c>
      <c r="L17" s="18">
        <f t="shared" si="0"/>
        <v>10</v>
      </c>
      <c r="M17" s="20">
        <f>J17/L17*100</f>
        <v>100</v>
      </c>
      <c r="N17" s="18"/>
    </row>
    <row r="18" spans="2:14" x14ac:dyDescent="0.35">
      <c r="D18" s="17"/>
      <c r="E18" s="18" t="s">
        <v>15</v>
      </c>
      <c r="F18" s="17"/>
      <c r="G18" s="18"/>
      <c r="H18" s="18"/>
      <c r="I18" s="38" t="s">
        <v>59</v>
      </c>
      <c r="J18" s="18">
        <v>14</v>
      </c>
      <c r="K18" s="18">
        <v>1</v>
      </c>
      <c r="L18" s="18">
        <f t="shared" si="0"/>
        <v>15</v>
      </c>
      <c r="M18" s="20">
        <f>J18/L18*100</f>
        <v>93.333333333333329</v>
      </c>
      <c r="N18" s="18"/>
    </row>
    <row r="19" spans="2:14" x14ac:dyDescent="0.35">
      <c r="D19" s="17"/>
      <c r="E19" s="18" t="s">
        <v>23</v>
      </c>
      <c r="F19" s="17"/>
      <c r="G19" s="18"/>
      <c r="H19" s="18"/>
      <c r="I19" s="38" t="s">
        <v>59</v>
      </c>
      <c r="J19" s="18">
        <v>11</v>
      </c>
      <c r="K19" s="18">
        <v>3</v>
      </c>
      <c r="L19" s="18">
        <f t="shared" si="0"/>
        <v>14</v>
      </c>
      <c r="M19" s="20">
        <f>J19/L19*100</f>
        <v>78.571428571428569</v>
      </c>
      <c r="N19" s="18"/>
    </row>
    <row r="20" spans="2:14" x14ac:dyDescent="0.35">
      <c r="D20" s="17"/>
      <c r="E20" s="18" t="s">
        <v>25</v>
      </c>
      <c r="F20" s="17"/>
      <c r="G20" s="18"/>
      <c r="H20" s="18"/>
      <c r="I20" s="38" t="s">
        <v>59</v>
      </c>
      <c r="J20" s="18">
        <v>10</v>
      </c>
      <c r="K20" s="18">
        <v>1</v>
      </c>
      <c r="L20" s="18">
        <f t="shared" si="0"/>
        <v>11</v>
      </c>
      <c r="M20" s="20">
        <f>J20/L20*100</f>
        <v>90.909090909090907</v>
      </c>
      <c r="N20" s="18"/>
    </row>
    <row r="22" spans="2:14" x14ac:dyDescent="0.35">
      <c r="E22" s="17" t="s">
        <v>345</v>
      </c>
    </row>
    <row r="23" spans="2:14" x14ac:dyDescent="0.35">
      <c r="F23" s="1" t="s">
        <v>17</v>
      </c>
      <c r="G23" s="1" t="s">
        <v>18</v>
      </c>
      <c r="H23" s="1" t="s">
        <v>19</v>
      </c>
      <c r="I23" s="1" t="s">
        <v>20</v>
      </c>
      <c r="J23" s="1"/>
    </row>
    <row r="24" spans="2:14" x14ac:dyDescent="0.35">
      <c r="E24" s="1" t="s">
        <v>21</v>
      </c>
      <c r="F24">
        <f>SUM(K6:K10)</f>
        <v>48</v>
      </c>
      <c r="G24">
        <f>SUM(J6:J10)</f>
        <v>0</v>
      </c>
      <c r="H24">
        <v>0</v>
      </c>
      <c r="I24">
        <f>STDEV(M6:M10)/SQRT(COUNT(M6:M10))</f>
        <v>0</v>
      </c>
    </row>
    <row r="25" spans="2:14" x14ac:dyDescent="0.35">
      <c r="E25" s="5" t="s">
        <v>22</v>
      </c>
      <c r="F25" s="6">
        <f>SUM(K11:K15)</f>
        <v>1</v>
      </c>
      <c r="G25" s="6">
        <f>SUM(J11:J15)</f>
        <v>68</v>
      </c>
      <c r="H25" s="8">
        <v>98.333333333333329</v>
      </c>
      <c r="I25" s="8">
        <f>STDEV(M11:M15)/SQRT(COUNT(M11:M15))</f>
        <v>1.6666666666666685</v>
      </c>
    </row>
    <row r="26" spans="2:14" x14ac:dyDescent="0.35">
      <c r="E26" s="17" t="s">
        <v>51</v>
      </c>
      <c r="F26" s="18">
        <f>SUM(K16:K20)</f>
        <v>5</v>
      </c>
      <c r="G26" s="18">
        <f>SUM(J16:J20)</f>
        <v>57</v>
      </c>
      <c r="H26" s="20">
        <v>92.562770562770567</v>
      </c>
      <c r="I26" s="20">
        <f>STDEV(M16:M20)/SQRT(COUNT(M16:M20))</f>
        <v>3.93516732492435</v>
      </c>
    </row>
    <row r="27" spans="2:14" x14ac:dyDescent="0.35">
      <c r="E27" s="1"/>
      <c r="I27" s="4"/>
    </row>
    <row r="29" spans="2:14" x14ac:dyDescent="0.35">
      <c r="B29" s="39" t="s">
        <v>60</v>
      </c>
      <c r="C29" s="39"/>
      <c r="D29" s="39"/>
    </row>
    <row r="30" spans="2:14" x14ac:dyDescent="0.35">
      <c r="B30" s="39" t="s">
        <v>53</v>
      </c>
      <c r="C30" s="39"/>
      <c r="D30" s="39"/>
    </row>
    <row r="31" spans="2:14" ht="16.5" x14ac:dyDescent="0.35">
      <c r="B31" s="39" t="s">
        <v>61</v>
      </c>
      <c r="C31" s="39"/>
      <c r="D31" s="39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3075" r:id="rId4">
          <objectPr defaultSize="0" autoPict="0" r:id="rId5">
            <anchor moveWithCells="1">
              <from>
                <xdr:col>11</xdr:col>
                <xdr:colOff>323850</xdr:colOff>
                <xdr:row>21</xdr:row>
                <xdr:rowOff>44450</xdr:rowOff>
              </from>
              <to>
                <xdr:col>17</xdr:col>
                <xdr:colOff>495300</xdr:colOff>
                <xdr:row>33</xdr:row>
                <xdr:rowOff>82550</xdr:rowOff>
              </to>
            </anchor>
          </objectPr>
        </oleObject>
      </mc:Choice>
      <mc:Fallback>
        <oleObject progId="Prism8.Document" shapeId="307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D476-933A-4377-8B3F-676EF5FB1166}">
  <dimension ref="B2:AT72"/>
  <sheetViews>
    <sheetView zoomScale="25" zoomScaleNormal="25" workbookViewId="0">
      <selection activeCell="AF33" activeCellId="9" sqref="Q9:Q12 Q15:Q17 Q14 P33:P35 X33:X35 Y9:Y12 Y14:Y16 AG9:AG12 AG14:AG16 AF33:AF35"/>
    </sheetView>
  </sheetViews>
  <sheetFormatPr defaultRowHeight="14.5" x14ac:dyDescent="0.35"/>
  <cols>
    <col min="13" max="13" width="13" customWidth="1"/>
    <col min="14" max="14" width="15.26953125" customWidth="1"/>
    <col min="15" max="15" width="12.453125" customWidth="1"/>
    <col min="16" max="16" width="12.7265625" customWidth="1"/>
    <col min="17" max="17" width="24.26953125" customWidth="1"/>
    <col min="18" max="18" width="18.453125" customWidth="1"/>
    <col min="22" max="22" width="16.453125" customWidth="1"/>
    <col min="23" max="23" width="20.81640625" customWidth="1"/>
    <col min="24" max="24" width="12.1796875" customWidth="1"/>
    <col min="25" max="25" width="24.90625" customWidth="1"/>
    <col min="30" max="30" width="18.1796875" customWidth="1"/>
    <col min="31" max="31" width="12.1796875" customWidth="1"/>
    <col min="32" max="32" width="12.7265625" customWidth="1"/>
    <col min="33" max="33" width="24.08984375" customWidth="1"/>
    <col min="34" max="34" width="13.7265625" customWidth="1"/>
    <col min="38" max="38" width="14.1796875" customWidth="1"/>
    <col min="40" max="40" width="14.54296875" customWidth="1"/>
    <col min="41" max="41" width="22.1796875" customWidth="1"/>
    <col min="42" max="42" width="12.54296875" customWidth="1"/>
    <col min="43" max="43" width="13.26953125" customWidth="1"/>
    <col min="44" max="44" width="24.453125" customWidth="1"/>
    <col min="45" max="45" width="14.26953125" customWidth="1"/>
  </cols>
  <sheetData>
    <row r="2" spans="2:46" ht="23.5" x14ac:dyDescent="0.55000000000000004">
      <c r="B2" s="142" t="s">
        <v>347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2:46" ht="23.5" x14ac:dyDescent="0.55000000000000004">
      <c r="B3" s="142" t="s">
        <v>346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</row>
    <row r="4" spans="2:46" ht="23.5" x14ac:dyDescent="0.55000000000000004"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</row>
    <row r="5" spans="2:46" ht="23.5" x14ac:dyDescent="0.55000000000000004">
      <c r="B5" s="48"/>
      <c r="C5" s="175" t="s">
        <v>348</v>
      </c>
      <c r="D5" s="175"/>
      <c r="E5" s="175"/>
      <c r="F5" s="175"/>
      <c r="G5" s="175"/>
      <c r="H5" s="175"/>
      <c r="I5" s="175"/>
      <c r="J5" s="175"/>
      <c r="K5" s="175"/>
    </row>
    <row r="6" spans="2:46" x14ac:dyDescent="0.35">
      <c r="C6" s="176" t="s">
        <v>74</v>
      </c>
      <c r="D6" s="176"/>
      <c r="E6" s="176"/>
      <c r="F6" s="176"/>
      <c r="H6" s="176" t="s">
        <v>75</v>
      </c>
      <c r="I6" s="176"/>
      <c r="J6" s="176"/>
      <c r="K6" s="176"/>
    </row>
    <row r="7" spans="2:46" ht="18.5" x14ac:dyDescent="0.45">
      <c r="C7" s="1" t="s">
        <v>76</v>
      </c>
      <c r="D7" s="1" t="s">
        <v>77</v>
      </c>
      <c r="E7" s="1" t="s">
        <v>78</v>
      </c>
      <c r="F7" s="1" t="s">
        <v>79</v>
      </c>
      <c r="H7" s="1" t="s">
        <v>76</v>
      </c>
      <c r="I7" s="1" t="s">
        <v>80</v>
      </c>
      <c r="J7" s="1" t="s">
        <v>78</v>
      </c>
      <c r="K7" s="1" t="s">
        <v>79</v>
      </c>
      <c r="N7" s="177" t="s">
        <v>462</v>
      </c>
      <c r="O7" s="177"/>
      <c r="P7" s="177"/>
      <c r="Q7" s="177"/>
      <c r="R7" s="177"/>
      <c r="V7" s="177" t="s">
        <v>459</v>
      </c>
      <c r="W7" s="177"/>
      <c r="X7" s="177"/>
      <c r="Y7" s="177"/>
      <c r="Z7" s="177"/>
      <c r="AD7" s="177" t="s">
        <v>459</v>
      </c>
      <c r="AE7" s="177"/>
      <c r="AF7" s="177"/>
      <c r="AG7" s="177"/>
      <c r="AH7" s="177"/>
      <c r="AM7" s="177" t="s">
        <v>475</v>
      </c>
      <c r="AN7" s="177"/>
      <c r="AO7" s="177"/>
      <c r="AP7" s="177"/>
      <c r="AQ7" s="177"/>
      <c r="AR7" s="177"/>
      <c r="AS7" s="177"/>
      <c r="AT7" s="177"/>
    </row>
    <row r="8" spans="2:46" x14ac:dyDescent="0.35">
      <c r="C8" s="1" t="s">
        <v>356</v>
      </c>
      <c r="D8" s="14" t="s">
        <v>83</v>
      </c>
      <c r="E8" s="23" t="s">
        <v>81</v>
      </c>
      <c r="F8" s="23" t="s">
        <v>81</v>
      </c>
      <c r="H8" s="1" t="s">
        <v>349</v>
      </c>
      <c r="I8" s="52" t="s">
        <v>84</v>
      </c>
      <c r="J8" s="52" t="s">
        <v>84</v>
      </c>
      <c r="K8" s="52" t="s">
        <v>84</v>
      </c>
      <c r="N8" s="176" t="s">
        <v>461</v>
      </c>
      <c r="O8" s="176"/>
      <c r="P8" s="176"/>
      <c r="Q8" s="176"/>
      <c r="R8" s="176"/>
      <c r="S8" s="145"/>
      <c r="V8" s="176" t="s">
        <v>463</v>
      </c>
      <c r="W8" s="176"/>
      <c r="X8" s="176"/>
      <c r="Y8" s="176"/>
      <c r="Z8" s="176"/>
      <c r="AD8" s="176" t="s">
        <v>464</v>
      </c>
      <c r="AE8" s="176"/>
      <c r="AF8" s="176"/>
      <c r="AG8" s="176"/>
      <c r="AH8" s="176"/>
      <c r="AM8" s="176" t="s">
        <v>18</v>
      </c>
      <c r="AN8" s="176"/>
      <c r="AO8" s="176"/>
      <c r="AP8" s="176"/>
      <c r="AQ8" s="176"/>
      <c r="AR8" s="176"/>
      <c r="AS8" s="176"/>
      <c r="AT8" s="176"/>
    </row>
    <row r="9" spans="2:46" x14ac:dyDescent="0.35">
      <c r="C9" s="1" t="s">
        <v>357</v>
      </c>
      <c r="D9" s="14" t="s">
        <v>83</v>
      </c>
      <c r="E9" s="23" t="s">
        <v>81</v>
      </c>
      <c r="F9" s="23" t="s">
        <v>81</v>
      </c>
      <c r="H9" s="1" t="s">
        <v>350</v>
      </c>
      <c r="I9" s="52" t="s">
        <v>84</v>
      </c>
      <c r="J9" s="52" t="s">
        <v>84</v>
      </c>
      <c r="K9" s="52" t="s">
        <v>84</v>
      </c>
      <c r="O9" s="164" t="s">
        <v>83</v>
      </c>
      <c r="P9" s="1" t="s">
        <v>81</v>
      </c>
      <c r="Q9" s="9" t="s">
        <v>84</v>
      </c>
      <c r="R9" s="1" t="s">
        <v>8</v>
      </c>
      <c r="W9" s="164" t="s">
        <v>83</v>
      </c>
      <c r="X9" s="5" t="s">
        <v>81</v>
      </c>
      <c r="Y9" s="9" t="s">
        <v>84</v>
      </c>
      <c r="Z9" s="1" t="s">
        <v>8</v>
      </c>
      <c r="AE9" s="164" t="s">
        <v>83</v>
      </c>
      <c r="AF9" s="5" t="s">
        <v>81</v>
      </c>
      <c r="AG9" s="9" t="s">
        <v>84</v>
      </c>
      <c r="AH9" s="1" t="s">
        <v>8</v>
      </c>
      <c r="AN9" s="1" t="s">
        <v>85</v>
      </c>
      <c r="AO9" s="1" t="s">
        <v>120</v>
      </c>
      <c r="AP9" s="1" t="s">
        <v>87</v>
      </c>
      <c r="AQ9" s="1" t="s">
        <v>89</v>
      </c>
      <c r="AR9" s="1" t="s">
        <v>121</v>
      </c>
      <c r="AS9" s="1" t="s">
        <v>91</v>
      </c>
      <c r="AT9" s="1" t="s">
        <v>8</v>
      </c>
    </row>
    <row r="10" spans="2:46" x14ac:dyDescent="0.35">
      <c r="C10" s="1" t="s">
        <v>358</v>
      </c>
      <c r="D10" s="14" t="s">
        <v>83</v>
      </c>
      <c r="E10" s="23" t="s">
        <v>81</v>
      </c>
      <c r="F10" s="23" t="s">
        <v>81</v>
      </c>
      <c r="H10" s="1" t="s">
        <v>351</v>
      </c>
      <c r="I10" s="52" t="s">
        <v>84</v>
      </c>
      <c r="J10" s="52" t="s">
        <v>84</v>
      </c>
      <c r="K10" s="52" t="s">
        <v>84</v>
      </c>
      <c r="N10" s="1" t="s">
        <v>18</v>
      </c>
      <c r="O10" s="165">
        <f>COUNTIF(I8:I41, "RR")</f>
        <v>0</v>
      </c>
      <c r="P10" s="23">
        <f>COUNTIF(I8:I41, "RS")</f>
        <v>2</v>
      </c>
      <c r="Q10" s="10">
        <f>COUNTIF(I8:I41, "SS")</f>
        <v>32</v>
      </c>
      <c r="R10">
        <f>SUM(O10:Q10)</f>
        <v>34</v>
      </c>
      <c r="V10" s="1" t="s">
        <v>18</v>
      </c>
      <c r="W10" s="165">
        <f>COUNTIF(J8:J41, "RR")</f>
        <v>1</v>
      </c>
      <c r="X10" s="6">
        <f>COUNTIF(J8:J41, "RS")</f>
        <v>1</v>
      </c>
      <c r="Y10" s="10">
        <f>COUNTIF(J8:J41, "SS")</f>
        <v>32</v>
      </c>
      <c r="Z10">
        <f>SUM(W10:Y10)</f>
        <v>34</v>
      </c>
      <c r="AD10" s="1" t="s">
        <v>18</v>
      </c>
      <c r="AE10" s="165">
        <f>COUNTIF(K8:K41, "RR")</f>
        <v>1</v>
      </c>
      <c r="AF10" s="6">
        <f>COUNTIF(K8:K41, "RS")</f>
        <v>0</v>
      </c>
      <c r="AG10" s="10">
        <f>COUNTIF(K8:K41, "SS")</f>
        <v>32</v>
      </c>
      <c r="AH10">
        <f>SUM(AE10:AG10)</f>
        <v>33</v>
      </c>
      <c r="AM10" s="1" t="s">
        <v>18</v>
      </c>
      <c r="AN10">
        <f>COUNTIFS(I8:I41, "RR", J8:J41, "RR", K8:K41, "RR")</f>
        <v>0</v>
      </c>
      <c r="AO10">
        <v>1</v>
      </c>
      <c r="AP10">
        <f>COUNTIFS(I8:I65, "RR", J8:J65, "RS", K8:K65, "RS")</f>
        <v>0</v>
      </c>
      <c r="AQ10">
        <f>COUNTIFS(I8:I65, "RS", J8:J65, "RS", K8:K65, "RS")</f>
        <v>0</v>
      </c>
      <c r="AR10">
        <v>2</v>
      </c>
      <c r="AS10">
        <f>COUNTIFS(I8:I65, "SS", J8:J65, "SS", K8:K65, "SS")</f>
        <v>30</v>
      </c>
      <c r="AT10">
        <f>SUM(AN10:AS10)</f>
        <v>33</v>
      </c>
    </row>
    <row r="11" spans="2:46" x14ac:dyDescent="0.35">
      <c r="C11" s="1" t="s">
        <v>359</v>
      </c>
      <c r="D11" s="14" t="s">
        <v>83</v>
      </c>
      <c r="E11" s="23" t="s">
        <v>81</v>
      </c>
      <c r="F11" s="14" t="s">
        <v>83</v>
      </c>
      <c r="H11" s="1" t="s">
        <v>352</v>
      </c>
      <c r="I11" s="52" t="s">
        <v>84</v>
      </c>
      <c r="J11" s="52" t="s">
        <v>84</v>
      </c>
      <c r="K11" s="52" t="s">
        <v>84</v>
      </c>
      <c r="N11" s="1" t="s">
        <v>17</v>
      </c>
      <c r="O11" s="165">
        <f>COUNTIF(D8:D62, "RR")</f>
        <v>45</v>
      </c>
      <c r="P11" s="23">
        <f>COUNTIF(D8:D62, "RS")</f>
        <v>5</v>
      </c>
      <c r="Q11" s="10">
        <f>COUNTIF(D8:D62, "SS")</f>
        <v>2</v>
      </c>
      <c r="R11">
        <f>SUM(O11:Q11)</f>
        <v>52</v>
      </c>
      <c r="V11" s="1" t="s">
        <v>17</v>
      </c>
      <c r="W11" s="165">
        <f>COUNTIF(E8:E62, "RR")</f>
        <v>14</v>
      </c>
      <c r="X11" s="6">
        <f>COUNTIF(E8:E62, "RS")</f>
        <v>38</v>
      </c>
      <c r="Y11" s="10">
        <f>COUNTIF(E8:E62, "SS")</f>
        <v>3</v>
      </c>
      <c r="Z11">
        <f>SUM(W11:Y11)</f>
        <v>55</v>
      </c>
      <c r="AD11" s="1" t="s">
        <v>17</v>
      </c>
      <c r="AE11" s="165">
        <f>COUNTIF(F8:F62, "RR")</f>
        <v>17</v>
      </c>
      <c r="AF11" s="6">
        <f>COUNTIF(F8:F62, "RS")</f>
        <v>33</v>
      </c>
      <c r="AG11" s="10">
        <f>COUNTIF(F8:F62, "SS")</f>
        <v>5</v>
      </c>
      <c r="AH11">
        <f>SUM(AE11:AG11)</f>
        <v>55</v>
      </c>
      <c r="AM11" s="1" t="s">
        <v>17</v>
      </c>
      <c r="AN11">
        <f>COUNTIFS(D8:D69, "RR", E8:E69, "RR", F8:F69, "RR")</f>
        <v>14</v>
      </c>
      <c r="AO11">
        <f>COUNTIFS(D8:D69, "RR", E8:E69, "RS", F8:F69, "RR")</f>
        <v>3</v>
      </c>
      <c r="AP11">
        <f>COUNTIFS(D8:D69, "RR", E8:E69, "RS", F8:F69, "RS")</f>
        <v>28</v>
      </c>
      <c r="AQ11">
        <f>COUNTIFS(D8:D69, "RS", E8:E69, "RS", F8:F69, "RS")</f>
        <v>5</v>
      </c>
      <c r="AR11">
        <v>2</v>
      </c>
      <c r="AS11">
        <f>COUNTIFS(D8:D69, "SS", E8:E69, "SS", F8:F69, "SS")</f>
        <v>0</v>
      </c>
      <c r="AT11">
        <f>SUM(AN11:AS11)</f>
        <v>52</v>
      </c>
    </row>
    <row r="12" spans="2:46" x14ac:dyDescent="0.35">
      <c r="C12" s="1" t="s">
        <v>360</v>
      </c>
      <c r="D12" s="14" t="s">
        <v>83</v>
      </c>
      <c r="E12" s="14" t="s">
        <v>83</v>
      </c>
      <c r="F12" s="14" t="s">
        <v>83</v>
      </c>
      <c r="H12" s="1" t="s">
        <v>353</v>
      </c>
      <c r="I12" s="52" t="s">
        <v>84</v>
      </c>
      <c r="J12" s="52" t="s">
        <v>84</v>
      </c>
      <c r="K12" s="52" t="s">
        <v>84</v>
      </c>
      <c r="O12" s="165">
        <f>SUM(O10:O11)</f>
        <v>45</v>
      </c>
      <c r="P12" s="23">
        <f t="shared" ref="P12:Q12" si="0">SUM(P10:P11)</f>
        <v>7</v>
      </c>
      <c r="Q12" s="10">
        <f t="shared" si="0"/>
        <v>34</v>
      </c>
      <c r="W12" s="165">
        <f>SUM(W10:W11)</f>
        <v>15</v>
      </c>
      <c r="X12" s="6">
        <f t="shared" ref="X12:Y12" si="1">SUM(X10:X11)</f>
        <v>39</v>
      </c>
      <c r="Y12" s="10">
        <f t="shared" si="1"/>
        <v>35</v>
      </c>
      <c r="AE12" s="165">
        <f>SUM(AE10:AE11)</f>
        <v>18</v>
      </c>
      <c r="AF12" s="6">
        <f t="shared" ref="AF12:AG12" si="2">SUM(AF10:AF11)</f>
        <v>33</v>
      </c>
      <c r="AG12" s="10">
        <f t="shared" si="2"/>
        <v>37</v>
      </c>
      <c r="AM12" t="s">
        <v>122</v>
      </c>
      <c r="AN12">
        <f>SUM(AN10:AN11)</f>
        <v>14</v>
      </c>
      <c r="AO12">
        <f t="shared" ref="AO12:AS12" si="3">SUM(AO10:AO11)</f>
        <v>4</v>
      </c>
      <c r="AP12">
        <f t="shared" si="3"/>
        <v>28</v>
      </c>
      <c r="AQ12">
        <f t="shared" si="3"/>
        <v>5</v>
      </c>
      <c r="AR12">
        <f t="shared" si="3"/>
        <v>4</v>
      </c>
      <c r="AS12">
        <f t="shared" si="3"/>
        <v>30</v>
      </c>
    </row>
    <row r="13" spans="2:46" x14ac:dyDescent="0.35">
      <c r="C13" s="1" t="s">
        <v>361</v>
      </c>
      <c r="E13" s="52" t="s">
        <v>84</v>
      </c>
      <c r="F13" s="52" t="s">
        <v>84</v>
      </c>
      <c r="H13" s="1" t="s">
        <v>354</v>
      </c>
      <c r="I13" s="52" t="s">
        <v>84</v>
      </c>
      <c r="J13" s="52" t="s">
        <v>84</v>
      </c>
      <c r="K13" s="52" t="s">
        <v>84</v>
      </c>
      <c r="N13" s="176" t="s">
        <v>467</v>
      </c>
      <c r="O13" s="176"/>
      <c r="P13" s="176"/>
      <c r="Q13" s="176"/>
      <c r="R13" s="176"/>
      <c r="V13" s="176" t="s">
        <v>466</v>
      </c>
      <c r="W13" s="176"/>
      <c r="X13" s="176"/>
      <c r="Y13" s="176"/>
      <c r="Z13" s="176"/>
      <c r="AD13" s="176" t="s">
        <v>465</v>
      </c>
      <c r="AE13" s="176"/>
      <c r="AF13" s="176"/>
      <c r="AG13" s="176"/>
      <c r="AH13" s="176"/>
      <c r="AM13" s="176" t="s">
        <v>473</v>
      </c>
      <c r="AN13" s="176"/>
      <c r="AO13" s="176"/>
      <c r="AP13" s="176"/>
      <c r="AQ13" s="176"/>
      <c r="AR13" s="176"/>
      <c r="AS13" s="176"/>
      <c r="AT13" s="176"/>
    </row>
    <row r="14" spans="2:46" x14ac:dyDescent="0.35">
      <c r="C14" s="1" t="s">
        <v>362</v>
      </c>
      <c r="D14" s="14" t="s">
        <v>83</v>
      </c>
      <c r="E14" s="23" t="s">
        <v>81</v>
      </c>
      <c r="F14" s="23" t="s">
        <v>81</v>
      </c>
      <c r="H14" s="1" t="s">
        <v>355</v>
      </c>
      <c r="I14" s="52" t="s">
        <v>84</v>
      </c>
      <c r="J14" s="52" t="s">
        <v>84</v>
      </c>
      <c r="K14" s="52" t="s">
        <v>84</v>
      </c>
      <c r="O14" s="164" t="s">
        <v>83</v>
      </c>
      <c r="P14" s="5" t="s">
        <v>81</v>
      </c>
      <c r="Q14" s="9" t="s">
        <v>84</v>
      </c>
      <c r="R14" s="1" t="s">
        <v>8</v>
      </c>
      <c r="W14" s="164" t="s">
        <v>83</v>
      </c>
      <c r="X14" s="5" t="s">
        <v>81</v>
      </c>
      <c r="Y14" s="9" t="s">
        <v>84</v>
      </c>
      <c r="Z14" s="1"/>
      <c r="AE14" s="164" t="s">
        <v>83</v>
      </c>
      <c r="AF14" s="5" t="s">
        <v>81</v>
      </c>
      <c r="AG14" s="9" t="s">
        <v>84</v>
      </c>
      <c r="AN14" s="1" t="s">
        <v>85</v>
      </c>
      <c r="AO14" s="1" t="s">
        <v>120</v>
      </c>
      <c r="AP14" s="1" t="s">
        <v>87</v>
      </c>
      <c r="AQ14" s="1" t="s">
        <v>89</v>
      </c>
      <c r="AR14" s="1" t="s">
        <v>121</v>
      </c>
      <c r="AS14" s="1" t="s">
        <v>91</v>
      </c>
    </row>
    <row r="15" spans="2:46" x14ac:dyDescent="0.35">
      <c r="C15" s="1" t="s">
        <v>363</v>
      </c>
      <c r="D15" s="14" t="s">
        <v>83</v>
      </c>
      <c r="E15" s="23" t="s">
        <v>81</v>
      </c>
      <c r="F15" s="23" t="s">
        <v>81</v>
      </c>
      <c r="H15" s="1" t="s">
        <v>411</v>
      </c>
      <c r="I15" s="52" t="s">
        <v>84</v>
      </c>
      <c r="J15" s="52" t="s">
        <v>84</v>
      </c>
      <c r="K15" s="52" t="s">
        <v>84</v>
      </c>
      <c r="N15" s="1" t="s">
        <v>18</v>
      </c>
      <c r="O15" s="165">
        <f>O10/$O12*100</f>
        <v>0</v>
      </c>
      <c r="P15" s="7">
        <f>P10/$P12*100</f>
        <v>28.571428571428569</v>
      </c>
      <c r="Q15" s="11">
        <f>Q10/$Q12*100</f>
        <v>94.117647058823522</v>
      </c>
      <c r="V15" s="1" t="s">
        <v>18</v>
      </c>
      <c r="W15" s="167">
        <f t="shared" ref="W15:Y16" si="4">W10/W$12*100</f>
        <v>6.666666666666667</v>
      </c>
      <c r="X15" s="7">
        <f t="shared" si="4"/>
        <v>2.5641025641025639</v>
      </c>
      <c r="Y15" s="11">
        <f t="shared" si="4"/>
        <v>91.428571428571431</v>
      </c>
      <c r="AD15" s="1" t="s">
        <v>18</v>
      </c>
      <c r="AE15" s="167">
        <f t="shared" ref="AE15:AG16" si="5">AE10/AE$12*100</f>
        <v>5.5555555555555554</v>
      </c>
      <c r="AF15" s="7">
        <f t="shared" si="5"/>
        <v>0</v>
      </c>
      <c r="AG15" s="11">
        <f t="shared" si="5"/>
        <v>86.486486486486484</v>
      </c>
      <c r="AH15" s="1"/>
      <c r="AM15" t="s">
        <v>18</v>
      </c>
      <c r="AN15">
        <f t="shared" ref="AN15:AS15" si="6">AN10/AN12*100</f>
        <v>0</v>
      </c>
      <c r="AO15">
        <f t="shared" si="6"/>
        <v>25</v>
      </c>
      <c r="AP15">
        <f t="shared" si="6"/>
        <v>0</v>
      </c>
      <c r="AQ15">
        <f t="shared" si="6"/>
        <v>0</v>
      </c>
      <c r="AR15">
        <f t="shared" si="6"/>
        <v>50</v>
      </c>
      <c r="AS15">
        <f t="shared" si="6"/>
        <v>100</v>
      </c>
    </row>
    <row r="16" spans="2:46" x14ac:dyDescent="0.35">
      <c r="C16" s="1" t="s">
        <v>364</v>
      </c>
      <c r="D16" s="14" t="s">
        <v>83</v>
      </c>
      <c r="E16" s="23" t="s">
        <v>81</v>
      </c>
      <c r="F16" s="23" t="s">
        <v>81</v>
      </c>
      <c r="H16" s="1" t="s">
        <v>412</v>
      </c>
      <c r="I16" s="52" t="s">
        <v>84</v>
      </c>
      <c r="J16" s="52" t="s">
        <v>84</v>
      </c>
      <c r="K16" s="52" t="s">
        <v>84</v>
      </c>
      <c r="N16" s="1" t="s">
        <v>17</v>
      </c>
      <c r="O16" s="165">
        <f>O11/O$12*100</f>
        <v>100</v>
      </c>
      <c r="P16" s="7">
        <f>P11/P$12*100</f>
        <v>71.428571428571431</v>
      </c>
      <c r="Q16" s="11">
        <f>Q11/Q$12*100</f>
        <v>5.8823529411764701</v>
      </c>
      <c r="V16" s="1" t="s">
        <v>17</v>
      </c>
      <c r="W16" s="167">
        <f t="shared" si="4"/>
        <v>93.333333333333329</v>
      </c>
      <c r="X16" s="7">
        <f t="shared" si="4"/>
        <v>97.435897435897431</v>
      </c>
      <c r="Y16" s="11">
        <f t="shared" si="4"/>
        <v>8.5714285714285712</v>
      </c>
      <c r="AD16" s="1" t="s">
        <v>17</v>
      </c>
      <c r="AE16" s="167">
        <f t="shared" si="5"/>
        <v>94.444444444444443</v>
      </c>
      <c r="AF16" s="7">
        <f t="shared" si="5"/>
        <v>100</v>
      </c>
      <c r="AG16" s="11">
        <f t="shared" si="5"/>
        <v>13.513513513513514</v>
      </c>
      <c r="AM16" t="s">
        <v>17</v>
      </c>
      <c r="AN16">
        <f t="shared" ref="AN16:AS16" si="7">AN11/AN12*100</f>
        <v>100</v>
      </c>
      <c r="AO16">
        <f t="shared" si="7"/>
        <v>75</v>
      </c>
      <c r="AP16">
        <f t="shared" si="7"/>
        <v>100</v>
      </c>
      <c r="AQ16">
        <f t="shared" si="7"/>
        <v>100</v>
      </c>
      <c r="AR16">
        <f t="shared" si="7"/>
        <v>50</v>
      </c>
      <c r="AS16">
        <f t="shared" si="7"/>
        <v>0</v>
      </c>
    </row>
    <row r="17" spans="3:32" x14ac:dyDescent="0.35">
      <c r="C17" s="1" t="s">
        <v>365</v>
      </c>
      <c r="D17" s="14" t="s">
        <v>83</v>
      </c>
      <c r="E17" s="14" t="s">
        <v>83</v>
      </c>
      <c r="F17" s="14" t="s">
        <v>83</v>
      </c>
      <c r="H17" s="1" t="s">
        <v>413</v>
      </c>
      <c r="I17" s="52" t="s">
        <v>84</v>
      </c>
      <c r="J17" s="52" t="s">
        <v>84</v>
      </c>
      <c r="K17" s="52" t="s">
        <v>84</v>
      </c>
      <c r="O17" s="165">
        <f>SUM(O15:O16)</f>
        <v>100</v>
      </c>
      <c r="P17" s="6">
        <f t="shared" ref="P17:Q17" si="8">SUM(P15:P16)</f>
        <v>100</v>
      </c>
      <c r="Q17" s="10">
        <f t="shared" si="8"/>
        <v>99.999999999999986</v>
      </c>
    </row>
    <row r="18" spans="3:32" x14ac:dyDescent="0.35">
      <c r="C18" s="1" t="s">
        <v>366</v>
      </c>
      <c r="D18" s="14" t="s">
        <v>83</v>
      </c>
      <c r="E18" s="23" t="s">
        <v>81</v>
      </c>
      <c r="F18" s="23" t="s">
        <v>81</v>
      </c>
      <c r="H18" s="1" t="s">
        <v>414</v>
      </c>
      <c r="I18" s="52" t="s">
        <v>84</v>
      </c>
      <c r="J18" s="52" t="s">
        <v>84</v>
      </c>
    </row>
    <row r="19" spans="3:32" x14ac:dyDescent="0.35">
      <c r="C19" s="1" t="s">
        <v>367</v>
      </c>
      <c r="D19" s="14" t="s">
        <v>83</v>
      </c>
      <c r="E19" s="23" t="s">
        <v>81</v>
      </c>
      <c r="F19" s="23" t="s">
        <v>81</v>
      </c>
      <c r="H19" s="1" t="s">
        <v>415</v>
      </c>
      <c r="I19" s="52" t="s">
        <v>84</v>
      </c>
      <c r="J19" s="52" t="s">
        <v>84</v>
      </c>
      <c r="K19" s="52" t="s">
        <v>84</v>
      </c>
    </row>
    <row r="20" spans="3:32" x14ac:dyDescent="0.35">
      <c r="C20" s="1" t="s">
        <v>368</v>
      </c>
      <c r="D20" s="14" t="s">
        <v>83</v>
      </c>
      <c r="E20" s="14" t="s">
        <v>83</v>
      </c>
      <c r="F20" s="14" t="s">
        <v>83</v>
      </c>
      <c r="H20" s="1" t="s">
        <v>416</v>
      </c>
      <c r="I20" s="52" t="s">
        <v>84</v>
      </c>
      <c r="J20" s="52" t="s">
        <v>84</v>
      </c>
      <c r="K20" s="52" t="s">
        <v>84</v>
      </c>
    </row>
    <row r="21" spans="3:32" x14ac:dyDescent="0.35">
      <c r="C21" s="1" t="s">
        <v>369</v>
      </c>
      <c r="D21" s="14" t="s">
        <v>83</v>
      </c>
      <c r="E21" s="14" t="s">
        <v>83</v>
      </c>
      <c r="F21" s="14" t="s">
        <v>83</v>
      </c>
      <c r="H21" s="1" t="s">
        <v>417</v>
      </c>
      <c r="I21" s="52" t="s">
        <v>84</v>
      </c>
      <c r="J21" s="52" t="s">
        <v>84</v>
      </c>
      <c r="K21" s="52" t="s">
        <v>84</v>
      </c>
    </row>
    <row r="22" spans="3:32" x14ac:dyDescent="0.35">
      <c r="C22" s="1" t="s">
        <v>370</v>
      </c>
      <c r="D22" s="14" t="s">
        <v>83</v>
      </c>
      <c r="E22" s="14" t="s">
        <v>83</v>
      </c>
      <c r="F22" s="14" t="s">
        <v>83</v>
      </c>
      <c r="H22" s="1" t="s">
        <v>418</v>
      </c>
      <c r="I22" s="52" t="s">
        <v>84</v>
      </c>
      <c r="J22" s="52" t="s">
        <v>84</v>
      </c>
      <c r="K22" s="52" t="s">
        <v>84</v>
      </c>
    </row>
    <row r="23" spans="3:32" x14ac:dyDescent="0.35">
      <c r="C23" s="1" t="s">
        <v>371</v>
      </c>
      <c r="D23" s="14" t="s">
        <v>83</v>
      </c>
      <c r="E23" s="23" t="s">
        <v>81</v>
      </c>
      <c r="F23" s="23" t="s">
        <v>81</v>
      </c>
      <c r="H23" s="1" t="s">
        <v>419</v>
      </c>
      <c r="I23" s="52" t="s">
        <v>84</v>
      </c>
      <c r="J23" s="52" t="s">
        <v>84</v>
      </c>
      <c r="K23" s="52" t="s">
        <v>84</v>
      </c>
    </row>
    <row r="24" spans="3:32" x14ac:dyDescent="0.35">
      <c r="C24" s="1" t="s">
        <v>372</v>
      </c>
      <c r="D24" s="14" t="s">
        <v>83</v>
      </c>
      <c r="E24" s="23" t="s">
        <v>81</v>
      </c>
      <c r="F24" s="23" t="s">
        <v>81</v>
      </c>
      <c r="H24" s="1" t="s">
        <v>420</v>
      </c>
      <c r="I24" s="52" t="s">
        <v>84</v>
      </c>
      <c r="J24" s="52" t="s">
        <v>84</v>
      </c>
      <c r="K24" s="52" t="s">
        <v>84</v>
      </c>
    </row>
    <row r="25" spans="3:32" x14ac:dyDescent="0.35">
      <c r="C25" s="1" t="s">
        <v>373</v>
      </c>
      <c r="D25" s="14" t="s">
        <v>83</v>
      </c>
      <c r="E25" s="14" t="s">
        <v>83</v>
      </c>
      <c r="F25" s="14" t="s">
        <v>83</v>
      </c>
      <c r="H25" s="1" t="s">
        <v>421</v>
      </c>
      <c r="I25" s="52" t="s">
        <v>84</v>
      </c>
      <c r="J25" s="23" t="s">
        <v>81</v>
      </c>
      <c r="K25" s="52" t="s">
        <v>84</v>
      </c>
    </row>
    <row r="26" spans="3:32" x14ac:dyDescent="0.35">
      <c r="C26" s="1" t="s">
        <v>374</v>
      </c>
      <c r="D26" s="14" t="s">
        <v>83</v>
      </c>
      <c r="E26" s="23" t="s">
        <v>81</v>
      </c>
      <c r="F26" s="23" t="s">
        <v>81</v>
      </c>
      <c r="H26" s="1" t="s">
        <v>422</v>
      </c>
      <c r="I26" s="52" t="s">
        <v>84</v>
      </c>
      <c r="J26" s="52" t="s">
        <v>84</v>
      </c>
      <c r="K26" s="52" t="s">
        <v>84</v>
      </c>
    </row>
    <row r="27" spans="3:32" x14ac:dyDescent="0.35">
      <c r="C27" s="1" t="s">
        <v>375</v>
      </c>
      <c r="D27" s="14" t="s">
        <v>83</v>
      </c>
      <c r="E27" s="23" t="s">
        <v>81</v>
      </c>
      <c r="F27" s="23" t="s">
        <v>81</v>
      </c>
      <c r="H27" s="1" t="s">
        <v>423</v>
      </c>
      <c r="I27" s="23" t="s">
        <v>81</v>
      </c>
      <c r="J27" s="52" t="s">
        <v>84</v>
      </c>
      <c r="K27" s="52" t="s">
        <v>84</v>
      </c>
    </row>
    <row r="28" spans="3:32" x14ac:dyDescent="0.35">
      <c r="C28" s="1" t="s">
        <v>376</v>
      </c>
      <c r="D28" s="23" t="s">
        <v>81</v>
      </c>
      <c r="E28" s="23" t="s">
        <v>81</v>
      </c>
      <c r="F28" s="23" t="s">
        <v>81</v>
      </c>
      <c r="H28" s="1" t="s">
        <v>424</v>
      </c>
      <c r="I28" s="52" t="s">
        <v>84</v>
      </c>
      <c r="J28" s="52" t="s">
        <v>84</v>
      </c>
      <c r="K28" s="52" t="s">
        <v>84</v>
      </c>
    </row>
    <row r="29" spans="3:32" x14ac:dyDescent="0.35">
      <c r="C29" s="1" t="s">
        <v>377</v>
      </c>
      <c r="D29" s="14" t="s">
        <v>83</v>
      </c>
      <c r="E29" s="23" t="s">
        <v>81</v>
      </c>
      <c r="F29" s="23" t="s">
        <v>81</v>
      </c>
      <c r="H29" s="1" t="s">
        <v>425</v>
      </c>
      <c r="I29" s="52" t="s">
        <v>84</v>
      </c>
      <c r="J29" s="52" t="s">
        <v>84</v>
      </c>
      <c r="K29" s="52" t="s">
        <v>84</v>
      </c>
    </row>
    <row r="30" spans="3:32" x14ac:dyDescent="0.35">
      <c r="C30" s="1" t="s">
        <v>378</v>
      </c>
      <c r="D30" s="14" t="s">
        <v>83</v>
      </c>
      <c r="E30" s="14" t="s">
        <v>83</v>
      </c>
      <c r="F30" s="14" t="s">
        <v>83</v>
      </c>
      <c r="H30" s="1" t="s">
        <v>426</v>
      </c>
      <c r="I30" s="52" t="s">
        <v>84</v>
      </c>
      <c r="J30" s="52" t="s">
        <v>84</v>
      </c>
      <c r="K30" s="52" t="s">
        <v>84</v>
      </c>
    </row>
    <row r="31" spans="3:32" x14ac:dyDescent="0.35">
      <c r="C31" s="1" t="s">
        <v>379</v>
      </c>
      <c r="E31" s="52" t="s">
        <v>84</v>
      </c>
      <c r="F31" s="52" t="s">
        <v>84</v>
      </c>
      <c r="H31" s="1" t="s">
        <v>427</v>
      </c>
      <c r="I31" s="52" t="s">
        <v>84</v>
      </c>
      <c r="J31" s="52" t="s">
        <v>84</v>
      </c>
      <c r="K31" s="52" t="s">
        <v>84</v>
      </c>
    </row>
    <row r="32" spans="3:32" x14ac:dyDescent="0.35">
      <c r="C32" s="1" t="s">
        <v>380</v>
      </c>
      <c r="D32" s="14" t="s">
        <v>83</v>
      </c>
      <c r="E32" s="14" t="s">
        <v>83</v>
      </c>
      <c r="F32" s="14" t="s">
        <v>83</v>
      </c>
      <c r="H32" s="1" t="s">
        <v>428</v>
      </c>
      <c r="I32" s="52" t="s">
        <v>84</v>
      </c>
      <c r="J32" s="52" t="s">
        <v>84</v>
      </c>
      <c r="K32" s="52" t="s">
        <v>84</v>
      </c>
      <c r="N32" s="176" t="s">
        <v>111</v>
      </c>
      <c r="O32" s="176"/>
      <c r="P32" s="176"/>
      <c r="V32" s="176" t="s">
        <v>134</v>
      </c>
      <c r="W32" s="176"/>
      <c r="X32" s="176"/>
      <c r="AD32" s="176" t="s">
        <v>135</v>
      </c>
      <c r="AE32" s="176"/>
      <c r="AF32" s="176"/>
    </row>
    <row r="33" spans="3:44" x14ac:dyDescent="0.35">
      <c r="C33" s="1" t="s">
        <v>381</v>
      </c>
      <c r="D33" s="52" t="s">
        <v>84</v>
      </c>
      <c r="E33" s="23" t="s">
        <v>81</v>
      </c>
      <c r="F33" s="52" t="s">
        <v>84</v>
      </c>
      <c r="H33" s="1" t="s">
        <v>429</v>
      </c>
      <c r="I33" s="52" t="s">
        <v>84</v>
      </c>
      <c r="J33" s="52" t="s">
        <v>84</v>
      </c>
      <c r="K33" s="52" t="s">
        <v>84</v>
      </c>
      <c r="O33" s="165" t="s">
        <v>92</v>
      </c>
      <c r="P33" s="10" t="s">
        <v>93</v>
      </c>
      <c r="W33" s="165" t="s">
        <v>92</v>
      </c>
      <c r="X33" s="10" t="s">
        <v>93</v>
      </c>
      <c r="AE33" s="165" t="s">
        <v>92</v>
      </c>
      <c r="AF33" s="10" t="s">
        <v>93</v>
      </c>
    </row>
    <row r="34" spans="3:44" x14ac:dyDescent="0.35">
      <c r="C34" s="1" t="s">
        <v>382</v>
      </c>
      <c r="D34" s="14" t="s">
        <v>83</v>
      </c>
      <c r="E34" s="23" t="s">
        <v>81</v>
      </c>
      <c r="F34" s="23" t="s">
        <v>81</v>
      </c>
      <c r="H34" s="1" t="s">
        <v>430</v>
      </c>
      <c r="I34" s="52" t="s">
        <v>84</v>
      </c>
      <c r="J34" s="52" t="s">
        <v>84</v>
      </c>
      <c r="K34" s="52" t="s">
        <v>84</v>
      </c>
      <c r="N34" t="s">
        <v>18</v>
      </c>
      <c r="O34" s="166">
        <f>(O10+0.5*(P10))*100/R10</f>
        <v>2.9411764705882355</v>
      </c>
      <c r="P34" s="12">
        <f>(Q10+0.5*(P10))*100/R10</f>
        <v>97.058823529411768</v>
      </c>
      <c r="V34" t="s">
        <v>18</v>
      </c>
      <c r="W34" s="166">
        <f>(W10+0.5*(X10))*100/Z10</f>
        <v>4.4117647058823533</v>
      </c>
      <c r="X34" s="12">
        <f>(Y10+0.5*(X10))*100/Z10</f>
        <v>95.588235294117652</v>
      </c>
      <c r="AD34" t="s">
        <v>18</v>
      </c>
      <c r="AE34" s="166">
        <f>(AE10+0.5*(AF10))*100/AH10</f>
        <v>3.0303030303030303</v>
      </c>
      <c r="AF34" s="12">
        <f>(AG10+0.5*(AF10))*100/AH10</f>
        <v>96.969696969696969</v>
      </c>
      <c r="AO34" s="176" t="s">
        <v>472</v>
      </c>
      <c r="AP34" s="178"/>
      <c r="AQ34" s="178"/>
      <c r="AR34" s="178"/>
    </row>
    <row r="35" spans="3:44" x14ac:dyDescent="0.35">
      <c r="C35" s="1" t="s">
        <v>383</v>
      </c>
      <c r="D35" s="14" t="s">
        <v>83</v>
      </c>
      <c r="E35" s="23" t="s">
        <v>81</v>
      </c>
      <c r="F35" s="23" t="s">
        <v>81</v>
      </c>
      <c r="H35" s="1" t="s">
        <v>431</v>
      </c>
      <c r="I35" s="52" t="s">
        <v>84</v>
      </c>
      <c r="J35" s="52" t="s">
        <v>84</v>
      </c>
      <c r="K35" s="52" t="s">
        <v>84</v>
      </c>
      <c r="N35" t="s">
        <v>17</v>
      </c>
      <c r="O35" s="166">
        <f>(O11+0.5*(P11))*100/R11</f>
        <v>91.34615384615384</v>
      </c>
      <c r="P35" s="12">
        <f>(Q11+0.5*(P11))*100/R11</f>
        <v>8.6538461538461533</v>
      </c>
      <c r="V35" t="s">
        <v>17</v>
      </c>
      <c r="W35" s="166">
        <f>(W11+0.5*(X11))*100/Z11</f>
        <v>60</v>
      </c>
      <c r="X35" s="12">
        <f>(Y11+0.5*(X11))*100/Z11</f>
        <v>40</v>
      </c>
      <c r="AD35" t="s">
        <v>17</v>
      </c>
      <c r="AE35" s="166">
        <f>(AE11+0.5*(AF11))*100/AH11</f>
        <v>60.909090909090907</v>
      </c>
      <c r="AF35" s="12">
        <f>(AG11+0.5*(AF11))*100/AH11</f>
        <v>39.090909090909093</v>
      </c>
      <c r="AO35" s="1" t="s">
        <v>277</v>
      </c>
      <c r="AP35" s="1" t="s">
        <v>468</v>
      </c>
      <c r="AQ35" s="1" t="s">
        <v>115</v>
      </c>
      <c r="AR35" s="1" t="s">
        <v>97</v>
      </c>
    </row>
    <row r="36" spans="3:44" x14ac:dyDescent="0.35">
      <c r="C36" s="1" t="s">
        <v>384</v>
      </c>
      <c r="D36" s="14" t="s">
        <v>83</v>
      </c>
      <c r="E36" s="23" t="s">
        <v>81</v>
      </c>
      <c r="F36" s="23" t="s">
        <v>81</v>
      </c>
      <c r="H36" s="1" t="s">
        <v>432</v>
      </c>
      <c r="I36" s="52" t="s">
        <v>84</v>
      </c>
      <c r="J36" s="52" t="s">
        <v>84</v>
      </c>
      <c r="K36" s="52" t="s">
        <v>84</v>
      </c>
      <c r="AO36" s="1" t="s">
        <v>249</v>
      </c>
      <c r="AP36" s="146" t="s">
        <v>156</v>
      </c>
      <c r="AQ36" s="146" t="s">
        <v>278</v>
      </c>
      <c r="AR36" s="146" t="s">
        <v>100</v>
      </c>
    </row>
    <row r="37" spans="3:44" x14ac:dyDescent="0.35">
      <c r="C37" s="1" t="s">
        <v>385</v>
      </c>
      <c r="D37" s="14" t="s">
        <v>83</v>
      </c>
      <c r="E37" s="23" t="s">
        <v>81</v>
      </c>
      <c r="F37" s="23" t="s">
        <v>81</v>
      </c>
      <c r="H37" s="1" t="s">
        <v>433</v>
      </c>
      <c r="I37" s="52" t="s">
        <v>84</v>
      </c>
      <c r="J37" s="52" t="s">
        <v>84</v>
      </c>
      <c r="K37" s="52" t="s">
        <v>84</v>
      </c>
      <c r="AO37" s="1" t="s">
        <v>279</v>
      </c>
      <c r="AP37" s="146" t="s">
        <v>156</v>
      </c>
      <c r="AQ37" s="146" t="s">
        <v>280</v>
      </c>
      <c r="AR37" s="146" t="s">
        <v>100</v>
      </c>
    </row>
    <row r="38" spans="3:44" x14ac:dyDescent="0.35">
      <c r="C38" s="1" t="s">
        <v>386</v>
      </c>
      <c r="D38" s="14" t="s">
        <v>83</v>
      </c>
      <c r="E38" s="14" t="s">
        <v>83</v>
      </c>
      <c r="F38" s="14" t="s">
        <v>83</v>
      </c>
      <c r="H38" s="1" t="s">
        <v>434</v>
      </c>
      <c r="I38" s="23" t="s">
        <v>81</v>
      </c>
      <c r="J38" s="14" t="s">
        <v>83</v>
      </c>
      <c r="K38" s="14" t="s">
        <v>83</v>
      </c>
      <c r="AO38" s="1" t="s">
        <v>253</v>
      </c>
      <c r="AP38" s="146"/>
      <c r="AQ38" s="146"/>
      <c r="AR38" s="146" t="s">
        <v>281</v>
      </c>
    </row>
    <row r="39" spans="3:44" x14ac:dyDescent="0.35">
      <c r="C39" s="1" t="s">
        <v>387</v>
      </c>
      <c r="D39" s="14" t="s">
        <v>83</v>
      </c>
      <c r="E39" s="23" t="s">
        <v>81</v>
      </c>
      <c r="F39" s="23" t="s">
        <v>81</v>
      </c>
      <c r="H39" s="1" t="s">
        <v>435</v>
      </c>
      <c r="I39" s="52" t="s">
        <v>84</v>
      </c>
      <c r="J39" s="52" t="s">
        <v>84</v>
      </c>
      <c r="K39" s="52" t="s">
        <v>84</v>
      </c>
      <c r="AO39" s="1" t="s">
        <v>282</v>
      </c>
      <c r="AP39" s="146"/>
      <c r="AQ39" s="146"/>
      <c r="AR39" s="146" t="s">
        <v>281</v>
      </c>
    </row>
    <row r="40" spans="3:44" x14ac:dyDescent="0.35">
      <c r="C40" s="1" t="s">
        <v>388</v>
      </c>
      <c r="D40" s="23" t="s">
        <v>81</v>
      </c>
      <c r="E40" s="23" t="s">
        <v>81</v>
      </c>
      <c r="F40" s="23" t="s">
        <v>81</v>
      </c>
      <c r="H40" s="1" t="s">
        <v>436</v>
      </c>
      <c r="I40" s="52" t="s">
        <v>84</v>
      </c>
      <c r="J40" s="52" t="s">
        <v>84</v>
      </c>
      <c r="K40" s="52" t="s">
        <v>84</v>
      </c>
      <c r="AO40" s="1" t="s">
        <v>283</v>
      </c>
      <c r="AP40" s="146" t="s">
        <v>156</v>
      </c>
      <c r="AQ40" s="146" t="s">
        <v>284</v>
      </c>
      <c r="AR40" s="146" t="s">
        <v>100</v>
      </c>
    </row>
    <row r="41" spans="3:44" x14ac:dyDescent="0.35">
      <c r="C41" s="1" t="s">
        <v>389</v>
      </c>
      <c r="D41" s="23" t="s">
        <v>81</v>
      </c>
      <c r="E41" s="23" t="s">
        <v>81</v>
      </c>
      <c r="F41" s="23" t="s">
        <v>81</v>
      </c>
      <c r="H41" s="1" t="s">
        <v>437</v>
      </c>
      <c r="I41" s="52" t="s">
        <v>84</v>
      </c>
      <c r="J41" s="52" t="s">
        <v>84</v>
      </c>
      <c r="K41" s="52" t="s">
        <v>84</v>
      </c>
      <c r="AO41" s="1" t="s">
        <v>285</v>
      </c>
      <c r="AP41" s="146" t="s">
        <v>156</v>
      </c>
      <c r="AQ41" s="146" t="s">
        <v>286</v>
      </c>
      <c r="AR41" s="146" t="s">
        <v>100</v>
      </c>
    </row>
    <row r="42" spans="3:44" x14ac:dyDescent="0.35">
      <c r="C42" s="1" t="s">
        <v>390</v>
      </c>
      <c r="D42" s="23" t="s">
        <v>81</v>
      </c>
      <c r="E42" s="23" t="s">
        <v>81</v>
      </c>
      <c r="F42" s="23" t="s">
        <v>81</v>
      </c>
      <c r="H42" s="1"/>
      <c r="AO42" s="1" t="s">
        <v>287</v>
      </c>
      <c r="AP42" s="146">
        <v>3</v>
      </c>
      <c r="AQ42" s="146" t="s">
        <v>288</v>
      </c>
      <c r="AR42" s="147">
        <v>4.0000000000000002E-4</v>
      </c>
    </row>
    <row r="43" spans="3:44" x14ac:dyDescent="0.35">
      <c r="C43" s="1" t="s">
        <v>391</v>
      </c>
      <c r="D43" s="14" t="s">
        <v>83</v>
      </c>
      <c r="E43" s="14" t="s">
        <v>83</v>
      </c>
      <c r="F43" s="14" t="s">
        <v>83</v>
      </c>
      <c r="H43" s="1"/>
      <c r="AO43" s="1" t="s">
        <v>289</v>
      </c>
      <c r="AP43" s="146">
        <v>0</v>
      </c>
      <c r="AQ43" s="146" t="s">
        <v>290</v>
      </c>
      <c r="AR43" s="146" t="s">
        <v>100</v>
      </c>
    </row>
    <row r="44" spans="3:44" x14ac:dyDescent="0.35">
      <c r="C44" s="1" t="s">
        <v>392</v>
      </c>
      <c r="D44" s="14" t="s">
        <v>83</v>
      </c>
      <c r="E44" s="23" t="s">
        <v>81</v>
      </c>
      <c r="F44" s="14" t="s">
        <v>83</v>
      </c>
      <c r="H44" s="1"/>
      <c r="AO44" s="1" t="s">
        <v>291</v>
      </c>
      <c r="AP44" s="146">
        <v>0</v>
      </c>
      <c r="AQ44" s="146" t="s">
        <v>290</v>
      </c>
      <c r="AR44" s="146" t="s">
        <v>100</v>
      </c>
    </row>
    <row r="45" spans="3:44" x14ac:dyDescent="0.35">
      <c r="C45" s="1" t="s">
        <v>393</v>
      </c>
      <c r="D45" s="14" t="s">
        <v>83</v>
      </c>
      <c r="E45" s="23" t="s">
        <v>81</v>
      </c>
      <c r="F45" s="14" t="s">
        <v>83</v>
      </c>
      <c r="H45" s="1"/>
      <c r="AO45" s="1" t="s">
        <v>292</v>
      </c>
      <c r="AP45" s="146" t="s">
        <v>156</v>
      </c>
      <c r="AQ45" s="146" t="s">
        <v>278</v>
      </c>
      <c r="AR45" s="146" t="s">
        <v>100</v>
      </c>
    </row>
    <row r="46" spans="3:44" x14ac:dyDescent="0.35">
      <c r="C46" s="1" t="s">
        <v>394</v>
      </c>
      <c r="D46" s="14" t="s">
        <v>83</v>
      </c>
      <c r="E46" s="23" t="s">
        <v>81</v>
      </c>
      <c r="F46" s="23" t="s">
        <v>81</v>
      </c>
      <c r="H46" s="1"/>
      <c r="M46" s="1"/>
      <c r="N46" s="1"/>
      <c r="O46" s="1"/>
      <c r="P46" s="1"/>
      <c r="AO46" s="1" t="s">
        <v>293</v>
      </c>
      <c r="AP46" s="146" t="s">
        <v>156</v>
      </c>
      <c r="AQ46" s="146" t="s">
        <v>280</v>
      </c>
      <c r="AR46" s="146" t="s">
        <v>100</v>
      </c>
    </row>
    <row r="47" spans="3:44" x14ac:dyDescent="0.35">
      <c r="C47" s="1" t="s">
        <v>395</v>
      </c>
      <c r="D47" s="14" t="s">
        <v>83</v>
      </c>
      <c r="E47" s="23" t="s">
        <v>81</v>
      </c>
      <c r="F47" s="23" t="s">
        <v>81</v>
      </c>
      <c r="H47" s="1"/>
      <c r="AO47" s="1" t="s">
        <v>269</v>
      </c>
      <c r="AP47" s="146"/>
      <c r="AQ47" s="146"/>
      <c r="AR47" s="146" t="s">
        <v>281</v>
      </c>
    </row>
    <row r="48" spans="3:44" x14ac:dyDescent="0.35">
      <c r="C48" s="1" t="s">
        <v>396</v>
      </c>
      <c r="D48" s="14" t="s">
        <v>83</v>
      </c>
      <c r="E48" s="23" t="s">
        <v>81</v>
      </c>
      <c r="F48" s="23" t="s">
        <v>81</v>
      </c>
      <c r="H48" s="1"/>
      <c r="N48" s="176" t="s">
        <v>471</v>
      </c>
      <c r="O48" s="176"/>
      <c r="P48" s="176"/>
      <c r="Q48" s="176"/>
      <c r="V48" s="176" t="s">
        <v>470</v>
      </c>
      <c r="W48" s="176"/>
      <c r="X48" s="176"/>
      <c r="Y48" s="176"/>
      <c r="AD48" s="176" t="s">
        <v>469</v>
      </c>
      <c r="AE48" s="176"/>
      <c r="AF48" s="176"/>
      <c r="AG48" s="176"/>
      <c r="AO48" s="1" t="s">
        <v>271</v>
      </c>
      <c r="AP48" s="146" t="s">
        <v>156</v>
      </c>
      <c r="AQ48" s="146" t="s">
        <v>278</v>
      </c>
      <c r="AR48" s="146" t="s">
        <v>100</v>
      </c>
    </row>
    <row r="49" spans="3:44" x14ac:dyDescent="0.35">
      <c r="C49" s="1" t="s">
        <v>397</v>
      </c>
      <c r="D49" s="14" t="s">
        <v>83</v>
      </c>
      <c r="E49" s="23" t="s">
        <v>81</v>
      </c>
      <c r="F49" s="23" t="s">
        <v>81</v>
      </c>
      <c r="H49" s="1"/>
      <c r="O49" s="1" t="s">
        <v>468</v>
      </c>
      <c r="P49" s="1" t="s">
        <v>96</v>
      </c>
      <c r="Q49" s="1" t="s">
        <v>97</v>
      </c>
      <c r="W49" s="1" t="s">
        <v>468</v>
      </c>
      <c r="X49" s="1" t="s">
        <v>96</v>
      </c>
      <c r="Y49" s="1" t="s">
        <v>97</v>
      </c>
      <c r="AE49" s="1" t="s">
        <v>95</v>
      </c>
      <c r="AF49" s="1" t="s">
        <v>96</v>
      </c>
      <c r="AG49" s="1" t="s">
        <v>97</v>
      </c>
      <c r="AO49" s="1" t="s">
        <v>294</v>
      </c>
      <c r="AP49" s="146" t="s">
        <v>156</v>
      </c>
      <c r="AQ49" s="146" t="s">
        <v>280</v>
      </c>
      <c r="AR49" s="146" t="s">
        <v>100</v>
      </c>
    </row>
    <row r="50" spans="3:44" x14ac:dyDescent="0.35">
      <c r="C50" s="1" t="s">
        <v>398</v>
      </c>
      <c r="D50" s="14" t="s">
        <v>83</v>
      </c>
      <c r="E50" s="23" t="s">
        <v>81</v>
      </c>
      <c r="F50" s="23" t="s">
        <v>81</v>
      </c>
      <c r="H50" s="1"/>
      <c r="N50" s="1" t="s">
        <v>98</v>
      </c>
      <c r="O50" s="147" t="s">
        <v>123</v>
      </c>
      <c r="P50" s="147" t="s">
        <v>124</v>
      </c>
      <c r="Q50" s="147" t="s">
        <v>100</v>
      </c>
      <c r="V50" s="1" t="s">
        <v>98</v>
      </c>
      <c r="W50" s="147">
        <v>0.4</v>
      </c>
      <c r="X50" s="147" t="s">
        <v>125</v>
      </c>
      <c r="Y50" s="147">
        <v>0.33110000000000001</v>
      </c>
      <c r="AD50" s="1" t="s">
        <v>98</v>
      </c>
      <c r="AE50" s="147">
        <v>0</v>
      </c>
      <c r="AF50" s="147" t="s">
        <v>126</v>
      </c>
      <c r="AG50" s="147">
        <v>2.8899999999999999E-2</v>
      </c>
      <c r="AO50" s="1" t="s">
        <v>295</v>
      </c>
      <c r="AP50" s="146" t="s">
        <v>156</v>
      </c>
      <c r="AQ50" s="146" t="s">
        <v>280</v>
      </c>
      <c r="AR50" s="146" t="s">
        <v>100</v>
      </c>
    </row>
    <row r="51" spans="3:44" x14ac:dyDescent="0.35">
      <c r="C51" s="1" t="s">
        <v>399</v>
      </c>
      <c r="E51" s="52" t="s">
        <v>84</v>
      </c>
      <c r="F51" s="52" t="s">
        <v>84</v>
      </c>
      <c r="H51" s="1"/>
      <c r="N51" s="1" t="s">
        <v>103</v>
      </c>
      <c r="O51" s="147" t="s">
        <v>123</v>
      </c>
      <c r="P51" s="147" t="s">
        <v>127</v>
      </c>
      <c r="Q51" s="147" t="s">
        <v>100</v>
      </c>
      <c r="V51" s="1" t="s">
        <v>103</v>
      </c>
      <c r="W51" s="147">
        <v>134.30000000000001</v>
      </c>
      <c r="X51" s="147" t="s">
        <v>128</v>
      </c>
      <c r="Y51" s="147" t="s">
        <v>100</v>
      </c>
      <c r="AD51" s="1" t="s">
        <v>103</v>
      </c>
      <c r="AE51" s="147">
        <v>96.2</v>
      </c>
      <c r="AF51" s="147" t="s">
        <v>129</v>
      </c>
      <c r="AG51" s="147" t="s">
        <v>100</v>
      </c>
    </row>
    <row r="52" spans="3:44" x14ac:dyDescent="0.35">
      <c r="C52" s="1" t="s">
        <v>400</v>
      </c>
      <c r="D52" s="14" t="s">
        <v>83</v>
      </c>
      <c r="E52" s="14" t="s">
        <v>83</v>
      </c>
      <c r="F52" s="14" t="s">
        <v>83</v>
      </c>
      <c r="H52" s="1"/>
      <c r="N52" s="1" t="s">
        <v>107</v>
      </c>
      <c r="O52" s="147">
        <v>38.36</v>
      </c>
      <c r="P52" s="147" t="s">
        <v>130</v>
      </c>
      <c r="Q52" s="147" t="s">
        <v>100</v>
      </c>
      <c r="V52" s="1" t="s">
        <v>107</v>
      </c>
      <c r="W52" s="147">
        <v>326.89999999999998</v>
      </c>
      <c r="X52" s="147" t="s">
        <v>131</v>
      </c>
      <c r="Y52" s="147" t="s">
        <v>100</v>
      </c>
      <c r="AD52" s="1" t="s">
        <v>107</v>
      </c>
      <c r="AE52" s="147" t="s">
        <v>132</v>
      </c>
      <c r="AF52" s="147" t="s">
        <v>133</v>
      </c>
      <c r="AG52" s="147" t="s">
        <v>100</v>
      </c>
    </row>
    <row r="53" spans="3:44" x14ac:dyDescent="0.35">
      <c r="C53" s="1" t="s">
        <v>401</v>
      </c>
      <c r="D53" s="14" t="s">
        <v>83</v>
      </c>
      <c r="E53" s="23" t="s">
        <v>81</v>
      </c>
      <c r="F53" s="23" t="s">
        <v>81</v>
      </c>
      <c r="H53" s="1"/>
      <c r="N53" s="1" t="s">
        <v>116</v>
      </c>
      <c r="O53" s="149">
        <v>326.89999999999998</v>
      </c>
      <c r="P53" s="149" t="s">
        <v>136</v>
      </c>
      <c r="Q53" s="149" t="s">
        <v>100</v>
      </c>
      <c r="V53" t="s">
        <v>116</v>
      </c>
      <c r="W53" s="149">
        <v>36</v>
      </c>
      <c r="X53" s="149" t="s">
        <v>137</v>
      </c>
      <c r="Y53" s="149" t="s">
        <v>100</v>
      </c>
      <c r="AD53" t="s">
        <v>116</v>
      </c>
      <c r="AE53" s="149">
        <v>50.57</v>
      </c>
      <c r="AF53" s="149" t="s">
        <v>138</v>
      </c>
      <c r="AG53" s="149" t="s">
        <v>100</v>
      </c>
    </row>
    <row r="54" spans="3:44" x14ac:dyDescent="0.35">
      <c r="C54" s="1" t="s">
        <v>402</v>
      </c>
      <c r="D54" s="14" t="s">
        <v>83</v>
      </c>
      <c r="E54" s="14" t="s">
        <v>83</v>
      </c>
      <c r="F54" s="14" t="s">
        <v>83</v>
      </c>
      <c r="H54" s="1"/>
    </row>
    <row r="55" spans="3:44" x14ac:dyDescent="0.35">
      <c r="C55" s="1" t="s">
        <v>403</v>
      </c>
      <c r="D55" s="23" t="s">
        <v>81</v>
      </c>
      <c r="E55" s="23" t="s">
        <v>81</v>
      </c>
      <c r="F55" s="23" t="s">
        <v>81</v>
      </c>
      <c r="H55" s="1"/>
      <c r="N55" s="80" t="s">
        <v>139</v>
      </c>
      <c r="O55" s="47"/>
      <c r="V55" s="80" t="s">
        <v>139</v>
      </c>
      <c r="W55" s="47"/>
      <c r="AD55" s="80" t="s">
        <v>139</v>
      </c>
    </row>
    <row r="56" spans="3:44" x14ac:dyDescent="0.35">
      <c r="C56" s="1" t="s">
        <v>404</v>
      </c>
      <c r="D56" s="14" t="s">
        <v>83</v>
      </c>
      <c r="E56" s="14" t="s">
        <v>83</v>
      </c>
      <c r="F56" s="14" t="s">
        <v>83</v>
      </c>
      <c r="H56" s="1"/>
      <c r="N56" s="50" t="s">
        <v>140</v>
      </c>
      <c r="O56" s="47" t="s">
        <v>141</v>
      </c>
      <c r="V56" s="50" t="s">
        <v>140</v>
      </c>
      <c r="W56" s="47" t="s">
        <v>141</v>
      </c>
      <c r="AD56" s="50" t="s">
        <v>140</v>
      </c>
      <c r="AE56" s="47" t="s">
        <v>141</v>
      </c>
    </row>
    <row r="57" spans="3:44" x14ac:dyDescent="0.35">
      <c r="C57" s="1" t="s">
        <v>405</v>
      </c>
      <c r="D57" s="14" t="s">
        <v>83</v>
      </c>
      <c r="E57" s="23" t="s">
        <v>81</v>
      </c>
      <c r="F57" s="23" t="s">
        <v>81</v>
      </c>
      <c r="H57" s="1"/>
      <c r="N57" s="50" t="s">
        <v>142</v>
      </c>
      <c r="O57" s="47" t="s">
        <v>143</v>
      </c>
      <c r="V57" s="50" t="s">
        <v>142</v>
      </c>
      <c r="W57" s="47" t="s">
        <v>144</v>
      </c>
      <c r="AD57" s="50" t="s">
        <v>142</v>
      </c>
      <c r="AE57" s="47" t="s">
        <v>145</v>
      </c>
    </row>
    <row r="58" spans="3:44" x14ac:dyDescent="0.35">
      <c r="C58" s="1" t="s">
        <v>406</v>
      </c>
      <c r="D58" s="14" t="s">
        <v>83</v>
      </c>
      <c r="E58" s="23" t="s">
        <v>81</v>
      </c>
      <c r="F58" s="23" t="s">
        <v>81</v>
      </c>
      <c r="H58" s="1"/>
      <c r="N58" s="50" t="s">
        <v>146</v>
      </c>
      <c r="O58" s="47" t="s">
        <v>100</v>
      </c>
      <c r="V58" s="50" t="s">
        <v>146</v>
      </c>
      <c r="W58" s="47" t="s">
        <v>100</v>
      </c>
      <c r="AD58" s="50" t="s">
        <v>146</v>
      </c>
      <c r="AE58" s="47" t="s">
        <v>100</v>
      </c>
    </row>
    <row r="59" spans="3:44" x14ac:dyDescent="0.35">
      <c r="C59" s="1" t="s">
        <v>407</v>
      </c>
      <c r="D59" s="52" t="s">
        <v>84</v>
      </c>
      <c r="E59" s="23" t="s">
        <v>81</v>
      </c>
      <c r="F59" s="52" t="s">
        <v>84</v>
      </c>
      <c r="H59" s="1"/>
      <c r="N59" s="50" t="s">
        <v>147</v>
      </c>
      <c r="O59" s="47" t="s">
        <v>148</v>
      </c>
      <c r="V59" s="50" t="s">
        <v>147</v>
      </c>
      <c r="W59" s="47" t="s">
        <v>148</v>
      </c>
      <c r="AD59" s="50" t="s">
        <v>147</v>
      </c>
      <c r="AE59" s="47" t="s">
        <v>148</v>
      </c>
    </row>
    <row r="60" spans="3:44" x14ac:dyDescent="0.35">
      <c r="C60" s="1" t="s">
        <v>408</v>
      </c>
      <c r="D60" s="14" t="s">
        <v>83</v>
      </c>
      <c r="E60" s="23" t="s">
        <v>81</v>
      </c>
      <c r="F60" s="23" t="s">
        <v>81</v>
      </c>
      <c r="H60" s="1"/>
      <c r="N60" s="50" t="s">
        <v>149</v>
      </c>
      <c r="O60" s="47" t="s">
        <v>150</v>
      </c>
      <c r="V60" s="50" t="s">
        <v>149</v>
      </c>
      <c r="W60" s="47" t="s">
        <v>150</v>
      </c>
      <c r="AD60" s="50" t="s">
        <v>149</v>
      </c>
      <c r="AE60" s="47" t="s">
        <v>150</v>
      </c>
    </row>
    <row r="61" spans="3:44" x14ac:dyDescent="0.35">
      <c r="C61" s="1" t="s">
        <v>409</v>
      </c>
      <c r="D61" s="14" t="s">
        <v>83</v>
      </c>
      <c r="E61" s="23" t="s">
        <v>81</v>
      </c>
      <c r="F61" s="23" t="s">
        <v>81</v>
      </c>
      <c r="H61" s="1"/>
      <c r="N61" s="50" t="s">
        <v>151</v>
      </c>
      <c r="O61" s="47" t="s">
        <v>152</v>
      </c>
      <c r="V61" s="50" t="s">
        <v>151</v>
      </c>
      <c r="W61" s="47" t="s">
        <v>152</v>
      </c>
      <c r="AD61" s="50" t="s">
        <v>151</v>
      </c>
      <c r="AE61" s="47" t="s">
        <v>152</v>
      </c>
    </row>
    <row r="62" spans="3:44" x14ac:dyDescent="0.35">
      <c r="C62" s="1" t="s">
        <v>410</v>
      </c>
      <c r="D62" s="14" t="s">
        <v>83</v>
      </c>
      <c r="E62" s="14" t="s">
        <v>83</v>
      </c>
      <c r="F62" s="14" t="s">
        <v>83</v>
      </c>
      <c r="H62" s="1"/>
    </row>
    <row r="63" spans="3:44" x14ac:dyDescent="0.35">
      <c r="C63" s="1"/>
      <c r="H63" s="1"/>
    </row>
    <row r="64" spans="3:44" x14ac:dyDescent="0.35">
      <c r="C64" s="1"/>
      <c r="H64" s="1"/>
    </row>
    <row r="65" spans="3:8" x14ac:dyDescent="0.35">
      <c r="C65" s="1"/>
      <c r="H65" s="1"/>
    </row>
    <row r="66" spans="3:8" x14ac:dyDescent="0.35">
      <c r="C66" s="1"/>
      <c r="H66" s="1"/>
    </row>
    <row r="67" spans="3:8" x14ac:dyDescent="0.35">
      <c r="C67" s="1"/>
      <c r="H67" s="1"/>
    </row>
    <row r="68" spans="3:8" x14ac:dyDescent="0.35">
      <c r="C68" s="1"/>
      <c r="H68" s="1"/>
    </row>
    <row r="69" spans="3:8" x14ac:dyDescent="0.35">
      <c r="C69" s="1"/>
    </row>
    <row r="70" spans="3:8" x14ac:dyDescent="0.35">
      <c r="C70" s="1"/>
    </row>
    <row r="71" spans="3:8" x14ac:dyDescent="0.35">
      <c r="C71" s="1"/>
    </row>
    <row r="72" spans="3:8" x14ac:dyDescent="0.35">
      <c r="C72" s="1"/>
    </row>
  </sheetData>
  <mergeCells count="22">
    <mergeCell ref="AO34:AR34"/>
    <mergeCell ref="N32:P32"/>
    <mergeCell ref="V32:X32"/>
    <mergeCell ref="AD32:AF32"/>
    <mergeCell ref="N48:Q48"/>
    <mergeCell ref="V48:Y48"/>
    <mergeCell ref="AD48:AG48"/>
    <mergeCell ref="V13:Z13"/>
    <mergeCell ref="N13:R13"/>
    <mergeCell ref="AD13:AH13"/>
    <mergeCell ref="AM8:AT8"/>
    <mergeCell ref="AM13:AT13"/>
    <mergeCell ref="AM7:AT7"/>
    <mergeCell ref="V8:Z8"/>
    <mergeCell ref="AD8:AH8"/>
    <mergeCell ref="C6:F6"/>
    <mergeCell ref="H6:K6"/>
    <mergeCell ref="C5:K5"/>
    <mergeCell ref="N8:R8"/>
    <mergeCell ref="N7:R7"/>
    <mergeCell ref="V7:Z7"/>
    <mergeCell ref="AD7:AH7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5122" r:id="rId4">
          <objectPr defaultSize="0" autoPict="0" r:id="rId5">
            <anchor moveWithCells="1">
              <from>
                <xdr:col>40</xdr:col>
                <xdr:colOff>400050</xdr:colOff>
                <xdr:row>16</xdr:row>
                <xdr:rowOff>171450</xdr:rowOff>
              </from>
              <to>
                <xdr:col>42</xdr:col>
                <xdr:colOff>882650</xdr:colOff>
                <xdr:row>30</xdr:row>
                <xdr:rowOff>0</xdr:rowOff>
              </to>
            </anchor>
          </objectPr>
        </oleObject>
      </mc:Choice>
      <mc:Fallback>
        <oleObject progId="Prism8.Document" shapeId="5122" r:id="rId4"/>
      </mc:Fallback>
    </mc:AlternateContent>
    <mc:AlternateContent xmlns:mc="http://schemas.openxmlformats.org/markup-compatibility/2006">
      <mc:Choice Requires="x14">
        <oleObject progId="Prism8.Document" shapeId="5124" r:id="rId6">
          <objectPr defaultSize="0" autoPict="0" r:id="rId7">
            <anchor moveWithCells="1" sizeWithCells="1">
              <from>
                <xdr:col>13</xdr:col>
                <xdr:colOff>882650</xdr:colOff>
                <xdr:row>17</xdr:row>
                <xdr:rowOff>114300</xdr:rowOff>
              </from>
              <to>
                <xdr:col>16</xdr:col>
                <xdr:colOff>438150</xdr:colOff>
                <xdr:row>29</xdr:row>
                <xdr:rowOff>139700</xdr:rowOff>
              </to>
            </anchor>
          </objectPr>
        </oleObject>
      </mc:Choice>
      <mc:Fallback>
        <oleObject progId="Prism8.Document" shapeId="5124" r:id="rId6"/>
      </mc:Fallback>
    </mc:AlternateContent>
    <mc:AlternateContent xmlns:mc="http://schemas.openxmlformats.org/markup-compatibility/2006">
      <mc:Choice Requires="x14">
        <oleObject progId="Prism8.Document" shapeId="5178" r:id="rId8">
          <objectPr defaultSize="0" autoPict="0" r:id="rId9">
            <anchor moveWithCells="1" sizeWithCells="1">
              <from>
                <xdr:col>21</xdr:col>
                <xdr:colOff>406400</xdr:colOff>
                <xdr:row>17</xdr:row>
                <xdr:rowOff>152400</xdr:rowOff>
              </from>
              <to>
                <xdr:col>24</xdr:col>
                <xdr:colOff>273050</xdr:colOff>
                <xdr:row>29</xdr:row>
                <xdr:rowOff>44450</xdr:rowOff>
              </to>
            </anchor>
          </objectPr>
        </oleObject>
      </mc:Choice>
      <mc:Fallback>
        <oleObject progId="Prism8.Document" shapeId="5178" r:id="rId8"/>
      </mc:Fallback>
    </mc:AlternateContent>
    <mc:AlternateContent xmlns:mc="http://schemas.openxmlformats.org/markup-compatibility/2006">
      <mc:Choice Requires="x14">
        <oleObject progId="Prism8.Document" shapeId="5232" r:id="rId10">
          <objectPr defaultSize="0" autoPict="0" r:id="rId11">
            <anchor moveWithCells="1" sizeWithCells="1">
              <from>
                <xdr:col>29</xdr:col>
                <xdr:colOff>438150</xdr:colOff>
                <xdr:row>17</xdr:row>
                <xdr:rowOff>12700</xdr:rowOff>
              </from>
              <to>
                <xdr:col>32</xdr:col>
                <xdr:colOff>520700</xdr:colOff>
                <xdr:row>29</xdr:row>
                <xdr:rowOff>69850</xdr:rowOff>
              </to>
            </anchor>
          </objectPr>
        </oleObject>
      </mc:Choice>
      <mc:Fallback>
        <oleObject progId="Prism8.Document" shapeId="5232" r:id="rId10"/>
      </mc:Fallback>
    </mc:AlternateContent>
    <mc:AlternateContent xmlns:mc="http://schemas.openxmlformats.org/markup-compatibility/2006">
      <mc:Choice Requires="x14">
        <oleObject progId="Prism8.Document" shapeId="5234" r:id="rId12">
          <objectPr defaultSize="0" autoPict="0" r:id="rId13">
            <anchor moveWithCells="1" sizeWithCells="1">
              <from>
                <xdr:col>29</xdr:col>
                <xdr:colOff>419100</xdr:colOff>
                <xdr:row>35</xdr:row>
                <xdr:rowOff>50800</xdr:rowOff>
              </from>
              <to>
                <xdr:col>32</xdr:col>
                <xdr:colOff>495300</xdr:colOff>
                <xdr:row>46</xdr:row>
                <xdr:rowOff>69850</xdr:rowOff>
              </to>
            </anchor>
          </objectPr>
        </oleObject>
      </mc:Choice>
      <mc:Fallback>
        <oleObject progId="Prism8.Document" shapeId="5234" r:id="rId12"/>
      </mc:Fallback>
    </mc:AlternateContent>
    <mc:AlternateContent xmlns:mc="http://schemas.openxmlformats.org/markup-compatibility/2006">
      <mc:Choice Requires="x14">
        <oleObject progId="Prism8.Document" shapeId="5179" r:id="rId14">
          <objectPr defaultSize="0" autoPict="0" r:id="rId15">
            <anchor moveWithCells="1" sizeWithCells="1">
              <from>
                <xdr:col>21</xdr:col>
                <xdr:colOff>241300</xdr:colOff>
                <xdr:row>35</xdr:row>
                <xdr:rowOff>44450</xdr:rowOff>
              </from>
              <to>
                <xdr:col>23</xdr:col>
                <xdr:colOff>755650</xdr:colOff>
                <xdr:row>45</xdr:row>
                <xdr:rowOff>146050</xdr:rowOff>
              </to>
            </anchor>
          </objectPr>
        </oleObject>
      </mc:Choice>
      <mc:Fallback>
        <oleObject progId="Prism8.Document" shapeId="5179" r:id="rId1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E128-F9A8-434C-8D99-DB910CA91074}">
  <dimension ref="B2:AX72"/>
  <sheetViews>
    <sheetView topLeftCell="B1" zoomScale="25" zoomScaleNormal="25" zoomScalePageLayoutView="85" workbookViewId="0">
      <selection activeCell="S62" sqref="S62"/>
    </sheetView>
  </sheetViews>
  <sheetFormatPr defaultColWidth="9.1796875" defaultRowHeight="14.5" x14ac:dyDescent="0.35"/>
  <cols>
    <col min="1" max="1" width="9.1796875" style="2"/>
    <col min="2" max="2" width="5.1796875" style="2" customWidth="1"/>
    <col min="3" max="6" width="9.1796875" style="2"/>
    <col min="7" max="7" width="6" style="2" customWidth="1"/>
    <col min="8" max="12" width="9.1796875" style="2"/>
    <col min="13" max="13" width="12.54296875" style="2" customWidth="1"/>
    <col min="14" max="14" width="29.54296875" style="2" customWidth="1"/>
    <col min="15" max="15" width="12.81640625" style="2" customWidth="1"/>
    <col min="16" max="16" width="24.54296875" style="2" customWidth="1"/>
    <col min="17" max="19" width="9.1796875" style="2"/>
    <col min="20" max="20" width="29.7265625" style="2" customWidth="1"/>
    <col min="21" max="21" width="28.54296875" style="2" customWidth="1"/>
    <col min="22" max="22" width="17.7265625" style="2" customWidth="1"/>
    <col min="23" max="23" width="25.1796875" style="2" customWidth="1"/>
    <col min="24" max="26" width="9.1796875" style="2"/>
    <col min="27" max="27" width="30" style="2" customWidth="1"/>
    <col min="28" max="28" width="12.6328125" style="2" customWidth="1"/>
    <col min="29" max="29" width="12.81640625" style="2" customWidth="1"/>
    <col min="30" max="30" width="25" style="2" customWidth="1"/>
    <col min="31" max="34" width="9.1796875" style="2"/>
    <col min="35" max="35" width="18.453125" style="2" customWidth="1"/>
    <col min="36" max="37" width="15.1796875" style="2" customWidth="1"/>
    <col min="38" max="38" width="15.54296875" style="2" customWidth="1"/>
    <col min="39" max="39" width="15.1796875" style="2" customWidth="1"/>
    <col min="40" max="40" width="13.26953125" style="2" customWidth="1"/>
    <col min="41" max="41" width="13.54296875" style="2" customWidth="1"/>
    <col min="42" max="42" width="9.1796875" style="2"/>
    <col min="43" max="43" width="30" style="2" customWidth="1"/>
    <col min="44" max="44" width="10.26953125" style="2" customWidth="1"/>
    <col min="45" max="45" width="15" style="2" customWidth="1"/>
    <col min="46" max="46" width="23.81640625" style="2" customWidth="1"/>
    <col min="47" max="49" width="10.54296875" style="2" bestFit="1" customWidth="1"/>
    <col min="50" max="16384" width="9.1796875" style="2"/>
  </cols>
  <sheetData>
    <row r="2" spans="2:47" ht="22" x14ac:dyDescent="0.5">
      <c r="B2" s="151" t="s">
        <v>476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2:47" ht="21" x14ac:dyDescent="0.5">
      <c r="B3" s="153" t="s">
        <v>346</v>
      </c>
    </row>
    <row r="4" spans="2:47" ht="21" x14ac:dyDescent="0.5">
      <c r="B4" s="152"/>
    </row>
    <row r="5" spans="2:47" ht="23.5" x14ac:dyDescent="0.55000000000000004">
      <c r="B5" s="175" t="s">
        <v>487</v>
      </c>
      <c r="C5" s="175"/>
      <c r="D5" s="175"/>
      <c r="E5" s="175"/>
      <c r="F5" s="175"/>
      <c r="G5" s="175"/>
      <c r="H5" s="175"/>
      <c r="I5" s="175"/>
      <c r="J5" s="175"/>
    </row>
    <row r="6" spans="2:47" x14ac:dyDescent="0.35">
      <c r="B6" s="176" t="s">
        <v>74</v>
      </c>
      <c r="C6" s="176"/>
      <c r="D6" s="176"/>
      <c r="E6" s="176"/>
      <c r="G6" s="176" t="s">
        <v>75</v>
      </c>
      <c r="H6" s="176"/>
      <c r="I6" s="176"/>
      <c r="J6" s="176"/>
    </row>
    <row r="7" spans="2:47" x14ac:dyDescent="0.35">
      <c r="B7" s="57" t="s">
        <v>76</v>
      </c>
      <c r="C7" s="57" t="s">
        <v>77</v>
      </c>
      <c r="D7" s="57" t="s">
        <v>78</v>
      </c>
      <c r="E7" s="57" t="s">
        <v>79</v>
      </c>
      <c r="G7" s="57" t="s">
        <v>76</v>
      </c>
      <c r="H7" s="57" t="s">
        <v>80</v>
      </c>
      <c r="I7" s="57" t="s">
        <v>78</v>
      </c>
      <c r="J7" s="57" t="s">
        <v>79</v>
      </c>
    </row>
    <row r="8" spans="2:47" x14ac:dyDescent="0.35">
      <c r="B8" s="1" t="s">
        <v>356</v>
      </c>
      <c r="C8" s="21" t="s">
        <v>81</v>
      </c>
      <c r="E8" s="21" t="s">
        <v>81</v>
      </c>
      <c r="G8" s="1" t="s">
        <v>349</v>
      </c>
      <c r="H8" s="21" t="s">
        <v>81</v>
      </c>
      <c r="I8" s="21" t="s">
        <v>81</v>
      </c>
      <c r="J8" s="21" t="s">
        <v>81</v>
      </c>
      <c r="M8" s="179" t="s">
        <v>488</v>
      </c>
      <c r="N8" s="179"/>
      <c r="O8" s="179"/>
      <c r="P8" s="179"/>
      <c r="Q8" s="179"/>
      <c r="T8" s="179" t="s">
        <v>491</v>
      </c>
      <c r="U8" s="179"/>
      <c r="V8" s="179"/>
      <c r="W8" s="179"/>
      <c r="X8" s="179"/>
      <c r="AA8" s="179" t="s">
        <v>497</v>
      </c>
      <c r="AB8" s="179"/>
      <c r="AC8" s="179"/>
      <c r="AD8" s="179"/>
      <c r="AE8" s="179"/>
      <c r="AH8" s="179" t="s">
        <v>475</v>
      </c>
      <c r="AI8" s="179"/>
      <c r="AJ8" s="179"/>
      <c r="AK8" s="179"/>
      <c r="AL8" s="179"/>
      <c r="AM8" s="179"/>
      <c r="AN8" s="179"/>
      <c r="AO8" s="179"/>
      <c r="AP8" s="179"/>
    </row>
    <row r="9" spans="2:47" x14ac:dyDescent="0.35">
      <c r="B9" s="1" t="s">
        <v>357</v>
      </c>
      <c r="C9" s="70" t="s">
        <v>83</v>
      </c>
      <c r="D9" s="21" t="s">
        <v>81</v>
      </c>
      <c r="E9" s="70" t="s">
        <v>83</v>
      </c>
      <c r="G9" s="1" t="s">
        <v>350</v>
      </c>
      <c r="H9" s="144" t="s">
        <v>84</v>
      </c>
      <c r="I9" s="144" t="s">
        <v>84</v>
      </c>
      <c r="J9" s="144" t="s">
        <v>84</v>
      </c>
      <c r="M9" s="176" t="s">
        <v>489</v>
      </c>
      <c r="N9" s="176"/>
      <c r="O9" s="176"/>
      <c r="P9" s="176"/>
      <c r="Q9" s="176"/>
      <c r="T9" s="176" t="s">
        <v>490</v>
      </c>
      <c r="U9" s="176"/>
      <c r="V9" s="176"/>
      <c r="W9" s="176"/>
      <c r="X9" s="176"/>
      <c r="AA9" s="176" t="s">
        <v>496</v>
      </c>
      <c r="AB9" s="176"/>
      <c r="AC9" s="176"/>
      <c r="AD9" s="176"/>
      <c r="AE9" s="176"/>
      <c r="AH9" s="176" t="s">
        <v>498</v>
      </c>
      <c r="AI9" s="176"/>
      <c r="AJ9" s="176"/>
      <c r="AK9" s="176"/>
      <c r="AL9" s="176"/>
      <c r="AM9" s="176"/>
      <c r="AN9" s="176"/>
      <c r="AO9" s="176"/>
      <c r="AP9" s="176"/>
      <c r="AT9" s="57"/>
    </row>
    <row r="10" spans="2:47" x14ac:dyDescent="0.35">
      <c r="B10" s="1" t="s">
        <v>358</v>
      </c>
      <c r="C10" s="144" t="s">
        <v>84</v>
      </c>
      <c r="D10" s="21" t="s">
        <v>81</v>
      </c>
      <c r="E10" s="144" t="s">
        <v>84</v>
      </c>
      <c r="G10" s="1" t="s">
        <v>351</v>
      </c>
      <c r="H10" s="144" t="s">
        <v>84</v>
      </c>
      <c r="I10" s="144" t="s">
        <v>84</v>
      </c>
      <c r="J10" s="144" t="s">
        <v>84</v>
      </c>
      <c r="N10" s="156" t="s">
        <v>83</v>
      </c>
      <c r="O10" s="160" t="s">
        <v>81</v>
      </c>
      <c r="P10" s="162" t="s">
        <v>84</v>
      </c>
      <c r="Q10" s="57" t="s">
        <v>8</v>
      </c>
      <c r="U10" s="156" t="s">
        <v>83</v>
      </c>
      <c r="V10" s="160" t="s">
        <v>81</v>
      </c>
      <c r="W10" s="162" t="s">
        <v>84</v>
      </c>
      <c r="X10" s="57" t="s">
        <v>8</v>
      </c>
      <c r="AB10" s="156" t="s">
        <v>83</v>
      </c>
      <c r="AC10" s="160" t="s">
        <v>81</v>
      </c>
      <c r="AD10" s="162" t="s">
        <v>84</v>
      </c>
      <c r="AE10" s="57" t="s">
        <v>8</v>
      </c>
      <c r="AI10" s="57" t="s">
        <v>85</v>
      </c>
      <c r="AJ10" s="57" t="s">
        <v>86</v>
      </c>
      <c r="AK10" s="57" t="s">
        <v>87</v>
      </c>
      <c r="AL10" s="57" t="s">
        <v>88</v>
      </c>
      <c r="AM10" s="57" t="s">
        <v>89</v>
      </c>
      <c r="AN10" s="57" t="s">
        <v>90</v>
      </c>
      <c r="AO10" s="57" t="s">
        <v>91</v>
      </c>
      <c r="AP10" s="57" t="s">
        <v>8</v>
      </c>
      <c r="AT10" s="57"/>
      <c r="AU10" s="57"/>
    </row>
    <row r="11" spans="2:47" x14ac:dyDescent="0.35">
      <c r="B11" s="1" t="s">
        <v>359</v>
      </c>
      <c r="C11" s="144" t="s">
        <v>84</v>
      </c>
      <c r="D11" s="144" t="s">
        <v>84</v>
      </c>
      <c r="E11" s="144" t="s">
        <v>84</v>
      </c>
      <c r="G11" s="1" t="s">
        <v>352</v>
      </c>
      <c r="H11" s="144" t="s">
        <v>84</v>
      </c>
      <c r="I11" s="144" t="s">
        <v>84</v>
      </c>
      <c r="J11" s="144" t="s">
        <v>84</v>
      </c>
      <c r="M11" s="57" t="s">
        <v>18</v>
      </c>
      <c r="N11" s="157">
        <f>COUNTIF(H8:H65, "RR")</f>
        <v>3</v>
      </c>
      <c r="O11" s="21">
        <f>COUNTIF(H8:H65, "RS")</f>
        <v>13</v>
      </c>
      <c r="P11" s="26">
        <f>COUNTIF(H8:H65, "SS")</f>
        <v>37</v>
      </c>
      <c r="Q11" s="2">
        <f>SUM(N11:P11)</f>
        <v>53</v>
      </c>
      <c r="T11" s="57" t="s">
        <v>18</v>
      </c>
      <c r="U11" s="157">
        <f>COUNTIF(I8:I65, "RR")</f>
        <v>2</v>
      </c>
      <c r="V11" s="21">
        <f>COUNTIF(I8:I65, "RS")</f>
        <v>15</v>
      </c>
      <c r="W11" s="26">
        <f>COUNTIF(I8:I65, "SS")</f>
        <v>37</v>
      </c>
      <c r="X11" s="2">
        <f>SUM(U11:W11)</f>
        <v>54</v>
      </c>
      <c r="AA11" s="57" t="s">
        <v>18</v>
      </c>
      <c r="AB11" s="157">
        <f>COUNTIF(J8:J65, "RR")</f>
        <v>1</v>
      </c>
      <c r="AC11" s="21">
        <f>COUNTIF(J8:J65, "RS")</f>
        <v>18</v>
      </c>
      <c r="AD11" s="26">
        <f>COUNTIF(J8:J65, "SS")</f>
        <v>38</v>
      </c>
      <c r="AE11" s="2">
        <f>SUM(AB11:AD11)</f>
        <v>57</v>
      </c>
      <c r="AH11" s="57" t="s">
        <v>18</v>
      </c>
      <c r="AI11" s="2">
        <f>COUNTIFS(H8:H65, "RR", I8:I65, "RR", J8:J65, "RR")</f>
        <v>0</v>
      </c>
      <c r="AJ11" s="2">
        <v>2</v>
      </c>
      <c r="AK11" s="2">
        <f>COUNTIFS(H8:H65, "RR", I8:I65, "RS", J8:J65, "RS")</f>
        <v>1</v>
      </c>
      <c r="AL11" s="2">
        <f>COUNTIFS(H8:H65, "RS", I8:I65, "RS", J8:J65, "RR")</f>
        <v>0</v>
      </c>
      <c r="AM11" s="2">
        <f>COUNTIFS(H8:H65, "RS", I8:I65, "RS", J8:J65, "RS")</f>
        <v>10</v>
      </c>
      <c r="AN11" s="2">
        <f>COUNTIFS(H8:H65, "SS", I8:I65, "RS", J8:J65, "SS")</f>
        <v>2</v>
      </c>
      <c r="AO11" s="2">
        <f>COUNTIFS(H8:H65, "SS", I8:I65, "SS", J8:J65, "SS")</f>
        <v>30</v>
      </c>
      <c r="AP11" s="2">
        <f>SUM(AI11:AO11)</f>
        <v>45</v>
      </c>
      <c r="AS11" s="57"/>
    </row>
    <row r="12" spans="2:47" x14ac:dyDescent="0.35">
      <c r="B12" s="1" t="s">
        <v>360</v>
      </c>
      <c r="C12" s="70" t="s">
        <v>83</v>
      </c>
      <c r="D12" s="70" t="s">
        <v>83</v>
      </c>
      <c r="E12" s="70" t="s">
        <v>83</v>
      </c>
      <c r="G12" s="1" t="s">
        <v>353</v>
      </c>
      <c r="H12" s="21" t="s">
        <v>81</v>
      </c>
      <c r="I12" s="21" t="s">
        <v>81</v>
      </c>
      <c r="J12" s="21" t="s">
        <v>81</v>
      </c>
      <c r="M12" s="57" t="s">
        <v>17</v>
      </c>
      <c r="N12" s="157">
        <f>COUNTIF(C8:C69, "RR")</f>
        <v>40</v>
      </c>
      <c r="O12" s="21">
        <f>COUNTIF(C8:C69, "RS")</f>
        <v>10</v>
      </c>
      <c r="P12" s="26">
        <f>COUNTIF(C8:C69, "SS")</f>
        <v>8</v>
      </c>
      <c r="Q12" s="2">
        <f>SUM(N12:P12)</f>
        <v>58</v>
      </c>
      <c r="T12" s="57" t="s">
        <v>17</v>
      </c>
      <c r="U12" s="157">
        <f>COUNTIF(D8:D69, "RR")</f>
        <v>12</v>
      </c>
      <c r="V12" s="21">
        <f>COUNTIF(D8:D69, "RS")</f>
        <v>36</v>
      </c>
      <c r="W12" s="26">
        <f>COUNTIF(D8:D69, "SS")</f>
        <v>9</v>
      </c>
      <c r="X12" s="2">
        <f>SUM(U12:W12)</f>
        <v>57</v>
      </c>
      <c r="AA12" s="57" t="s">
        <v>17</v>
      </c>
      <c r="AB12" s="157">
        <f>COUNTIF(E8:E69, "RR")</f>
        <v>24</v>
      </c>
      <c r="AC12" s="21">
        <f>COUNTIF(E8:E69, "RS")</f>
        <v>27</v>
      </c>
      <c r="AD12" s="26">
        <f>COUNTIF(E8:E69, "SS")</f>
        <v>11</v>
      </c>
      <c r="AE12" s="2">
        <f>SUM(AB12:AD12)</f>
        <v>62</v>
      </c>
      <c r="AH12" s="57" t="s">
        <v>17</v>
      </c>
      <c r="AI12" s="2">
        <f>COUNTIFS(C8:C69, "RR", D8:D69, "RR", E8:E69, "RR")</f>
        <v>11</v>
      </c>
      <c r="AJ12" s="2">
        <v>10</v>
      </c>
      <c r="AK12" s="2">
        <f>COUNTIFS(C8:C69, "RR", D8:D69, "RS", E8:E69, "RS")</f>
        <v>18</v>
      </c>
      <c r="AL12" s="2">
        <f>COUNTIFS(C8:C69, "RS", D8:D69, "RS", E8:E69, "RR")</f>
        <v>4</v>
      </c>
      <c r="AM12" s="2">
        <f>COUNTIFS(C8:C69, "RS", D8:D69, "RS", E8:E69, "RS")</f>
        <v>4</v>
      </c>
      <c r="AN12" s="2">
        <f>COUNTIFS(C8:C69, "SS", D8:D69, "RS", E8:E69, "SS")</f>
        <v>1</v>
      </c>
      <c r="AO12" s="2">
        <f>COUNTIFS(C8:C69, "SS", D8:D69, "SS", E8:E69, "SS")</f>
        <v>5</v>
      </c>
      <c r="AP12" s="2">
        <f>SUM(AI12:AO12)</f>
        <v>53</v>
      </c>
      <c r="AS12" s="57"/>
    </row>
    <row r="13" spans="2:47" x14ac:dyDescent="0.35">
      <c r="B13" s="1" t="s">
        <v>361</v>
      </c>
      <c r="C13" s="21" t="s">
        <v>81</v>
      </c>
      <c r="E13" s="21" t="s">
        <v>81</v>
      </c>
      <c r="G13" s="1" t="s">
        <v>354</v>
      </c>
      <c r="H13" s="144" t="s">
        <v>84</v>
      </c>
      <c r="I13" s="144" t="s">
        <v>84</v>
      </c>
      <c r="J13" s="144" t="s">
        <v>84</v>
      </c>
      <c r="N13" s="157">
        <f>SUM(N11:N12)</f>
        <v>43</v>
      </c>
      <c r="O13" s="21">
        <f t="shared" ref="O13:Q13" si="0">SUM(O11:O12)</f>
        <v>23</v>
      </c>
      <c r="P13" s="26">
        <f t="shared" si="0"/>
        <v>45</v>
      </c>
      <c r="Q13" s="2">
        <f t="shared" si="0"/>
        <v>111</v>
      </c>
      <c r="U13" s="157">
        <f>SUM(U11:U12)</f>
        <v>14</v>
      </c>
      <c r="V13" s="21">
        <f t="shared" ref="V13:X13" si="1">SUM(V11:V12)</f>
        <v>51</v>
      </c>
      <c r="W13" s="26">
        <f t="shared" si="1"/>
        <v>46</v>
      </c>
      <c r="X13" s="2">
        <f t="shared" si="1"/>
        <v>111</v>
      </c>
      <c r="AB13" s="157">
        <f>SUM(AB11:AB12)</f>
        <v>25</v>
      </c>
      <c r="AC13" s="21">
        <f t="shared" ref="AC13:AE13" si="2">SUM(AC11:AC12)</f>
        <v>45</v>
      </c>
      <c r="AD13" s="26">
        <f t="shared" si="2"/>
        <v>49</v>
      </c>
      <c r="AE13" s="2">
        <f t="shared" si="2"/>
        <v>119</v>
      </c>
      <c r="AI13" s="2">
        <f>SUM(AI11:AI12)</f>
        <v>11</v>
      </c>
      <c r="AJ13" s="2">
        <f t="shared" ref="AJ13:AO13" si="3">SUM(AJ11:AJ12)</f>
        <v>12</v>
      </c>
      <c r="AK13" s="2">
        <f t="shared" si="3"/>
        <v>19</v>
      </c>
      <c r="AL13" s="2">
        <f t="shared" si="3"/>
        <v>4</v>
      </c>
      <c r="AM13" s="2">
        <f t="shared" si="3"/>
        <v>14</v>
      </c>
      <c r="AN13" s="2">
        <f t="shared" si="3"/>
        <v>3</v>
      </c>
      <c r="AO13" s="2">
        <f t="shared" si="3"/>
        <v>35</v>
      </c>
    </row>
    <row r="14" spans="2:47" x14ac:dyDescent="0.35">
      <c r="B14" s="1" t="s">
        <v>362</v>
      </c>
      <c r="C14" s="21" t="s">
        <v>81</v>
      </c>
      <c r="D14" s="21" t="s">
        <v>81</v>
      </c>
      <c r="E14" s="21" t="s">
        <v>81</v>
      </c>
      <c r="G14" s="1" t="s">
        <v>355</v>
      </c>
      <c r="H14" s="144" t="s">
        <v>84</v>
      </c>
      <c r="I14" s="144" t="s">
        <v>84</v>
      </c>
      <c r="J14" s="144" t="s">
        <v>84</v>
      </c>
      <c r="M14" s="176" t="s">
        <v>492</v>
      </c>
      <c r="N14" s="176"/>
      <c r="O14" s="176"/>
      <c r="P14" s="176"/>
      <c r="Q14" s="176"/>
      <c r="T14" s="176" t="s">
        <v>493</v>
      </c>
      <c r="U14" s="176"/>
      <c r="V14" s="176"/>
      <c r="W14" s="176"/>
      <c r="X14" s="176"/>
      <c r="AA14" s="176" t="s">
        <v>493</v>
      </c>
      <c r="AB14" s="176"/>
      <c r="AC14" s="176"/>
      <c r="AD14" s="176"/>
      <c r="AE14" s="176"/>
      <c r="AH14" s="176" t="s">
        <v>499</v>
      </c>
      <c r="AI14" s="176"/>
      <c r="AJ14" s="176"/>
      <c r="AK14" s="176"/>
      <c r="AL14" s="176"/>
      <c r="AM14" s="176"/>
      <c r="AN14" s="176"/>
      <c r="AO14" s="176"/>
      <c r="AP14" s="176"/>
    </row>
    <row r="15" spans="2:47" x14ac:dyDescent="0.35">
      <c r="B15" s="1" t="s">
        <v>363</v>
      </c>
      <c r="C15" s="70" t="s">
        <v>83</v>
      </c>
      <c r="D15" s="21" t="s">
        <v>81</v>
      </c>
      <c r="E15" s="21" t="s">
        <v>81</v>
      </c>
      <c r="G15" s="1" t="s">
        <v>411</v>
      </c>
      <c r="H15" s="144" t="s">
        <v>84</v>
      </c>
      <c r="I15" s="144" t="s">
        <v>84</v>
      </c>
      <c r="J15" s="144" t="s">
        <v>84</v>
      </c>
      <c r="M15" s="57"/>
      <c r="N15" s="156" t="s">
        <v>83</v>
      </c>
      <c r="O15" s="160" t="s">
        <v>81</v>
      </c>
      <c r="P15" s="162" t="s">
        <v>84</v>
      </c>
      <c r="Q15" s="57"/>
      <c r="U15" s="156" t="s">
        <v>83</v>
      </c>
      <c r="V15" s="160" t="s">
        <v>81</v>
      </c>
      <c r="W15" s="162" t="s">
        <v>84</v>
      </c>
      <c r="X15" s="57"/>
      <c r="AB15" s="156" t="s">
        <v>83</v>
      </c>
      <c r="AC15" s="160" t="s">
        <v>81</v>
      </c>
      <c r="AD15" s="162" t="s">
        <v>84</v>
      </c>
      <c r="AE15" s="57"/>
      <c r="AI15" s="57" t="s">
        <v>85</v>
      </c>
      <c r="AJ15" s="57" t="s">
        <v>86</v>
      </c>
      <c r="AK15" s="57" t="s">
        <v>87</v>
      </c>
      <c r="AL15" s="57" t="s">
        <v>88</v>
      </c>
      <c r="AM15" s="57" t="s">
        <v>89</v>
      </c>
      <c r="AN15" s="57" t="s">
        <v>90</v>
      </c>
      <c r="AO15" s="57" t="s">
        <v>91</v>
      </c>
    </row>
    <row r="16" spans="2:47" x14ac:dyDescent="0.35">
      <c r="B16" s="1" t="s">
        <v>364</v>
      </c>
      <c r="C16" s="70" t="s">
        <v>83</v>
      </c>
      <c r="D16" s="21" t="s">
        <v>81</v>
      </c>
      <c r="E16" s="21" t="s">
        <v>81</v>
      </c>
      <c r="G16" s="1" t="s">
        <v>412</v>
      </c>
      <c r="H16" s="144" t="s">
        <v>84</v>
      </c>
      <c r="I16" s="144" t="s">
        <v>84</v>
      </c>
      <c r="J16" s="144" t="s">
        <v>84</v>
      </c>
      <c r="M16" s="57" t="s">
        <v>18</v>
      </c>
      <c r="N16" s="158">
        <f>N11/N13*100</f>
        <v>6.9767441860465116</v>
      </c>
      <c r="O16" s="161">
        <f t="shared" ref="O16:P16" si="4">O11/O13*100</f>
        <v>56.521739130434781</v>
      </c>
      <c r="P16" s="163">
        <f t="shared" si="4"/>
        <v>82.222222222222214</v>
      </c>
      <c r="Q16" s="71"/>
      <c r="T16" s="57" t="s">
        <v>18</v>
      </c>
      <c r="U16" s="158">
        <f>U11/U13*100</f>
        <v>14.285714285714285</v>
      </c>
      <c r="V16" s="161">
        <f t="shared" ref="V16:W16" si="5">V11/V13*100</f>
        <v>29.411764705882355</v>
      </c>
      <c r="W16" s="163">
        <f t="shared" si="5"/>
        <v>80.434782608695656</v>
      </c>
      <c r="AA16" s="57" t="s">
        <v>18</v>
      </c>
      <c r="AB16" s="158">
        <f>AB11/AB13*100</f>
        <v>4</v>
      </c>
      <c r="AC16" s="161">
        <f t="shared" ref="AC16:AD16" si="6">AC11/AC13*100</f>
        <v>40</v>
      </c>
      <c r="AD16" s="163">
        <f t="shared" si="6"/>
        <v>77.551020408163268</v>
      </c>
      <c r="AH16" s="2" t="s">
        <v>18</v>
      </c>
      <c r="AI16" s="2">
        <f>AI11/AI13*100</f>
        <v>0</v>
      </c>
      <c r="AJ16" s="71">
        <f t="shared" ref="AJ16:AO16" si="7">AJ11/AJ13*100</f>
        <v>16.666666666666664</v>
      </c>
      <c r="AK16" s="71">
        <f t="shared" si="7"/>
        <v>5.2631578947368416</v>
      </c>
      <c r="AL16" s="2">
        <f t="shared" si="7"/>
        <v>0</v>
      </c>
      <c r="AM16" s="71">
        <f t="shared" si="7"/>
        <v>71.428571428571431</v>
      </c>
      <c r="AN16" s="71">
        <f t="shared" si="7"/>
        <v>66.666666666666657</v>
      </c>
      <c r="AO16" s="71">
        <f t="shared" si="7"/>
        <v>85.714285714285708</v>
      </c>
    </row>
    <row r="17" spans="2:50" x14ac:dyDescent="0.35">
      <c r="B17" s="1" t="s">
        <v>365</v>
      </c>
      <c r="C17" s="144" t="s">
        <v>84</v>
      </c>
      <c r="D17" s="144" t="s">
        <v>84</v>
      </c>
      <c r="E17" s="144" t="s">
        <v>84</v>
      </c>
      <c r="G17" s="1" t="s">
        <v>413</v>
      </c>
      <c r="H17" s="21" t="s">
        <v>81</v>
      </c>
      <c r="I17" s="21" t="s">
        <v>81</v>
      </c>
      <c r="J17" s="21" t="s">
        <v>81</v>
      </c>
      <c r="M17" s="57" t="s">
        <v>17</v>
      </c>
      <c r="N17" s="158">
        <f>N12/N13*100</f>
        <v>93.023255813953483</v>
      </c>
      <c r="O17" s="161">
        <f t="shared" ref="O17:P17" si="8">O12/O13*100</f>
        <v>43.478260869565219</v>
      </c>
      <c r="P17" s="163">
        <f t="shared" si="8"/>
        <v>17.777777777777779</v>
      </c>
      <c r="Q17" s="71"/>
      <c r="T17" s="57" t="s">
        <v>17</v>
      </c>
      <c r="U17" s="158">
        <f>U12/U13*100</f>
        <v>85.714285714285708</v>
      </c>
      <c r="V17" s="161">
        <f t="shared" ref="V17:W17" si="9">V12/V13*100</f>
        <v>70.588235294117652</v>
      </c>
      <c r="W17" s="163">
        <f t="shared" si="9"/>
        <v>19.565217391304348</v>
      </c>
      <c r="AA17" s="57" t="s">
        <v>17</v>
      </c>
      <c r="AB17" s="158">
        <f>AB12/AB13*100</f>
        <v>96</v>
      </c>
      <c r="AC17" s="161">
        <f t="shared" ref="AC17:AD17" si="10">AC12/AC13*100</f>
        <v>60</v>
      </c>
      <c r="AD17" s="163">
        <f t="shared" si="10"/>
        <v>22.448979591836736</v>
      </c>
      <c r="AH17" s="2" t="s">
        <v>17</v>
      </c>
      <c r="AI17" s="2">
        <f>AI12/AI13*100</f>
        <v>100</v>
      </c>
      <c r="AJ17" s="71">
        <f t="shared" ref="AJ17:AO17" si="11">AJ12/AJ13*100</f>
        <v>83.333333333333343</v>
      </c>
      <c r="AK17" s="71">
        <f t="shared" si="11"/>
        <v>94.73684210526315</v>
      </c>
      <c r="AL17" s="2">
        <f t="shared" si="11"/>
        <v>100</v>
      </c>
      <c r="AM17" s="71">
        <f t="shared" si="11"/>
        <v>28.571428571428569</v>
      </c>
      <c r="AN17" s="71">
        <f t="shared" si="11"/>
        <v>33.333333333333329</v>
      </c>
      <c r="AO17" s="71">
        <f t="shared" si="11"/>
        <v>14.285714285714285</v>
      </c>
    </row>
    <row r="18" spans="2:50" x14ac:dyDescent="0.35">
      <c r="B18" s="1" t="s">
        <v>366</v>
      </c>
      <c r="C18" s="21" t="s">
        <v>81</v>
      </c>
      <c r="D18" s="21" t="s">
        <v>81</v>
      </c>
      <c r="E18" s="21" t="s">
        <v>81</v>
      </c>
      <c r="G18" s="1" t="s">
        <v>414</v>
      </c>
      <c r="H18" s="144" t="s">
        <v>84</v>
      </c>
      <c r="I18" s="144" t="s">
        <v>84</v>
      </c>
      <c r="J18" s="144" t="s">
        <v>84</v>
      </c>
      <c r="N18" s="158">
        <f>SUM(N16:N17)</f>
        <v>100</v>
      </c>
      <c r="O18" s="161">
        <f t="shared" ref="O18:P18" si="12">SUM(O16:O17)</f>
        <v>100</v>
      </c>
      <c r="P18" s="163">
        <f t="shared" si="12"/>
        <v>100</v>
      </c>
      <c r="U18" s="158">
        <f>SUM(U16:U17)</f>
        <v>100</v>
      </c>
      <c r="V18" s="161">
        <f t="shared" ref="V18:W18" si="13">SUM(V16:V17)</f>
        <v>100</v>
      </c>
      <c r="W18" s="163">
        <f t="shared" si="13"/>
        <v>100</v>
      </c>
      <c r="AB18" s="158">
        <f>SUM(AB16:AB17)</f>
        <v>100</v>
      </c>
      <c r="AC18" s="161">
        <f t="shared" ref="AC18:AD18" si="14">SUM(AC16:AC17)</f>
        <v>100</v>
      </c>
      <c r="AD18" s="163">
        <f t="shared" si="14"/>
        <v>100</v>
      </c>
    </row>
    <row r="19" spans="2:50" x14ac:dyDescent="0.35">
      <c r="B19" s="1" t="s">
        <v>367</v>
      </c>
      <c r="D19" s="144" t="s">
        <v>84</v>
      </c>
      <c r="E19" s="144" t="s">
        <v>84</v>
      </c>
      <c r="G19" s="1" t="s">
        <v>415</v>
      </c>
      <c r="H19" s="144" t="s">
        <v>84</v>
      </c>
      <c r="I19" s="144" t="s">
        <v>84</v>
      </c>
      <c r="J19" s="144" t="s">
        <v>84</v>
      </c>
      <c r="AH19" s="176" t="s">
        <v>474</v>
      </c>
      <c r="AI19" s="176"/>
      <c r="AJ19" s="176"/>
      <c r="AK19" s="176"/>
      <c r="AL19" s="176"/>
      <c r="AM19" s="176"/>
      <c r="AN19" s="176"/>
      <c r="AO19" s="176"/>
      <c r="AQ19" s="176" t="s">
        <v>473</v>
      </c>
      <c r="AR19" s="176"/>
      <c r="AS19" s="176"/>
      <c r="AT19" s="176"/>
      <c r="AU19" s="176"/>
      <c r="AV19" s="176"/>
      <c r="AW19" s="176"/>
      <c r="AX19" s="145"/>
    </row>
    <row r="20" spans="2:50" x14ac:dyDescent="0.35">
      <c r="B20" s="1" t="s">
        <v>368</v>
      </c>
      <c r="C20" s="70" t="s">
        <v>83</v>
      </c>
      <c r="D20" s="21" t="s">
        <v>81</v>
      </c>
      <c r="E20" s="21" t="s">
        <v>81</v>
      </c>
      <c r="G20" s="1" t="s">
        <v>416</v>
      </c>
      <c r="H20" s="144" t="s">
        <v>84</v>
      </c>
      <c r="I20" s="144" t="s">
        <v>84</v>
      </c>
      <c r="J20" s="144" t="s">
        <v>84</v>
      </c>
      <c r="AI20" s="57" t="s">
        <v>85</v>
      </c>
      <c r="AJ20" s="57" t="s">
        <v>86</v>
      </c>
      <c r="AK20" s="57" t="s">
        <v>87</v>
      </c>
      <c r="AL20" s="57" t="s">
        <v>89</v>
      </c>
      <c r="AM20" s="57" t="s">
        <v>90</v>
      </c>
      <c r="AN20" s="57" t="s">
        <v>91</v>
      </c>
      <c r="AR20" s="57" t="s">
        <v>85</v>
      </c>
      <c r="AS20" s="57" t="s">
        <v>86</v>
      </c>
      <c r="AT20" s="57" t="s">
        <v>87</v>
      </c>
      <c r="AU20" s="57" t="s">
        <v>89</v>
      </c>
      <c r="AV20" s="57" t="s">
        <v>90</v>
      </c>
      <c r="AW20" s="57" t="s">
        <v>91</v>
      </c>
    </row>
    <row r="21" spans="2:50" x14ac:dyDescent="0.35">
      <c r="B21" s="1" t="s">
        <v>369</v>
      </c>
      <c r="C21" s="21" t="s">
        <v>81</v>
      </c>
      <c r="D21" s="21" t="s">
        <v>81</v>
      </c>
      <c r="E21" s="21" t="s">
        <v>81</v>
      </c>
      <c r="G21" s="1" t="s">
        <v>417</v>
      </c>
      <c r="H21" s="144" t="s">
        <v>84</v>
      </c>
      <c r="I21" s="144" t="s">
        <v>84</v>
      </c>
      <c r="J21" s="144" t="s">
        <v>84</v>
      </c>
      <c r="AH21" s="57" t="s">
        <v>18</v>
      </c>
      <c r="AI21" s="2">
        <f>COUNTIFS(H18:H75, "RR", I18:I75, "RR", J18:J75, "RR")</f>
        <v>0</v>
      </c>
      <c r="AJ21" s="2">
        <v>2</v>
      </c>
      <c r="AK21" s="2">
        <f>COUNTIFS(H18:H75, "RR", I18:I75, "RS", J18:J75, "RS")</f>
        <v>1</v>
      </c>
      <c r="AL21" s="2">
        <v>10</v>
      </c>
      <c r="AM21" s="2">
        <f>COUNTIFS(H18:H75, "SS", I18:I75, "RS", J18:J75, "SS")</f>
        <v>2</v>
      </c>
      <c r="AN21" s="2">
        <v>30</v>
      </c>
      <c r="AO21" s="2">
        <f>SUM(AI21:AN21)</f>
        <v>45</v>
      </c>
      <c r="AQ21" s="57" t="s">
        <v>18</v>
      </c>
      <c r="AR21" s="2">
        <f t="shared" ref="AR21:AW21" si="15">AI21/AI23*100</f>
        <v>0</v>
      </c>
      <c r="AS21" s="71">
        <f t="shared" si="15"/>
        <v>16.666666666666664</v>
      </c>
      <c r="AT21" s="71">
        <f t="shared" si="15"/>
        <v>4</v>
      </c>
      <c r="AU21" s="71">
        <f t="shared" si="15"/>
        <v>71.428571428571431</v>
      </c>
      <c r="AV21" s="71">
        <f t="shared" si="15"/>
        <v>66.666666666666657</v>
      </c>
      <c r="AW21" s="71">
        <f t="shared" si="15"/>
        <v>85.714285714285708</v>
      </c>
    </row>
    <row r="22" spans="2:50" x14ac:dyDescent="0.35">
      <c r="B22" s="1" t="s">
        <v>370</v>
      </c>
      <c r="C22" s="21" t="s">
        <v>81</v>
      </c>
      <c r="D22" s="21" t="s">
        <v>81</v>
      </c>
      <c r="E22" s="21" t="s">
        <v>81</v>
      </c>
      <c r="G22" s="1" t="s">
        <v>418</v>
      </c>
      <c r="H22" s="144" t="s">
        <v>84</v>
      </c>
      <c r="I22" s="144" t="s">
        <v>84</v>
      </c>
      <c r="J22" s="144" t="s">
        <v>84</v>
      </c>
      <c r="AH22" s="57" t="s">
        <v>17</v>
      </c>
      <c r="AI22" s="2">
        <v>11</v>
      </c>
      <c r="AJ22" s="2">
        <v>10</v>
      </c>
      <c r="AK22" s="2">
        <v>24</v>
      </c>
      <c r="AL22" s="2">
        <v>4</v>
      </c>
      <c r="AM22" s="2">
        <v>1</v>
      </c>
      <c r="AN22" s="2">
        <v>5</v>
      </c>
      <c r="AO22" s="2">
        <f>SUM(AI22:AN22)</f>
        <v>55</v>
      </c>
      <c r="AQ22" s="57" t="s">
        <v>17</v>
      </c>
      <c r="AR22" s="71">
        <f t="shared" ref="AR22:AW22" si="16">AI22/AI23*100</f>
        <v>100</v>
      </c>
      <c r="AS22" s="71">
        <f t="shared" si="16"/>
        <v>83.333333333333343</v>
      </c>
      <c r="AT22" s="71">
        <f t="shared" si="16"/>
        <v>96</v>
      </c>
      <c r="AU22" s="71">
        <f t="shared" si="16"/>
        <v>28.571428571428569</v>
      </c>
      <c r="AV22" s="71">
        <f t="shared" si="16"/>
        <v>33.333333333333329</v>
      </c>
      <c r="AW22" s="71">
        <f t="shared" si="16"/>
        <v>14.285714285714285</v>
      </c>
    </row>
    <row r="23" spans="2:50" x14ac:dyDescent="0.35">
      <c r="B23" s="1" t="s">
        <v>371</v>
      </c>
      <c r="C23" s="70" t="s">
        <v>83</v>
      </c>
      <c r="D23" s="21" t="s">
        <v>81</v>
      </c>
      <c r="E23" s="21" t="s">
        <v>81</v>
      </c>
      <c r="G23" s="1" t="s">
        <v>419</v>
      </c>
      <c r="H23" s="21" t="s">
        <v>81</v>
      </c>
      <c r="I23" s="21" t="s">
        <v>81</v>
      </c>
      <c r="J23" s="21" t="s">
        <v>81</v>
      </c>
      <c r="AI23" s="2">
        <f>SUM(AI21:AI22)</f>
        <v>11</v>
      </c>
      <c r="AJ23" s="2">
        <f t="shared" ref="AJ23:AK23" si="17">SUM(AJ21:AJ22)</f>
        <v>12</v>
      </c>
      <c r="AK23" s="2">
        <f t="shared" si="17"/>
        <v>25</v>
      </c>
      <c r="AL23" s="2">
        <f>SUM(AL21:AL22)</f>
        <v>14</v>
      </c>
      <c r="AM23" s="2">
        <f>SUM(AM21:AM22)</f>
        <v>3</v>
      </c>
      <c r="AN23" s="2">
        <f>SUM(AN21:AN22)</f>
        <v>35</v>
      </c>
      <c r="AO23" s="2">
        <f>SUM(AO21:AO22)</f>
        <v>100</v>
      </c>
    </row>
    <row r="24" spans="2:50" x14ac:dyDescent="0.35">
      <c r="B24" s="1" t="s">
        <v>372</v>
      </c>
      <c r="E24" s="144" t="s">
        <v>84</v>
      </c>
      <c r="G24" s="1" t="s">
        <v>420</v>
      </c>
      <c r="J24" s="21" t="s">
        <v>81</v>
      </c>
    </row>
    <row r="25" spans="2:50" x14ac:dyDescent="0.35">
      <c r="B25" s="1" t="s">
        <v>373</v>
      </c>
      <c r="C25" s="70" t="s">
        <v>83</v>
      </c>
      <c r="D25" s="21" t="s">
        <v>81</v>
      </c>
      <c r="E25" s="21" t="s">
        <v>81</v>
      </c>
      <c r="G25" s="1" t="s">
        <v>421</v>
      </c>
      <c r="H25" s="21" t="s">
        <v>81</v>
      </c>
      <c r="I25" s="21" t="s">
        <v>81</v>
      </c>
      <c r="J25" s="21" t="s">
        <v>81</v>
      </c>
    </row>
    <row r="26" spans="2:50" x14ac:dyDescent="0.35">
      <c r="B26" s="1" t="s">
        <v>374</v>
      </c>
      <c r="C26" s="70" t="s">
        <v>83</v>
      </c>
      <c r="D26" s="21" t="s">
        <v>81</v>
      </c>
      <c r="E26" s="21" t="s">
        <v>81</v>
      </c>
      <c r="G26" s="1" t="s">
        <v>422</v>
      </c>
      <c r="H26" s="21" t="s">
        <v>81</v>
      </c>
      <c r="I26" s="21" t="s">
        <v>81</v>
      </c>
      <c r="J26" s="21" t="s">
        <v>81</v>
      </c>
    </row>
    <row r="27" spans="2:50" x14ac:dyDescent="0.35">
      <c r="B27" s="1" t="s">
        <v>375</v>
      </c>
      <c r="C27" s="70" t="s">
        <v>83</v>
      </c>
      <c r="D27" s="70" t="s">
        <v>83</v>
      </c>
      <c r="E27" s="70" t="s">
        <v>83</v>
      </c>
      <c r="G27" s="1" t="s">
        <v>423</v>
      </c>
      <c r="H27" s="70" t="s">
        <v>83</v>
      </c>
      <c r="I27" s="70" t="s">
        <v>83</v>
      </c>
      <c r="J27" s="21" t="s">
        <v>81</v>
      </c>
    </row>
    <row r="28" spans="2:50" x14ac:dyDescent="0.35">
      <c r="B28" s="1" t="s">
        <v>376</v>
      </c>
      <c r="C28" s="144" t="s">
        <v>84</v>
      </c>
      <c r="D28" s="144" t="s">
        <v>84</v>
      </c>
      <c r="E28" s="21" t="s">
        <v>81</v>
      </c>
      <c r="G28" s="1" t="s">
        <v>424</v>
      </c>
      <c r="H28" s="70" t="s">
        <v>83</v>
      </c>
      <c r="I28" s="21" t="s">
        <v>81</v>
      </c>
      <c r="J28" s="70" t="s">
        <v>83</v>
      </c>
    </row>
    <row r="29" spans="2:50" x14ac:dyDescent="0.35">
      <c r="B29" s="1" t="s">
        <v>377</v>
      </c>
      <c r="C29" s="70" t="s">
        <v>83</v>
      </c>
      <c r="D29" s="21" t="s">
        <v>81</v>
      </c>
      <c r="E29" s="21" t="s">
        <v>81</v>
      </c>
      <c r="G29" s="1" t="s">
        <v>425</v>
      </c>
      <c r="H29" s="144" t="s">
        <v>84</v>
      </c>
      <c r="I29" s="144" t="s">
        <v>84</v>
      </c>
      <c r="J29" s="21" t="s">
        <v>81</v>
      </c>
    </row>
    <row r="30" spans="2:50" x14ac:dyDescent="0.35">
      <c r="B30" s="1" t="s">
        <v>378</v>
      </c>
      <c r="D30" s="144" t="s">
        <v>84</v>
      </c>
      <c r="E30" s="144" t="s">
        <v>84</v>
      </c>
      <c r="G30" s="1" t="s">
        <v>426</v>
      </c>
      <c r="H30" s="21" t="s">
        <v>81</v>
      </c>
      <c r="I30" s="21" t="s">
        <v>81</v>
      </c>
      <c r="J30" s="144" t="s">
        <v>84</v>
      </c>
    </row>
    <row r="31" spans="2:50" x14ac:dyDescent="0.35">
      <c r="B31" s="1" t="s">
        <v>379</v>
      </c>
      <c r="C31" s="144" t="s">
        <v>84</v>
      </c>
      <c r="D31" s="144" t="s">
        <v>84</v>
      </c>
      <c r="E31" s="144" t="s">
        <v>84</v>
      </c>
      <c r="G31" s="1" t="s">
        <v>427</v>
      </c>
      <c r="J31" s="21" t="s">
        <v>81</v>
      </c>
    </row>
    <row r="32" spans="2:50" x14ac:dyDescent="0.35">
      <c r="B32" s="1" t="s">
        <v>380</v>
      </c>
      <c r="C32" s="70" t="s">
        <v>83</v>
      </c>
      <c r="E32" s="21" t="s">
        <v>81</v>
      </c>
      <c r="G32" s="1" t="s">
        <v>428</v>
      </c>
      <c r="H32" s="21" t="s">
        <v>81</v>
      </c>
      <c r="I32" s="21" t="s">
        <v>81</v>
      </c>
      <c r="J32" s="21" t="s">
        <v>81</v>
      </c>
      <c r="M32" s="176" t="s">
        <v>111</v>
      </c>
      <c r="N32" s="176"/>
      <c r="O32" s="176"/>
      <c r="P32" s="176"/>
      <c r="T32" s="176" t="s">
        <v>112</v>
      </c>
      <c r="U32" s="176"/>
      <c r="V32" s="176"/>
      <c r="W32" s="176"/>
      <c r="AA32" s="176" t="s">
        <v>113</v>
      </c>
      <c r="AB32" s="176"/>
      <c r="AC32" s="176"/>
      <c r="AD32" s="176"/>
    </row>
    <row r="33" spans="2:47" x14ac:dyDescent="0.35">
      <c r="B33" s="1" t="s">
        <v>381</v>
      </c>
      <c r="C33" s="70" t="s">
        <v>83</v>
      </c>
      <c r="D33" s="21" t="s">
        <v>81</v>
      </c>
      <c r="E33" s="21" t="s">
        <v>81</v>
      </c>
      <c r="G33" s="1" t="s">
        <v>429</v>
      </c>
      <c r="H33" s="144" t="s">
        <v>84</v>
      </c>
      <c r="I33" s="21" t="s">
        <v>81</v>
      </c>
      <c r="J33" s="144" t="s">
        <v>84</v>
      </c>
      <c r="N33" s="156" t="s">
        <v>92</v>
      </c>
      <c r="O33" s="162" t="s">
        <v>93</v>
      </c>
      <c r="U33" s="156" t="s">
        <v>92</v>
      </c>
      <c r="V33" s="162" t="s">
        <v>93</v>
      </c>
      <c r="AB33" s="156" t="s">
        <v>92</v>
      </c>
      <c r="AC33" s="162" t="s">
        <v>93</v>
      </c>
    </row>
    <row r="34" spans="2:47" x14ac:dyDescent="0.35">
      <c r="B34" s="1" t="s">
        <v>382</v>
      </c>
      <c r="C34" s="70" t="s">
        <v>83</v>
      </c>
      <c r="D34" s="70" t="s">
        <v>83</v>
      </c>
      <c r="E34" s="70" t="s">
        <v>83</v>
      </c>
      <c r="G34" s="1" t="s">
        <v>430</v>
      </c>
      <c r="H34" s="144" t="s">
        <v>84</v>
      </c>
      <c r="I34" s="21" t="s">
        <v>81</v>
      </c>
      <c r="J34" s="144" t="s">
        <v>84</v>
      </c>
      <c r="M34" s="57" t="s">
        <v>18</v>
      </c>
      <c r="N34" s="159">
        <f>(N11+0.5*(O11))*100/Q11</f>
        <v>17.924528301886792</v>
      </c>
      <c r="O34" s="113">
        <f>(P11+0.5*(O11))*100/Q11</f>
        <v>82.075471698113205</v>
      </c>
      <c r="T34" s="57" t="s">
        <v>18</v>
      </c>
      <c r="U34" s="159">
        <f>(U11+0.5*(V11))/X11*100</f>
        <v>17.592592592592592</v>
      </c>
      <c r="V34" s="113">
        <f>(W11+0.5*(V11))/X11*100</f>
        <v>82.407407407407405</v>
      </c>
      <c r="AA34" s="57" t="s">
        <v>18</v>
      </c>
      <c r="AB34" s="159">
        <f>(AB11+0.5*(AC11))/AE11*100</f>
        <v>17.543859649122805</v>
      </c>
      <c r="AC34" s="113">
        <f>(AD11+0.5*(AC11))/AE11*100</f>
        <v>82.456140350877192</v>
      </c>
    </row>
    <row r="35" spans="2:47" x14ac:dyDescent="0.35">
      <c r="B35" s="1" t="s">
        <v>383</v>
      </c>
      <c r="C35" s="70" t="s">
        <v>83</v>
      </c>
      <c r="D35" s="21" t="s">
        <v>81</v>
      </c>
      <c r="E35" s="21" t="s">
        <v>81</v>
      </c>
      <c r="G35" s="1" t="s">
        <v>431</v>
      </c>
      <c r="H35" s="144" t="s">
        <v>84</v>
      </c>
      <c r="I35" s="70" t="s">
        <v>83</v>
      </c>
      <c r="J35" s="144" t="s">
        <v>84</v>
      </c>
      <c r="M35" s="57" t="s">
        <v>17</v>
      </c>
      <c r="N35" s="159">
        <f>(N12+0.5*(O12))*100/Q12</f>
        <v>77.58620689655173</v>
      </c>
      <c r="O35" s="113">
        <f>(P12+0.5*(O12))*100/Q12</f>
        <v>22.413793103448278</v>
      </c>
      <c r="T35" s="57" t="s">
        <v>17</v>
      </c>
      <c r="U35" s="159">
        <f>(U12+0.5*(V12))/X12*100</f>
        <v>52.631578947368418</v>
      </c>
      <c r="V35" s="113">
        <f>(W12+0.5*(V12))/X12*100</f>
        <v>47.368421052631575</v>
      </c>
      <c r="AA35" s="57" t="s">
        <v>17</v>
      </c>
      <c r="AB35" s="159">
        <f>(AB12+0.5*(AC12))/AE12*100</f>
        <v>60.483870967741936</v>
      </c>
      <c r="AC35" s="113">
        <f>(AD12+0.5*(AC12))/AE12*100</f>
        <v>39.516129032258064</v>
      </c>
    </row>
    <row r="36" spans="2:47" x14ac:dyDescent="0.35">
      <c r="B36" s="1" t="s">
        <v>384</v>
      </c>
      <c r="C36" s="70" t="s">
        <v>83</v>
      </c>
      <c r="D36" s="70" t="s">
        <v>83</v>
      </c>
      <c r="E36" s="70" t="s">
        <v>83</v>
      </c>
      <c r="G36" s="1" t="s">
        <v>432</v>
      </c>
      <c r="H36" s="70" t="s">
        <v>83</v>
      </c>
      <c r="I36" s="21" t="s">
        <v>81</v>
      </c>
      <c r="J36" s="21" t="s">
        <v>81</v>
      </c>
    </row>
    <row r="37" spans="2:47" x14ac:dyDescent="0.35">
      <c r="B37" s="1" t="s">
        <v>385</v>
      </c>
      <c r="C37" s="70" t="s">
        <v>83</v>
      </c>
      <c r="D37" s="21" t="s">
        <v>81</v>
      </c>
      <c r="E37" s="70" t="s">
        <v>83</v>
      </c>
      <c r="G37" s="1" t="s">
        <v>433</v>
      </c>
      <c r="H37" s="21" t="s">
        <v>81</v>
      </c>
      <c r="I37" s="144" t="s">
        <v>84</v>
      </c>
      <c r="J37" s="21" t="s">
        <v>81</v>
      </c>
      <c r="AQ37" s="176" t="s">
        <v>500</v>
      </c>
      <c r="AR37" s="176"/>
      <c r="AS37" s="176"/>
      <c r="AT37" s="176"/>
    </row>
    <row r="38" spans="2:47" x14ac:dyDescent="0.35">
      <c r="B38" s="1" t="s">
        <v>386</v>
      </c>
      <c r="C38" s="70" t="s">
        <v>83</v>
      </c>
      <c r="D38" s="70" t="s">
        <v>83</v>
      </c>
      <c r="E38" s="70" t="s">
        <v>83</v>
      </c>
      <c r="G38" s="1" t="s">
        <v>434</v>
      </c>
      <c r="H38" s="21" t="s">
        <v>81</v>
      </c>
      <c r="I38" s="21" t="s">
        <v>81</v>
      </c>
      <c r="J38" s="21" t="s">
        <v>81</v>
      </c>
      <c r="AQ38" s="57" t="s">
        <v>248</v>
      </c>
      <c r="AR38" s="57" t="s">
        <v>468</v>
      </c>
      <c r="AS38" s="57" t="s">
        <v>115</v>
      </c>
      <c r="AT38" s="57" t="s">
        <v>97</v>
      </c>
    </row>
    <row r="39" spans="2:47" x14ac:dyDescent="0.35">
      <c r="B39" s="1" t="s">
        <v>387</v>
      </c>
      <c r="C39" s="144" t="s">
        <v>84</v>
      </c>
      <c r="D39" s="144" t="s">
        <v>84</v>
      </c>
      <c r="E39" s="144" t="s">
        <v>84</v>
      </c>
      <c r="G39" s="1" t="s">
        <v>435</v>
      </c>
      <c r="H39" s="21" t="s">
        <v>81</v>
      </c>
      <c r="I39" s="21" t="s">
        <v>81</v>
      </c>
      <c r="J39" s="21" t="s">
        <v>81</v>
      </c>
      <c r="AQ39" s="57" t="s">
        <v>249</v>
      </c>
      <c r="AR39" s="154" t="s">
        <v>156</v>
      </c>
      <c r="AS39" s="155" t="s">
        <v>250</v>
      </c>
      <c r="AT39" s="154" t="s">
        <v>100</v>
      </c>
    </row>
    <row r="40" spans="2:47" x14ac:dyDescent="0.35">
      <c r="B40" s="1" t="s">
        <v>388</v>
      </c>
      <c r="C40" s="70" t="s">
        <v>83</v>
      </c>
      <c r="D40" s="70" t="s">
        <v>83</v>
      </c>
      <c r="E40" s="70" t="s">
        <v>83</v>
      </c>
      <c r="G40" s="1" t="s">
        <v>436</v>
      </c>
      <c r="H40" s="21" t="s">
        <v>81</v>
      </c>
      <c r="I40" s="144" t="s">
        <v>84</v>
      </c>
      <c r="J40" s="21" t="s">
        <v>81</v>
      </c>
      <c r="AQ40" s="57" t="s">
        <v>251</v>
      </c>
      <c r="AR40" s="154" t="s">
        <v>156</v>
      </c>
      <c r="AS40" s="154" t="s">
        <v>252</v>
      </c>
      <c r="AT40" s="154" t="s">
        <v>100</v>
      </c>
    </row>
    <row r="41" spans="2:47" x14ac:dyDescent="0.35">
      <c r="B41" s="1" t="s">
        <v>389</v>
      </c>
      <c r="C41" s="21" t="s">
        <v>81</v>
      </c>
      <c r="D41" s="21" t="s">
        <v>81</v>
      </c>
      <c r="E41" s="70" t="s">
        <v>83</v>
      </c>
      <c r="G41" s="1" t="s">
        <v>437</v>
      </c>
      <c r="H41" s="144" t="s">
        <v>84</v>
      </c>
      <c r="I41" s="144" t="s">
        <v>84</v>
      </c>
      <c r="J41" s="144" t="s">
        <v>84</v>
      </c>
      <c r="AQ41" s="57" t="s">
        <v>253</v>
      </c>
      <c r="AR41" s="154" t="s">
        <v>156</v>
      </c>
      <c r="AS41" s="154" t="s">
        <v>254</v>
      </c>
      <c r="AT41" s="154" t="s">
        <v>100</v>
      </c>
    </row>
    <row r="42" spans="2:47" x14ac:dyDescent="0.35">
      <c r="B42" s="1" t="s">
        <v>390</v>
      </c>
      <c r="C42" s="70" t="s">
        <v>83</v>
      </c>
      <c r="D42" s="21" t="s">
        <v>81</v>
      </c>
      <c r="E42" s="21" t="s">
        <v>81</v>
      </c>
      <c r="G42" s="1" t="s">
        <v>438</v>
      </c>
      <c r="I42" s="144" t="s">
        <v>84</v>
      </c>
      <c r="J42" s="144" t="s">
        <v>84</v>
      </c>
      <c r="AQ42" s="57" t="s">
        <v>255</v>
      </c>
      <c r="AR42" s="154" t="s">
        <v>156</v>
      </c>
      <c r="AS42" s="154" t="s">
        <v>256</v>
      </c>
      <c r="AT42" s="154" t="s">
        <v>100</v>
      </c>
    </row>
    <row r="43" spans="2:47" x14ac:dyDescent="0.35">
      <c r="B43" s="1" t="s">
        <v>391</v>
      </c>
      <c r="C43" s="70" t="s">
        <v>83</v>
      </c>
      <c r="D43" s="21" t="s">
        <v>81</v>
      </c>
      <c r="E43" s="21" t="s">
        <v>81</v>
      </c>
      <c r="G43" s="1" t="s">
        <v>439</v>
      </c>
      <c r="H43" s="144" t="s">
        <v>84</v>
      </c>
      <c r="I43" s="144" t="s">
        <v>84</v>
      </c>
      <c r="J43" s="144" t="s">
        <v>84</v>
      </c>
      <c r="M43" s="57"/>
      <c r="N43" s="73"/>
      <c r="O43" s="73"/>
      <c r="P43" s="73"/>
      <c r="U43" s="57"/>
      <c r="V43" s="57"/>
      <c r="W43" s="57"/>
      <c r="AA43" s="57"/>
      <c r="AB43" s="57"/>
      <c r="AC43" s="57"/>
      <c r="AD43" s="57"/>
      <c r="AQ43" s="57" t="s">
        <v>257</v>
      </c>
      <c r="AR43" s="154">
        <v>29.99</v>
      </c>
      <c r="AS43" s="154" t="s">
        <v>258</v>
      </c>
      <c r="AT43" s="154" t="s">
        <v>100</v>
      </c>
    </row>
    <row r="44" spans="2:47" x14ac:dyDescent="0.35">
      <c r="B44" s="1" t="s">
        <v>392</v>
      </c>
      <c r="C44" s="70" t="s">
        <v>83</v>
      </c>
      <c r="D44" s="70" t="s">
        <v>83</v>
      </c>
      <c r="E44" s="70" t="s">
        <v>83</v>
      </c>
      <c r="G44" s="1" t="s">
        <v>440</v>
      </c>
      <c r="H44" s="144" t="s">
        <v>84</v>
      </c>
      <c r="I44" s="144" t="s">
        <v>84</v>
      </c>
      <c r="J44" s="144" t="s">
        <v>84</v>
      </c>
      <c r="AQ44" s="57" t="s">
        <v>259</v>
      </c>
      <c r="AR44" s="154">
        <v>9.91</v>
      </c>
      <c r="AS44" s="154" t="s">
        <v>260</v>
      </c>
      <c r="AT44" s="154" t="s">
        <v>100</v>
      </c>
    </row>
    <row r="45" spans="2:47" x14ac:dyDescent="0.35">
      <c r="B45" s="1" t="s">
        <v>393</v>
      </c>
      <c r="C45" s="70" t="s">
        <v>83</v>
      </c>
      <c r="D45" s="21" t="s">
        <v>81</v>
      </c>
      <c r="E45" s="70" t="s">
        <v>83</v>
      </c>
      <c r="G45" s="1" t="s">
        <v>441</v>
      </c>
      <c r="H45" s="144" t="s">
        <v>84</v>
      </c>
      <c r="I45" s="144" t="s">
        <v>84</v>
      </c>
      <c r="J45" s="144" t="s">
        <v>84</v>
      </c>
      <c r="AQ45" s="57" t="s">
        <v>261</v>
      </c>
      <c r="AR45" s="154">
        <v>11.95</v>
      </c>
      <c r="AS45" s="154" t="s">
        <v>262</v>
      </c>
      <c r="AT45" s="154" t="s">
        <v>100</v>
      </c>
    </row>
    <row r="46" spans="2:47" x14ac:dyDescent="0.35">
      <c r="B46" s="1" t="s">
        <v>394</v>
      </c>
      <c r="C46" s="70" t="s">
        <v>83</v>
      </c>
      <c r="D46" s="21" t="s">
        <v>81</v>
      </c>
      <c r="E46" s="70" t="s">
        <v>83</v>
      </c>
      <c r="G46" s="1" t="s">
        <v>442</v>
      </c>
      <c r="H46" s="144" t="s">
        <v>84</v>
      </c>
      <c r="I46" s="144" t="s">
        <v>84</v>
      </c>
      <c r="J46" s="144" t="s">
        <v>84</v>
      </c>
      <c r="AQ46" s="57" t="s">
        <v>263</v>
      </c>
      <c r="AR46" s="154">
        <v>0.2034</v>
      </c>
      <c r="AS46" s="154" t="s">
        <v>264</v>
      </c>
      <c r="AT46" s="154">
        <v>4.5999999999999999E-3</v>
      </c>
    </row>
    <row r="47" spans="2:47" x14ac:dyDescent="0.35">
      <c r="B47" s="1" t="s">
        <v>395</v>
      </c>
      <c r="C47" s="70" t="s">
        <v>83</v>
      </c>
      <c r="D47" s="21" t="s">
        <v>81</v>
      </c>
      <c r="E47" s="21" t="s">
        <v>81</v>
      </c>
      <c r="G47" s="1" t="s">
        <v>443</v>
      </c>
      <c r="H47" s="21" t="s">
        <v>81</v>
      </c>
      <c r="I47" s="21" t="s">
        <v>81</v>
      </c>
      <c r="J47" s="21" t="s">
        <v>81</v>
      </c>
      <c r="AQ47" s="57" t="s">
        <v>265</v>
      </c>
      <c r="AR47" s="154">
        <v>147.4</v>
      </c>
      <c r="AS47" s="154" t="s">
        <v>266</v>
      </c>
      <c r="AT47" s="154" t="s">
        <v>100</v>
      </c>
    </row>
    <row r="48" spans="2:47" x14ac:dyDescent="0.35">
      <c r="B48" s="1" t="s">
        <v>396</v>
      </c>
      <c r="C48" s="70" t="s">
        <v>83</v>
      </c>
      <c r="D48" s="21" t="s">
        <v>81</v>
      </c>
      <c r="E48" s="21" t="s">
        <v>81</v>
      </c>
      <c r="G48" s="1" t="s">
        <v>444</v>
      </c>
      <c r="H48" s="144" t="s">
        <v>84</v>
      </c>
      <c r="I48" s="144" t="s">
        <v>84</v>
      </c>
      <c r="J48" s="144" t="s">
        <v>84</v>
      </c>
      <c r="M48" s="176" t="s">
        <v>495</v>
      </c>
      <c r="N48" s="176"/>
      <c r="O48" s="176"/>
      <c r="P48" s="176"/>
      <c r="T48" s="176" t="s">
        <v>470</v>
      </c>
      <c r="U48" s="176"/>
      <c r="V48" s="176"/>
      <c r="W48" s="176"/>
      <c r="AA48" s="176" t="s">
        <v>469</v>
      </c>
      <c r="AB48" s="176"/>
      <c r="AC48" s="176"/>
      <c r="AD48" s="176"/>
      <c r="AM48" s="57"/>
      <c r="AQ48" s="57" t="s">
        <v>267</v>
      </c>
      <c r="AR48" s="154">
        <v>48.73</v>
      </c>
      <c r="AS48" s="154" t="s">
        <v>268</v>
      </c>
      <c r="AT48" s="154" t="s">
        <v>100</v>
      </c>
      <c r="AU48" s="57"/>
    </row>
    <row r="49" spans="2:49" x14ac:dyDescent="0.35">
      <c r="B49" s="1" t="s">
        <v>397</v>
      </c>
      <c r="C49" s="70" t="s">
        <v>83</v>
      </c>
      <c r="D49" s="21" t="s">
        <v>81</v>
      </c>
      <c r="E49" s="21" t="s">
        <v>81</v>
      </c>
      <c r="G49" s="1" t="s">
        <v>445</v>
      </c>
      <c r="H49" s="144" t="s">
        <v>84</v>
      </c>
      <c r="I49" s="144" t="s">
        <v>84</v>
      </c>
      <c r="J49" s="144" t="s">
        <v>84</v>
      </c>
      <c r="N49" s="57" t="s">
        <v>468</v>
      </c>
      <c r="O49" s="57" t="s">
        <v>96</v>
      </c>
      <c r="P49" s="57" t="s">
        <v>494</v>
      </c>
      <c r="U49" s="57" t="s">
        <v>468</v>
      </c>
      <c r="V49" s="57" t="s">
        <v>96</v>
      </c>
      <c r="W49" s="57" t="s">
        <v>97</v>
      </c>
      <c r="AB49" s="57" t="s">
        <v>468</v>
      </c>
      <c r="AC49" s="57" t="s">
        <v>96</v>
      </c>
      <c r="AD49" s="57" t="s">
        <v>97</v>
      </c>
      <c r="AQ49" s="57" t="s">
        <v>269</v>
      </c>
      <c r="AR49" s="154">
        <v>58.76</v>
      </c>
      <c r="AS49" s="154" t="s">
        <v>270</v>
      </c>
      <c r="AT49" s="154" t="s">
        <v>100</v>
      </c>
      <c r="AV49" s="57"/>
      <c r="AW49" s="57"/>
    </row>
    <row r="50" spans="2:49" x14ac:dyDescent="0.35">
      <c r="B50" s="1" t="s">
        <v>398</v>
      </c>
      <c r="C50" s="70" t="s">
        <v>83</v>
      </c>
      <c r="D50" s="70" t="s">
        <v>83</v>
      </c>
      <c r="E50" s="21" t="s">
        <v>81</v>
      </c>
      <c r="G50" s="1" t="s">
        <v>446</v>
      </c>
      <c r="H50" s="2" t="s">
        <v>114</v>
      </c>
      <c r="I50" s="144" t="s">
        <v>84</v>
      </c>
      <c r="J50" s="144" t="s">
        <v>84</v>
      </c>
      <c r="M50" s="57" t="s">
        <v>98</v>
      </c>
      <c r="N50" s="154">
        <v>16.899999999999999</v>
      </c>
      <c r="O50" s="154" t="s">
        <v>99</v>
      </c>
      <c r="P50" s="154" t="s">
        <v>100</v>
      </c>
      <c r="T50" s="57" t="s">
        <v>98</v>
      </c>
      <c r="U50" s="154">
        <v>2.2999999999999998</v>
      </c>
      <c r="V50" s="154" t="s">
        <v>101</v>
      </c>
      <c r="W50" s="154">
        <v>0.20669999999999999</v>
      </c>
      <c r="AA50" s="57" t="s">
        <v>98</v>
      </c>
      <c r="AB50" s="154">
        <v>14.18</v>
      </c>
      <c r="AC50" s="154" t="s">
        <v>102</v>
      </c>
      <c r="AD50" s="154" t="s">
        <v>100</v>
      </c>
      <c r="AN50" s="72"/>
      <c r="AO50" s="72"/>
      <c r="AQ50" s="57" t="s">
        <v>271</v>
      </c>
      <c r="AR50" s="154">
        <v>2.5089999999999999</v>
      </c>
      <c r="AS50" s="154" t="s">
        <v>272</v>
      </c>
      <c r="AT50" s="154">
        <v>1.5299999999999999E-2</v>
      </c>
      <c r="AU50" s="57"/>
      <c r="AV50" s="72"/>
      <c r="AW50" s="72"/>
    </row>
    <row r="51" spans="2:49" x14ac:dyDescent="0.35">
      <c r="B51" s="1" t="s">
        <v>399</v>
      </c>
      <c r="C51" s="21" t="s">
        <v>81</v>
      </c>
      <c r="D51" s="21" t="s">
        <v>81</v>
      </c>
      <c r="E51" s="70" t="s">
        <v>83</v>
      </c>
      <c r="G51" s="1" t="s">
        <v>447</v>
      </c>
      <c r="H51" s="144" t="s">
        <v>84</v>
      </c>
      <c r="I51" s="144" t="s">
        <v>84</v>
      </c>
      <c r="J51" s="144" t="s">
        <v>84</v>
      </c>
      <c r="M51" s="57" t="s">
        <v>103</v>
      </c>
      <c r="N51" s="154">
        <v>57.5</v>
      </c>
      <c r="O51" s="154" t="s">
        <v>104</v>
      </c>
      <c r="P51" s="154" t="s">
        <v>100</v>
      </c>
      <c r="T51" s="57" t="s">
        <v>103</v>
      </c>
      <c r="U51" s="154">
        <v>22.6</v>
      </c>
      <c r="V51" s="154" t="s">
        <v>105</v>
      </c>
      <c r="W51" s="154" t="s">
        <v>100</v>
      </c>
      <c r="AA51" s="57" t="s">
        <v>103</v>
      </c>
      <c r="AB51" s="154">
        <v>72.599999999999994</v>
      </c>
      <c r="AC51" s="154" t="s">
        <v>106</v>
      </c>
      <c r="AD51" s="154" t="s">
        <v>100</v>
      </c>
      <c r="AN51" s="72"/>
      <c r="AO51" s="72"/>
      <c r="AQ51" s="57" t="s">
        <v>273</v>
      </c>
      <c r="AR51" s="154">
        <v>0.82930000000000004</v>
      </c>
      <c r="AS51" s="154" t="s">
        <v>274</v>
      </c>
      <c r="AT51" s="154">
        <v>0.64670000000000005</v>
      </c>
      <c r="AU51" s="57"/>
      <c r="AV51" s="72"/>
      <c r="AW51" s="72"/>
    </row>
    <row r="52" spans="2:49" x14ac:dyDescent="0.35">
      <c r="B52" s="1" t="s">
        <v>400</v>
      </c>
      <c r="C52" s="21" t="s">
        <v>81</v>
      </c>
      <c r="D52" s="21" t="s">
        <v>81</v>
      </c>
      <c r="E52" s="70" t="s">
        <v>83</v>
      </c>
      <c r="G52" s="1" t="s">
        <v>448</v>
      </c>
      <c r="I52" s="144" t="s">
        <v>84</v>
      </c>
      <c r="J52" s="144" t="s">
        <v>84</v>
      </c>
      <c r="M52" s="57" t="s">
        <v>107</v>
      </c>
      <c r="N52" s="154">
        <v>3.4</v>
      </c>
      <c r="O52" s="154" t="s">
        <v>108</v>
      </c>
      <c r="P52" s="154">
        <v>4.5999999999999999E-3</v>
      </c>
      <c r="T52" s="57" t="s">
        <v>107</v>
      </c>
      <c r="U52" s="154">
        <v>9.6999999999999993</v>
      </c>
      <c r="V52" s="154" t="s">
        <v>109</v>
      </c>
      <c r="W52" s="154" t="s">
        <v>100</v>
      </c>
      <c r="AA52" s="57" t="s">
        <v>107</v>
      </c>
      <c r="AB52" s="154">
        <v>5.0999999999999996</v>
      </c>
      <c r="AC52" s="154" t="s">
        <v>110</v>
      </c>
      <c r="AD52" s="154" t="s">
        <v>100</v>
      </c>
      <c r="AQ52" s="57" t="s">
        <v>275</v>
      </c>
      <c r="AR52" s="154">
        <v>3.0259999999999998</v>
      </c>
      <c r="AS52" s="154" t="s">
        <v>276</v>
      </c>
      <c r="AT52" s="154">
        <v>2.5000000000000001E-3</v>
      </c>
    </row>
    <row r="53" spans="2:49" x14ac:dyDescent="0.35">
      <c r="B53" s="1" t="s">
        <v>401</v>
      </c>
      <c r="C53" s="70" t="s">
        <v>83</v>
      </c>
      <c r="D53" s="70" t="s">
        <v>83</v>
      </c>
      <c r="E53" s="70" t="s">
        <v>83</v>
      </c>
      <c r="G53" s="1" t="s">
        <v>449</v>
      </c>
      <c r="H53" s="144" t="s">
        <v>84</v>
      </c>
      <c r="I53" s="144" t="s">
        <v>84</v>
      </c>
      <c r="J53" s="144" t="s">
        <v>84</v>
      </c>
      <c r="M53" s="57" t="s">
        <v>116</v>
      </c>
      <c r="N53" s="155">
        <v>16.149999999999999</v>
      </c>
      <c r="O53" s="155" t="s">
        <v>117</v>
      </c>
      <c r="P53" s="155" t="s">
        <v>100</v>
      </c>
      <c r="T53" s="57" t="s">
        <v>116</v>
      </c>
      <c r="U53" s="155">
        <v>5.1369999999999996</v>
      </c>
      <c r="V53" s="155" t="s">
        <v>118</v>
      </c>
      <c r="W53" s="155" t="s">
        <v>100</v>
      </c>
      <c r="AA53" s="57" t="s">
        <v>116</v>
      </c>
      <c r="AB53" s="155">
        <v>7.125</v>
      </c>
      <c r="AC53" s="155" t="s">
        <v>119</v>
      </c>
      <c r="AD53" s="155" t="s">
        <v>100</v>
      </c>
    </row>
    <row r="54" spans="2:49" x14ac:dyDescent="0.35">
      <c r="B54" s="1" t="s">
        <v>402</v>
      </c>
      <c r="C54" s="70" t="s">
        <v>83</v>
      </c>
      <c r="D54" s="21" t="s">
        <v>81</v>
      </c>
      <c r="E54" s="21" t="s">
        <v>81</v>
      </c>
      <c r="G54" s="1" t="s">
        <v>450</v>
      </c>
      <c r="H54" s="144" t="s">
        <v>84</v>
      </c>
      <c r="J54" s="144" t="s">
        <v>84</v>
      </c>
      <c r="N54" s="80" t="s">
        <v>139</v>
      </c>
      <c r="O54" s="47"/>
      <c r="P54"/>
      <c r="U54" s="80" t="s">
        <v>139</v>
      </c>
      <c r="V54" s="47"/>
      <c r="W54"/>
      <c r="X54"/>
      <c r="AA54" s="80" t="s">
        <v>139</v>
      </c>
      <c r="AB54" s="47"/>
    </row>
    <row r="55" spans="2:49" x14ac:dyDescent="0.35">
      <c r="B55" s="1" t="s">
        <v>403</v>
      </c>
      <c r="C55" s="70" t="s">
        <v>83</v>
      </c>
      <c r="D55" s="21" t="s">
        <v>81</v>
      </c>
      <c r="E55" s="21" t="s">
        <v>81</v>
      </c>
      <c r="G55" s="1" t="s">
        <v>451</v>
      </c>
      <c r="H55" s="144" t="s">
        <v>84</v>
      </c>
      <c r="I55" s="144" t="s">
        <v>84</v>
      </c>
      <c r="J55" s="144" t="s">
        <v>84</v>
      </c>
      <c r="N55" s="50" t="s">
        <v>140</v>
      </c>
      <c r="O55" s="47" t="s">
        <v>141</v>
      </c>
      <c r="P55"/>
      <c r="U55" s="50" t="s">
        <v>140</v>
      </c>
      <c r="V55" s="47" t="s">
        <v>141</v>
      </c>
      <c r="W55"/>
      <c r="X55"/>
      <c r="AA55" s="50" t="s">
        <v>140</v>
      </c>
      <c r="AB55" s="47" t="s">
        <v>141</v>
      </c>
      <c r="AC55"/>
      <c r="AD55"/>
    </row>
    <row r="56" spans="2:49" x14ac:dyDescent="0.35">
      <c r="B56" s="1" t="s">
        <v>404</v>
      </c>
      <c r="C56" s="70" t="s">
        <v>83</v>
      </c>
      <c r="D56" s="21" t="s">
        <v>81</v>
      </c>
      <c r="E56" s="21" t="s">
        <v>81</v>
      </c>
      <c r="G56" s="1" t="s">
        <v>452</v>
      </c>
      <c r="H56" s="144" t="s">
        <v>84</v>
      </c>
      <c r="I56" s="144" t="s">
        <v>84</v>
      </c>
      <c r="J56" s="144" t="s">
        <v>84</v>
      </c>
      <c r="N56" s="50" t="s">
        <v>142</v>
      </c>
      <c r="O56" s="47" t="s">
        <v>296</v>
      </c>
      <c r="P56"/>
      <c r="U56" s="50" t="s">
        <v>142</v>
      </c>
      <c r="V56" s="47" t="s">
        <v>297</v>
      </c>
      <c r="W56"/>
      <c r="X56"/>
      <c r="AA56" s="50" t="s">
        <v>142</v>
      </c>
      <c r="AB56" s="47" t="s">
        <v>298</v>
      </c>
      <c r="AC56"/>
      <c r="AD56"/>
    </row>
    <row r="57" spans="2:49" x14ac:dyDescent="0.35">
      <c r="B57" s="1" t="s">
        <v>405</v>
      </c>
      <c r="D57" s="144" t="s">
        <v>84</v>
      </c>
      <c r="E57" s="144" t="s">
        <v>84</v>
      </c>
      <c r="G57" s="1" t="s">
        <v>453</v>
      </c>
      <c r="H57" s="144" t="s">
        <v>84</v>
      </c>
      <c r="I57" s="144" t="s">
        <v>84</v>
      </c>
      <c r="J57" s="144" t="s">
        <v>84</v>
      </c>
      <c r="N57" s="50" t="s">
        <v>146</v>
      </c>
      <c r="O57" s="47" t="s">
        <v>100</v>
      </c>
      <c r="P57"/>
      <c r="U57" s="50" t="s">
        <v>146</v>
      </c>
      <c r="V57" s="47" t="s">
        <v>100</v>
      </c>
      <c r="W57"/>
      <c r="X57"/>
      <c r="AA57" s="50" t="s">
        <v>146</v>
      </c>
      <c r="AB57" s="47" t="s">
        <v>100</v>
      </c>
      <c r="AC57"/>
      <c r="AD57"/>
      <c r="AP57" s="72"/>
      <c r="AQ57" s="72"/>
      <c r="AR57" s="72"/>
    </row>
    <row r="58" spans="2:49" x14ac:dyDescent="0.35">
      <c r="B58" s="1" t="s">
        <v>406</v>
      </c>
      <c r="C58" s="70" t="s">
        <v>83</v>
      </c>
      <c r="D58" s="70" t="s">
        <v>83</v>
      </c>
      <c r="E58" s="70" t="s">
        <v>83</v>
      </c>
      <c r="G58" s="1" t="s">
        <v>454</v>
      </c>
      <c r="H58" s="144" t="s">
        <v>84</v>
      </c>
      <c r="I58" s="144" t="s">
        <v>84</v>
      </c>
      <c r="J58" s="144" t="s">
        <v>84</v>
      </c>
      <c r="N58" s="50" t="s">
        <v>147</v>
      </c>
      <c r="O58" s="47" t="s">
        <v>148</v>
      </c>
      <c r="P58"/>
      <c r="Q58"/>
      <c r="R58"/>
      <c r="S58"/>
      <c r="U58" s="50" t="s">
        <v>147</v>
      </c>
      <c r="V58" s="47" t="s">
        <v>148</v>
      </c>
      <c r="W58"/>
      <c r="X58"/>
      <c r="Y58"/>
      <c r="Z58"/>
      <c r="AA58" s="50" t="s">
        <v>147</v>
      </c>
      <c r="AB58" s="47" t="s">
        <v>148</v>
      </c>
      <c r="AC58"/>
      <c r="AD58"/>
      <c r="AE58"/>
      <c r="AP58" s="72"/>
      <c r="AQ58" s="72"/>
      <c r="AR58" s="72"/>
    </row>
    <row r="59" spans="2:49" x14ac:dyDescent="0.35">
      <c r="B59" s="1" t="s">
        <v>407</v>
      </c>
      <c r="C59" s="70" t="s">
        <v>83</v>
      </c>
      <c r="D59" s="21" t="s">
        <v>81</v>
      </c>
      <c r="E59" s="70" t="s">
        <v>83</v>
      </c>
      <c r="G59" s="1" t="s">
        <v>455</v>
      </c>
      <c r="H59" s="144" t="s">
        <v>84</v>
      </c>
      <c r="I59" s="144" t="s">
        <v>84</v>
      </c>
      <c r="J59" s="21" t="s">
        <v>81</v>
      </c>
      <c r="N59" s="50" t="s">
        <v>149</v>
      </c>
      <c r="O59" s="47" t="s">
        <v>150</v>
      </c>
      <c r="P59"/>
      <c r="Q59"/>
      <c r="R59"/>
      <c r="S59"/>
      <c r="U59" s="50" t="s">
        <v>149</v>
      </c>
      <c r="V59" s="47" t="s">
        <v>150</v>
      </c>
      <c r="W59"/>
      <c r="X59"/>
      <c r="Y59"/>
      <c r="Z59"/>
      <c r="AA59" s="50" t="s">
        <v>149</v>
      </c>
      <c r="AB59" s="47" t="s">
        <v>150</v>
      </c>
      <c r="AC59"/>
      <c r="AD59"/>
      <c r="AE59"/>
    </row>
    <row r="60" spans="2:49" x14ac:dyDescent="0.35">
      <c r="B60" s="1" t="s">
        <v>408</v>
      </c>
      <c r="C60" s="70" t="s">
        <v>83</v>
      </c>
      <c r="D60" s="21" t="s">
        <v>81</v>
      </c>
      <c r="E60" s="70" t="s">
        <v>83</v>
      </c>
      <c r="G60" s="1" t="s">
        <v>456</v>
      </c>
      <c r="H60" s="144" t="s">
        <v>84</v>
      </c>
      <c r="N60" s="50" t="s">
        <v>151</v>
      </c>
      <c r="O60" s="47" t="s">
        <v>152</v>
      </c>
      <c r="P60"/>
      <c r="Q60"/>
      <c r="R60"/>
      <c r="S60"/>
      <c r="U60" s="50" t="s">
        <v>151</v>
      </c>
      <c r="V60" s="47" t="s">
        <v>152</v>
      </c>
      <c r="W60"/>
      <c r="X60"/>
      <c r="Y60"/>
      <c r="Z60"/>
      <c r="AA60" s="50" t="s">
        <v>151</v>
      </c>
      <c r="AB60" s="47" t="s">
        <v>152</v>
      </c>
      <c r="AC60"/>
      <c r="AD60"/>
      <c r="AE60"/>
    </row>
    <row r="61" spans="2:49" x14ac:dyDescent="0.35">
      <c r="B61" s="1" t="s">
        <v>409</v>
      </c>
      <c r="C61" s="70" t="s">
        <v>83</v>
      </c>
      <c r="D61" s="21" t="s">
        <v>81</v>
      </c>
      <c r="E61" s="70" t="s">
        <v>83</v>
      </c>
      <c r="G61" s="1" t="s">
        <v>457</v>
      </c>
      <c r="H61" s="144" t="s">
        <v>84</v>
      </c>
      <c r="I61" s="144" t="s">
        <v>84</v>
      </c>
      <c r="J61" s="144" t="s">
        <v>84</v>
      </c>
      <c r="Q61"/>
      <c r="R61"/>
      <c r="S61"/>
      <c r="Y61"/>
      <c r="Z61"/>
      <c r="AC61"/>
      <c r="AD61"/>
      <c r="AE61"/>
    </row>
    <row r="62" spans="2:49" x14ac:dyDescent="0.35">
      <c r="B62" s="1" t="s">
        <v>410</v>
      </c>
      <c r="C62" s="70" t="s">
        <v>83</v>
      </c>
      <c r="D62" s="21" t="s">
        <v>81</v>
      </c>
      <c r="E62" s="70" t="s">
        <v>83</v>
      </c>
      <c r="G62" s="1" t="s">
        <v>458</v>
      </c>
      <c r="H62" s="144" t="s">
        <v>84</v>
      </c>
      <c r="I62" s="144" t="s">
        <v>84</v>
      </c>
      <c r="J62" s="144" t="s">
        <v>84</v>
      </c>
      <c r="Q62"/>
      <c r="R62"/>
      <c r="S62"/>
      <c r="Y62"/>
      <c r="Z62"/>
      <c r="AE62"/>
    </row>
    <row r="63" spans="2:49" x14ac:dyDescent="0.35">
      <c r="B63" s="1" t="s">
        <v>477</v>
      </c>
      <c r="C63" s="144" t="s">
        <v>84</v>
      </c>
      <c r="D63" s="144" t="s">
        <v>84</v>
      </c>
      <c r="E63" s="144" t="s">
        <v>84</v>
      </c>
      <c r="G63" s="1" t="s">
        <v>484</v>
      </c>
      <c r="H63" s="144" t="s">
        <v>84</v>
      </c>
      <c r="I63" s="144" t="s">
        <v>84</v>
      </c>
      <c r="J63" s="144" t="s">
        <v>84</v>
      </c>
      <c r="Q63"/>
      <c r="R63"/>
      <c r="S63"/>
      <c r="Y63"/>
      <c r="Z63"/>
      <c r="AE63"/>
    </row>
    <row r="64" spans="2:49" x14ac:dyDescent="0.35">
      <c r="B64" s="1" t="s">
        <v>478</v>
      </c>
      <c r="C64" s="70" t="s">
        <v>83</v>
      </c>
      <c r="D64" s="70" t="s">
        <v>83</v>
      </c>
      <c r="E64" s="70" t="s">
        <v>83</v>
      </c>
      <c r="G64" s="1" t="s">
        <v>485</v>
      </c>
      <c r="H64" s="144" t="s">
        <v>84</v>
      </c>
      <c r="I64" s="144" t="s">
        <v>84</v>
      </c>
      <c r="J64" s="144" t="s">
        <v>84</v>
      </c>
      <c r="Q64"/>
      <c r="R64"/>
      <c r="S64"/>
      <c r="Y64"/>
      <c r="Z64"/>
      <c r="AE64"/>
    </row>
    <row r="65" spans="2:10" x14ac:dyDescent="0.35">
      <c r="B65" s="1" t="s">
        <v>479</v>
      </c>
      <c r="C65" s="70" t="s">
        <v>83</v>
      </c>
      <c r="D65" s="70" t="s">
        <v>83</v>
      </c>
      <c r="E65" s="70" t="s">
        <v>83</v>
      </c>
      <c r="G65" s="1" t="s">
        <v>486</v>
      </c>
      <c r="H65" s="144" t="s">
        <v>84</v>
      </c>
      <c r="I65" s="144" t="s">
        <v>84</v>
      </c>
      <c r="J65" s="144" t="s">
        <v>84</v>
      </c>
    </row>
    <row r="66" spans="2:10" x14ac:dyDescent="0.35">
      <c r="B66" s="1" t="s">
        <v>480</v>
      </c>
      <c r="C66" s="70" t="s">
        <v>83</v>
      </c>
      <c r="D66" s="21" t="s">
        <v>81</v>
      </c>
      <c r="E66" s="70" t="s">
        <v>83</v>
      </c>
      <c r="G66" s="57"/>
    </row>
    <row r="67" spans="2:10" x14ac:dyDescent="0.35">
      <c r="B67" s="1" t="s">
        <v>481</v>
      </c>
      <c r="C67" s="70" t="s">
        <v>83</v>
      </c>
      <c r="D67" s="21" t="s">
        <v>81</v>
      </c>
      <c r="E67" s="21" t="s">
        <v>81</v>
      </c>
      <c r="G67" s="57"/>
    </row>
    <row r="68" spans="2:10" x14ac:dyDescent="0.35">
      <c r="B68" s="1" t="s">
        <v>482</v>
      </c>
      <c r="C68" s="144" t="s">
        <v>84</v>
      </c>
      <c r="E68" s="144" t="s">
        <v>84</v>
      </c>
      <c r="G68" s="57"/>
    </row>
    <row r="69" spans="2:10" x14ac:dyDescent="0.35">
      <c r="B69" s="1" t="s">
        <v>483</v>
      </c>
      <c r="C69" s="21" t="s">
        <v>81</v>
      </c>
      <c r="D69" s="21" t="s">
        <v>81</v>
      </c>
      <c r="E69" s="70" t="s">
        <v>83</v>
      </c>
    </row>
    <row r="70" spans="2:10" x14ac:dyDescent="0.35">
      <c r="B70" s="57"/>
    </row>
    <row r="71" spans="2:10" x14ac:dyDescent="0.35">
      <c r="B71" s="57"/>
    </row>
    <row r="72" spans="2:10" x14ac:dyDescent="0.35">
      <c r="B72" s="57"/>
    </row>
  </sheetData>
  <mergeCells count="24">
    <mergeCell ref="AQ19:AW19"/>
    <mergeCell ref="AQ37:AT37"/>
    <mergeCell ref="AA32:AD32"/>
    <mergeCell ref="AA48:AD48"/>
    <mergeCell ref="AH8:AP8"/>
    <mergeCell ref="AH9:AP9"/>
    <mergeCell ref="AH14:AP14"/>
    <mergeCell ref="AH19:AO19"/>
    <mergeCell ref="AA8:AE8"/>
    <mergeCell ref="AA9:AE9"/>
    <mergeCell ref="AA14:AE14"/>
    <mergeCell ref="T8:X8"/>
    <mergeCell ref="T9:X9"/>
    <mergeCell ref="T14:X14"/>
    <mergeCell ref="M48:P48"/>
    <mergeCell ref="T48:W48"/>
    <mergeCell ref="M32:P32"/>
    <mergeCell ref="T32:W32"/>
    <mergeCell ref="B5:J5"/>
    <mergeCell ref="B6:E6"/>
    <mergeCell ref="G6:J6"/>
    <mergeCell ref="M8:Q8"/>
    <mergeCell ref="M14:Q14"/>
    <mergeCell ref="M9:Q9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Prism8.Document" shapeId="4105" r:id="rId4">
          <objectPr defaultSize="0" autoPict="0" r:id="rId5">
            <anchor moveWithCells="1">
              <from>
                <xdr:col>13</xdr:col>
                <xdr:colOff>177800</xdr:colOff>
                <xdr:row>18</xdr:row>
                <xdr:rowOff>146050</xdr:rowOff>
              </from>
              <to>
                <xdr:col>15</xdr:col>
                <xdr:colOff>101600</xdr:colOff>
                <xdr:row>29</xdr:row>
                <xdr:rowOff>50800</xdr:rowOff>
              </to>
            </anchor>
          </objectPr>
        </oleObject>
      </mc:Choice>
      <mc:Fallback>
        <oleObject progId="Prism8.Document" shapeId="4105" r:id="rId4"/>
      </mc:Fallback>
    </mc:AlternateContent>
    <mc:AlternateContent xmlns:mc="http://schemas.openxmlformats.org/markup-compatibility/2006">
      <mc:Choice Requires="x14">
        <oleObject progId="Prism8.Document" shapeId="4106" r:id="rId6">
          <objectPr defaultSize="0" autoPict="0" r:id="rId7">
            <anchor moveWithCells="1">
              <from>
                <xdr:col>19</xdr:col>
                <xdr:colOff>1670050</xdr:colOff>
                <xdr:row>18</xdr:row>
                <xdr:rowOff>88900</xdr:rowOff>
              </from>
              <to>
                <xdr:col>21</xdr:col>
                <xdr:colOff>730250</xdr:colOff>
                <xdr:row>29</xdr:row>
                <xdr:rowOff>107950</xdr:rowOff>
              </to>
            </anchor>
          </objectPr>
        </oleObject>
      </mc:Choice>
      <mc:Fallback>
        <oleObject progId="Prism8.Document" shapeId="4106" r:id="rId6"/>
      </mc:Fallback>
    </mc:AlternateContent>
    <mc:AlternateContent xmlns:mc="http://schemas.openxmlformats.org/markup-compatibility/2006">
      <mc:Choice Requires="x14">
        <oleObject progId="Prism8.Document" shapeId="4107" r:id="rId8">
          <objectPr defaultSize="0" autoPict="0" r:id="rId9">
            <anchor moveWithCells="1">
              <from>
                <xdr:col>26</xdr:col>
                <xdr:colOff>1098550</xdr:colOff>
                <xdr:row>18</xdr:row>
                <xdr:rowOff>57150</xdr:rowOff>
              </from>
              <to>
                <xdr:col>29</xdr:col>
                <xdr:colOff>400050</xdr:colOff>
                <xdr:row>29</xdr:row>
                <xdr:rowOff>107950</xdr:rowOff>
              </to>
            </anchor>
          </objectPr>
        </oleObject>
      </mc:Choice>
      <mc:Fallback>
        <oleObject progId="Prism8.Document" shapeId="4107" r:id="rId8"/>
      </mc:Fallback>
    </mc:AlternateContent>
    <mc:AlternateContent xmlns:mc="http://schemas.openxmlformats.org/markup-compatibility/2006">
      <mc:Choice Requires="x14">
        <oleObject progId="Prism8.Document" shapeId="4108" r:id="rId10">
          <objectPr defaultSize="0" autoPict="0" r:id="rId11">
            <anchor moveWithCells="1">
              <from>
                <xdr:col>35</xdr:col>
                <xdr:colOff>88900</xdr:colOff>
                <xdr:row>23</xdr:row>
                <xdr:rowOff>88900</xdr:rowOff>
              </from>
              <to>
                <xdr:col>38</xdr:col>
                <xdr:colOff>247650</xdr:colOff>
                <xdr:row>37</xdr:row>
                <xdr:rowOff>146050</xdr:rowOff>
              </to>
            </anchor>
          </objectPr>
        </oleObject>
      </mc:Choice>
      <mc:Fallback>
        <oleObject progId="Prism8.Document" shapeId="4108" r:id="rId10"/>
      </mc:Fallback>
    </mc:AlternateContent>
    <mc:AlternateContent xmlns:mc="http://schemas.openxmlformats.org/markup-compatibility/2006">
      <mc:Choice Requires="x14">
        <oleObject progId="Prism8.Document" shapeId="4109" r:id="rId12">
          <objectPr defaultSize="0" autoPict="0" r:id="rId13">
            <anchor moveWithCells="1">
              <from>
                <xdr:col>13</xdr:col>
                <xdr:colOff>133350</xdr:colOff>
                <xdr:row>36</xdr:row>
                <xdr:rowOff>19050</xdr:rowOff>
              </from>
              <to>
                <xdr:col>14</xdr:col>
                <xdr:colOff>654050</xdr:colOff>
                <xdr:row>46</xdr:row>
                <xdr:rowOff>19050</xdr:rowOff>
              </to>
            </anchor>
          </objectPr>
        </oleObject>
      </mc:Choice>
      <mc:Fallback>
        <oleObject progId="Prism8.Document" shapeId="4109" r:id="rId12"/>
      </mc:Fallback>
    </mc:AlternateContent>
    <mc:AlternateContent xmlns:mc="http://schemas.openxmlformats.org/markup-compatibility/2006">
      <mc:Choice Requires="x14">
        <oleObject progId="Prism8.Document" shapeId="4111" r:id="rId14">
          <objectPr defaultSize="0" autoPict="0" r:id="rId15">
            <anchor moveWithCells="1">
              <from>
                <xdr:col>19</xdr:col>
                <xdr:colOff>1708150</xdr:colOff>
                <xdr:row>35</xdr:row>
                <xdr:rowOff>107950</xdr:rowOff>
              </from>
              <to>
                <xdr:col>21</xdr:col>
                <xdr:colOff>520700</xdr:colOff>
                <xdr:row>45</xdr:row>
                <xdr:rowOff>44450</xdr:rowOff>
              </to>
            </anchor>
          </objectPr>
        </oleObject>
      </mc:Choice>
      <mc:Fallback>
        <oleObject progId="Prism8.Document" shapeId="4111" r:id="rId14"/>
      </mc:Fallback>
    </mc:AlternateContent>
    <mc:AlternateContent xmlns:mc="http://schemas.openxmlformats.org/markup-compatibility/2006">
      <mc:Choice Requires="x14">
        <oleObject progId="Prism8.Document" shapeId="4112" r:id="rId16">
          <objectPr defaultSize="0" autoPict="0" r:id="rId17">
            <anchor moveWithCells="1">
              <from>
                <xdr:col>26</xdr:col>
                <xdr:colOff>1276350</xdr:colOff>
                <xdr:row>35</xdr:row>
                <xdr:rowOff>44450</xdr:rowOff>
              </from>
              <to>
                <xdr:col>29</xdr:col>
                <xdr:colOff>254000</xdr:colOff>
                <xdr:row>45</xdr:row>
                <xdr:rowOff>63500</xdr:rowOff>
              </to>
            </anchor>
          </objectPr>
        </oleObject>
      </mc:Choice>
      <mc:Fallback>
        <oleObject progId="Prism8.Document" shapeId="4112" r:id="rId16"/>
      </mc:Fallback>
    </mc:AlternateContent>
    <mc:AlternateContent xmlns:mc="http://schemas.openxmlformats.org/markup-compatibility/2006">
      <mc:Choice Requires="x14">
        <oleObject progId="Prism8.Document" shapeId="4113" r:id="rId18">
          <objectPr defaultSize="0" autoPict="0" r:id="rId19">
            <anchor moveWithCells="1">
              <from>
                <xdr:col>42</xdr:col>
                <xdr:colOff>1739900</xdr:colOff>
                <xdr:row>22</xdr:row>
                <xdr:rowOff>107950</xdr:rowOff>
              </from>
              <to>
                <xdr:col>45</xdr:col>
                <xdr:colOff>774700</xdr:colOff>
                <xdr:row>34</xdr:row>
                <xdr:rowOff>44450</xdr:rowOff>
              </to>
            </anchor>
          </objectPr>
        </oleObject>
      </mc:Choice>
      <mc:Fallback>
        <oleObject progId="Prism8.Document" shapeId="4113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B747-42E8-4BE8-8578-C0EF820AC857}">
  <dimension ref="B2:T59"/>
  <sheetViews>
    <sheetView zoomScale="25" zoomScaleNormal="25" workbookViewId="0">
      <selection activeCell="V36" sqref="V36"/>
    </sheetView>
  </sheetViews>
  <sheetFormatPr defaultRowHeight="14.5" x14ac:dyDescent="0.35"/>
  <cols>
    <col min="3" max="3" width="11.90625" customWidth="1"/>
    <col min="7" max="7" width="13.54296875" customWidth="1"/>
    <col min="11" max="11" width="15.26953125" customWidth="1"/>
    <col min="12" max="12" width="19.1796875" customWidth="1"/>
    <col min="13" max="13" width="16.81640625" customWidth="1"/>
    <col min="14" max="14" width="35" customWidth="1"/>
  </cols>
  <sheetData>
    <row r="2" spans="2:20" ht="21" x14ac:dyDescent="0.5">
      <c r="B2" s="151" t="s">
        <v>508</v>
      </c>
    </row>
    <row r="3" spans="2:20" ht="21" x14ac:dyDescent="0.5">
      <c r="B3" s="153" t="s">
        <v>346</v>
      </c>
    </row>
    <row r="4" spans="2:20" ht="26" x14ac:dyDescent="0.6">
      <c r="B4" s="51"/>
    </row>
    <row r="5" spans="2:20" ht="26" x14ac:dyDescent="0.6">
      <c r="B5" s="51"/>
    </row>
    <row r="6" spans="2:20" ht="18.5" x14ac:dyDescent="0.45">
      <c r="B6" s="180" t="s">
        <v>348</v>
      </c>
      <c r="C6" s="180"/>
      <c r="D6" s="180"/>
      <c r="E6" s="180"/>
      <c r="F6" s="180"/>
      <c r="G6" s="180"/>
    </row>
    <row r="7" spans="2:20" x14ac:dyDescent="0.35">
      <c r="B7" s="176" t="s">
        <v>17</v>
      </c>
      <c r="C7" s="176"/>
      <c r="F7" s="176" t="s">
        <v>18</v>
      </c>
      <c r="G7" s="176"/>
    </row>
    <row r="8" spans="2:20" x14ac:dyDescent="0.35">
      <c r="B8" s="1" t="s">
        <v>76</v>
      </c>
      <c r="C8" s="1" t="s">
        <v>153</v>
      </c>
      <c r="F8" s="1" t="s">
        <v>76</v>
      </c>
      <c r="G8" s="1" t="s">
        <v>153</v>
      </c>
      <c r="K8" s="179" t="s">
        <v>501</v>
      </c>
      <c r="L8" s="179"/>
      <c r="M8" s="179"/>
      <c r="N8" s="179"/>
      <c r="O8" s="179"/>
    </row>
    <row r="9" spans="2:20" x14ac:dyDescent="0.35">
      <c r="B9" s="1" t="s">
        <v>356</v>
      </c>
      <c r="C9" s="6" t="s">
        <v>81</v>
      </c>
      <c r="F9" s="1" t="s">
        <v>349</v>
      </c>
      <c r="G9" s="52" t="s">
        <v>84</v>
      </c>
      <c r="K9" s="176" t="s">
        <v>502</v>
      </c>
      <c r="L9" s="176"/>
      <c r="M9" s="176"/>
      <c r="N9" s="176"/>
      <c r="O9" s="176"/>
    </row>
    <row r="10" spans="2:20" x14ac:dyDescent="0.35">
      <c r="B10" s="1" t="s">
        <v>357</v>
      </c>
      <c r="C10" s="14" t="s">
        <v>83</v>
      </c>
      <c r="F10" s="1" t="s">
        <v>350</v>
      </c>
      <c r="G10" s="6" t="s">
        <v>81</v>
      </c>
      <c r="K10" s="1"/>
      <c r="L10" s="164" t="s">
        <v>83</v>
      </c>
      <c r="M10" s="22" t="s">
        <v>81</v>
      </c>
      <c r="N10" s="9" t="s">
        <v>84</v>
      </c>
      <c r="O10" s="1" t="s">
        <v>8</v>
      </c>
      <c r="Q10" s="1" t="s">
        <v>154</v>
      </c>
      <c r="R10" s="1" t="s">
        <v>83</v>
      </c>
      <c r="S10" s="1" t="s">
        <v>81</v>
      </c>
      <c r="T10" s="1" t="s">
        <v>84</v>
      </c>
    </row>
    <row r="11" spans="2:20" x14ac:dyDescent="0.35">
      <c r="B11" s="1" t="s">
        <v>358</v>
      </c>
      <c r="C11" s="6" t="s">
        <v>81</v>
      </c>
      <c r="F11" s="1" t="s">
        <v>351</v>
      </c>
      <c r="G11" s="52" t="s">
        <v>84</v>
      </c>
      <c r="K11" s="1" t="s">
        <v>18</v>
      </c>
      <c r="L11" s="165">
        <f>COUNTIF(G9:G53, "RR")</f>
        <v>0</v>
      </c>
      <c r="M11" s="23">
        <f>COUNTIF(G9:G53, "RS")</f>
        <v>6</v>
      </c>
      <c r="N11" s="10">
        <f>COUNTIF(G9:G53, "SS")</f>
        <v>13</v>
      </c>
      <c r="O11">
        <f>SUM(L11:N11)</f>
        <v>19</v>
      </c>
      <c r="Q11" t="s">
        <v>18</v>
      </c>
      <c r="R11">
        <f>L11/L13*100</f>
        <v>0</v>
      </c>
      <c r="S11" s="4">
        <f t="shared" ref="S11:T11" si="0">M11/M13*100</f>
        <v>28.571428571428569</v>
      </c>
      <c r="T11" s="4">
        <f t="shared" si="0"/>
        <v>33.333333333333329</v>
      </c>
    </row>
    <row r="12" spans="2:20" x14ac:dyDescent="0.35">
      <c r="B12" s="1" t="s">
        <v>359</v>
      </c>
      <c r="C12" s="52" t="s">
        <v>84</v>
      </c>
      <c r="F12" s="1" t="s">
        <v>352</v>
      </c>
      <c r="G12" s="52" t="s">
        <v>84</v>
      </c>
      <c r="K12" s="1" t="s">
        <v>17</v>
      </c>
      <c r="L12" s="165">
        <f>COUNTIF(C9:C53, "RR")</f>
        <v>3</v>
      </c>
      <c r="M12" s="23">
        <f>COUNTIF(C9:C53, "RS")</f>
        <v>15</v>
      </c>
      <c r="N12" s="10">
        <f>COUNTIF(C9:C53, "SS")</f>
        <v>26</v>
      </c>
      <c r="O12">
        <f>SUM(L12:N12)</f>
        <v>44</v>
      </c>
      <c r="Q12" t="s">
        <v>17</v>
      </c>
      <c r="R12">
        <f>L12/L13*100</f>
        <v>100</v>
      </c>
      <c r="S12" s="4">
        <f t="shared" ref="S12:T12" si="1">M12/M13*100</f>
        <v>71.428571428571431</v>
      </c>
      <c r="T12" s="4">
        <f t="shared" si="1"/>
        <v>66.666666666666657</v>
      </c>
    </row>
    <row r="13" spans="2:20" x14ac:dyDescent="0.35">
      <c r="B13" s="1" t="s">
        <v>360</v>
      </c>
      <c r="C13" s="52" t="s">
        <v>84</v>
      </c>
      <c r="F13" s="1" t="s">
        <v>353</v>
      </c>
      <c r="G13" s="52" t="s">
        <v>84</v>
      </c>
      <c r="K13" s="1" t="s">
        <v>8</v>
      </c>
      <c r="L13" s="165">
        <f>SUM(L11:L12)</f>
        <v>3</v>
      </c>
      <c r="M13" s="23">
        <f t="shared" ref="M13:N13" si="2">SUM(M11:M12)</f>
        <v>21</v>
      </c>
      <c r="N13" s="10">
        <f t="shared" si="2"/>
        <v>39</v>
      </c>
    </row>
    <row r="14" spans="2:20" x14ac:dyDescent="0.35">
      <c r="B14" s="1" t="s">
        <v>361</v>
      </c>
      <c r="C14" s="6" t="s">
        <v>81</v>
      </c>
      <c r="F14" s="1" t="s">
        <v>354</v>
      </c>
      <c r="G14" s="52" t="s">
        <v>84</v>
      </c>
      <c r="K14" s="176" t="s">
        <v>503</v>
      </c>
      <c r="L14" s="176"/>
      <c r="M14" s="176"/>
      <c r="N14" s="176"/>
      <c r="O14" s="176"/>
    </row>
    <row r="15" spans="2:20" x14ac:dyDescent="0.35">
      <c r="B15" s="1" t="s">
        <v>362</v>
      </c>
      <c r="C15" s="52" t="s">
        <v>84</v>
      </c>
      <c r="F15" s="1" t="s">
        <v>355</v>
      </c>
      <c r="G15" s="52" t="s">
        <v>84</v>
      </c>
      <c r="K15" s="1" t="s">
        <v>155</v>
      </c>
      <c r="L15" s="164" t="s">
        <v>83</v>
      </c>
      <c r="M15" s="22" t="s">
        <v>81</v>
      </c>
      <c r="N15" s="9" t="s">
        <v>84</v>
      </c>
      <c r="O15" s="1" t="s">
        <v>94</v>
      </c>
    </row>
    <row r="16" spans="2:20" x14ac:dyDescent="0.35">
      <c r="B16" s="1" t="s">
        <v>363</v>
      </c>
      <c r="C16" s="52" t="s">
        <v>84</v>
      </c>
      <c r="F16" s="1" t="s">
        <v>411</v>
      </c>
      <c r="G16" s="6"/>
      <c r="K16" s="1" t="s">
        <v>18</v>
      </c>
      <c r="L16" s="167">
        <f>L11/O11*100</f>
        <v>0</v>
      </c>
      <c r="M16" s="25">
        <f>M11/O11*100</f>
        <v>31.578947368421051</v>
      </c>
      <c r="N16" s="11">
        <f>N11/O11*100</f>
        <v>68.421052631578945</v>
      </c>
      <c r="O16">
        <f>SUM(L16:N16)</f>
        <v>100</v>
      </c>
    </row>
    <row r="17" spans="2:15" x14ac:dyDescent="0.35">
      <c r="B17" s="1" t="s">
        <v>364</v>
      </c>
      <c r="C17" s="52" t="s">
        <v>84</v>
      </c>
      <c r="F17" s="1" t="s">
        <v>412</v>
      </c>
      <c r="G17" s="6" t="s">
        <v>81</v>
      </c>
      <c r="K17" s="1" t="s">
        <v>17</v>
      </c>
      <c r="L17" s="167">
        <f>L12/O12*100</f>
        <v>6.8181818181818175</v>
      </c>
      <c r="M17" s="25">
        <f>M12/O12*100</f>
        <v>34.090909090909086</v>
      </c>
      <c r="N17" s="11">
        <f>N12/O12*100</f>
        <v>59.090909090909093</v>
      </c>
      <c r="O17">
        <f>SUM(L17:N17)</f>
        <v>100</v>
      </c>
    </row>
    <row r="18" spans="2:15" x14ac:dyDescent="0.35">
      <c r="B18" s="1" t="s">
        <v>365</v>
      </c>
      <c r="C18" s="52" t="s">
        <v>84</v>
      </c>
      <c r="F18" s="1" t="s">
        <v>413</v>
      </c>
      <c r="G18" s="6" t="s">
        <v>81</v>
      </c>
    </row>
    <row r="19" spans="2:15" x14ac:dyDescent="0.35">
      <c r="B19" s="1" t="s">
        <v>366</v>
      </c>
      <c r="C19" s="52" t="s">
        <v>84</v>
      </c>
      <c r="F19" s="1" t="s">
        <v>414</v>
      </c>
      <c r="G19" s="52" t="s">
        <v>84</v>
      </c>
    </row>
    <row r="20" spans="2:15" x14ac:dyDescent="0.35">
      <c r="B20" s="1" t="s">
        <v>367</v>
      </c>
      <c r="C20" s="14" t="s">
        <v>83</v>
      </c>
      <c r="F20" s="1" t="s">
        <v>415</v>
      </c>
      <c r="G20" s="52" t="s">
        <v>84</v>
      </c>
    </row>
    <row r="21" spans="2:15" x14ac:dyDescent="0.35">
      <c r="B21" s="1" t="s">
        <v>368</v>
      </c>
      <c r="C21" s="6" t="s">
        <v>81</v>
      </c>
      <c r="F21" s="1" t="s">
        <v>416</v>
      </c>
      <c r="G21" s="6" t="s">
        <v>81</v>
      </c>
    </row>
    <row r="22" spans="2:15" x14ac:dyDescent="0.35">
      <c r="B22" s="1" t="s">
        <v>369</v>
      </c>
      <c r="C22" s="52" t="s">
        <v>84</v>
      </c>
      <c r="F22" s="1" t="s">
        <v>417</v>
      </c>
      <c r="G22" s="52" t="s">
        <v>84</v>
      </c>
    </row>
    <row r="23" spans="2:15" x14ac:dyDescent="0.35">
      <c r="B23" s="1" t="s">
        <v>370</v>
      </c>
      <c r="C23" s="52" t="s">
        <v>84</v>
      </c>
      <c r="F23" s="1" t="s">
        <v>418</v>
      </c>
      <c r="G23" s="52" t="s">
        <v>84</v>
      </c>
    </row>
    <row r="24" spans="2:15" x14ac:dyDescent="0.35">
      <c r="B24" s="1" t="s">
        <v>371</v>
      </c>
      <c r="C24" s="52" t="s">
        <v>84</v>
      </c>
      <c r="F24" s="1" t="s">
        <v>419</v>
      </c>
      <c r="G24" s="6" t="s">
        <v>81</v>
      </c>
    </row>
    <row r="25" spans="2:15" x14ac:dyDescent="0.35">
      <c r="B25" s="1" t="s">
        <v>372</v>
      </c>
      <c r="C25" s="52" t="s">
        <v>84</v>
      </c>
      <c r="F25" s="1" t="s">
        <v>420</v>
      </c>
      <c r="G25" s="52" t="s">
        <v>84</v>
      </c>
    </row>
    <row r="26" spans="2:15" x14ac:dyDescent="0.35">
      <c r="B26" s="1" t="s">
        <v>373</v>
      </c>
      <c r="C26" s="52" t="s">
        <v>84</v>
      </c>
      <c r="F26" s="1" t="s">
        <v>421</v>
      </c>
      <c r="G26" s="6" t="s">
        <v>81</v>
      </c>
    </row>
    <row r="27" spans="2:15" x14ac:dyDescent="0.35">
      <c r="B27" s="1" t="s">
        <v>374</v>
      </c>
      <c r="C27" s="6" t="s">
        <v>81</v>
      </c>
      <c r="F27" s="1" t="s">
        <v>422</v>
      </c>
      <c r="G27" s="52" t="s">
        <v>84</v>
      </c>
    </row>
    <row r="28" spans="2:15" x14ac:dyDescent="0.35">
      <c r="B28" s="1" t="s">
        <v>375</v>
      </c>
      <c r="C28" s="6" t="s">
        <v>81</v>
      </c>
      <c r="F28" s="1" t="s">
        <v>423</v>
      </c>
      <c r="G28" s="52" t="s">
        <v>84</v>
      </c>
    </row>
    <row r="29" spans="2:15" x14ac:dyDescent="0.35">
      <c r="B29" s="1" t="s">
        <v>376</v>
      </c>
      <c r="C29" s="14" t="s">
        <v>83</v>
      </c>
    </row>
    <row r="30" spans="2:15" x14ac:dyDescent="0.35">
      <c r="B30" s="1" t="s">
        <v>377</v>
      </c>
      <c r="C30" s="6" t="s">
        <v>81</v>
      </c>
    </row>
    <row r="31" spans="2:15" x14ac:dyDescent="0.35">
      <c r="B31" s="1" t="s">
        <v>378</v>
      </c>
      <c r="C31" s="52" t="s">
        <v>84</v>
      </c>
    </row>
    <row r="32" spans="2:15" x14ac:dyDescent="0.35">
      <c r="B32" s="1" t="s">
        <v>379</v>
      </c>
      <c r="C32" s="52" t="s">
        <v>84</v>
      </c>
    </row>
    <row r="33" spans="2:14" x14ac:dyDescent="0.35">
      <c r="B33" s="1" t="s">
        <v>380</v>
      </c>
      <c r="C33" s="6" t="s">
        <v>81</v>
      </c>
      <c r="K33" s="176" t="s">
        <v>504</v>
      </c>
      <c r="L33" s="176"/>
      <c r="M33" s="176"/>
      <c r="N33" s="176"/>
    </row>
    <row r="34" spans="2:14" x14ac:dyDescent="0.35">
      <c r="B34" s="1" t="s">
        <v>381</v>
      </c>
      <c r="C34" s="6" t="s">
        <v>81</v>
      </c>
      <c r="K34" s="1"/>
      <c r="L34" s="164" t="s">
        <v>92</v>
      </c>
      <c r="M34" s="9" t="s">
        <v>93</v>
      </c>
      <c r="N34" s="1" t="s">
        <v>8</v>
      </c>
    </row>
    <row r="35" spans="2:14" x14ac:dyDescent="0.35">
      <c r="B35" s="1" t="s">
        <v>382</v>
      </c>
      <c r="C35" s="52" t="s">
        <v>84</v>
      </c>
      <c r="K35" s="1" t="s">
        <v>18</v>
      </c>
      <c r="L35" s="167">
        <f>(L11+0.5*M11)/O11*100</f>
        <v>15.789473684210526</v>
      </c>
      <c r="M35" s="11">
        <f>(N11+0.5*M11)/O11*100</f>
        <v>84.210526315789465</v>
      </c>
      <c r="N35">
        <f>SUM(L35:M35)</f>
        <v>99.999999999999986</v>
      </c>
    </row>
    <row r="36" spans="2:14" x14ac:dyDescent="0.35">
      <c r="B36" s="1" t="s">
        <v>383</v>
      </c>
      <c r="C36" s="52" t="s">
        <v>84</v>
      </c>
      <c r="K36" s="1" t="s">
        <v>17</v>
      </c>
      <c r="L36" s="167">
        <f>(L12+0.5*M12)/O12*100</f>
        <v>23.863636363636363</v>
      </c>
      <c r="M36" s="11">
        <f>(N12+0.5*M12)/O12*100</f>
        <v>76.13636363636364</v>
      </c>
      <c r="N36">
        <f>SUM(L36:M36)</f>
        <v>100</v>
      </c>
    </row>
    <row r="37" spans="2:14" x14ac:dyDescent="0.35">
      <c r="B37" s="1" t="s">
        <v>384</v>
      </c>
      <c r="C37" s="52" t="s">
        <v>84</v>
      </c>
    </row>
    <row r="38" spans="2:14" x14ac:dyDescent="0.35">
      <c r="B38" s="1" t="s">
        <v>385</v>
      </c>
      <c r="C38" s="6" t="s">
        <v>81</v>
      </c>
    </row>
    <row r="39" spans="2:14" x14ac:dyDescent="0.35">
      <c r="B39" s="1" t="s">
        <v>386</v>
      </c>
      <c r="C39" s="52" t="s">
        <v>84</v>
      </c>
    </row>
    <row r="40" spans="2:14" x14ac:dyDescent="0.35">
      <c r="B40" s="1" t="s">
        <v>387</v>
      </c>
      <c r="C40" s="52" t="s">
        <v>84</v>
      </c>
    </row>
    <row r="41" spans="2:14" x14ac:dyDescent="0.35">
      <c r="B41" s="1" t="s">
        <v>388</v>
      </c>
      <c r="C41" s="52" t="s">
        <v>84</v>
      </c>
    </row>
    <row r="42" spans="2:14" x14ac:dyDescent="0.35">
      <c r="B42" s="1" t="s">
        <v>389</v>
      </c>
      <c r="C42" s="6" t="s">
        <v>81</v>
      </c>
    </row>
    <row r="43" spans="2:14" x14ac:dyDescent="0.35">
      <c r="B43" s="1" t="s">
        <v>390</v>
      </c>
      <c r="C43" s="52" t="s">
        <v>84</v>
      </c>
    </row>
    <row r="44" spans="2:14" x14ac:dyDescent="0.35">
      <c r="B44" s="1" t="s">
        <v>391</v>
      </c>
      <c r="C44" s="52" t="s">
        <v>84</v>
      </c>
    </row>
    <row r="45" spans="2:14" x14ac:dyDescent="0.35">
      <c r="B45" s="1" t="s">
        <v>392</v>
      </c>
      <c r="C45" s="6" t="s">
        <v>81</v>
      </c>
    </row>
    <row r="46" spans="2:14" x14ac:dyDescent="0.35">
      <c r="B46" s="1" t="s">
        <v>393</v>
      </c>
      <c r="C46" s="52" t="s">
        <v>84</v>
      </c>
    </row>
    <row r="47" spans="2:14" x14ac:dyDescent="0.35">
      <c r="B47" s="1" t="s">
        <v>394</v>
      </c>
      <c r="C47" s="52" t="s">
        <v>84</v>
      </c>
    </row>
    <row r="48" spans="2:14" x14ac:dyDescent="0.35">
      <c r="B48" s="1" t="s">
        <v>395</v>
      </c>
      <c r="C48" s="6" t="s">
        <v>81</v>
      </c>
    </row>
    <row r="49" spans="2:15" x14ac:dyDescent="0.35">
      <c r="B49" s="1" t="s">
        <v>396</v>
      </c>
      <c r="C49" s="6" t="s">
        <v>81</v>
      </c>
    </row>
    <row r="50" spans="2:15" x14ac:dyDescent="0.35">
      <c r="B50" s="1" t="s">
        <v>397</v>
      </c>
      <c r="C50" s="6" t="s">
        <v>81</v>
      </c>
    </row>
    <row r="51" spans="2:15" x14ac:dyDescent="0.35">
      <c r="B51" s="1" t="s">
        <v>398</v>
      </c>
      <c r="C51" s="52" t="s">
        <v>84</v>
      </c>
    </row>
    <row r="52" spans="2:15" x14ac:dyDescent="0.35">
      <c r="B52" s="1" t="s">
        <v>399</v>
      </c>
      <c r="C52" s="52" t="s">
        <v>84</v>
      </c>
    </row>
    <row r="53" spans="2:15" x14ac:dyDescent="0.35">
      <c r="B53" s="1"/>
    </row>
    <row r="54" spans="2:15" x14ac:dyDescent="0.35">
      <c r="K54" s="176" t="s">
        <v>460</v>
      </c>
      <c r="L54" s="176"/>
      <c r="M54" s="176"/>
      <c r="N54" s="176"/>
      <c r="O54" s="176"/>
    </row>
    <row r="55" spans="2:15" x14ac:dyDescent="0.35">
      <c r="K55" s="1"/>
      <c r="L55" s="1" t="s">
        <v>468</v>
      </c>
      <c r="M55" s="1" t="s">
        <v>115</v>
      </c>
      <c r="N55" s="1" t="s">
        <v>97</v>
      </c>
    </row>
    <row r="56" spans="2:15" x14ac:dyDescent="0.35">
      <c r="K56" s="1" t="s">
        <v>103</v>
      </c>
      <c r="L56" s="149" t="s">
        <v>156</v>
      </c>
      <c r="M56" s="148" t="s">
        <v>157</v>
      </c>
      <c r="N56" s="148">
        <v>5.8999999999999999E-3</v>
      </c>
      <c r="O56" s="47" t="s">
        <v>158</v>
      </c>
    </row>
    <row r="57" spans="2:15" x14ac:dyDescent="0.35">
      <c r="K57" s="1" t="s">
        <v>98</v>
      </c>
      <c r="L57" s="149" t="s">
        <v>156</v>
      </c>
      <c r="M57" s="148" t="s">
        <v>159</v>
      </c>
      <c r="N57" s="148">
        <v>1.5900000000000001E-2</v>
      </c>
      <c r="O57" s="47" t="s">
        <v>160</v>
      </c>
    </row>
    <row r="58" spans="2:15" x14ac:dyDescent="0.35">
      <c r="K58" s="1" t="s">
        <v>107</v>
      </c>
      <c r="L58" s="149">
        <v>1.2250000000000001</v>
      </c>
      <c r="M58" s="148" t="s">
        <v>161</v>
      </c>
      <c r="N58" s="148">
        <v>0.5454</v>
      </c>
      <c r="O58" s="47" t="s">
        <v>162</v>
      </c>
    </row>
    <row r="59" spans="2:15" x14ac:dyDescent="0.35">
      <c r="K59" s="1" t="s">
        <v>116</v>
      </c>
      <c r="L59" s="149">
        <v>1.6579999999999999</v>
      </c>
      <c r="M59" s="148" t="s">
        <v>163</v>
      </c>
      <c r="N59" s="148">
        <v>0.21560000000000001</v>
      </c>
      <c r="O59" s="47" t="s">
        <v>162</v>
      </c>
    </row>
  </sheetData>
  <mergeCells count="8">
    <mergeCell ref="K54:O54"/>
    <mergeCell ref="B7:C7"/>
    <mergeCell ref="F7:G7"/>
    <mergeCell ref="B6:G6"/>
    <mergeCell ref="K8:O8"/>
    <mergeCell ref="K9:O9"/>
    <mergeCell ref="K14:O14"/>
    <mergeCell ref="K33:N33"/>
  </mergeCells>
  <phoneticPr fontId="20" type="noConversion"/>
  <pageMargins left="0.7" right="0.7" top="0.75" bottom="0.75" header="0.3" footer="0.3"/>
  <pageSetup paperSize="0" orientation="portrait" horizontalDpi="0" verticalDpi="0" copies="0" r:id="rId1"/>
  <drawing r:id="rId2"/>
  <legacyDrawing r:id="rId3"/>
  <oleObjects>
    <mc:AlternateContent xmlns:mc="http://schemas.openxmlformats.org/markup-compatibility/2006">
      <mc:Choice Requires="x14">
        <oleObject progId="Prism8.Document" shapeId="7169" r:id="rId4">
          <objectPr defaultSize="0" autoPict="0" r:id="rId5">
            <anchor moveWithCells="1">
              <from>
                <xdr:col>10</xdr:col>
                <xdr:colOff>336550</xdr:colOff>
                <xdr:row>17</xdr:row>
                <xdr:rowOff>146050</xdr:rowOff>
              </from>
              <to>
                <xdr:col>12</xdr:col>
                <xdr:colOff>952500</xdr:colOff>
                <xdr:row>30</xdr:row>
                <xdr:rowOff>171450</xdr:rowOff>
              </to>
            </anchor>
          </objectPr>
        </oleObject>
      </mc:Choice>
      <mc:Fallback>
        <oleObject progId="Prism8.Document" shapeId="7169" r:id="rId4"/>
      </mc:Fallback>
    </mc:AlternateContent>
    <mc:AlternateContent xmlns:mc="http://schemas.openxmlformats.org/markup-compatibility/2006">
      <mc:Choice Requires="x14">
        <oleObject progId="Prism8.Document" shapeId="7170" r:id="rId6">
          <objectPr defaultSize="0" autoPict="0" r:id="rId7">
            <anchor moveWithCells="1">
              <from>
                <xdr:col>11</xdr:col>
                <xdr:colOff>393700</xdr:colOff>
                <xdr:row>36</xdr:row>
                <xdr:rowOff>152400</xdr:rowOff>
              </from>
              <to>
                <xdr:col>13</xdr:col>
                <xdr:colOff>908050</xdr:colOff>
                <xdr:row>51</xdr:row>
                <xdr:rowOff>19050</xdr:rowOff>
              </to>
            </anchor>
          </objectPr>
        </oleObject>
      </mc:Choice>
      <mc:Fallback>
        <oleObject progId="Prism8.Document" shapeId="7170" r:id="rId6"/>
      </mc:Fallback>
    </mc:AlternateContent>
    <mc:AlternateContent xmlns:mc="http://schemas.openxmlformats.org/markup-compatibility/2006">
      <mc:Choice Requires="x14">
        <oleObject progId="Prism8.Document" shapeId="7171" r:id="rId8">
          <objectPr defaultSize="0" autoPict="0" r:id="rId9">
            <anchor moveWithCells="1">
              <from>
                <xdr:col>13</xdr:col>
                <xdr:colOff>603250</xdr:colOff>
                <xdr:row>18</xdr:row>
                <xdr:rowOff>6350</xdr:rowOff>
              </from>
              <to>
                <xdr:col>15</xdr:col>
                <xdr:colOff>292100</xdr:colOff>
                <xdr:row>31</xdr:row>
                <xdr:rowOff>44450</xdr:rowOff>
              </to>
            </anchor>
          </objectPr>
        </oleObject>
      </mc:Choice>
      <mc:Fallback>
        <oleObject progId="Prism8.Document" shapeId="7171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10D0-830B-47CD-A866-AF106A6E34DD}">
  <dimension ref="B2:O54"/>
  <sheetViews>
    <sheetView zoomScale="25" zoomScaleNormal="25" workbookViewId="0">
      <selection activeCell="D25" sqref="D25"/>
    </sheetView>
  </sheetViews>
  <sheetFormatPr defaultRowHeight="14.5" x14ac:dyDescent="0.35"/>
  <cols>
    <col min="3" max="3" width="12.7265625" customWidth="1"/>
    <col min="11" max="11" width="17" customWidth="1"/>
    <col min="12" max="12" width="12.1796875" customWidth="1"/>
    <col min="13" max="13" width="15" customWidth="1"/>
    <col min="14" max="14" width="26.08984375" customWidth="1"/>
  </cols>
  <sheetData>
    <row r="2" spans="2:15" ht="21" x14ac:dyDescent="0.5">
      <c r="B2" s="151" t="s">
        <v>509</v>
      </c>
    </row>
    <row r="3" spans="2:15" ht="21" x14ac:dyDescent="0.5">
      <c r="B3" s="153" t="s">
        <v>346</v>
      </c>
    </row>
    <row r="4" spans="2:15" ht="26" x14ac:dyDescent="0.6">
      <c r="B4" s="51"/>
    </row>
    <row r="5" spans="2:15" ht="26" x14ac:dyDescent="0.6">
      <c r="B5" s="51"/>
    </row>
    <row r="6" spans="2:15" ht="19.5" x14ac:dyDescent="0.45">
      <c r="B6" s="181" t="s">
        <v>348</v>
      </c>
      <c r="C6" s="181"/>
      <c r="D6" s="181"/>
      <c r="E6" s="181"/>
      <c r="F6" s="181"/>
      <c r="G6" s="181"/>
    </row>
    <row r="7" spans="2:15" x14ac:dyDescent="0.35">
      <c r="B7" s="176" t="s">
        <v>17</v>
      </c>
      <c r="C7" s="176"/>
      <c r="F7" s="176" t="s">
        <v>18</v>
      </c>
      <c r="G7" s="176"/>
    </row>
    <row r="8" spans="2:15" x14ac:dyDescent="0.35">
      <c r="B8" s="1" t="s">
        <v>76</v>
      </c>
      <c r="C8" s="1" t="s">
        <v>153</v>
      </c>
      <c r="F8" s="1" t="s">
        <v>76</v>
      </c>
      <c r="G8" s="1" t="s">
        <v>153</v>
      </c>
      <c r="K8" s="179" t="s">
        <v>501</v>
      </c>
      <c r="L8" s="179"/>
      <c r="M8" s="179"/>
      <c r="N8" s="179"/>
      <c r="O8" s="179"/>
    </row>
    <row r="9" spans="2:15" x14ac:dyDescent="0.35">
      <c r="B9" s="1" t="s">
        <v>356</v>
      </c>
      <c r="C9" s="52" t="s">
        <v>84</v>
      </c>
      <c r="F9" s="1" t="s">
        <v>349</v>
      </c>
      <c r="G9" s="6" t="s">
        <v>81</v>
      </c>
      <c r="K9" s="176" t="s">
        <v>505</v>
      </c>
      <c r="L9" s="176"/>
      <c r="M9" s="176"/>
      <c r="N9" s="176"/>
      <c r="O9" s="176"/>
    </row>
    <row r="10" spans="2:15" x14ac:dyDescent="0.35">
      <c r="B10" s="1" t="s">
        <v>357</v>
      </c>
      <c r="C10" s="6" t="s">
        <v>81</v>
      </c>
      <c r="F10" s="1" t="s">
        <v>350</v>
      </c>
      <c r="G10" s="6" t="s">
        <v>81</v>
      </c>
      <c r="K10" s="1"/>
      <c r="L10" s="1" t="s">
        <v>83</v>
      </c>
      <c r="M10" s="1" t="s">
        <v>81</v>
      </c>
      <c r="N10" s="1" t="s">
        <v>84</v>
      </c>
      <c r="O10" s="1" t="s">
        <v>8</v>
      </c>
    </row>
    <row r="11" spans="2:15" x14ac:dyDescent="0.35">
      <c r="B11" s="1" t="s">
        <v>358</v>
      </c>
      <c r="C11" s="52" t="s">
        <v>84</v>
      </c>
      <c r="F11" s="1" t="s">
        <v>351</v>
      </c>
      <c r="G11" s="6" t="s">
        <v>81</v>
      </c>
      <c r="K11" s="1" t="s">
        <v>18</v>
      </c>
      <c r="L11">
        <f>COUNTIF(G9:G53, "RR")</f>
        <v>0</v>
      </c>
      <c r="M11">
        <f>COUNTIF(G9:G53, "RS")</f>
        <v>10</v>
      </c>
      <c r="N11">
        <f>COUNTIF(G9:G53, "SS")</f>
        <v>4</v>
      </c>
      <c r="O11">
        <f>SUM(L11:N11)</f>
        <v>14</v>
      </c>
    </row>
    <row r="12" spans="2:15" x14ac:dyDescent="0.35">
      <c r="B12" s="1" t="s">
        <v>359</v>
      </c>
      <c r="C12" s="52" t="s">
        <v>84</v>
      </c>
      <c r="F12" s="1" t="s">
        <v>352</v>
      </c>
      <c r="G12" s="6" t="s">
        <v>81</v>
      </c>
      <c r="K12" s="1" t="s">
        <v>17</v>
      </c>
      <c r="L12">
        <f>COUNTIF(C9:C53, "RR")</f>
        <v>3</v>
      </c>
      <c r="M12">
        <f>COUNTIF(C9:C53, "RS")</f>
        <v>21</v>
      </c>
      <c r="N12">
        <f>COUNTIF(C9:C53, "SS")</f>
        <v>21</v>
      </c>
      <c r="O12">
        <f>SUM(L12:N12)</f>
        <v>45</v>
      </c>
    </row>
    <row r="13" spans="2:15" x14ac:dyDescent="0.35">
      <c r="B13" s="1" t="s">
        <v>360</v>
      </c>
      <c r="C13" s="52" t="s">
        <v>84</v>
      </c>
      <c r="F13" s="1" t="s">
        <v>353</v>
      </c>
      <c r="G13" s="6" t="s">
        <v>81</v>
      </c>
      <c r="K13" s="1" t="s">
        <v>8</v>
      </c>
      <c r="L13">
        <f>SUM(L11:L12)</f>
        <v>3</v>
      </c>
      <c r="M13">
        <f t="shared" ref="M13:N13" si="0">SUM(M11:M12)</f>
        <v>31</v>
      </c>
      <c r="N13">
        <f t="shared" si="0"/>
        <v>25</v>
      </c>
    </row>
    <row r="14" spans="2:15" x14ac:dyDescent="0.35">
      <c r="B14" s="1" t="s">
        <v>361</v>
      </c>
      <c r="C14" s="6" t="s">
        <v>81</v>
      </c>
      <c r="F14" s="1" t="s">
        <v>354</v>
      </c>
      <c r="G14" s="6" t="s">
        <v>81</v>
      </c>
      <c r="K14" s="176" t="s">
        <v>506</v>
      </c>
      <c r="L14" s="176"/>
      <c r="M14" s="176"/>
      <c r="N14" s="176"/>
      <c r="O14" s="176"/>
    </row>
    <row r="15" spans="2:15" x14ac:dyDescent="0.35">
      <c r="B15" s="1" t="s">
        <v>362</v>
      </c>
      <c r="C15" s="6" t="s">
        <v>81</v>
      </c>
      <c r="F15" s="1" t="s">
        <v>355</v>
      </c>
      <c r="G15" s="6" t="s">
        <v>81</v>
      </c>
      <c r="K15" s="1" t="s">
        <v>155</v>
      </c>
      <c r="L15" s="1" t="s">
        <v>83</v>
      </c>
      <c r="M15" s="1" t="s">
        <v>81</v>
      </c>
      <c r="N15" s="1" t="s">
        <v>84</v>
      </c>
      <c r="O15" s="1" t="s">
        <v>94</v>
      </c>
    </row>
    <row r="16" spans="2:15" x14ac:dyDescent="0.35">
      <c r="B16" s="1" t="s">
        <v>363</v>
      </c>
      <c r="C16" s="6" t="s">
        <v>81</v>
      </c>
      <c r="F16" s="1" t="s">
        <v>411</v>
      </c>
      <c r="G16" s="6" t="s">
        <v>81</v>
      </c>
      <c r="K16" s="1" t="s">
        <v>18</v>
      </c>
      <c r="L16" s="3">
        <f>L11/L13*100</f>
        <v>0</v>
      </c>
      <c r="M16">
        <f>M11/M13*100</f>
        <v>32.258064516129032</v>
      </c>
      <c r="N16" s="3">
        <f>N11/N13*100</f>
        <v>16</v>
      </c>
      <c r="O16">
        <f>SUM(L16:N16)</f>
        <v>48.258064516129032</v>
      </c>
    </row>
    <row r="17" spans="2:15" x14ac:dyDescent="0.35">
      <c r="B17" s="1" t="s">
        <v>364</v>
      </c>
      <c r="C17" s="52" t="s">
        <v>84</v>
      </c>
      <c r="F17" s="1" t="s">
        <v>412</v>
      </c>
      <c r="G17" s="52" t="s">
        <v>84</v>
      </c>
      <c r="K17" s="1" t="s">
        <v>17</v>
      </c>
      <c r="L17" s="3">
        <f>L12/L13*100</f>
        <v>100</v>
      </c>
      <c r="M17" s="3">
        <f>M12/M13*100</f>
        <v>67.741935483870961</v>
      </c>
      <c r="N17" s="3">
        <f>N12/N13*100</f>
        <v>84</v>
      </c>
      <c r="O17">
        <f>SUM(L17:N17)</f>
        <v>251.74193548387098</v>
      </c>
    </row>
    <row r="18" spans="2:15" x14ac:dyDescent="0.35">
      <c r="B18" s="1" t="s">
        <v>365</v>
      </c>
      <c r="C18" s="6" t="s">
        <v>81</v>
      </c>
      <c r="F18" s="1" t="s">
        <v>413</v>
      </c>
      <c r="G18" s="52" t="s">
        <v>84</v>
      </c>
    </row>
    <row r="19" spans="2:15" x14ac:dyDescent="0.35">
      <c r="B19" s="1" t="s">
        <v>366</v>
      </c>
      <c r="C19" s="6" t="s">
        <v>81</v>
      </c>
      <c r="F19" s="1" t="s">
        <v>414</v>
      </c>
      <c r="G19" s="6" t="s">
        <v>84</v>
      </c>
    </row>
    <row r="20" spans="2:15" x14ac:dyDescent="0.35">
      <c r="B20" s="1" t="s">
        <v>367</v>
      </c>
      <c r="C20" s="52" t="s">
        <v>84</v>
      </c>
      <c r="F20" s="1" t="s">
        <v>415</v>
      </c>
      <c r="G20" s="52" t="s">
        <v>84</v>
      </c>
    </row>
    <row r="21" spans="2:15" x14ac:dyDescent="0.35">
      <c r="B21" s="1" t="s">
        <v>368</v>
      </c>
      <c r="C21" s="52" t="s">
        <v>84</v>
      </c>
      <c r="F21" s="1" t="s">
        <v>416</v>
      </c>
      <c r="G21" s="6" t="s">
        <v>81</v>
      </c>
    </row>
    <row r="22" spans="2:15" x14ac:dyDescent="0.35">
      <c r="B22" s="1" t="s">
        <v>369</v>
      </c>
      <c r="C22" s="6" t="s">
        <v>81</v>
      </c>
      <c r="F22" s="1" t="s">
        <v>417</v>
      </c>
      <c r="G22" s="6" t="s">
        <v>81</v>
      </c>
    </row>
    <row r="23" spans="2:15" x14ac:dyDescent="0.35">
      <c r="B23" s="1" t="s">
        <v>370</v>
      </c>
      <c r="C23" s="52" t="s">
        <v>84</v>
      </c>
      <c r="F23" s="1"/>
    </row>
    <row r="24" spans="2:15" x14ac:dyDescent="0.35">
      <c r="B24" s="1" t="s">
        <v>371</v>
      </c>
      <c r="C24" s="52" t="s">
        <v>84</v>
      </c>
      <c r="F24" s="1"/>
    </row>
    <row r="25" spans="2:15" x14ac:dyDescent="0.35">
      <c r="B25" s="1" t="s">
        <v>372</v>
      </c>
      <c r="C25" s="52" t="s">
        <v>84</v>
      </c>
    </row>
    <row r="26" spans="2:15" x14ac:dyDescent="0.35">
      <c r="B26" s="1" t="s">
        <v>373</v>
      </c>
      <c r="C26" s="14" t="s">
        <v>83</v>
      </c>
    </row>
    <row r="27" spans="2:15" x14ac:dyDescent="0.35">
      <c r="B27" s="1" t="s">
        <v>374</v>
      </c>
      <c r="C27" s="52" t="s">
        <v>84</v>
      </c>
    </row>
    <row r="28" spans="2:15" x14ac:dyDescent="0.35">
      <c r="B28" s="1" t="s">
        <v>375</v>
      </c>
      <c r="C28" s="6" t="s">
        <v>81</v>
      </c>
    </row>
    <row r="29" spans="2:15" x14ac:dyDescent="0.35">
      <c r="B29" s="1" t="s">
        <v>376</v>
      </c>
      <c r="C29" s="52" t="s">
        <v>84</v>
      </c>
    </row>
    <row r="30" spans="2:15" x14ac:dyDescent="0.35">
      <c r="B30" s="1" t="s">
        <v>377</v>
      </c>
      <c r="C30" s="52" t="s">
        <v>84</v>
      </c>
    </row>
    <row r="31" spans="2:15" x14ac:dyDescent="0.35">
      <c r="B31" s="1" t="s">
        <v>378</v>
      </c>
      <c r="C31" s="52" t="s">
        <v>84</v>
      </c>
    </row>
    <row r="32" spans="2:15" x14ac:dyDescent="0.35">
      <c r="B32" s="1" t="s">
        <v>379</v>
      </c>
      <c r="C32" s="52" t="s">
        <v>84</v>
      </c>
    </row>
    <row r="33" spans="2:14" x14ac:dyDescent="0.35">
      <c r="B33" s="1" t="s">
        <v>380</v>
      </c>
      <c r="C33" s="6" t="s">
        <v>81</v>
      </c>
      <c r="K33" s="176" t="s">
        <v>504</v>
      </c>
      <c r="L33" s="176"/>
      <c r="M33" s="176"/>
      <c r="N33" s="176"/>
    </row>
    <row r="34" spans="2:14" x14ac:dyDescent="0.35">
      <c r="B34" s="1" t="s">
        <v>381</v>
      </c>
      <c r="C34" s="6" t="s">
        <v>81</v>
      </c>
      <c r="L34" s="1" t="s">
        <v>92</v>
      </c>
      <c r="M34" s="1" t="s">
        <v>93</v>
      </c>
      <c r="N34" s="1" t="s">
        <v>94</v>
      </c>
    </row>
    <row r="35" spans="2:14" x14ac:dyDescent="0.35">
      <c r="B35" s="1" t="s">
        <v>382</v>
      </c>
      <c r="C35" s="6" t="s">
        <v>81</v>
      </c>
      <c r="K35" s="1" t="s">
        <v>18</v>
      </c>
      <c r="L35" s="3">
        <f>(L11+0.5*M11)/O11*100</f>
        <v>35.714285714285715</v>
      </c>
      <c r="M35" s="3">
        <f>(N11+0.5*M11)/O11*100</f>
        <v>64.285714285714292</v>
      </c>
      <c r="N35">
        <f>SUM(L35:M35)</f>
        <v>100</v>
      </c>
    </row>
    <row r="36" spans="2:14" x14ac:dyDescent="0.35">
      <c r="B36" s="1" t="s">
        <v>383</v>
      </c>
      <c r="C36" s="6" t="s">
        <v>81</v>
      </c>
      <c r="K36" s="1" t="s">
        <v>17</v>
      </c>
      <c r="L36">
        <f>(L12+0.5*M12)/O12*100</f>
        <v>30</v>
      </c>
      <c r="M36">
        <f>(N12+0.5*M12)/O12*100</f>
        <v>70</v>
      </c>
      <c r="N36">
        <f>SUM(L36:M36)</f>
        <v>100</v>
      </c>
    </row>
    <row r="37" spans="2:14" x14ac:dyDescent="0.35">
      <c r="B37" s="1" t="s">
        <v>384</v>
      </c>
      <c r="C37" s="6" t="s">
        <v>81</v>
      </c>
    </row>
    <row r="38" spans="2:14" x14ac:dyDescent="0.35">
      <c r="B38" s="1" t="s">
        <v>385</v>
      </c>
      <c r="C38" s="52" t="s">
        <v>84</v>
      </c>
    </row>
    <row r="39" spans="2:14" x14ac:dyDescent="0.35">
      <c r="B39" s="1" t="s">
        <v>386</v>
      </c>
      <c r="C39" s="6" t="s">
        <v>81</v>
      </c>
    </row>
    <row r="40" spans="2:14" x14ac:dyDescent="0.35">
      <c r="B40" s="1" t="s">
        <v>387</v>
      </c>
      <c r="C40" s="6" t="s">
        <v>81</v>
      </c>
    </row>
    <row r="41" spans="2:14" x14ac:dyDescent="0.35">
      <c r="B41" s="1" t="s">
        <v>388</v>
      </c>
      <c r="C41" s="52" t="s">
        <v>84</v>
      </c>
    </row>
    <row r="42" spans="2:14" x14ac:dyDescent="0.35">
      <c r="B42" s="1" t="s">
        <v>389</v>
      </c>
      <c r="C42" s="6" t="s">
        <v>81</v>
      </c>
    </row>
    <row r="43" spans="2:14" x14ac:dyDescent="0.35">
      <c r="B43" s="1" t="s">
        <v>390</v>
      </c>
      <c r="C43" s="6" t="s">
        <v>81</v>
      </c>
    </row>
    <row r="44" spans="2:14" x14ac:dyDescent="0.35">
      <c r="B44" s="1" t="s">
        <v>391</v>
      </c>
      <c r="C44" s="52" t="s">
        <v>84</v>
      </c>
    </row>
    <row r="45" spans="2:14" x14ac:dyDescent="0.35">
      <c r="B45" s="1" t="s">
        <v>392</v>
      </c>
      <c r="C45" s="6" t="s">
        <v>81</v>
      </c>
    </row>
    <row r="46" spans="2:14" x14ac:dyDescent="0.35">
      <c r="B46" s="1" t="s">
        <v>393</v>
      </c>
      <c r="C46" s="14" t="s">
        <v>83</v>
      </c>
    </row>
    <row r="47" spans="2:14" x14ac:dyDescent="0.35">
      <c r="B47" s="1" t="s">
        <v>394</v>
      </c>
      <c r="C47" s="6" t="s">
        <v>81</v>
      </c>
    </row>
    <row r="48" spans="2:14" x14ac:dyDescent="0.35">
      <c r="B48" s="1" t="s">
        <v>395</v>
      </c>
      <c r="C48" s="52" t="s">
        <v>84</v>
      </c>
    </row>
    <row r="49" spans="2:15" x14ac:dyDescent="0.35">
      <c r="B49" s="1" t="s">
        <v>396</v>
      </c>
      <c r="C49" s="6" t="s">
        <v>81</v>
      </c>
      <c r="K49" s="176" t="s">
        <v>507</v>
      </c>
      <c r="L49" s="176"/>
      <c r="M49" s="176"/>
      <c r="N49" s="176"/>
      <c r="O49" s="176"/>
    </row>
    <row r="50" spans="2:15" x14ac:dyDescent="0.35">
      <c r="B50" s="1" t="s">
        <v>397</v>
      </c>
      <c r="C50" s="52" t="s">
        <v>84</v>
      </c>
      <c r="K50" s="1"/>
      <c r="L50" s="1" t="s">
        <v>468</v>
      </c>
      <c r="M50" s="1" t="s">
        <v>115</v>
      </c>
      <c r="N50" s="1" t="s">
        <v>97</v>
      </c>
    </row>
    <row r="51" spans="2:15" x14ac:dyDescent="0.35">
      <c r="B51" s="1" t="s">
        <v>398</v>
      </c>
      <c r="C51" s="14" t="s">
        <v>83</v>
      </c>
      <c r="K51" s="1" t="s">
        <v>103</v>
      </c>
      <c r="L51" s="149" t="s">
        <v>156</v>
      </c>
      <c r="M51" s="148" t="s">
        <v>164</v>
      </c>
      <c r="N51" s="148">
        <v>9.01E-2</v>
      </c>
      <c r="O51" s="47" t="s">
        <v>162</v>
      </c>
    </row>
    <row r="52" spans="2:15" x14ac:dyDescent="0.35">
      <c r="B52" s="1" t="s">
        <v>399</v>
      </c>
      <c r="C52" s="52" t="s">
        <v>84</v>
      </c>
      <c r="K52" s="1" t="s">
        <v>98</v>
      </c>
      <c r="L52" s="149" t="s">
        <v>156</v>
      </c>
      <c r="M52" s="148" t="s">
        <v>165</v>
      </c>
      <c r="N52" s="148">
        <v>2.2000000000000001E-3</v>
      </c>
      <c r="O52" s="47" t="s">
        <v>158</v>
      </c>
    </row>
    <row r="53" spans="2:15" x14ac:dyDescent="0.35">
      <c r="B53" s="1" t="s">
        <v>400</v>
      </c>
      <c r="C53" s="6" t="s">
        <v>81</v>
      </c>
      <c r="K53" s="1" t="s">
        <v>107</v>
      </c>
      <c r="L53" s="149">
        <v>0.40849999999999997</v>
      </c>
      <c r="M53" s="148" t="s">
        <v>166</v>
      </c>
      <c r="N53" s="148">
        <v>3.3E-3</v>
      </c>
      <c r="O53" s="47" t="s">
        <v>158</v>
      </c>
    </row>
    <row r="54" spans="2:15" x14ac:dyDescent="0.35">
      <c r="K54" s="1" t="s">
        <v>116</v>
      </c>
      <c r="L54" s="149">
        <v>0.76190000000000002</v>
      </c>
      <c r="M54" s="148" t="s">
        <v>167</v>
      </c>
      <c r="N54" s="148">
        <v>0.45219999999999999</v>
      </c>
      <c r="O54" s="47" t="s">
        <v>162</v>
      </c>
    </row>
  </sheetData>
  <mergeCells count="8">
    <mergeCell ref="B6:G6"/>
    <mergeCell ref="K8:O8"/>
    <mergeCell ref="K9:O9"/>
    <mergeCell ref="K14:O14"/>
    <mergeCell ref="K49:O49"/>
    <mergeCell ref="K33:N33"/>
    <mergeCell ref="B7:C7"/>
    <mergeCell ref="F7:G7"/>
  </mergeCells>
  <phoneticPr fontId="20" type="noConversion"/>
  <pageMargins left="0.7" right="0.7" top="0.75" bottom="0.75" header="0.3" footer="0.3"/>
  <pageSetup paperSize="0" orientation="portrait" horizontalDpi="0" verticalDpi="0" copies="0" r:id="rId1"/>
  <drawing r:id="rId2"/>
  <legacyDrawing r:id="rId3"/>
  <oleObjects>
    <mc:AlternateContent xmlns:mc="http://schemas.openxmlformats.org/markup-compatibility/2006">
      <mc:Choice Requires="x14">
        <oleObject progId="Prism8.Document" shapeId="6145" r:id="rId4">
          <objectPr defaultSize="0" autoPict="0" r:id="rId5">
            <anchor moveWithCells="1">
              <from>
                <xdr:col>9</xdr:col>
                <xdr:colOff>476250</xdr:colOff>
                <xdr:row>17</xdr:row>
                <xdr:rowOff>101600</xdr:rowOff>
              </from>
              <to>
                <xdr:col>12</xdr:col>
                <xdr:colOff>806450</xdr:colOff>
                <xdr:row>30</xdr:row>
                <xdr:rowOff>152400</xdr:rowOff>
              </to>
            </anchor>
          </objectPr>
        </oleObject>
      </mc:Choice>
      <mc:Fallback>
        <oleObject progId="Prism8.Document" shapeId="6145" r:id="rId4"/>
      </mc:Fallback>
    </mc:AlternateContent>
    <mc:AlternateContent xmlns:mc="http://schemas.openxmlformats.org/markup-compatibility/2006">
      <mc:Choice Requires="x14">
        <oleObject progId="Prism8.Document" shapeId="6146" r:id="rId6">
          <objectPr defaultSize="0" autoPict="0" r:id="rId7">
            <anchor moveWithCells="1">
              <from>
                <xdr:col>10</xdr:col>
                <xdr:colOff>1149350</xdr:colOff>
                <xdr:row>36</xdr:row>
                <xdr:rowOff>165100</xdr:rowOff>
              </from>
              <to>
                <xdr:col>13</xdr:col>
                <xdr:colOff>965200</xdr:colOff>
                <xdr:row>47</xdr:row>
                <xdr:rowOff>12700</xdr:rowOff>
              </to>
            </anchor>
          </objectPr>
        </oleObject>
      </mc:Choice>
      <mc:Fallback>
        <oleObject progId="Prism8.Document" shapeId="6146" r:id="rId6"/>
      </mc:Fallback>
    </mc:AlternateContent>
    <mc:AlternateContent xmlns:mc="http://schemas.openxmlformats.org/markup-compatibility/2006">
      <mc:Choice Requires="x14">
        <oleObject progId="Prism8.Document" shapeId="6147" r:id="rId8">
          <objectPr defaultSize="0" autoPict="0" r:id="rId9">
            <anchor moveWithCells="1">
              <from>
                <xdr:col>13</xdr:col>
                <xdr:colOff>177800</xdr:colOff>
                <xdr:row>17</xdr:row>
                <xdr:rowOff>63500</xdr:rowOff>
              </from>
              <to>
                <xdr:col>16</xdr:col>
                <xdr:colOff>25400</xdr:colOff>
                <xdr:row>30</xdr:row>
                <xdr:rowOff>139700</xdr:rowOff>
              </to>
            </anchor>
          </objectPr>
        </oleObject>
      </mc:Choice>
      <mc:Fallback>
        <oleObject progId="Prism8.Document" shapeId="6147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WHO cone_FZ_FG hybrids</vt:lpstr>
      <vt:lpstr>cone_FZ_FG_hybrids summary</vt:lpstr>
      <vt:lpstr>WHO cone _ Mibellon strains</vt:lpstr>
      <vt:lpstr>WHO cone_FuMoz</vt:lpstr>
      <vt:lpstr>WHO cone assay_Kisumu</vt:lpstr>
      <vt:lpstr>hybrid_Perm_genotyping</vt:lpstr>
      <vt:lpstr>hybrid_sher_genotyping</vt:lpstr>
      <vt:lpstr>Field_Perm_GSTe2_genotyping</vt:lpstr>
      <vt:lpstr>Field_Sher_GSTe2_genotyping</vt:lpstr>
      <vt:lpstr>QRT-PCR analysis_field strains</vt:lpstr>
      <vt:lpstr>QRT-PCR analysis_Hybrids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TheoFelix Tekoh</cp:lastModifiedBy>
  <dcterms:created xsi:type="dcterms:W3CDTF">2023-03-12T16:43:24Z</dcterms:created>
  <dcterms:modified xsi:type="dcterms:W3CDTF">2025-05-02T13:03:30Z</dcterms:modified>
</cp:coreProperties>
</file>